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defaultThemeVersion="124226"/>
  <xr:revisionPtr revIDLastSave="0" documentId="13_ncr:1_{D9A4BA5E-0F11-4C3E-92A3-8F3E8A455983}" xr6:coauthVersionLast="36" xr6:coauthVersionMax="36" xr10:uidLastSave="{00000000-0000-0000-0000-000000000000}"/>
  <bookViews>
    <workbookView xWindow="0" yWindow="0" windowWidth="28800" windowHeight="11760" tabRatio="792" xr2:uid="{00000000-000D-0000-FFFF-FFFF00000000}"/>
  </bookViews>
  <sheets>
    <sheet name="Cover" sheetId="2" r:id="rId1"/>
    <sheet name="Contents" sheetId="3" r:id="rId2"/>
    <sheet name="Data dictionary" sheetId="12" r:id="rId3"/>
    <sheet name="T1 In-year inspections" sheetId="5" r:id="rId4"/>
    <sheet name="T2 In-year standards" sheetId="9" r:id="rId5"/>
    <sheet name="T3 In-year monitoring" sheetId="10" r:id="rId6"/>
    <sheet name="T4 Most recent inspections" sheetId="6" r:id="rId7"/>
    <sheet name="D1 In-year standard inspections" sheetId="13" r:id="rId8"/>
    <sheet name="D2 In-year monitoring" sheetId="15" r:id="rId9"/>
    <sheet name="D3 Most recent inspections" sheetId="16" r:id="rId10"/>
  </sheets>
  <externalReferences>
    <externalReference r:id="rId11"/>
  </externalReferences>
  <definedNames>
    <definedName name="_xlnm._FilterDatabase" localSheetId="2" hidden="1">'Data dictionary'!$A$1:$D$1</definedName>
    <definedName name="clu7sql1_ssdb_REPORT_vw_IE_External_MI_InYear" localSheetId="7" hidden="1">'D1 In-year standard inspections'!$A$4:$II$285</definedName>
    <definedName name="clu7sql1_ssdb_REPORT_vw_IE_External_MI_InYear_Monitoring_Only" localSheetId="8" hidden="1">'D2 In-year monitoring'!$A$4:$II$63</definedName>
    <definedName name="clu7sql1_ssdb_REPORT_vw_IE_External_MI_SON" localSheetId="9" hidden="1">'D3 Most recent inspections'!$A$4:$AA$1086</definedName>
    <definedName name="InYear">'D1 In-year standard inspections'!$A$4:$II$1048576</definedName>
    <definedName name="Monitoring">'D2 In-year monitoring'!$A$4:$II$1048576</definedName>
    <definedName name="SoN">'D3 Most recent inspections'!$A$4:$AH$1048576</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6" i="16" l="1"/>
  <c r="Y7" i="16"/>
  <c r="Y8" i="16"/>
  <c r="Y9" i="16"/>
  <c r="Y10" i="16"/>
  <c r="Y11" i="16"/>
  <c r="Y12" i="16"/>
  <c r="Y13" i="16"/>
  <c r="Y14" i="16"/>
  <c r="Y15" i="16"/>
  <c r="Y16" i="16"/>
  <c r="Y17" i="16"/>
  <c r="Y18" i="16"/>
  <c r="Y19" i="16"/>
  <c r="Y20" i="16"/>
  <c r="Y21" i="16"/>
  <c r="Y22" i="16"/>
  <c r="Y23" i="16"/>
  <c r="Y24" i="16"/>
  <c r="Y25" i="16"/>
  <c r="Y26" i="16"/>
  <c r="Y27" i="16"/>
  <c r="Y28" i="16"/>
  <c r="Y29" i="16"/>
  <c r="Y30" i="16"/>
  <c r="Y31" i="16"/>
  <c r="Y32" i="16"/>
  <c r="Y33" i="16"/>
  <c r="Y34" i="16"/>
  <c r="Y35" i="16"/>
  <c r="Y36" i="16"/>
  <c r="Y37" i="16"/>
  <c r="Y38" i="16"/>
  <c r="Y39" i="16"/>
  <c r="Y40" i="16"/>
  <c r="Y41" i="16"/>
  <c r="Y42" i="16"/>
  <c r="Y43" i="16"/>
  <c r="Y44" i="16"/>
  <c r="Y45" i="16"/>
  <c r="Y46" i="16"/>
  <c r="Y47" i="16"/>
  <c r="Y48" i="16"/>
  <c r="Y49" i="16"/>
  <c r="Y50" i="16"/>
  <c r="Y51" i="16"/>
  <c r="Y52" i="16"/>
  <c r="Y53" i="16"/>
  <c r="Y54" i="16"/>
  <c r="Y55" i="16"/>
  <c r="Y56" i="16"/>
  <c r="Y57" i="16"/>
  <c r="Y58" i="16"/>
  <c r="Y59" i="16"/>
  <c r="Y60" i="16"/>
  <c r="Y61" i="16"/>
  <c r="Y62" i="16"/>
  <c r="Y63" i="16"/>
  <c r="Y64" i="16"/>
  <c r="Y65" i="16"/>
  <c r="Y66" i="16"/>
  <c r="Y67" i="16"/>
  <c r="Y68" i="16"/>
  <c r="Y69" i="16"/>
  <c r="Y70" i="16"/>
  <c r="Y71" i="16"/>
  <c r="Y72" i="16"/>
  <c r="Y73" i="16"/>
  <c r="Y74" i="16"/>
  <c r="Y75" i="16"/>
  <c r="Y76" i="16"/>
  <c r="Y77" i="16"/>
  <c r="Y78" i="16"/>
  <c r="Y79" i="16"/>
  <c r="Y80" i="16"/>
  <c r="Y81" i="16"/>
  <c r="Y82" i="16"/>
  <c r="Y83" i="16"/>
  <c r="Y84" i="16"/>
  <c r="Y85" i="16"/>
  <c r="Y86" i="16"/>
  <c r="Y87" i="16"/>
  <c r="Y88" i="16"/>
  <c r="Y89" i="16"/>
  <c r="Y90" i="16"/>
  <c r="Y91" i="16"/>
  <c r="Y92" i="16"/>
  <c r="Y93" i="16"/>
  <c r="Y94" i="16"/>
  <c r="Y95" i="16"/>
  <c r="Y96" i="16"/>
  <c r="Y97" i="16"/>
  <c r="Y98" i="16"/>
  <c r="Y99" i="16"/>
  <c r="Y100" i="16"/>
  <c r="Y101" i="16"/>
  <c r="Y102" i="16"/>
  <c r="Y103" i="16"/>
  <c r="Y104" i="16"/>
  <c r="Y105" i="16"/>
  <c r="Y106" i="16"/>
  <c r="Y107" i="16"/>
  <c r="Y108" i="16"/>
  <c r="Y109" i="16"/>
  <c r="Y110" i="16"/>
  <c r="Y111" i="16"/>
  <c r="Y112" i="16"/>
  <c r="Y113" i="16"/>
  <c r="Y114" i="16"/>
  <c r="Y115" i="16"/>
  <c r="Y116" i="16"/>
  <c r="Y117" i="16"/>
  <c r="Y118" i="16"/>
  <c r="Y119" i="16"/>
  <c r="Y120" i="16"/>
  <c r="Y121" i="16"/>
  <c r="Y122" i="16"/>
  <c r="Y123" i="16"/>
  <c r="Y124" i="16"/>
  <c r="Y125" i="16"/>
  <c r="Y126" i="16"/>
  <c r="Y127" i="16"/>
  <c r="Y128" i="16"/>
  <c r="Y129" i="16"/>
  <c r="Y130" i="16"/>
  <c r="Y131" i="16"/>
  <c r="Y132" i="16"/>
  <c r="Y133" i="16"/>
  <c r="Y134" i="16"/>
  <c r="Y135" i="16"/>
  <c r="Y136" i="16"/>
  <c r="Y137" i="16"/>
  <c r="Y138" i="16"/>
  <c r="Y139" i="16"/>
  <c r="Y140" i="16"/>
  <c r="Y141" i="16"/>
  <c r="Y142" i="16"/>
  <c r="Y143" i="16"/>
  <c r="Y144" i="16"/>
  <c r="Y145" i="16"/>
  <c r="Y146" i="16"/>
  <c r="Y147" i="16"/>
  <c r="Y148" i="16"/>
  <c r="Y149" i="16"/>
  <c r="Y150" i="16"/>
  <c r="Y151" i="16"/>
  <c r="Y152" i="16"/>
  <c r="Y153" i="16"/>
  <c r="Y154" i="16"/>
  <c r="Y155" i="16"/>
  <c r="Y156" i="16"/>
  <c r="Y157" i="16"/>
  <c r="Y158" i="16"/>
  <c r="Y159" i="16"/>
  <c r="Y160" i="16"/>
  <c r="Y161" i="16"/>
  <c r="Y162" i="16"/>
  <c r="Y163" i="16"/>
  <c r="Y164" i="16"/>
  <c r="Y165" i="16"/>
  <c r="Y166" i="16"/>
  <c r="Y167" i="16"/>
  <c r="Y168" i="16"/>
  <c r="Y169" i="16"/>
  <c r="Y170" i="16"/>
  <c r="Y171" i="16"/>
  <c r="Y172" i="16"/>
  <c r="Y173" i="16"/>
  <c r="Y174" i="16"/>
  <c r="Y175" i="16"/>
  <c r="Y176" i="16"/>
  <c r="Y177" i="16"/>
  <c r="Y178" i="16"/>
  <c r="Y179" i="16"/>
  <c r="Y180" i="16"/>
  <c r="Y181" i="16"/>
  <c r="Y182" i="16"/>
  <c r="Y183" i="16"/>
  <c r="Y184" i="16"/>
  <c r="Y185" i="16"/>
  <c r="Y186" i="16"/>
  <c r="Y187" i="16"/>
  <c r="Y188" i="16"/>
  <c r="Y189" i="16"/>
  <c r="Y190" i="16"/>
  <c r="Y191" i="16"/>
  <c r="Y192" i="16"/>
  <c r="Y193" i="16"/>
  <c r="Y194" i="16"/>
  <c r="Y195" i="16"/>
  <c r="Y196" i="16"/>
  <c r="Y197" i="16"/>
  <c r="Y198" i="16"/>
  <c r="Y199" i="16"/>
  <c r="Y200" i="16"/>
  <c r="Y201" i="16"/>
  <c r="Y202" i="16"/>
  <c r="Y203" i="16"/>
  <c r="Y204" i="16"/>
  <c r="Y205" i="16"/>
  <c r="Y206" i="16"/>
  <c r="Y207" i="16"/>
  <c r="Y208" i="16"/>
  <c r="Y209" i="16"/>
  <c r="Y210" i="16"/>
  <c r="Y211" i="16"/>
  <c r="Y212" i="16"/>
  <c r="Y213" i="16"/>
  <c r="Y214" i="16"/>
  <c r="Y215" i="16"/>
  <c r="Y216" i="16"/>
  <c r="Y217" i="16"/>
  <c r="Y218" i="16"/>
  <c r="Y219" i="16"/>
  <c r="Y220" i="16"/>
  <c r="Y221" i="16"/>
  <c r="Y222" i="16"/>
  <c r="Y223" i="16"/>
  <c r="Y224" i="16"/>
  <c r="Y225" i="16"/>
  <c r="Y226" i="16"/>
  <c r="Y227" i="16"/>
  <c r="Y228" i="16"/>
  <c r="Y229" i="16"/>
  <c r="Y230" i="16"/>
  <c r="Y231" i="16"/>
  <c r="Y232" i="16"/>
  <c r="Y233" i="16"/>
  <c r="Y234" i="16"/>
  <c r="Y235" i="16"/>
  <c r="Y236" i="16"/>
  <c r="Y237" i="16"/>
  <c r="Y238" i="16"/>
  <c r="Y239" i="16"/>
  <c r="Y240" i="16"/>
  <c r="Y241" i="16"/>
  <c r="Y242" i="16"/>
  <c r="Y243" i="16"/>
  <c r="Y244" i="16"/>
  <c r="Y245" i="16"/>
  <c r="Y246" i="16"/>
  <c r="Y247" i="16"/>
  <c r="Y248" i="16"/>
  <c r="Y249" i="16"/>
  <c r="Y250" i="16"/>
  <c r="Y251" i="16"/>
  <c r="Y252" i="16"/>
  <c r="Y253" i="16"/>
  <c r="Y254" i="16"/>
  <c r="Y255" i="16"/>
  <c r="Y256" i="16"/>
  <c r="Y257" i="16"/>
  <c r="Y258" i="16"/>
  <c r="Y259" i="16"/>
  <c r="Y260" i="16"/>
  <c r="Y261" i="16"/>
  <c r="Y262" i="16"/>
  <c r="Y263" i="16"/>
  <c r="Y264" i="16"/>
  <c r="Y265" i="16"/>
  <c r="Y266" i="16"/>
  <c r="Y267" i="16"/>
  <c r="Y268" i="16"/>
  <c r="Y269" i="16"/>
  <c r="Y270" i="16"/>
  <c r="Y271" i="16"/>
  <c r="Y272" i="16"/>
  <c r="Y273" i="16"/>
  <c r="Y274" i="16"/>
  <c r="Y275" i="16"/>
  <c r="Y276" i="16"/>
  <c r="Y277" i="16"/>
  <c r="Y278" i="16"/>
  <c r="Y279" i="16"/>
  <c r="Y280" i="16"/>
  <c r="Y281" i="16"/>
  <c r="Y282" i="16"/>
  <c r="Y283" i="16"/>
  <c r="Y284" i="16"/>
  <c r="Y285" i="16"/>
  <c r="Y286" i="16"/>
  <c r="Y287" i="16"/>
  <c r="Y288" i="16"/>
  <c r="Y289" i="16"/>
  <c r="Y290" i="16"/>
  <c r="Y291" i="16"/>
  <c r="Y292" i="16"/>
  <c r="Y293" i="16"/>
  <c r="Y294" i="16"/>
  <c r="Y295" i="16"/>
  <c r="Y296" i="16"/>
  <c r="Y297" i="16"/>
  <c r="Y298" i="16"/>
  <c r="Y299" i="16"/>
  <c r="Y300" i="16"/>
  <c r="Y301" i="16"/>
  <c r="Y302" i="16"/>
  <c r="Y303" i="16"/>
  <c r="Y304" i="16"/>
  <c r="Y305" i="16"/>
  <c r="Y306" i="16"/>
  <c r="Y307" i="16"/>
  <c r="Y308" i="16"/>
  <c r="Y309" i="16"/>
  <c r="Y310" i="16"/>
  <c r="Y311" i="16"/>
  <c r="Y312" i="16"/>
  <c r="Y313" i="16"/>
  <c r="Y314" i="16"/>
  <c r="Y315" i="16"/>
  <c r="Y316" i="16"/>
  <c r="Y317" i="16"/>
  <c r="Y318" i="16"/>
  <c r="Y319" i="16"/>
  <c r="Y320" i="16"/>
  <c r="Y321" i="16"/>
  <c r="Y322" i="16"/>
  <c r="Y323" i="16"/>
  <c r="Y324" i="16"/>
  <c r="Y325" i="16"/>
  <c r="Y326" i="16"/>
  <c r="Y327" i="16"/>
  <c r="Y328" i="16"/>
  <c r="Y329" i="16"/>
  <c r="Y330" i="16"/>
  <c r="Y331" i="16"/>
  <c r="Y332" i="16"/>
  <c r="Y333" i="16"/>
  <c r="Y334" i="16"/>
  <c r="Y335" i="16"/>
  <c r="Y336" i="16"/>
  <c r="Y337" i="16"/>
  <c r="Y338" i="16"/>
  <c r="Y339" i="16"/>
  <c r="Y340" i="16"/>
  <c r="Y341" i="16"/>
  <c r="Y342" i="16"/>
  <c r="Y343" i="16"/>
  <c r="Y344" i="16"/>
  <c r="Y345" i="16"/>
  <c r="Y346" i="16"/>
  <c r="Y347" i="16"/>
  <c r="Y348" i="16"/>
  <c r="Y349" i="16"/>
  <c r="Y350" i="16"/>
  <c r="Y351" i="16"/>
  <c r="Y352" i="16"/>
  <c r="Y353" i="16"/>
  <c r="Y354" i="16"/>
  <c r="Y355" i="16"/>
  <c r="Y356" i="16"/>
  <c r="Y357" i="16"/>
  <c r="Y358" i="16"/>
  <c r="Y359" i="16"/>
  <c r="Y360" i="16"/>
  <c r="Y361" i="16"/>
  <c r="Y362" i="16"/>
  <c r="Y363" i="16"/>
  <c r="Y364" i="16"/>
  <c r="Y365" i="16"/>
  <c r="Y366" i="16"/>
  <c r="Y367" i="16"/>
  <c r="Y368" i="16"/>
  <c r="Y369" i="16"/>
  <c r="Y370" i="16"/>
  <c r="Y371" i="16"/>
  <c r="Y372" i="16"/>
  <c r="Y373" i="16"/>
  <c r="Y374" i="16"/>
  <c r="Y375" i="16"/>
  <c r="Y376" i="16"/>
  <c r="Y377" i="16"/>
  <c r="Y378" i="16"/>
  <c r="Y379" i="16"/>
  <c r="Y380" i="16"/>
  <c r="Y381" i="16"/>
  <c r="Y382" i="16"/>
  <c r="Y383" i="16"/>
  <c r="Y384" i="16"/>
  <c r="Y385" i="16"/>
  <c r="Y386" i="16"/>
  <c r="Y387" i="16"/>
  <c r="Y388" i="16"/>
  <c r="Y389" i="16"/>
  <c r="Y390" i="16"/>
  <c r="Y391" i="16"/>
  <c r="Y392" i="16"/>
  <c r="Y393" i="16"/>
  <c r="Y394" i="16"/>
  <c r="Y395" i="16"/>
  <c r="Y396" i="16"/>
  <c r="Y397" i="16"/>
  <c r="Y398" i="16"/>
  <c r="Y399" i="16"/>
  <c r="Y400" i="16"/>
  <c r="Y401" i="16"/>
  <c r="Y402" i="16"/>
  <c r="Y403" i="16"/>
  <c r="Y404" i="16"/>
  <c r="Y405" i="16"/>
  <c r="Y406" i="16"/>
  <c r="Y407" i="16"/>
  <c r="Y408" i="16"/>
  <c r="Y409" i="16"/>
  <c r="Y410" i="16"/>
  <c r="Y411" i="16"/>
  <c r="Y412" i="16"/>
  <c r="Y413" i="16"/>
  <c r="Y414" i="16"/>
  <c r="Y415" i="16"/>
  <c r="Y416" i="16"/>
  <c r="Y417" i="16"/>
  <c r="Y418" i="16"/>
  <c r="Y419" i="16"/>
  <c r="Y420" i="16"/>
  <c r="Y421" i="16"/>
  <c r="Y422" i="16"/>
  <c r="Y423" i="16"/>
  <c r="Y424" i="16"/>
  <c r="Y425" i="16"/>
  <c r="Y426" i="16"/>
  <c r="Y427" i="16"/>
  <c r="Y428" i="16"/>
  <c r="Y429" i="16"/>
  <c r="Y430" i="16"/>
  <c r="Y431" i="16"/>
  <c r="Y432" i="16"/>
  <c r="Y433" i="16"/>
  <c r="Y434" i="16"/>
  <c r="Y435" i="16"/>
  <c r="Y436" i="16"/>
  <c r="Y437" i="16"/>
  <c r="Y438" i="16"/>
  <c r="Y439" i="16"/>
  <c r="Y440" i="16"/>
  <c r="Y441" i="16"/>
  <c r="Y442" i="16"/>
  <c r="Y443" i="16"/>
  <c r="Y444" i="16"/>
  <c r="Y445" i="16"/>
  <c r="Y446" i="16"/>
  <c r="Y447" i="16"/>
  <c r="Y448" i="16"/>
  <c r="Y449" i="16"/>
  <c r="Y450" i="16"/>
  <c r="Y451" i="16"/>
  <c r="Y452" i="16"/>
  <c r="Y453" i="16"/>
  <c r="Y454" i="16"/>
  <c r="Y455" i="16"/>
  <c r="Y456" i="16"/>
  <c r="Y457" i="16"/>
  <c r="Y458" i="16"/>
  <c r="Y459" i="16"/>
  <c r="Y460" i="16"/>
  <c r="Y461" i="16"/>
  <c r="Y462" i="16"/>
  <c r="Y463" i="16"/>
  <c r="Y464" i="16"/>
  <c r="Y465" i="16"/>
  <c r="Y466" i="16"/>
  <c r="Y467" i="16"/>
  <c r="Y468" i="16"/>
  <c r="Y469" i="16"/>
  <c r="Y470" i="16"/>
  <c r="Y471" i="16"/>
  <c r="Y472" i="16"/>
  <c r="Y473" i="16"/>
  <c r="Y474" i="16"/>
  <c r="Y475" i="16"/>
  <c r="Y476" i="16"/>
  <c r="Y477" i="16"/>
  <c r="Y478" i="16"/>
  <c r="Y479" i="16"/>
  <c r="Y480" i="16"/>
  <c r="Y481" i="16"/>
  <c r="Y482" i="16"/>
  <c r="Y483" i="16"/>
  <c r="Y484" i="16"/>
  <c r="Y485" i="16"/>
  <c r="Y486" i="16"/>
  <c r="Y487" i="16"/>
  <c r="Y488" i="16"/>
  <c r="Y489" i="16"/>
  <c r="Y490" i="16"/>
  <c r="Y491" i="16"/>
  <c r="Y492" i="16"/>
  <c r="Y493" i="16"/>
  <c r="Y494" i="16"/>
  <c r="Y495" i="16"/>
  <c r="Y496" i="16"/>
  <c r="Y497" i="16"/>
  <c r="Y498" i="16"/>
  <c r="Y499" i="16"/>
  <c r="Y500" i="16"/>
  <c r="Y501" i="16"/>
  <c r="Y502" i="16"/>
  <c r="Y503" i="16"/>
  <c r="Y504" i="16"/>
  <c r="Y505" i="16"/>
  <c r="Y506" i="16"/>
  <c r="Y507" i="16"/>
  <c r="Y508" i="16"/>
  <c r="Y509" i="16"/>
  <c r="Y510" i="16"/>
  <c r="Y511" i="16"/>
  <c r="Y512" i="16"/>
  <c r="Y513" i="16"/>
  <c r="Y514" i="16"/>
  <c r="Y515" i="16"/>
  <c r="Y516" i="16"/>
  <c r="Y517" i="16"/>
  <c r="Y518" i="16"/>
  <c r="Y519" i="16"/>
  <c r="Y520" i="16"/>
  <c r="Y521" i="16"/>
  <c r="Y522" i="16"/>
  <c r="Y523" i="16"/>
  <c r="Y524" i="16"/>
  <c r="Y525" i="16"/>
  <c r="Y526" i="16"/>
  <c r="Y527" i="16"/>
  <c r="Y528" i="16"/>
  <c r="Y529" i="16"/>
  <c r="Y530" i="16"/>
  <c r="Y531" i="16"/>
  <c r="Y532" i="16"/>
  <c r="Y533" i="16"/>
  <c r="Y534" i="16"/>
  <c r="Y535" i="16"/>
  <c r="Y536" i="16"/>
  <c r="Y537" i="16"/>
  <c r="Y538" i="16"/>
  <c r="Y539" i="16"/>
  <c r="Y540" i="16"/>
  <c r="Y541" i="16"/>
  <c r="Y542" i="16"/>
  <c r="Y543" i="16"/>
  <c r="Y544" i="16"/>
  <c r="Y545" i="16"/>
  <c r="Y546" i="16"/>
  <c r="Y547" i="16"/>
  <c r="Y548" i="16"/>
  <c r="Y549" i="16"/>
  <c r="Y550" i="16"/>
  <c r="Y551" i="16"/>
  <c r="Y552" i="16"/>
  <c r="Y553" i="16"/>
  <c r="Y554" i="16"/>
  <c r="Y555" i="16"/>
  <c r="Y556" i="16"/>
  <c r="Y557" i="16"/>
  <c r="Y558" i="16"/>
  <c r="Y559" i="16"/>
  <c r="Y560" i="16"/>
  <c r="Y561" i="16"/>
  <c r="Y562" i="16"/>
  <c r="Y563" i="16"/>
  <c r="Y564" i="16"/>
  <c r="Y565" i="16"/>
  <c r="Y566" i="16"/>
  <c r="Y567" i="16"/>
  <c r="Y568" i="16"/>
  <c r="Y569" i="16"/>
  <c r="Y570" i="16"/>
  <c r="Y571" i="16"/>
  <c r="Y572" i="16"/>
  <c r="Y573" i="16"/>
  <c r="Y574" i="16"/>
  <c r="Y575" i="16"/>
  <c r="Y576" i="16"/>
  <c r="Y577" i="16"/>
  <c r="Y578" i="16"/>
  <c r="Y579" i="16"/>
  <c r="Y580" i="16"/>
  <c r="Y581" i="16"/>
  <c r="Y582" i="16"/>
  <c r="Y583" i="16"/>
  <c r="Y584" i="16"/>
  <c r="Y585" i="16"/>
  <c r="Y586" i="16"/>
  <c r="Y587" i="16"/>
  <c r="Y588" i="16"/>
  <c r="Y589" i="16"/>
  <c r="Y590" i="16"/>
  <c r="Y591" i="16"/>
  <c r="Y592" i="16"/>
  <c r="Y593" i="16"/>
  <c r="Y594" i="16"/>
  <c r="Y595" i="16"/>
  <c r="Y596" i="16"/>
  <c r="Y597" i="16"/>
  <c r="Y598" i="16"/>
  <c r="Y599" i="16"/>
  <c r="Y600" i="16"/>
  <c r="Y601" i="16"/>
  <c r="Y602" i="16"/>
  <c r="Y603" i="16"/>
  <c r="Y604" i="16"/>
  <c r="Y605" i="16"/>
  <c r="Y606" i="16"/>
  <c r="Y607" i="16"/>
  <c r="Y608" i="16"/>
  <c r="Y609" i="16"/>
  <c r="Y610" i="16"/>
  <c r="Y611" i="16"/>
  <c r="Y612" i="16"/>
  <c r="Y613" i="16"/>
  <c r="Y614" i="16"/>
  <c r="Y615" i="16"/>
  <c r="Y616" i="16"/>
  <c r="Y617" i="16"/>
  <c r="Y618" i="16"/>
  <c r="Y619" i="16"/>
  <c r="Y620" i="16"/>
  <c r="Y621" i="16"/>
  <c r="Y622" i="16"/>
  <c r="Y623" i="16"/>
  <c r="Y624" i="16"/>
  <c r="Y625" i="16"/>
  <c r="Y626" i="16"/>
  <c r="Y627" i="16"/>
  <c r="Y628" i="16"/>
  <c r="Y629" i="16"/>
  <c r="Y630" i="16"/>
  <c r="Y631" i="16"/>
  <c r="Y632" i="16"/>
  <c r="Y633" i="16"/>
  <c r="Y634" i="16"/>
  <c r="Y635" i="16"/>
  <c r="Y636" i="16"/>
  <c r="Y637" i="16"/>
  <c r="Y638" i="16"/>
  <c r="Y639" i="16"/>
  <c r="Y640" i="16"/>
  <c r="Y641" i="16"/>
  <c r="Y642" i="16"/>
  <c r="Y643" i="16"/>
  <c r="Y644" i="16"/>
  <c r="Y645" i="16"/>
  <c r="Y646" i="16"/>
  <c r="Y647" i="16"/>
  <c r="Y648" i="16"/>
  <c r="Y649" i="16"/>
  <c r="Y650" i="16"/>
  <c r="Y651" i="16"/>
  <c r="Y652" i="16"/>
  <c r="Y653" i="16"/>
  <c r="Y654" i="16"/>
  <c r="Y655" i="16"/>
  <c r="Y656" i="16"/>
  <c r="Y657" i="16"/>
  <c r="Y658" i="16"/>
  <c r="Y659" i="16"/>
  <c r="Y660" i="16"/>
  <c r="Y661" i="16"/>
  <c r="Y662" i="16"/>
  <c r="Y663" i="16"/>
  <c r="Y664" i="16"/>
  <c r="Y665" i="16"/>
  <c r="Y666" i="16"/>
  <c r="Y667" i="16"/>
  <c r="Y668" i="16"/>
  <c r="Y669" i="16"/>
  <c r="Y670" i="16"/>
  <c r="Y671" i="16"/>
  <c r="Y672" i="16"/>
  <c r="Y673" i="16"/>
  <c r="Y674" i="16"/>
  <c r="Y675" i="16"/>
  <c r="Y676" i="16"/>
  <c r="Y677" i="16"/>
  <c r="Y678" i="16"/>
  <c r="Y679" i="16"/>
  <c r="Y680" i="16"/>
  <c r="Y681" i="16"/>
  <c r="Y682" i="16"/>
  <c r="Y683" i="16"/>
  <c r="Y684" i="16"/>
  <c r="Y685" i="16"/>
  <c r="Y686" i="16"/>
  <c r="Y687" i="16"/>
  <c r="Y688" i="16"/>
  <c r="Y689" i="16"/>
  <c r="Y690" i="16"/>
  <c r="Y691" i="16"/>
  <c r="Y692" i="16"/>
  <c r="Y693" i="16"/>
  <c r="Y694" i="16"/>
  <c r="Y695" i="16"/>
  <c r="Y696" i="16"/>
  <c r="Y697" i="16"/>
  <c r="Y698" i="16"/>
  <c r="Y699" i="16"/>
  <c r="Y700" i="16"/>
  <c r="Y701" i="16"/>
  <c r="Y702" i="16"/>
  <c r="Y703" i="16"/>
  <c r="Y704" i="16"/>
  <c r="Y705" i="16"/>
  <c r="Y706" i="16"/>
  <c r="Y707" i="16"/>
  <c r="Y708" i="16"/>
  <c r="Y709" i="16"/>
  <c r="Y710" i="16"/>
  <c r="Y711" i="16"/>
  <c r="Y712" i="16"/>
  <c r="Y713" i="16"/>
  <c r="Y714" i="16"/>
  <c r="Y715" i="16"/>
  <c r="Y716" i="16"/>
  <c r="Y717" i="16"/>
  <c r="Y718" i="16"/>
  <c r="Y719" i="16"/>
  <c r="Y720" i="16"/>
  <c r="Y721" i="16"/>
  <c r="Y722" i="16"/>
  <c r="Y723" i="16"/>
  <c r="Y724" i="16"/>
  <c r="Y725" i="16"/>
  <c r="Y726" i="16"/>
  <c r="Y727" i="16"/>
  <c r="Y728" i="16"/>
  <c r="Y729" i="16"/>
  <c r="Y730" i="16"/>
  <c r="Y731" i="16"/>
  <c r="Y732" i="16"/>
  <c r="Y733" i="16"/>
  <c r="Y734" i="16"/>
  <c r="Y735" i="16"/>
  <c r="Y736" i="16"/>
  <c r="Y737" i="16"/>
  <c r="Y738" i="16"/>
  <c r="Y739" i="16"/>
  <c r="Y740" i="16"/>
  <c r="Y741" i="16"/>
  <c r="Y742" i="16"/>
  <c r="Y743" i="16"/>
  <c r="Y744" i="16"/>
  <c r="Y745" i="16"/>
  <c r="Y746" i="16"/>
  <c r="Y747" i="16"/>
  <c r="Y748" i="16"/>
  <c r="Y749" i="16"/>
  <c r="Y750" i="16"/>
  <c r="Y751" i="16"/>
  <c r="Y752" i="16"/>
  <c r="Y753" i="16"/>
  <c r="Y754" i="16"/>
  <c r="Y755" i="16"/>
  <c r="Y756" i="16"/>
  <c r="Y757" i="16"/>
  <c r="Y758" i="16"/>
  <c r="Y759" i="16"/>
  <c r="Y760" i="16"/>
  <c r="Y761" i="16"/>
  <c r="Y762" i="16"/>
  <c r="Y763" i="16"/>
  <c r="Y764" i="16"/>
  <c r="Y765" i="16"/>
  <c r="Y766" i="16"/>
  <c r="Y767" i="16"/>
  <c r="Y768" i="16"/>
  <c r="Y769" i="16"/>
  <c r="Y770" i="16"/>
  <c r="Y771" i="16"/>
  <c r="Y772" i="16"/>
  <c r="Y773" i="16"/>
  <c r="Y774" i="16"/>
  <c r="Y775" i="16"/>
  <c r="Y776" i="16"/>
  <c r="Y777" i="16"/>
  <c r="Y778" i="16"/>
  <c r="Y779" i="16"/>
  <c r="Y780" i="16"/>
  <c r="Y781" i="16"/>
  <c r="Y782" i="16"/>
  <c r="Y783" i="16"/>
  <c r="Y784" i="16"/>
  <c r="Y785" i="16"/>
  <c r="Y786" i="16"/>
  <c r="Y787" i="16"/>
  <c r="Y788" i="16"/>
  <c r="Y789" i="16"/>
  <c r="Y790" i="16"/>
  <c r="Y791" i="16"/>
  <c r="Y792" i="16"/>
  <c r="Y793" i="16"/>
  <c r="Y794" i="16"/>
  <c r="Y795" i="16"/>
  <c r="Y796" i="16"/>
  <c r="Y797" i="16"/>
  <c r="Y798" i="16"/>
  <c r="Y799" i="16"/>
  <c r="Y800" i="16"/>
  <c r="Y801" i="16"/>
  <c r="Y802" i="16"/>
  <c r="Y803" i="16"/>
  <c r="Y804" i="16"/>
  <c r="Y805" i="16"/>
  <c r="Y806" i="16"/>
  <c r="Y807" i="16"/>
  <c r="Y808" i="16"/>
  <c r="Y809" i="16"/>
  <c r="Y810" i="16"/>
  <c r="Y811" i="16"/>
  <c r="Y812" i="16"/>
  <c r="Y813" i="16"/>
  <c r="Y814" i="16"/>
  <c r="Y815" i="16"/>
  <c r="Y816" i="16"/>
  <c r="Y817" i="16"/>
  <c r="Y818" i="16"/>
  <c r="Y819" i="16"/>
  <c r="Y820" i="16"/>
  <c r="Y821" i="16"/>
  <c r="Y822" i="16"/>
  <c r="Y823" i="16"/>
  <c r="Y824" i="16"/>
  <c r="Y825" i="16"/>
  <c r="Y826" i="16"/>
  <c r="Y827" i="16"/>
  <c r="Y828" i="16"/>
  <c r="Y829" i="16"/>
  <c r="Y830" i="16"/>
  <c r="Y831" i="16"/>
  <c r="Y832" i="16"/>
  <c r="Y833" i="16"/>
  <c r="Y834" i="16"/>
  <c r="Y835" i="16"/>
  <c r="Y836" i="16"/>
  <c r="Y837" i="16"/>
  <c r="Y838" i="16"/>
  <c r="Y839" i="16"/>
  <c r="Y840" i="16"/>
  <c r="Y841" i="16"/>
  <c r="Y842" i="16"/>
  <c r="Y843" i="16"/>
  <c r="Y844" i="16"/>
  <c r="Y845" i="16"/>
  <c r="Y846" i="16"/>
  <c r="Y847" i="16"/>
  <c r="Y848" i="16"/>
  <c r="Y849" i="16"/>
  <c r="Y850" i="16"/>
  <c r="Y851" i="16"/>
  <c r="Y852" i="16"/>
  <c r="Y853" i="16"/>
  <c r="Y854" i="16"/>
  <c r="Y855" i="16"/>
  <c r="Y856" i="16"/>
  <c r="Y857" i="16"/>
  <c r="Y858" i="16"/>
  <c r="Y859" i="16"/>
  <c r="Y860" i="16"/>
  <c r="Y861" i="16"/>
  <c r="Y862" i="16"/>
  <c r="Y863" i="16"/>
  <c r="Y864" i="16"/>
  <c r="Y865" i="16"/>
  <c r="Y866" i="16"/>
  <c r="Y867" i="16"/>
  <c r="Y868" i="16"/>
  <c r="Y869" i="16"/>
  <c r="Y870" i="16"/>
  <c r="Y871" i="16"/>
  <c r="Y872" i="16"/>
  <c r="Y873" i="16"/>
  <c r="Y874" i="16"/>
  <c r="Y875" i="16"/>
  <c r="Y876" i="16"/>
  <c r="Y877" i="16"/>
  <c r="Y878" i="16"/>
  <c r="Y879" i="16"/>
  <c r="Y880" i="16"/>
  <c r="Y881" i="16"/>
  <c r="Y882" i="16"/>
  <c r="Y883" i="16"/>
  <c r="Y884" i="16"/>
  <c r="Y885" i="16"/>
  <c r="Y886" i="16"/>
  <c r="Y887" i="16"/>
  <c r="Y888" i="16"/>
  <c r="Y889" i="16"/>
  <c r="Y890" i="16"/>
  <c r="Y891" i="16"/>
  <c r="Y892" i="16"/>
  <c r="Y893" i="16"/>
  <c r="Y894" i="16"/>
  <c r="Y895" i="16"/>
  <c r="Y896" i="16"/>
  <c r="Y897" i="16"/>
  <c r="Y898" i="16"/>
  <c r="Y899" i="16"/>
  <c r="Y900" i="16"/>
  <c r="Y901" i="16"/>
  <c r="Y902" i="16"/>
  <c r="Y903" i="16"/>
  <c r="Y904" i="16"/>
  <c r="Y905" i="16"/>
  <c r="Y906" i="16"/>
  <c r="Y907" i="16"/>
  <c r="Y908" i="16"/>
  <c r="Y909" i="16"/>
  <c r="Y910" i="16"/>
  <c r="Y911" i="16"/>
  <c r="Y912" i="16"/>
  <c r="Y913" i="16"/>
  <c r="Y914" i="16"/>
  <c r="Y915" i="16"/>
  <c r="Y916" i="16"/>
  <c r="Y917" i="16"/>
  <c r="Y918" i="16"/>
  <c r="Y919" i="16"/>
  <c r="Y920" i="16"/>
  <c r="Y921" i="16"/>
  <c r="Y922" i="16"/>
  <c r="Y923" i="16"/>
  <c r="Y924" i="16"/>
  <c r="Y925" i="16"/>
  <c r="Y926" i="16"/>
  <c r="Y927" i="16"/>
  <c r="Y928" i="16"/>
  <c r="Y929" i="16"/>
  <c r="Y930" i="16"/>
  <c r="Y931" i="16"/>
  <c r="Y932" i="16"/>
  <c r="Y933" i="16"/>
  <c r="Y934" i="16"/>
  <c r="Y935" i="16"/>
  <c r="Y936" i="16"/>
  <c r="Y937" i="16"/>
  <c r="Y938" i="16"/>
  <c r="Y939" i="16"/>
  <c r="Y940" i="16"/>
  <c r="Y941" i="16"/>
  <c r="Y942" i="16"/>
  <c r="Y943" i="16"/>
  <c r="Y944" i="16"/>
  <c r="Y945" i="16"/>
  <c r="Y946" i="16"/>
  <c r="Y947" i="16"/>
  <c r="Y948" i="16"/>
  <c r="Y949" i="16"/>
  <c r="Y950" i="16"/>
  <c r="Y951" i="16"/>
  <c r="Y952" i="16"/>
  <c r="Y953" i="16"/>
  <c r="Y954" i="16"/>
  <c r="Y955" i="16"/>
  <c r="Y956" i="16"/>
  <c r="Y957" i="16"/>
  <c r="Y958" i="16"/>
  <c r="Y959" i="16"/>
  <c r="Y960" i="16"/>
  <c r="Y961" i="16"/>
  <c r="Y962" i="16"/>
  <c r="Y963" i="16"/>
  <c r="Y964" i="16"/>
  <c r="Y965" i="16"/>
  <c r="Y966" i="16"/>
  <c r="Y967" i="16"/>
  <c r="Y968" i="16"/>
  <c r="Y969" i="16"/>
  <c r="Y970" i="16"/>
  <c r="Y971" i="16"/>
  <c r="Y972" i="16"/>
  <c r="Y973" i="16"/>
  <c r="Y974" i="16"/>
  <c r="Y975" i="16"/>
  <c r="Y976" i="16"/>
  <c r="Y977" i="16"/>
  <c r="Y978" i="16"/>
  <c r="Y979" i="16"/>
  <c r="Y980" i="16"/>
  <c r="Y981" i="16"/>
  <c r="Y982" i="16"/>
  <c r="Y983" i="16"/>
  <c r="Y984" i="16"/>
  <c r="Y985" i="16"/>
  <c r="Y986" i="16"/>
  <c r="Y987" i="16"/>
  <c r="Y988" i="16"/>
  <c r="Y989" i="16"/>
  <c r="Y990" i="16"/>
  <c r="Y991" i="16"/>
  <c r="Y992" i="16"/>
  <c r="Y993" i="16"/>
  <c r="Y994" i="16"/>
  <c r="Y995" i="16"/>
  <c r="Y996" i="16"/>
  <c r="Y997" i="16"/>
  <c r="Y998" i="16"/>
  <c r="Y999" i="16"/>
  <c r="Y1000" i="16"/>
  <c r="Y1001" i="16"/>
  <c r="Y1002" i="16"/>
  <c r="Y1003" i="16"/>
  <c r="Y1004" i="16"/>
  <c r="Y1005" i="16"/>
  <c r="Y1006" i="16"/>
  <c r="Y1007" i="16"/>
  <c r="Y1008" i="16"/>
  <c r="Y1009" i="16"/>
  <c r="Y1010" i="16"/>
  <c r="Y1011" i="16"/>
  <c r="Y1012" i="16"/>
  <c r="Y1013" i="16"/>
  <c r="Y1014" i="16"/>
  <c r="Y1015" i="16"/>
  <c r="Y1016" i="16"/>
  <c r="Y1017" i="16"/>
  <c r="Y1018" i="16"/>
  <c r="Y1019" i="16"/>
  <c r="Y1020" i="16"/>
  <c r="Y1021" i="16"/>
  <c r="Y1022" i="16"/>
  <c r="Y1023" i="16"/>
  <c r="Y1024" i="16"/>
  <c r="Y1025" i="16"/>
  <c r="Y1026" i="16"/>
  <c r="Y1027" i="16"/>
  <c r="Y1028" i="16"/>
  <c r="Y1029" i="16"/>
  <c r="Y1030" i="16"/>
  <c r="Y1031" i="16"/>
  <c r="Y1032" i="16"/>
  <c r="Y1033" i="16"/>
  <c r="Y1034" i="16"/>
  <c r="Y1035" i="16"/>
  <c r="Y1036" i="16"/>
  <c r="Y1037" i="16"/>
  <c r="Y1038" i="16"/>
  <c r="Y1039" i="16"/>
  <c r="Y1040" i="16"/>
  <c r="Y1041" i="16"/>
  <c r="Y1042" i="16"/>
  <c r="Y1043" i="16"/>
  <c r="Y1044" i="16"/>
  <c r="Y1045" i="16"/>
  <c r="Y1046" i="16"/>
  <c r="Y1047" i="16"/>
  <c r="Y1048" i="16"/>
  <c r="Y1049" i="16"/>
  <c r="Y1050" i="16"/>
  <c r="Y1051" i="16"/>
  <c r="Y1052" i="16"/>
  <c r="Y1053" i="16"/>
  <c r="Y1054" i="16"/>
  <c r="Y1055" i="16"/>
  <c r="Y1056" i="16"/>
  <c r="Y1057" i="16"/>
  <c r="Y1058" i="16"/>
  <c r="Y1059" i="16"/>
  <c r="Y1060" i="16"/>
  <c r="Y1061" i="16"/>
  <c r="Y1062" i="16"/>
  <c r="Y1063" i="16"/>
  <c r="Y1064" i="16"/>
  <c r="Y1065" i="16"/>
  <c r="Y1066" i="16"/>
  <c r="Y1067" i="16"/>
  <c r="Y1068" i="16"/>
  <c r="Y1069" i="16"/>
  <c r="Y1070" i="16"/>
  <c r="Y1071" i="16"/>
  <c r="Y1072" i="16"/>
  <c r="Y1073" i="16"/>
  <c r="Y1074" i="16"/>
  <c r="Y1075" i="16"/>
  <c r="Y1076" i="16"/>
  <c r="Y1077" i="16"/>
  <c r="Y1078" i="16"/>
  <c r="Y1079" i="16"/>
  <c r="Y1080" i="16"/>
  <c r="Y1081" i="16"/>
  <c r="Y1082" i="16"/>
  <c r="Y1083" i="16"/>
  <c r="Y1084" i="16"/>
  <c r="Y1085" i="16"/>
  <c r="Y1086" i="16"/>
  <c r="Y5" i="16"/>
  <c r="A5" i="16" l="1"/>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A207" i="16"/>
  <c r="A208" i="16"/>
  <c r="A209" i="16"/>
  <c r="A210" i="16"/>
  <c r="A211" i="16"/>
  <c r="A212" i="16"/>
  <c r="A213" i="16"/>
  <c r="A214" i="16"/>
  <c r="A215" i="16"/>
  <c r="A216" i="16"/>
  <c r="A217" i="16"/>
  <c r="A218" i="16"/>
  <c r="A219" i="16"/>
  <c r="A220" i="16"/>
  <c r="A221" i="16"/>
  <c r="A222" i="16"/>
  <c r="A223" i="16"/>
  <c r="A224" i="16"/>
  <c r="A225" i="16"/>
  <c r="A226" i="16"/>
  <c r="A227" i="16"/>
  <c r="A228" i="16"/>
  <c r="A229" i="16"/>
  <c r="A230" i="16"/>
  <c r="A231" i="16"/>
  <c r="A232" i="16"/>
  <c r="A233" i="16"/>
  <c r="A234" i="16"/>
  <c r="A235" i="16"/>
  <c r="A236" i="16"/>
  <c r="A237" i="16"/>
  <c r="A238" i="16"/>
  <c r="A239" i="16"/>
  <c r="A240" i="16"/>
  <c r="A241" i="16"/>
  <c r="A242" i="16"/>
  <c r="A243" i="16"/>
  <c r="A244" i="16"/>
  <c r="A245" i="16"/>
  <c r="A246" i="16"/>
  <c r="A247" i="16"/>
  <c r="A248" i="16"/>
  <c r="A249" i="16"/>
  <c r="A250" i="16"/>
  <c r="A251" i="16"/>
  <c r="A252" i="16"/>
  <c r="A253" i="16"/>
  <c r="A254" i="16"/>
  <c r="A255" i="16"/>
  <c r="A256" i="16"/>
  <c r="A257" i="16"/>
  <c r="A258" i="16"/>
  <c r="A259" i="16"/>
  <c r="A260" i="16"/>
  <c r="A261" i="16"/>
  <c r="A262" i="16"/>
  <c r="A263" i="16"/>
  <c r="A264" i="16"/>
  <c r="A265" i="16"/>
  <c r="A266" i="16"/>
  <c r="A267" i="16"/>
  <c r="A268" i="16"/>
  <c r="A269" i="16"/>
  <c r="A270" i="16"/>
  <c r="A271" i="16"/>
  <c r="A272" i="16"/>
  <c r="A273" i="16"/>
  <c r="A274" i="16"/>
  <c r="A275" i="16"/>
  <c r="A276" i="16"/>
  <c r="A277" i="16"/>
  <c r="A278" i="16"/>
  <c r="A279" i="16"/>
  <c r="A280" i="16"/>
  <c r="A281" i="16"/>
  <c r="A282" i="16"/>
  <c r="A283" i="16"/>
  <c r="A284" i="16"/>
  <c r="A285" i="16"/>
  <c r="A286" i="16"/>
  <c r="A287" i="16"/>
  <c r="A288" i="16"/>
  <c r="A289" i="16"/>
  <c r="A290" i="16"/>
  <c r="A291" i="16"/>
  <c r="A292" i="16"/>
  <c r="A293" i="16"/>
  <c r="A294" i="16"/>
  <c r="A295" i="16"/>
  <c r="A296" i="16"/>
  <c r="A297" i="16"/>
  <c r="A298" i="16"/>
  <c r="A299" i="16"/>
  <c r="A300" i="16"/>
  <c r="A301" i="16"/>
  <c r="A302" i="16"/>
  <c r="A303" i="16"/>
  <c r="A304" i="16"/>
  <c r="A305" i="16"/>
  <c r="A306" i="16"/>
  <c r="A307" i="16"/>
  <c r="A308" i="16"/>
  <c r="A309" i="16"/>
  <c r="A310" i="16"/>
  <c r="A311" i="16"/>
  <c r="A312" i="16"/>
  <c r="A313" i="16"/>
  <c r="A314" i="16"/>
  <c r="A315" i="16"/>
  <c r="A316" i="16"/>
  <c r="A317" i="16"/>
  <c r="A318" i="16"/>
  <c r="A319" i="16"/>
  <c r="A320" i="16"/>
  <c r="A321" i="16"/>
  <c r="A322" i="16"/>
  <c r="A323" i="16"/>
  <c r="A324" i="16"/>
  <c r="A325" i="16"/>
  <c r="A326" i="16"/>
  <c r="A327" i="16"/>
  <c r="A328" i="16"/>
  <c r="A329" i="16"/>
  <c r="A330" i="16"/>
  <c r="A331" i="16"/>
  <c r="A332" i="16"/>
  <c r="A333" i="16"/>
  <c r="A334" i="16"/>
  <c r="A335" i="16"/>
  <c r="A336" i="16"/>
  <c r="A337" i="16"/>
  <c r="A338" i="16"/>
  <c r="A339" i="16"/>
  <c r="A340" i="16"/>
  <c r="A341" i="16"/>
  <c r="A342" i="16"/>
  <c r="A343" i="16"/>
  <c r="A344" i="16"/>
  <c r="A345" i="16"/>
  <c r="A346" i="16"/>
  <c r="A347" i="16"/>
  <c r="A348" i="16"/>
  <c r="A349" i="16"/>
  <c r="A350" i="16"/>
  <c r="A351" i="16"/>
  <c r="A352" i="16"/>
  <c r="A353" i="16"/>
  <c r="A354" i="16"/>
  <c r="A355" i="16"/>
  <c r="A356" i="16"/>
  <c r="A357" i="16"/>
  <c r="A358" i="16"/>
  <c r="A359" i="16"/>
  <c r="A360" i="16"/>
  <c r="A361" i="16"/>
  <c r="A362" i="16"/>
  <c r="A363" i="16"/>
  <c r="A364" i="16"/>
  <c r="A365" i="16"/>
  <c r="A366" i="16"/>
  <c r="A367" i="16"/>
  <c r="A368" i="16"/>
  <c r="A369" i="16"/>
  <c r="A370" i="16"/>
  <c r="A371" i="16"/>
  <c r="A372" i="16"/>
  <c r="A373" i="16"/>
  <c r="A374" i="16"/>
  <c r="A375" i="16"/>
  <c r="A376" i="16"/>
  <c r="A377" i="16"/>
  <c r="A378" i="16"/>
  <c r="A379" i="16"/>
  <c r="A380" i="16"/>
  <c r="A381" i="16"/>
  <c r="A382" i="16"/>
  <c r="A383" i="16"/>
  <c r="A384" i="16"/>
  <c r="A385" i="16"/>
  <c r="A386" i="16"/>
  <c r="A387" i="16"/>
  <c r="A388" i="16"/>
  <c r="A389" i="16"/>
  <c r="A390" i="16"/>
  <c r="A391" i="16"/>
  <c r="A392" i="16"/>
  <c r="A393" i="16"/>
  <c r="A394" i="16"/>
  <c r="A395" i="16"/>
  <c r="A396" i="16"/>
  <c r="A397" i="16"/>
  <c r="A398" i="16"/>
  <c r="A399" i="16"/>
  <c r="A400" i="16"/>
  <c r="A401" i="16"/>
  <c r="A402" i="16"/>
  <c r="A403" i="16"/>
  <c r="A404" i="16"/>
  <c r="A405" i="16"/>
  <c r="A406" i="16"/>
  <c r="A407" i="16"/>
  <c r="A408" i="16"/>
  <c r="A409" i="16"/>
  <c r="A410" i="16"/>
  <c r="A411" i="16"/>
  <c r="A412" i="16"/>
  <c r="A413" i="16"/>
  <c r="A414" i="16"/>
  <c r="A415" i="16"/>
  <c r="A416" i="16"/>
  <c r="A417" i="16"/>
  <c r="A418" i="16"/>
  <c r="A419" i="16"/>
  <c r="A420" i="16"/>
  <c r="A421" i="16"/>
  <c r="A422" i="16"/>
  <c r="A423" i="16"/>
  <c r="A424" i="16"/>
  <c r="A425" i="16"/>
  <c r="A426" i="16"/>
  <c r="A427" i="16"/>
  <c r="A428" i="16"/>
  <c r="A429" i="16"/>
  <c r="A430" i="16"/>
  <c r="A431" i="16"/>
  <c r="A432" i="16"/>
  <c r="A433" i="16"/>
  <c r="A434" i="16"/>
  <c r="A435" i="16"/>
  <c r="A436" i="16"/>
  <c r="A437" i="16"/>
  <c r="A438" i="16"/>
  <c r="A439" i="16"/>
  <c r="A440" i="16"/>
  <c r="A441" i="16"/>
  <c r="A442" i="16"/>
  <c r="A443" i="16"/>
  <c r="A444" i="16"/>
  <c r="A445" i="16"/>
  <c r="A446" i="16"/>
  <c r="A447" i="16"/>
  <c r="A448" i="16"/>
  <c r="A449" i="16"/>
  <c r="A450" i="16"/>
  <c r="A451" i="16"/>
  <c r="A452" i="16"/>
  <c r="A453" i="16"/>
  <c r="A454" i="16"/>
  <c r="A455" i="16"/>
  <c r="A456" i="16"/>
  <c r="A457" i="16"/>
  <c r="A458" i="16"/>
  <c r="A459" i="16"/>
  <c r="A460" i="16"/>
  <c r="A461" i="16"/>
  <c r="A462" i="16"/>
  <c r="A463" i="16"/>
  <c r="A464" i="16"/>
  <c r="A465" i="16"/>
  <c r="A466" i="16"/>
  <c r="A467" i="16"/>
  <c r="A468" i="16"/>
  <c r="A469" i="16"/>
  <c r="A470" i="16"/>
  <c r="A471" i="16"/>
  <c r="A472" i="16"/>
  <c r="A473" i="16"/>
  <c r="A474" i="16"/>
  <c r="A475" i="16"/>
  <c r="A476" i="16"/>
  <c r="A477" i="16"/>
  <c r="A478" i="16"/>
  <c r="A479" i="16"/>
  <c r="A480" i="16"/>
  <c r="A481" i="16"/>
  <c r="A482" i="16"/>
  <c r="A483" i="16"/>
  <c r="A484" i="16"/>
  <c r="A485" i="16"/>
  <c r="A486" i="16"/>
  <c r="A487" i="16"/>
  <c r="A488" i="16"/>
  <c r="A489" i="16"/>
  <c r="A490" i="16"/>
  <c r="A491" i="16"/>
  <c r="A492" i="16"/>
  <c r="A493" i="16"/>
  <c r="A494" i="16"/>
  <c r="A495" i="16"/>
  <c r="A496" i="16"/>
  <c r="A497" i="16"/>
  <c r="A498" i="16"/>
  <c r="A499" i="16"/>
  <c r="A500" i="16"/>
  <c r="A501" i="16"/>
  <c r="A502" i="16"/>
  <c r="A503" i="16"/>
  <c r="A504" i="16"/>
  <c r="A505" i="16"/>
  <c r="A506" i="16"/>
  <c r="A507" i="16"/>
  <c r="A508" i="16"/>
  <c r="A509" i="16"/>
  <c r="A510" i="16"/>
  <c r="A511" i="16"/>
  <c r="A512" i="16"/>
  <c r="A513" i="16"/>
  <c r="A514" i="16"/>
  <c r="A515" i="16"/>
  <c r="A516" i="16"/>
  <c r="A517" i="16"/>
  <c r="A518" i="16"/>
  <c r="A519" i="16"/>
  <c r="A520" i="16"/>
  <c r="A521" i="16"/>
  <c r="A522" i="16"/>
  <c r="A523" i="16"/>
  <c r="A524" i="16"/>
  <c r="A525" i="16"/>
  <c r="A526" i="16"/>
  <c r="A527" i="16"/>
  <c r="A528" i="16"/>
  <c r="A529" i="16"/>
  <c r="A530" i="16"/>
  <c r="A531" i="16"/>
  <c r="A532" i="16"/>
  <c r="A533" i="16"/>
  <c r="A534" i="16"/>
  <c r="A535" i="16"/>
  <c r="A536" i="16"/>
  <c r="A537" i="16"/>
  <c r="A538" i="16"/>
  <c r="A539" i="16"/>
  <c r="A540" i="16"/>
  <c r="A541" i="16"/>
  <c r="A542" i="16"/>
  <c r="A543" i="16"/>
  <c r="A544" i="16"/>
  <c r="A545" i="16"/>
  <c r="A546" i="16"/>
  <c r="A547" i="16"/>
  <c r="A548" i="16"/>
  <c r="A549" i="16"/>
  <c r="A550" i="16"/>
  <c r="A551" i="16"/>
  <c r="A552" i="16"/>
  <c r="A553" i="16"/>
  <c r="A554" i="16"/>
  <c r="A555" i="16"/>
  <c r="A556" i="16"/>
  <c r="A557" i="16"/>
  <c r="A558" i="16"/>
  <c r="A559" i="16"/>
  <c r="A560" i="16"/>
  <c r="A561" i="16"/>
  <c r="A562" i="16"/>
  <c r="A563" i="16"/>
  <c r="A564" i="16"/>
  <c r="A565" i="16"/>
  <c r="A566" i="16"/>
  <c r="A567" i="16"/>
  <c r="A568" i="16"/>
  <c r="A569" i="16"/>
  <c r="A570" i="16"/>
  <c r="A571" i="16"/>
  <c r="A572" i="16"/>
  <c r="A573" i="16"/>
  <c r="A574" i="16"/>
  <c r="A575" i="16"/>
  <c r="A576" i="16"/>
  <c r="A577" i="16"/>
  <c r="A578" i="16"/>
  <c r="A579" i="16"/>
  <c r="A580" i="16"/>
  <c r="A581" i="16"/>
  <c r="A582" i="16"/>
  <c r="A583" i="16"/>
  <c r="A584" i="16"/>
  <c r="A585" i="16"/>
  <c r="A586" i="16"/>
  <c r="A587" i="16"/>
  <c r="A588" i="16"/>
  <c r="A589" i="16"/>
  <c r="A590" i="16"/>
  <c r="A591" i="16"/>
  <c r="A592" i="16"/>
  <c r="A593" i="16"/>
  <c r="A594" i="16"/>
  <c r="A595" i="16"/>
  <c r="A596" i="16"/>
  <c r="A597" i="16"/>
  <c r="A598" i="16"/>
  <c r="A599" i="16"/>
  <c r="A600" i="16"/>
  <c r="A601" i="16"/>
  <c r="A602" i="16"/>
  <c r="A603" i="16"/>
  <c r="A604" i="16"/>
  <c r="A605" i="16"/>
  <c r="A606" i="16"/>
  <c r="A607" i="16"/>
  <c r="A608" i="16"/>
  <c r="A609" i="16"/>
  <c r="A610" i="16"/>
  <c r="A611" i="16"/>
  <c r="A612" i="16"/>
  <c r="A613" i="16"/>
  <c r="A614" i="16"/>
  <c r="A615" i="16"/>
  <c r="A616" i="16"/>
  <c r="A617" i="16"/>
  <c r="A618" i="16"/>
  <c r="A619" i="16"/>
  <c r="A620" i="16"/>
  <c r="A621" i="16"/>
  <c r="A622" i="16"/>
  <c r="A623" i="16"/>
  <c r="A624" i="16"/>
  <c r="A625" i="16"/>
  <c r="A626" i="16"/>
  <c r="A627" i="16"/>
  <c r="A628" i="16"/>
  <c r="A629" i="16"/>
  <c r="A630" i="16"/>
  <c r="A631" i="16"/>
  <c r="A632" i="16"/>
  <c r="A633" i="16"/>
  <c r="A634" i="16"/>
  <c r="A635" i="16"/>
  <c r="A636" i="16"/>
  <c r="A637" i="16"/>
  <c r="A638" i="16"/>
  <c r="A639" i="16"/>
  <c r="A640" i="16"/>
  <c r="A641" i="16"/>
  <c r="A642" i="16"/>
  <c r="A643" i="16"/>
  <c r="A644" i="16"/>
  <c r="A645" i="16"/>
  <c r="A646" i="16"/>
  <c r="A647" i="16"/>
  <c r="A648" i="16"/>
  <c r="A649" i="16"/>
  <c r="A650" i="16"/>
  <c r="A651" i="16"/>
  <c r="A652" i="16"/>
  <c r="A653" i="16"/>
  <c r="A654" i="16"/>
  <c r="A655" i="16"/>
  <c r="A656" i="16"/>
  <c r="A657" i="16"/>
  <c r="A658" i="16"/>
  <c r="A659" i="16"/>
  <c r="A660" i="16"/>
  <c r="A661" i="16"/>
  <c r="A662" i="16"/>
  <c r="A663" i="16"/>
  <c r="A664" i="16"/>
  <c r="A665" i="16"/>
  <c r="A666" i="16"/>
  <c r="A667" i="16"/>
  <c r="A668" i="16"/>
  <c r="A669" i="16"/>
  <c r="A670" i="16"/>
  <c r="A671" i="16"/>
  <c r="A672" i="16"/>
  <c r="A673" i="16"/>
  <c r="A674" i="16"/>
  <c r="A675" i="16"/>
  <c r="A676" i="16"/>
  <c r="A677" i="16"/>
  <c r="A678" i="16"/>
  <c r="A679" i="16"/>
  <c r="A680" i="16"/>
  <c r="A681" i="16"/>
  <c r="A682" i="16"/>
  <c r="A683" i="16"/>
  <c r="A684" i="16"/>
  <c r="A685" i="16"/>
  <c r="A686" i="16"/>
  <c r="A687" i="16"/>
  <c r="A688" i="16"/>
  <c r="A689" i="16"/>
  <c r="A690" i="16"/>
  <c r="A691" i="16"/>
  <c r="A692" i="16"/>
  <c r="A693" i="16"/>
  <c r="A694" i="16"/>
  <c r="A695" i="16"/>
  <c r="A696" i="16"/>
  <c r="A697" i="16"/>
  <c r="A698" i="16"/>
  <c r="A699" i="16"/>
  <c r="A700" i="16"/>
  <c r="A701" i="16"/>
  <c r="A702" i="16"/>
  <c r="A703" i="16"/>
  <c r="A704" i="16"/>
  <c r="A705" i="16"/>
  <c r="A706" i="16"/>
  <c r="A707" i="16"/>
  <c r="A708" i="16"/>
  <c r="A709" i="16"/>
  <c r="A710" i="16"/>
  <c r="A711" i="16"/>
  <c r="A712" i="16"/>
  <c r="A713" i="16"/>
  <c r="A714" i="16"/>
  <c r="A715" i="16"/>
  <c r="A716" i="16"/>
  <c r="A717" i="16"/>
  <c r="A718" i="16"/>
  <c r="A719" i="16"/>
  <c r="A720" i="16"/>
  <c r="A721" i="16"/>
  <c r="A722" i="16"/>
  <c r="A723" i="16"/>
  <c r="A724" i="16"/>
  <c r="A725" i="16"/>
  <c r="A726" i="16"/>
  <c r="A727" i="16"/>
  <c r="A728" i="16"/>
  <c r="A729" i="16"/>
  <c r="A730" i="16"/>
  <c r="A731" i="16"/>
  <c r="A732" i="16"/>
  <c r="A733" i="16"/>
  <c r="A734" i="16"/>
  <c r="A735" i="16"/>
  <c r="A736" i="16"/>
  <c r="A737" i="16"/>
  <c r="A738" i="16"/>
  <c r="A739" i="16"/>
  <c r="A740" i="16"/>
  <c r="A741" i="16"/>
  <c r="A742" i="16"/>
  <c r="A743" i="16"/>
  <c r="A744" i="16"/>
  <c r="A745" i="16"/>
  <c r="A746" i="16"/>
  <c r="A747" i="16"/>
  <c r="A748" i="16"/>
  <c r="A749" i="16"/>
  <c r="A750" i="16"/>
  <c r="A751" i="16"/>
  <c r="A752" i="16"/>
  <c r="A753" i="16"/>
  <c r="A754" i="16"/>
  <c r="A755" i="16"/>
  <c r="A756" i="16"/>
  <c r="A757" i="16"/>
  <c r="A758" i="16"/>
  <c r="A759" i="16"/>
  <c r="A760" i="16"/>
  <c r="A761" i="16"/>
  <c r="A762" i="16"/>
  <c r="A763" i="16"/>
  <c r="A764" i="16"/>
  <c r="A765" i="16"/>
  <c r="A766" i="16"/>
  <c r="A767" i="16"/>
  <c r="A768" i="16"/>
  <c r="A769" i="16"/>
  <c r="A770" i="16"/>
  <c r="A771" i="16"/>
  <c r="A772" i="16"/>
  <c r="A773" i="16"/>
  <c r="A774" i="16"/>
  <c r="A775" i="16"/>
  <c r="A776" i="16"/>
  <c r="A777" i="16"/>
  <c r="A778" i="16"/>
  <c r="A779" i="16"/>
  <c r="A780" i="16"/>
  <c r="A781" i="16"/>
  <c r="A782" i="16"/>
  <c r="A783" i="16"/>
  <c r="A784" i="16"/>
  <c r="A785" i="16"/>
  <c r="A786" i="16"/>
  <c r="A787" i="16"/>
  <c r="A788" i="16"/>
  <c r="A789" i="16"/>
  <c r="A790" i="16"/>
  <c r="A791" i="16"/>
  <c r="A792" i="16"/>
  <c r="A793" i="16"/>
  <c r="A794" i="16"/>
  <c r="A795" i="16"/>
  <c r="A796" i="16"/>
  <c r="A797" i="16"/>
  <c r="A798" i="16"/>
  <c r="A799" i="16"/>
  <c r="A800" i="16"/>
  <c r="A801" i="16"/>
  <c r="A802" i="16"/>
  <c r="A803" i="16"/>
  <c r="A804" i="16"/>
  <c r="A805" i="16"/>
  <c r="A806" i="16"/>
  <c r="A807" i="16"/>
  <c r="A808" i="16"/>
  <c r="A809" i="16"/>
  <c r="A810" i="16"/>
  <c r="A811" i="16"/>
  <c r="A812" i="16"/>
  <c r="A813" i="16"/>
  <c r="A814" i="16"/>
  <c r="A815" i="16"/>
  <c r="A816" i="16"/>
  <c r="A817" i="16"/>
  <c r="A818" i="16"/>
  <c r="A819" i="16"/>
  <c r="A820" i="16"/>
  <c r="A821" i="16"/>
  <c r="A822" i="16"/>
  <c r="A823" i="16"/>
  <c r="A824" i="16"/>
  <c r="A825" i="16"/>
  <c r="A826" i="16"/>
  <c r="A827" i="16"/>
  <c r="A828" i="16"/>
  <c r="A829" i="16"/>
  <c r="A830" i="16"/>
  <c r="A831" i="16"/>
  <c r="A832" i="16"/>
  <c r="A833" i="16"/>
  <c r="A834" i="16"/>
  <c r="A835" i="16"/>
  <c r="A836" i="16"/>
  <c r="A837" i="16"/>
  <c r="A838" i="16"/>
  <c r="A839" i="16"/>
  <c r="A840" i="16"/>
  <c r="A841" i="16"/>
  <c r="A842" i="16"/>
  <c r="A843" i="16"/>
  <c r="A844" i="16"/>
  <c r="A845" i="16"/>
  <c r="A846" i="16"/>
  <c r="A847" i="16"/>
  <c r="A848" i="16"/>
  <c r="A849" i="16"/>
  <c r="A850" i="16"/>
  <c r="A851" i="16"/>
  <c r="A852" i="16"/>
  <c r="A853" i="16"/>
  <c r="A854" i="16"/>
  <c r="A855" i="16"/>
  <c r="A856" i="16"/>
  <c r="A857" i="16"/>
  <c r="A858" i="16"/>
  <c r="A859" i="16"/>
  <c r="A860" i="16"/>
  <c r="A861" i="16"/>
  <c r="A862" i="16"/>
  <c r="A863" i="16"/>
  <c r="A864" i="16"/>
  <c r="A865" i="16"/>
  <c r="A866" i="16"/>
  <c r="A867" i="16"/>
  <c r="A868" i="16"/>
  <c r="A869" i="16"/>
  <c r="A870" i="16"/>
  <c r="A871" i="16"/>
  <c r="A872" i="16"/>
  <c r="A873" i="16"/>
  <c r="A874" i="16"/>
  <c r="A875" i="16"/>
  <c r="A876" i="16"/>
  <c r="A877" i="16"/>
  <c r="A878" i="16"/>
  <c r="A879" i="16"/>
  <c r="A880" i="16"/>
  <c r="A881" i="16"/>
  <c r="A882" i="16"/>
  <c r="A883" i="16"/>
  <c r="A884" i="16"/>
  <c r="A885" i="16"/>
  <c r="A886" i="16"/>
  <c r="A887" i="16"/>
  <c r="A888" i="16"/>
  <c r="A889" i="16"/>
  <c r="A890" i="16"/>
  <c r="A891" i="16"/>
  <c r="A892" i="16"/>
  <c r="A893" i="16"/>
  <c r="A894" i="16"/>
  <c r="A895" i="16"/>
  <c r="A896" i="16"/>
  <c r="A897" i="16"/>
  <c r="A898" i="16"/>
  <c r="A899" i="16"/>
  <c r="A900" i="16"/>
  <c r="A901" i="16"/>
  <c r="A902" i="16"/>
  <c r="A903" i="16"/>
  <c r="A904" i="16"/>
  <c r="A905" i="16"/>
  <c r="A906" i="16"/>
  <c r="A907" i="16"/>
  <c r="A908" i="16"/>
  <c r="A909" i="16"/>
  <c r="A910" i="16"/>
  <c r="A911" i="16"/>
  <c r="A912" i="16"/>
  <c r="A913" i="16"/>
  <c r="A914" i="16"/>
  <c r="A915" i="16"/>
  <c r="A916" i="16"/>
  <c r="A917" i="16"/>
  <c r="A918" i="16"/>
  <c r="A919" i="16"/>
  <c r="A920" i="16"/>
  <c r="A921" i="16"/>
  <c r="A922" i="16"/>
  <c r="A923" i="16"/>
  <c r="A924" i="16"/>
  <c r="A925" i="16"/>
  <c r="A926" i="16"/>
  <c r="A927" i="16"/>
  <c r="A928" i="16"/>
  <c r="A929" i="16"/>
  <c r="A930" i="16"/>
  <c r="A931" i="16"/>
  <c r="A932" i="16"/>
  <c r="A933" i="16"/>
  <c r="A934" i="16"/>
  <c r="A935" i="16"/>
  <c r="A936" i="16"/>
  <c r="A937" i="16"/>
  <c r="A938" i="16"/>
  <c r="A939" i="16"/>
  <c r="A940" i="16"/>
  <c r="A941" i="16"/>
  <c r="A942" i="16"/>
  <c r="A943" i="16"/>
  <c r="A944" i="16"/>
  <c r="A945" i="16"/>
  <c r="A946" i="16"/>
  <c r="A947" i="16"/>
  <c r="A948" i="16"/>
  <c r="A949" i="16"/>
  <c r="A950" i="16"/>
  <c r="A951" i="16"/>
  <c r="A952" i="16"/>
  <c r="A953" i="16"/>
  <c r="A954" i="16"/>
  <c r="A955" i="16"/>
  <c r="A956" i="16"/>
  <c r="A957" i="16"/>
  <c r="A958" i="16"/>
  <c r="A959" i="16"/>
  <c r="A960" i="16"/>
  <c r="A961" i="16"/>
  <c r="A962" i="16"/>
  <c r="A963" i="16"/>
  <c r="A964" i="16"/>
  <c r="A965" i="16"/>
  <c r="A966" i="16"/>
  <c r="A967" i="16"/>
  <c r="A968" i="16"/>
  <c r="A969" i="16"/>
  <c r="A970" i="16"/>
  <c r="A971" i="16"/>
  <c r="A972" i="16"/>
  <c r="A973" i="16"/>
  <c r="A974" i="16"/>
  <c r="A975" i="16"/>
  <c r="A976" i="16"/>
  <c r="A977" i="16"/>
  <c r="A978" i="16"/>
  <c r="A979" i="16"/>
  <c r="A980" i="16"/>
  <c r="A981" i="16"/>
  <c r="A982" i="16"/>
  <c r="A983" i="16"/>
  <c r="A984" i="16"/>
  <c r="A985" i="16"/>
  <c r="A986" i="16"/>
  <c r="A987" i="16"/>
  <c r="A988" i="16"/>
  <c r="A989" i="16"/>
  <c r="A990" i="16"/>
  <c r="A991" i="16"/>
  <c r="A992" i="16"/>
  <c r="A993" i="16"/>
  <c r="A994" i="16"/>
  <c r="A995" i="16"/>
  <c r="A996" i="16"/>
  <c r="A997" i="16"/>
  <c r="A998" i="16"/>
  <c r="A999" i="16"/>
  <c r="A1000" i="16"/>
  <c r="A1001" i="16"/>
  <c r="A1002" i="16"/>
  <c r="A1003" i="16"/>
  <c r="A1004" i="16"/>
  <c r="A1005" i="16"/>
  <c r="A1006" i="16"/>
  <c r="A1007" i="16"/>
  <c r="A1008" i="16"/>
  <c r="A1009" i="16"/>
  <c r="A1010" i="16"/>
  <c r="A1011" i="16"/>
  <c r="A1012" i="16"/>
  <c r="A1013" i="16"/>
  <c r="A1014" i="16"/>
  <c r="A1015" i="16"/>
  <c r="A1016" i="16"/>
  <c r="A1017" i="16"/>
  <c r="A1018" i="16"/>
  <c r="A1019" i="16"/>
  <c r="A1020" i="16"/>
  <c r="A1021" i="16"/>
  <c r="A1022" i="16"/>
  <c r="A1023" i="16"/>
  <c r="A1024" i="16"/>
  <c r="A1025" i="16"/>
  <c r="A1026" i="16"/>
  <c r="A1027" i="16"/>
  <c r="A1028" i="16"/>
  <c r="A1029" i="16"/>
  <c r="A1030" i="16"/>
  <c r="A1031" i="16"/>
  <c r="A1032" i="16"/>
  <c r="A1033" i="16"/>
  <c r="A1034" i="16"/>
  <c r="A1035" i="16"/>
  <c r="A1036" i="16"/>
  <c r="A1037" i="16"/>
  <c r="A1038" i="16"/>
  <c r="A1039" i="16"/>
  <c r="A1040" i="16"/>
  <c r="A1041" i="16"/>
  <c r="A1042" i="16"/>
  <c r="A1043" i="16"/>
  <c r="A1044" i="16"/>
  <c r="A1045" i="16"/>
  <c r="A1046" i="16"/>
  <c r="A1047" i="16"/>
  <c r="A1048" i="16"/>
  <c r="A1049" i="16"/>
  <c r="A1050" i="16"/>
  <c r="A1051" i="16"/>
  <c r="A1052" i="16"/>
  <c r="A1053" i="16"/>
  <c r="A1054" i="16"/>
  <c r="A1055" i="16"/>
  <c r="A1056" i="16"/>
  <c r="A1057" i="16"/>
  <c r="A1058" i="16"/>
  <c r="A1059" i="16"/>
  <c r="A1060" i="16"/>
  <c r="A1061" i="16"/>
  <c r="A1062" i="16"/>
  <c r="A1063" i="16"/>
  <c r="A1064" i="16"/>
  <c r="A1065" i="16"/>
  <c r="A1066" i="16"/>
  <c r="A1067" i="16"/>
  <c r="A1068" i="16"/>
  <c r="A1069" i="16"/>
  <c r="A1070" i="16"/>
  <c r="A1071" i="16"/>
  <c r="A1072" i="16"/>
  <c r="A1073" i="16"/>
  <c r="A1074" i="16"/>
  <c r="A1075" i="16"/>
  <c r="A1076" i="16"/>
  <c r="A1077" i="16"/>
  <c r="A1078" i="16"/>
  <c r="A1079" i="16"/>
  <c r="A1080" i="16"/>
  <c r="A1081" i="16"/>
  <c r="A1082" i="16"/>
  <c r="A1083" i="16"/>
  <c r="A1084" i="16"/>
  <c r="A1085" i="16"/>
  <c r="A1086" i="16"/>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E27" i="6" l="1"/>
  <c r="D27" i="6"/>
  <c r="E26" i="6"/>
  <c r="D26" i="6"/>
  <c r="F26" i="6" s="1"/>
  <c r="F27" i="6" l="1"/>
  <c r="G26" i="6"/>
  <c r="G27" i="6"/>
  <c r="C27" i="6"/>
  <c r="C26" i="6"/>
  <c r="N9" i="6"/>
  <c r="N8" i="6"/>
  <c r="D9" i="6" l="1"/>
  <c r="D8" i="6"/>
  <c r="Q9" i="6"/>
  <c r="R9" i="6"/>
  <c r="R8" i="6"/>
  <c r="Q8" i="6"/>
  <c r="M9" i="6"/>
  <c r="O9" i="6" s="1"/>
  <c r="M8" i="6"/>
  <c r="O8" i="6" s="1"/>
  <c r="E9" i="6"/>
  <c r="F9" i="6"/>
  <c r="G9" i="6"/>
  <c r="H9" i="6"/>
  <c r="H8" i="6"/>
  <c r="G8" i="6"/>
  <c r="F8" i="6"/>
  <c r="E8" i="6"/>
  <c r="E37" i="9"/>
  <c r="E36" i="9"/>
  <c r="E35" i="9"/>
  <c r="E34" i="9"/>
  <c r="E33" i="9"/>
  <c r="E32" i="9"/>
  <c r="E31" i="9"/>
  <c r="E30" i="9"/>
  <c r="D37" i="9"/>
  <c r="F37" i="9" s="1"/>
  <c r="D36" i="9"/>
  <c r="F36" i="9" s="1"/>
  <c r="D35" i="9"/>
  <c r="F35" i="9" s="1"/>
  <c r="D34" i="9"/>
  <c r="F34" i="9" s="1"/>
  <c r="D33" i="9"/>
  <c r="F33" i="9" s="1"/>
  <c r="D32" i="9"/>
  <c r="F32" i="9" s="1"/>
  <c r="D31" i="9"/>
  <c r="F31" i="9" s="1"/>
  <c r="D30" i="9"/>
  <c r="F30" i="9" s="1"/>
  <c r="E26" i="9"/>
  <c r="E25" i="9"/>
  <c r="E24" i="9"/>
  <c r="E23" i="9"/>
  <c r="E22" i="9"/>
  <c r="E21" i="9"/>
  <c r="E20" i="9"/>
  <c r="E19" i="9"/>
  <c r="D26" i="9"/>
  <c r="F26" i="9" s="1"/>
  <c r="D25" i="9"/>
  <c r="F25" i="9" s="1"/>
  <c r="D24" i="9"/>
  <c r="F24" i="9" s="1"/>
  <c r="D23" i="9"/>
  <c r="F23" i="9" s="1"/>
  <c r="D22" i="9"/>
  <c r="F22" i="9" s="1"/>
  <c r="D21" i="9"/>
  <c r="F21" i="9" s="1"/>
  <c r="D20" i="9"/>
  <c r="F20" i="9" s="1"/>
  <c r="D19" i="9"/>
  <c r="F19" i="9" s="1"/>
  <c r="E15" i="9"/>
  <c r="E14" i="9"/>
  <c r="E13" i="9"/>
  <c r="E12" i="9"/>
  <c r="E11" i="9"/>
  <c r="E10" i="9"/>
  <c r="E9" i="9"/>
  <c r="E8" i="9"/>
  <c r="D15" i="9"/>
  <c r="F15" i="9" s="1"/>
  <c r="D14" i="9"/>
  <c r="F14" i="9" s="1"/>
  <c r="D13" i="9"/>
  <c r="F13" i="9" s="1"/>
  <c r="D12" i="9"/>
  <c r="F12" i="9" s="1"/>
  <c r="D11" i="9"/>
  <c r="F11" i="9" s="1"/>
  <c r="D10" i="9"/>
  <c r="F10" i="9" s="1"/>
  <c r="D9" i="9"/>
  <c r="F9" i="9" s="1"/>
  <c r="D8" i="9"/>
  <c r="F8" i="9" s="1"/>
  <c r="D8" i="10"/>
  <c r="F8" i="10" s="1"/>
  <c r="E8" i="10"/>
  <c r="E7" i="10"/>
  <c r="G7" i="10" s="1"/>
  <c r="D7" i="10"/>
  <c r="C8" i="10"/>
  <c r="C7" i="10"/>
  <c r="E29" i="9"/>
  <c r="D29" i="9"/>
  <c r="E18" i="9"/>
  <c r="D18" i="9"/>
  <c r="E7" i="9"/>
  <c r="D7" i="9"/>
  <c r="C9" i="5"/>
  <c r="C36" i="9" s="1"/>
  <c r="C8" i="5"/>
  <c r="C25" i="9" s="1"/>
  <c r="C9" i="6"/>
  <c r="C8" i="6"/>
  <c r="F7" i="10" l="1"/>
  <c r="G8" i="10"/>
  <c r="F7" i="9"/>
  <c r="F29" i="9"/>
  <c r="G18" i="9"/>
  <c r="G8" i="9"/>
  <c r="G12" i="9"/>
  <c r="G19" i="9"/>
  <c r="G23" i="9"/>
  <c r="G30" i="9"/>
  <c r="G34" i="9"/>
  <c r="G7" i="9"/>
  <c r="G29" i="9"/>
  <c r="G9" i="9"/>
  <c r="G13" i="9"/>
  <c r="G20" i="9"/>
  <c r="G24" i="9"/>
  <c r="G31" i="9"/>
  <c r="G35" i="9"/>
  <c r="F18" i="9"/>
  <c r="G10" i="9"/>
  <c r="G14" i="9"/>
  <c r="G21" i="9"/>
  <c r="G25" i="9"/>
  <c r="G32" i="9"/>
  <c r="G36" i="9"/>
  <c r="G11" i="9"/>
  <c r="G15" i="9"/>
  <c r="G22" i="9"/>
  <c r="G26" i="9"/>
  <c r="G33" i="9"/>
  <c r="G37" i="9"/>
  <c r="T9" i="6"/>
  <c r="T8" i="6"/>
  <c r="L8" i="6"/>
  <c r="I9" i="6"/>
  <c r="K8" i="6"/>
  <c r="J9" i="6"/>
  <c r="S8" i="6"/>
  <c r="I8" i="6"/>
  <c r="L9" i="6"/>
  <c r="P9" i="6"/>
  <c r="J8" i="6"/>
  <c r="K9" i="6"/>
  <c r="S9" i="6"/>
  <c r="P8" i="6"/>
  <c r="F7" i="6"/>
  <c r="R7" i="6"/>
  <c r="Q7" i="6"/>
  <c r="E25" i="6"/>
  <c r="D25" i="6"/>
  <c r="C25" i="6"/>
  <c r="N7" i="6"/>
  <c r="M7" i="6"/>
  <c r="H7" i="6"/>
  <c r="G7" i="6"/>
  <c r="E7" i="6"/>
  <c r="C29" i="9"/>
  <c r="C33" i="9"/>
  <c r="C37" i="9"/>
  <c r="C30" i="9"/>
  <c r="C34" i="9"/>
  <c r="C31" i="9"/>
  <c r="C35" i="9"/>
  <c r="C32" i="9"/>
  <c r="C22" i="9"/>
  <c r="C23" i="9"/>
  <c r="C24" i="9"/>
  <c r="C18" i="9"/>
  <c r="C26" i="9"/>
  <c r="C19" i="9"/>
  <c r="C20" i="9"/>
  <c r="C21" i="9"/>
  <c r="E6" i="10"/>
  <c r="D6" i="10"/>
  <c r="F6" i="10" s="1"/>
  <c r="C6" i="10"/>
  <c r="M8" i="5"/>
  <c r="M9" i="5"/>
  <c r="L9" i="5"/>
  <c r="L8" i="5"/>
  <c r="D9" i="5"/>
  <c r="E9" i="5"/>
  <c r="F9" i="5"/>
  <c r="G9" i="5"/>
  <c r="G8" i="5"/>
  <c r="F8" i="5"/>
  <c r="E8" i="5"/>
  <c r="D8" i="5"/>
  <c r="K7" i="6" l="1"/>
  <c r="O7" i="6"/>
  <c r="K9" i="5"/>
  <c r="N8" i="5"/>
  <c r="J8" i="5"/>
  <c r="O9" i="5"/>
  <c r="H8" i="5"/>
  <c r="I8" i="5"/>
  <c r="J9" i="5"/>
  <c r="N9" i="5"/>
  <c r="I9" i="5"/>
  <c r="G6" i="10"/>
  <c r="K8" i="5"/>
  <c r="H9" i="5"/>
  <c r="O8" i="5"/>
  <c r="T7" i="6"/>
  <c r="P7" i="6"/>
  <c r="F25" i="6"/>
  <c r="L7" i="6"/>
  <c r="J7" i="6"/>
  <c r="G25" i="6"/>
  <c r="I7" i="6"/>
  <c r="S7" i="6"/>
  <c r="L7" i="5"/>
  <c r="M7" i="5"/>
  <c r="E7" i="5"/>
  <c r="F7" i="5"/>
  <c r="G7" i="5"/>
  <c r="D7" i="5"/>
  <c r="C7" i="5"/>
  <c r="I7" i="5" l="1"/>
  <c r="N7" i="5"/>
  <c r="H7" i="5"/>
  <c r="O7" i="5"/>
  <c r="K7" i="5"/>
  <c r="J7" i="5"/>
  <c r="C15" i="9"/>
  <c r="C11" i="9"/>
  <c r="C7" i="9"/>
  <c r="C14" i="9"/>
  <c r="C10" i="9"/>
  <c r="C13" i="9"/>
  <c r="C9" i="9"/>
  <c r="C12" i="9"/>
  <c r="C8" i="9"/>
  <c r="B2" i="6" l="1"/>
  <c r="B20" i="6" s="1"/>
  <c r="A2" i="16" l="1"/>
  <c r="B2" i="9" l="1"/>
  <c r="A2" i="15"/>
  <c r="B2" i="10"/>
  <c r="B2" i="5"/>
  <c r="A2" i="13"/>
  <c r="D7" i="6" l="1"/>
  <c r="C7" i="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lu7sql1_ssdb REPORT vw_IE_External_MI_InYear" type="5" refreshedVersion="6" deleted="1" background="1" saveData="1">
    <dbPr connection="" command="" commandType="3"/>
  </connection>
  <connection id="2" xr16:uid="{00000000-0015-0000-FFFF-FFFF01000000}" keepAlive="1" name="clu7sql1_ssdb REPORT vw_IE_External_MI_InYear_Monitoring_Only" type="5" refreshedVersion="6" deleted="1" background="1" saveData="1">
    <dbPr connection="" command="" commandType="3"/>
  </connection>
  <connection id="3" xr16:uid="{00000000-0015-0000-FFFF-FFFF02000000}" keepAlive="1" name="clu7sql1_ssdb REPORT vw_IE_External_MI_SON" type="5" refreshedVersion="6" deleted="1" background="1" saveData="1">
    <dbPr connection="" command="" commandType="3"/>
  </connection>
</connections>
</file>

<file path=xl/sharedStrings.xml><?xml version="1.0" encoding="utf-8"?>
<sst xmlns="http://schemas.openxmlformats.org/spreadsheetml/2006/main" count="103584" uniqueCount="3007">
  <si>
    <t>Management information</t>
  </si>
  <si>
    <t>Policy area:</t>
  </si>
  <si>
    <t>Theme:</t>
  </si>
  <si>
    <t>Education, children's services and skills</t>
  </si>
  <si>
    <t>Published on:</t>
  </si>
  <si>
    <t>Coverage:</t>
  </si>
  <si>
    <t>England</t>
  </si>
  <si>
    <t>Status:</t>
  </si>
  <si>
    <t>Management Information</t>
  </si>
  <si>
    <t>Statistician:</t>
  </si>
  <si>
    <t>Public enquiries:</t>
  </si>
  <si>
    <t>enquiries@ofsted.gov.uk</t>
  </si>
  <si>
    <t>Press enquiries:</t>
  </si>
  <si>
    <t>pressenquiries@ofsted.gov.uk</t>
  </si>
  <si>
    <t>Link to official statistics release web page:</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</si>
  <si>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</si>
  <si>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</si>
  <si>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</si>
  <si>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</si>
  <si>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</si>
  <si>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</si>
  <si>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</si>
  <si>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Non-association independent schools inspections and outcomes</t>
  </si>
  <si>
    <t>Anita Patel</t>
  </si>
  <si>
    <t>https://www.gov.uk/government/collections/independent-schools-inspections-and-outcomes</t>
  </si>
  <si>
    <t>Period covered:
In-year inspection outcomes</t>
  </si>
  <si>
    <t>Period covered:
Most recent inspection outcomes</t>
  </si>
  <si>
    <t>Overall effectiveness</t>
  </si>
  <si>
    <t>Number</t>
  </si>
  <si>
    <t>Percentage</t>
  </si>
  <si>
    <t>Outstanding</t>
  </si>
  <si>
    <t>Requires improvement</t>
  </si>
  <si>
    <t>Inadequate</t>
  </si>
  <si>
    <t>Total number of inspections</t>
  </si>
  <si>
    <t>Good</t>
  </si>
  <si>
    <t>All non-association independent schools</t>
  </si>
  <si>
    <t>Other Independent School</t>
  </si>
  <si>
    <t>Other Independent Special School</t>
  </si>
  <si>
    <t>Report</t>
  </si>
  <si>
    <t>URN</t>
  </si>
  <si>
    <t>LAESTAB</t>
  </si>
  <si>
    <t>Ofsted region</t>
  </si>
  <si>
    <t>Region</t>
  </si>
  <si>
    <t>Local authority</t>
  </si>
  <si>
    <t>Postcode</t>
  </si>
  <si>
    <t>Inspection number</t>
  </si>
  <si>
    <t>First day of inspection</t>
  </si>
  <si>
    <t>Last day of inspection</t>
  </si>
  <si>
    <t>Publication date</t>
  </si>
  <si>
    <t>Inspection type</t>
  </si>
  <si>
    <t>Effectiveness of leadership and management</t>
  </si>
  <si>
    <t>Personal development, behaviour and welfare</t>
  </si>
  <si>
    <t>Quality of teaching</t>
  </si>
  <si>
    <t>Outcomes for pupils</t>
  </si>
  <si>
    <t>Early years provision</t>
  </si>
  <si>
    <t>Sixth form provision</t>
  </si>
  <si>
    <t>Safeguarding</t>
  </si>
  <si>
    <t>Met</t>
  </si>
  <si>
    <t>Not met</t>
  </si>
  <si>
    <t>Total number inspected</t>
  </si>
  <si>
    <t>Source: Ofsted inspections</t>
  </si>
  <si>
    <t>1. The total number of inspections includes integrated inspections.</t>
  </si>
  <si>
    <t>Religious character</t>
  </si>
  <si>
    <t>Religious ethos</t>
  </si>
  <si>
    <t>Special needs</t>
  </si>
  <si>
    <t>Inspectorate</t>
  </si>
  <si>
    <t>Dataset 1: Inspection outcomes and standards for non-association independent schools</t>
  </si>
  <si>
    <t>RI and inadequate non-association independent schools subject to one or more progress monitoring inspections</t>
  </si>
  <si>
    <t>Other independent school</t>
  </si>
  <si>
    <t>Other independent special school</t>
  </si>
  <si>
    <t>1. Quality of education provided</t>
  </si>
  <si>
    <t>2. Spiritual, moral, social and cultural development of pupils</t>
  </si>
  <si>
    <t>3. Welfare, health and safety of pupils</t>
  </si>
  <si>
    <t>4. Suitability of staff, supply staff, and proprietors</t>
  </si>
  <si>
    <t>5. Premises of and accommodation at schools</t>
  </si>
  <si>
    <t>6. Provision of information</t>
  </si>
  <si>
    <t>7. Manner in which complaints are handled</t>
  </si>
  <si>
    <t>8. Quality of leadership in and management of schools</t>
  </si>
  <si>
    <t>Outcome for part 1. Quality of education provided</t>
  </si>
  <si>
    <t>Outcome for part 2. Spiritual, moral, social and cultural education of pupils</t>
  </si>
  <si>
    <t>Outcome for part 3. Welfare, health and safety of pupils</t>
  </si>
  <si>
    <t>Outcome for part 4. Suitability of the proprietor, staff and supply staff</t>
  </si>
  <si>
    <t>Outcome for part 5. Premises and accommodation of schools</t>
  </si>
  <si>
    <t>Outcome for part 6. Provision of information for parents, carers and others</t>
  </si>
  <si>
    <t>Outcome for part 7. Manner in which complaints are to be handled</t>
  </si>
  <si>
    <t>Outcome for part 8. Quality of Leadership and Management</t>
  </si>
  <si>
    <t>All standards</t>
  </si>
  <si>
    <t xml:space="preserve">3. In the ‘standards’ columns, ‘met’ means that all of the standards in all eight parts of the Independent Schools Standards have been met. </t>
  </si>
  <si>
    <t>1. In the ‘All standards’ row, ‘met’ means that all of the standards in all eight parts have been met. For each part of the standards, ‘met’ means that all of the Independent Schools Standards have been met in that part.</t>
  </si>
  <si>
    <t>Tables</t>
  </si>
  <si>
    <t>https://www.gov.uk/government/publications/common-inspection-framework-education-skills-and-early-years-from-september-2015</t>
  </si>
  <si>
    <t>Description</t>
  </si>
  <si>
    <t>Contents and guidance</t>
  </si>
  <si>
    <t xml:space="preserve">Monthly management information is designed to provide an up to date picture of the most recent inspection of each non-association independent school at local authority and regional level.
These figures have not been reconciled centrally with any Official Statistics. 
</t>
  </si>
  <si>
    <t>Table 1: In-year inspections</t>
  </si>
  <si>
    <t>Table 2: In-year standards</t>
  </si>
  <si>
    <t>Table 3: In-year monitoring</t>
  </si>
  <si>
    <t>Table 4: Most recent inspections</t>
  </si>
  <si>
    <t>Dataset 1: In-year standard inspections</t>
  </si>
  <si>
    <t>Dataset 2: In-year monitoring</t>
  </si>
  <si>
    <t>Dataset 3: Most recent inspections</t>
  </si>
  <si>
    <r>
      <rPr>
        <b/>
        <sz val="12"/>
        <rFont val="Tahoma"/>
        <family val="2"/>
      </rPr>
      <t xml:space="preserve">Guidance
</t>
    </r>
    <r>
      <rPr>
        <sz val="12"/>
        <rFont val="Tahoma"/>
        <family val="2"/>
      </rPr>
      <t xml:space="preserve">
Tables allows the user to filter by Ofsted's phase of education. 
To the top left of Table 1, there is a drop down, shaded in green, where the user can filter the results by the phase of education (All, Nursery, Primary, Secondary, Special and Pupil referral units). Simply choose the phase of education you require.
The underlying dataset has been provided which can also be filtered for further analysis. This dataset includes the main judgements made on inspection, including the overall effectiveness judgements for the school, sixth form or Early years provision, as well as the overall effectiveness of the previous inspection, together with the pupil numbers, where such data are available.
</t>
    </r>
  </si>
  <si>
    <t>Type</t>
  </si>
  <si>
    <t>Field</t>
  </si>
  <si>
    <t>Data range</t>
  </si>
  <si>
    <t>Inspection information</t>
  </si>
  <si>
    <t>Link to provider on Ofsted inspection report website</t>
  </si>
  <si>
    <t>Local authority establishment number (Department for Education reference number)</t>
  </si>
  <si>
    <t>Special classes</t>
  </si>
  <si>
    <t>Flag to indicate whether provider has special educational needs classes</t>
  </si>
  <si>
    <t>Has special classes
No special classes</t>
  </si>
  <si>
    <t>152 local authorities in England</t>
  </si>
  <si>
    <t>-</t>
  </si>
  <si>
    <t xml:space="preserve"> - </t>
  </si>
  <si>
    <t>Inspection start date</t>
  </si>
  <si>
    <t>Inspection end date</t>
  </si>
  <si>
    <t>Date inspection report published</t>
  </si>
  <si>
    <t>Key judgement outcome</t>
  </si>
  <si>
    <t>1 = Outstanding 
2 = Good
3 = Requires improvement
4 = Inadequate</t>
  </si>
  <si>
    <t>Safeguarding is effective?</t>
  </si>
  <si>
    <t>Independent Schools Standards outcome</t>
  </si>
  <si>
    <t>Met
Not met
Not applicable</t>
  </si>
  <si>
    <t>Yes
No</t>
  </si>
  <si>
    <t>Yes</t>
  </si>
  <si>
    <t>No</t>
  </si>
  <si>
    <t>Independent Schools Standards</t>
  </si>
  <si>
    <t>Overall outcome of progress monitoring inspection</t>
  </si>
  <si>
    <t>Ofsted Region</t>
  </si>
  <si>
    <t>Government Office Region</t>
  </si>
  <si>
    <t>Local Authority</t>
  </si>
  <si>
    <t>Special Needs</t>
  </si>
  <si>
    <t>Inspection Grouping Name</t>
  </si>
  <si>
    <t>Overall outcome</t>
  </si>
  <si>
    <t>Safeguarding Procedure 1</t>
  </si>
  <si>
    <t>Safeguarding Procedure 2</t>
  </si>
  <si>
    <t>Safeguarding Procedure 3</t>
  </si>
  <si>
    <t>Schedule 10 Equality Act 2010</t>
  </si>
  <si>
    <t>Little Acorns School</t>
  </si>
  <si>
    <t>Independent special school</t>
  </si>
  <si>
    <t>South East</t>
  </si>
  <si>
    <t>Kent</t>
  </si>
  <si>
    <t>TN30 6SR</t>
  </si>
  <si>
    <t>None</t>
  </si>
  <si>
    <t>Ofsted</t>
  </si>
  <si>
    <t>Independent school Progress Monitoring inspection</t>
  </si>
  <si>
    <t>Independent Additional Visits/Other</t>
  </si>
  <si>
    <t>Met all standards that were checked</t>
  </si>
  <si>
    <t>Not in scope for this inspection</t>
  </si>
  <si>
    <t>Not applicable</t>
  </si>
  <si>
    <t>Amberleigh Therapeutic School</t>
  </si>
  <si>
    <t>West Midlands</t>
  </si>
  <si>
    <t>Shropshire</t>
  </si>
  <si>
    <t>TF2 9NZ</t>
  </si>
  <si>
    <t>Independent School standard inspection</t>
  </si>
  <si>
    <t>Independent Standard Inspection</t>
  </si>
  <si>
    <t>Not Applicable</t>
  </si>
  <si>
    <t>Y</t>
  </si>
  <si>
    <t>New Forest School</t>
  </si>
  <si>
    <t>Hampshire</t>
  </si>
  <si>
    <t>SO45 1FJ</t>
  </si>
  <si>
    <t>No response</t>
  </si>
  <si>
    <t>Aurora Brambles School</t>
  </si>
  <si>
    <t>North West</t>
  </si>
  <si>
    <t>Lancashire</t>
  </si>
  <si>
    <t>PR26 7TB</t>
  </si>
  <si>
    <t>TLG North Birmingham</t>
  </si>
  <si>
    <t>Independent school</t>
  </si>
  <si>
    <t>Birmingham</t>
  </si>
  <si>
    <t>B44 9SH</t>
  </si>
  <si>
    <t>Christian</t>
  </si>
  <si>
    <t>Cambian Northampton School</t>
  </si>
  <si>
    <t>East Midlands</t>
  </si>
  <si>
    <t>Northamptonshire</t>
  </si>
  <si>
    <t>NN2 6LR</t>
  </si>
  <si>
    <t>Did not meet all standards that were checked</t>
  </si>
  <si>
    <t>Not applicable to this setting</t>
  </si>
  <si>
    <t>Jamiatul Uloom Al - Islamia</t>
  </si>
  <si>
    <t>East of England</t>
  </si>
  <si>
    <t>Luton</t>
  </si>
  <si>
    <t>LU3 1RF</t>
  </si>
  <si>
    <t>Muslim</t>
  </si>
  <si>
    <t>Meadowpark School</t>
  </si>
  <si>
    <t>South West</t>
  </si>
  <si>
    <t>Wiltshire</t>
  </si>
  <si>
    <t>SN6 6DD</t>
  </si>
  <si>
    <t>Islamic Shakhsiyah Foundation</t>
  </si>
  <si>
    <t>Slough</t>
  </si>
  <si>
    <t>SL1 2SR</t>
  </si>
  <si>
    <t>Jack and Jill School</t>
  </si>
  <si>
    <t>London</t>
  </si>
  <si>
    <t>Richmond upon Thames</t>
  </si>
  <si>
    <t>TW12 3HX</t>
  </si>
  <si>
    <t>Date Valley School</t>
  </si>
  <si>
    <t>Merton</t>
  </si>
  <si>
    <t>CR4 4LB</t>
  </si>
  <si>
    <t>Educare Small School</t>
  </si>
  <si>
    <t>Kingston upon Thames</t>
  </si>
  <si>
    <t>KT2 6DZ</t>
  </si>
  <si>
    <t>Include - Oxfordshire</t>
  </si>
  <si>
    <t>Oxfordshire</t>
  </si>
  <si>
    <t>OX4 1DD</t>
  </si>
  <si>
    <t>Best Futures</t>
  </si>
  <si>
    <t>North East, Yorkshire and the Humber</t>
  </si>
  <si>
    <t>Yorkshire and the Humber</t>
  </si>
  <si>
    <t>North East Lincolnshire</t>
  </si>
  <si>
    <t>DN37 7AW</t>
  </si>
  <si>
    <t>Independent school standard inspection - first</t>
  </si>
  <si>
    <t>Unity College</t>
  </si>
  <si>
    <t>Buckinghamshire</t>
  </si>
  <si>
    <t>HP12 3AE</t>
  </si>
  <si>
    <t>Froebel House School</t>
  </si>
  <si>
    <t>Kingston upon Hull</t>
  </si>
  <si>
    <t>HU5 3JP</t>
  </si>
  <si>
    <t>Pier View Academy</t>
  </si>
  <si>
    <t>DA12 2AX</t>
  </si>
  <si>
    <t>Alternative Centre of Education</t>
  </si>
  <si>
    <t>Enfield</t>
  </si>
  <si>
    <t>N9 0TZ</t>
  </si>
  <si>
    <t>Phoenix Academy</t>
  </si>
  <si>
    <t>Somerset</t>
  </si>
  <si>
    <t>TA6 6NA</t>
  </si>
  <si>
    <t>Cotswold Chine School</t>
  </si>
  <si>
    <t>Gloucestershire</t>
  </si>
  <si>
    <t>GL6 9AG</t>
  </si>
  <si>
    <t xml:space="preserve">Independent School standard inspection - integrated </t>
  </si>
  <si>
    <t>Chiswick and Bedford Park Preparatory School</t>
  </si>
  <si>
    <t>Hounslow</t>
  </si>
  <si>
    <t>W4 1TX</t>
  </si>
  <si>
    <t>Meredale Independent Primary School</t>
  </si>
  <si>
    <t>Medway</t>
  </si>
  <si>
    <t>ME8 8EB</t>
  </si>
  <si>
    <t>Rossendale School</t>
  </si>
  <si>
    <t>BL0 0RT</t>
  </si>
  <si>
    <t>King Edwin School</t>
  </si>
  <si>
    <t>North East</t>
  </si>
  <si>
    <t>Stockton-on-Tees</t>
  </si>
  <si>
    <t>TS20 1LG</t>
  </si>
  <si>
    <t>Lewis Charlton Learning Centre</t>
  </si>
  <si>
    <t>Leicestershire</t>
  </si>
  <si>
    <t>LE65 1HU</t>
  </si>
  <si>
    <t>The Old School House</t>
  </si>
  <si>
    <t>Cambridgeshire</t>
  </si>
  <si>
    <t>PE14 0HA</t>
  </si>
  <si>
    <t>Jamia Al-Hudaa Residential College</t>
  </si>
  <si>
    <t>Nottingham</t>
  </si>
  <si>
    <t>NG3 5TT</t>
  </si>
  <si>
    <t>St Martin's School</t>
  </si>
  <si>
    <t>Bournemouth</t>
  </si>
  <si>
    <t>BH3 7NA</t>
  </si>
  <si>
    <t>Church of England</t>
  </si>
  <si>
    <t>The Lloyd Williamson School</t>
  </si>
  <si>
    <t>Kensington and Chelsea</t>
  </si>
  <si>
    <t>W10 5SH</t>
  </si>
  <si>
    <t>Felixstowe International College</t>
  </si>
  <si>
    <t>Suffolk</t>
  </si>
  <si>
    <t>IP11 7RE</t>
  </si>
  <si>
    <t>The Independent School</t>
  </si>
  <si>
    <t>Hammersmith and Fulham</t>
  </si>
  <si>
    <t>W6 9AR</t>
  </si>
  <si>
    <t>Al-Muntada Islamic School</t>
  </si>
  <si>
    <t>SW6 4HW</t>
  </si>
  <si>
    <t>Islam</t>
  </si>
  <si>
    <t>Music Stuff</t>
  </si>
  <si>
    <t>Manchester</t>
  </si>
  <si>
    <t>M11 2NA</t>
  </si>
  <si>
    <t>Birmingham Muslim School</t>
  </si>
  <si>
    <t>B11 2PZ</t>
  </si>
  <si>
    <t>Limespring School</t>
  </si>
  <si>
    <t>Barnet</t>
  </si>
  <si>
    <t>N2 9PJ</t>
  </si>
  <si>
    <t>Maple Hayes Hall School</t>
  </si>
  <si>
    <t>Staffordshire</t>
  </si>
  <si>
    <t>WS13 8BL</t>
  </si>
  <si>
    <t>Beth Jacob Grammar School for Girls</t>
  </si>
  <si>
    <t>NW4 2AT</t>
  </si>
  <si>
    <t>Jewish</t>
  </si>
  <si>
    <t>Hazel Hurst School Mapperley Ltd</t>
  </si>
  <si>
    <t>Nottinghamshire</t>
  </si>
  <si>
    <t>NG3 6DG</t>
  </si>
  <si>
    <t>Doucecroft School</t>
  </si>
  <si>
    <t>Essex</t>
  </si>
  <si>
    <t>CO6 3QL</t>
  </si>
  <si>
    <t>Draycott Moor College</t>
  </si>
  <si>
    <t>ST11 9AH</t>
  </si>
  <si>
    <t>Rugeley School</t>
  </si>
  <si>
    <t>WS15 3JQ</t>
  </si>
  <si>
    <t>Al-Ihsaan Community College</t>
  </si>
  <si>
    <t>Leicester</t>
  </si>
  <si>
    <t>LE1 2HX</t>
  </si>
  <si>
    <t>KWS Educational Services</t>
  </si>
  <si>
    <t>Bedford</t>
  </si>
  <si>
    <t>MK41 9TJ</t>
  </si>
  <si>
    <t>The Vine Christian School</t>
  </si>
  <si>
    <t>Wokingham</t>
  </si>
  <si>
    <t>Al-Markaz Academy</t>
  </si>
  <si>
    <t>Bradford</t>
  </si>
  <si>
    <t>BD7 2JX</t>
  </si>
  <si>
    <t>Bracken School</t>
  </si>
  <si>
    <t>PR4 1YA</t>
  </si>
  <si>
    <t>Elliott Park School</t>
  </si>
  <si>
    <t>ME12 2DP</t>
  </si>
  <si>
    <t>Willow House</t>
  </si>
  <si>
    <t>Stockport</t>
  </si>
  <si>
    <t>SK8 6RF</t>
  </si>
  <si>
    <t>Black Country Wheels School</t>
  </si>
  <si>
    <t>Dudley</t>
  </si>
  <si>
    <t>DY9 7ND</t>
  </si>
  <si>
    <t>Wolfdale School</t>
  </si>
  <si>
    <t>LE7 7BP</t>
  </si>
  <si>
    <t>Sandwell Valley School</t>
  </si>
  <si>
    <t>Sandwell</t>
  </si>
  <si>
    <t>B70 6QT</t>
  </si>
  <si>
    <t>Jameah Academy</t>
  </si>
  <si>
    <t>LE5 3SD</t>
  </si>
  <si>
    <t>Liberty Lodge Independent School</t>
  </si>
  <si>
    <t>IP1 2NY</t>
  </si>
  <si>
    <t>Aurora St Christopher's School</t>
  </si>
  <si>
    <t>Bristol</t>
  </si>
  <si>
    <t>BS6 7JE</t>
  </si>
  <si>
    <t>Dame Catherine Harpur's School</t>
  </si>
  <si>
    <t>Derbyshire</t>
  </si>
  <si>
    <t>DE73 7JW</t>
  </si>
  <si>
    <t>St Wilfrid's School</t>
  </si>
  <si>
    <t>Devon</t>
  </si>
  <si>
    <t>EX4 4DA</t>
  </si>
  <si>
    <t>Hillcrest Jubilee School</t>
  </si>
  <si>
    <t>PO7 7RE</t>
  </si>
  <si>
    <t>Greater Grace School of Christian Education</t>
  </si>
  <si>
    <t>Cheshire West and Chester</t>
  </si>
  <si>
    <t>CH2 4BE</t>
  </si>
  <si>
    <t>Oxford Tutorial College</t>
  </si>
  <si>
    <t>OX1 4HT</t>
  </si>
  <si>
    <t>Valley House</t>
  </si>
  <si>
    <t>Warwickshire</t>
  </si>
  <si>
    <t>CV7 8DL</t>
  </si>
  <si>
    <t>Woodside Lodge Outdoor Learning Centre</t>
  </si>
  <si>
    <t>LE12 8DB</t>
  </si>
  <si>
    <t>Southlands School</t>
  </si>
  <si>
    <t>SO41 5QB</t>
  </si>
  <si>
    <t>Grey House Preparatory School</t>
  </si>
  <si>
    <t>RG27 8PW</t>
  </si>
  <si>
    <t>Andalusia Academy Bristol</t>
  </si>
  <si>
    <t>BS2 0BA</t>
  </si>
  <si>
    <t>Nancy Reuben Primary School</t>
  </si>
  <si>
    <t>NW4 1DJ</t>
  </si>
  <si>
    <t>Bright Futures</t>
  </si>
  <si>
    <t>Warrington</t>
  </si>
  <si>
    <t>WA13 0GH</t>
  </si>
  <si>
    <t>Mountwood Academy</t>
  </si>
  <si>
    <t>PR3 3YB</t>
  </si>
  <si>
    <t>My Choice School-Ocean Pearl</t>
  </si>
  <si>
    <t>West Sussex</t>
  </si>
  <si>
    <t>RH16 1XQ</t>
  </si>
  <si>
    <t>Beis Soroh Schneirer</t>
  </si>
  <si>
    <t>NW9 6AX</t>
  </si>
  <si>
    <t>Somerset Progressive School</t>
  </si>
  <si>
    <t>TA3 5RH</t>
  </si>
  <si>
    <t>Freshsteps</t>
  </si>
  <si>
    <t>EN2 9BQ</t>
  </si>
  <si>
    <t>Darul Uloom Islamic High School</t>
  </si>
  <si>
    <t>B10 0LL</t>
  </si>
  <si>
    <t>Hillcrest Shifnal School</t>
  </si>
  <si>
    <t>TF11 8SD</t>
  </si>
  <si>
    <t>N</t>
  </si>
  <si>
    <t>The Montessori Place</t>
  </si>
  <si>
    <t>Brighton and Hove</t>
  </si>
  <si>
    <t>BN3 3ER</t>
  </si>
  <si>
    <t>St Thomas Garnet's School</t>
  </si>
  <si>
    <t>BH5 2BH</t>
  </si>
  <si>
    <t>Roman Catholic</t>
  </si>
  <si>
    <t>St George's School</t>
  </si>
  <si>
    <t>Central Bedfordshire</t>
  </si>
  <si>
    <t>LU5 4HR</t>
  </si>
  <si>
    <t>St Michael's School</t>
  </si>
  <si>
    <t>RG20 9JW</t>
  </si>
  <si>
    <t>Normanton House School</t>
  </si>
  <si>
    <t>Derby</t>
  </si>
  <si>
    <t>DE23 8DF</t>
  </si>
  <si>
    <t>Lady Nafisa Independent Secondary School for Girls</t>
  </si>
  <si>
    <t>TW3 2AD</t>
  </si>
  <si>
    <t>Saville House School</t>
  </si>
  <si>
    <t>NG19 8AH</t>
  </si>
  <si>
    <t>Tabernacle School</t>
  </si>
  <si>
    <t>W11 4RS</t>
  </si>
  <si>
    <t>The Fulham Preparatory School Limited</t>
  </si>
  <si>
    <t>W14 9SD</t>
  </si>
  <si>
    <t>The Lioncare School</t>
  </si>
  <si>
    <t>BN3 5HD</t>
  </si>
  <si>
    <t>The British Muslim School</t>
  </si>
  <si>
    <t>B70 8NX</t>
  </si>
  <si>
    <t>Eveline Day School</t>
  </si>
  <si>
    <t>Wandsworth</t>
  </si>
  <si>
    <t>SW17 7BQ</t>
  </si>
  <si>
    <t>Claremont School</t>
  </si>
  <si>
    <t>East Sussex</t>
  </si>
  <si>
    <t>TN37 7PW</t>
  </si>
  <si>
    <t>NW7 3RG</t>
  </si>
  <si>
    <t>Inter- / non- denominational</t>
  </si>
  <si>
    <t>Madni Institute</t>
  </si>
  <si>
    <t>SL1 5PR</t>
  </si>
  <si>
    <t>Westfield House School</t>
  </si>
  <si>
    <t>Norfolk</t>
  </si>
  <si>
    <t>PE34 4EX</t>
  </si>
  <si>
    <t>Hillingdon Manor School</t>
  </si>
  <si>
    <t>Hillingdon</t>
  </si>
  <si>
    <t>UB8 3HD</t>
  </si>
  <si>
    <t>Encompass Education</t>
  </si>
  <si>
    <t>BS5 8JU</t>
  </si>
  <si>
    <t>Cambian Chesham House School</t>
  </si>
  <si>
    <t>Bury</t>
  </si>
  <si>
    <t>BL9 6JD</t>
  </si>
  <si>
    <t>Great Howarth School</t>
  </si>
  <si>
    <t>Rochdale</t>
  </si>
  <si>
    <t>OL12 9HJ</t>
  </si>
  <si>
    <t>Lote Tree Primary School</t>
  </si>
  <si>
    <t>Coventry</t>
  </si>
  <si>
    <t>CV6 5JQ</t>
  </si>
  <si>
    <t>Trax Academy</t>
  </si>
  <si>
    <t>FY8 2PP</t>
  </si>
  <si>
    <t>Focus 1st Academy</t>
  </si>
  <si>
    <t>N11 1BA</t>
  </si>
  <si>
    <t>Penarth Group School</t>
  </si>
  <si>
    <t>Farrowdale House School</t>
  </si>
  <si>
    <t>Oldham</t>
  </si>
  <si>
    <t>OL2 7AD</t>
  </si>
  <si>
    <t>Cambian Tyldesley School</t>
  </si>
  <si>
    <t>Wigan</t>
  </si>
  <si>
    <t>M29 8BS</t>
  </si>
  <si>
    <t>Finchley and Acton Yochien School</t>
  </si>
  <si>
    <t>N3 1UE</t>
  </si>
  <si>
    <t>Fitrah Sips</t>
  </si>
  <si>
    <t>Southampton</t>
  </si>
  <si>
    <t>SO14 0EJ</t>
  </si>
  <si>
    <t>Talmud Torah Yetev Lev</t>
  </si>
  <si>
    <t>Hackney</t>
  </si>
  <si>
    <t>N16 6AX</t>
  </si>
  <si>
    <t>Wize Up</t>
  </si>
  <si>
    <t>Greenwich</t>
  </si>
  <si>
    <t>SE9 6DN</t>
  </si>
  <si>
    <t>Aurora Brambles East School</t>
  </si>
  <si>
    <t>Blackburn with Darwen</t>
  </si>
  <si>
    <t>BB3 2NG</t>
  </si>
  <si>
    <t>Cambian Walnut Tree Lodge School</t>
  </si>
  <si>
    <t>MK44 2PY</t>
  </si>
  <si>
    <t>Etz Chaim School at the Belmont</t>
  </si>
  <si>
    <t>M8 4JY</t>
  </si>
  <si>
    <t>Kinetic Academy</t>
  </si>
  <si>
    <t>Stoke-on-Trent</t>
  </si>
  <si>
    <t>ST3 7DJ</t>
  </si>
  <si>
    <t>Merlin School</t>
  </si>
  <si>
    <t>SW15 2BZ</t>
  </si>
  <si>
    <t>Running Deer</t>
  </si>
  <si>
    <t>TQ13 8PY</t>
  </si>
  <si>
    <t>Hazrat Khadijatul Kubra Girls School</t>
  </si>
  <si>
    <t>B10 0BP</t>
  </si>
  <si>
    <t>Sheridan House School</t>
  </si>
  <si>
    <t>IP26 5LQ</t>
  </si>
  <si>
    <t>Philpots Manor School</t>
  </si>
  <si>
    <t>RH19 4PR</t>
  </si>
  <si>
    <t>Jamiah Madaniyah Primary School</t>
  </si>
  <si>
    <t>Newham</t>
  </si>
  <si>
    <t>E7 8NN</t>
  </si>
  <si>
    <t>Park Avenue Girls' High School</t>
  </si>
  <si>
    <t>ST4 2DT</t>
  </si>
  <si>
    <t>Insufficient evidence – amnesty granted</t>
  </si>
  <si>
    <t>Pulse and Water College</t>
  </si>
  <si>
    <t>SE18 6PF</t>
  </si>
  <si>
    <t>The Priory Woodbourne Hospital School</t>
  </si>
  <si>
    <t>B17 8BY</t>
  </si>
  <si>
    <t>Highgate Hill House School</t>
  </si>
  <si>
    <t>EX22 6TJ</t>
  </si>
  <si>
    <t>Cherwell College Oxford</t>
  </si>
  <si>
    <t>OX1 2AR</t>
  </si>
  <si>
    <t>Hafs Academy</t>
  </si>
  <si>
    <t>E15 1JW</t>
  </si>
  <si>
    <t>Begdale House School</t>
  </si>
  <si>
    <t>PE14 0AZ</t>
  </si>
  <si>
    <t>Glebe House</t>
  </si>
  <si>
    <t>CB21 4QH</t>
  </si>
  <si>
    <t>Hope House School</t>
  </si>
  <si>
    <t>PR4 0HP</t>
  </si>
  <si>
    <t>Unity School</t>
  </si>
  <si>
    <t>ST1 4EU</t>
  </si>
  <si>
    <t>Olive Tree School</t>
  </si>
  <si>
    <t>Lewisham</t>
  </si>
  <si>
    <t>SE13 6NZ</t>
  </si>
  <si>
    <t>Thomas's Kensington</t>
  </si>
  <si>
    <t>W8 5PR</t>
  </si>
  <si>
    <t>Harpurhey Alternative Provision School</t>
  </si>
  <si>
    <t>M9 8AE</t>
  </si>
  <si>
    <t>Heathside Preparatory School</t>
  </si>
  <si>
    <t>Camden</t>
  </si>
  <si>
    <t>NW3 1JA</t>
  </si>
  <si>
    <t>Excellence Christian School</t>
  </si>
  <si>
    <t>Tower Hamlets</t>
  </si>
  <si>
    <t>E2 9DQ</t>
  </si>
  <si>
    <t>Blackford Education (Schools) Ltd T/A the Libra School</t>
  </si>
  <si>
    <t>EX36 3LN</t>
  </si>
  <si>
    <t>Bladon House School</t>
  </si>
  <si>
    <t>DE15 0TA</t>
  </si>
  <si>
    <t>Bloomfield School</t>
  </si>
  <si>
    <t>DY4 9ER</t>
  </si>
  <si>
    <t>Blossom House School</t>
  </si>
  <si>
    <t>KT3 6JJ</t>
  </si>
  <si>
    <t>Cavendish School</t>
  </si>
  <si>
    <t>Southwark</t>
  </si>
  <si>
    <t>SE16 2PA</t>
  </si>
  <si>
    <t>ITS422720</t>
  </si>
  <si>
    <t>Cedar House School</t>
  </si>
  <si>
    <t>North Yorkshire</t>
  </si>
  <si>
    <t>LA2 7DD</t>
  </si>
  <si>
    <t>Centre Academy East Anglia</t>
  </si>
  <si>
    <t>Christian/non-denominational</t>
  </si>
  <si>
    <t>IP7 7QR</t>
  </si>
  <si>
    <t>Centre Academy London</t>
  </si>
  <si>
    <t>SW11 1SH</t>
  </si>
  <si>
    <t>ITS462855</t>
  </si>
  <si>
    <t>Denby Grange School</t>
  </si>
  <si>
    <t>Wakefield</t>
  </si>
  <si>
    <t>WF4 4JG</t>
  </si>
  <si>
    <t>Dove School</t>
  </si>
  <si>
    <t>Barnsley</t>
  </si>
  <si>
    <t>S75 6PP</t>
  </si>
  <si>
    <t>Grateley House School</t>
  </si>
  <si>
    <t>SP11 8TA</t>
  </si>
  <si>
    <t>Great Oaks Small School</t>
  </si>
  <si>
    <t>CT12 5FH</t>
  </si>
  <si>
    <t>Greenfields School</t>
  </si>
  <si>
    <t>TN27 8BE</t>
  </si>
  <si>
    <t>Aurora Meldreth Manor School</t>
  </si>
  <si>
    <t>SG8 6LG</t>
  </si>
  <si>
    <t>Moorlands View School</t>
  </si>
  <si>
    <t>BB11 5PQ</t>
  </si>
  <si>
    <t>More House School</t>
  </si>
  <si>
    <t>Catholic</t>
  </si>
  <si>
    <t>Surrey</t>
  </si>
  <si>
    <t>GU10 3AP</t>
  </si>
  <si>
    <t>Options Trent Acres School</t>
  </si>
  <si>
    <t>DE13 7HR</t>
  </si>
  <si>
    <t>Kent House Hospital School</t>
  </si>
  <si>
    <t>Bromley</t>
  </si>
  <si>
    <t>BR5 4EP</t>
  </si>
  <si>
    <t>Ellingham Hospital School</t>
  </si>
  <si>
    <t>NR17 1AE</t>
  </si>
  <si>
    <t>Oakwood Learning Centre</t>
  </si>
  <si>
    <t>Darlington</t>
  </si>
  <si>
    <t>DL2 2UH</t>
  </si>
  <si>
    <t>Oakwood School</t>
  </si>
  <si>
    <t>LE3 8DG</t>
  </si>
  <si>
    <t>Cedar Lodge</t>
  </si>
  <si>
    <t>PR2 2YQ</t>
  </si>
  <si>
    <t>Priors Court School</t>
  </si>
  <si>
    <t>West Berkshire</t>
  </si>
  <si>
    <t>RG18 9NU</t>
  </si>
  <si>
    <t>Priory Hurworth House</t>
  </si>
  <si>
    <t>DL2 2AD</t>
  </si>
  <si>
    <t>Prism Independent School</t>
  </si>
  <si>
    <t>BD8 9ES</t>
  </si>
  <si>
    <t>Shaftesbury Extended Learning Centre</t>
  </si>
  <si>
    <t>CV7 8LA</t>
  </si>
  <si>
    <t>ITS443018</t>
  </si>
  <si>
    <t>Shapwick School</t>
  </si>
  <si>
    <t>TA7 9NJ</t>
  </si>
  <si>
    <t>Sheiling School</t>
  </si>
  <si>
    <t>Dorset</t>
  </si>
  <si>
    <t>BH24 2EB</t>
  </si>
  <si>
    <t>Sheiling School (Thornbury)</t>
  </si>
  <si>
    <t>South Gloucestershire</t>
  </si>
  <si>
    <t>BS35 1HP</t>
  </si>
  <si>
    <t>The Beeches Independent School</t>
  </si>
  <si>
    <t>Peterborough</t>
  </si>
  <si>
    <t>PE1 3PB</t>
  </si>
  <si>
    <t>The Birches</t>
  </si>
  <si>
    <t>The Chelsea Group of Children</t>
  </si>
  <si>
    <t>SW18 3QG</t>
  </si>
  <si>
    <t>The Robert Ogden School</t>
  </si>
  <si>
    <t>S63 0BG</t>
  </si>
  <si>
    <t>ITS446377</t>
  </si>
  <si>
    <t>The Serendipity School</t>
  </si>
  <si>
    <t>SO19 6DS</t>
  </si>
  <si>
    <t>The Shires</t>
  </si>
  <si>
    <t>Rutland</t>
  </si>
  <si>
    <t>LE15 7GT</t>
  </si>
  <si>
    <t>The Sybil Elgar School</t>
  </si>
  <si>
    <t>Ealing</t>
  </si>
  <si>
    <t>UB2 4NY</t>
  </si>
  <si>
    <t>Westmorland School</t>
  </si>
  <si>
    <t>PR7 3NQ</t>
  </si>
  <si>
    <t>ITS454264</t>
  </si>
  <si>
    <t>Weston Point College</t>
  </si>
  <si>
    <t>Halton</t>
  </si>
  <si>
    <t>WA7 4UN</t>
  </si>
  <si>
    <t>White Trees Independent School</t>
  </si>
  <si>
    <t>CM23 3SP</t>
  </si>
  <si>
    <t>ITS454306</t>
  </si>
  <si>
    <t xml:space="preserve">Al-Ameen Primary School </t>
  </si>
  <si>
    <t>B11 2JR</t>
  </si>
  <si>
    <t>Al-Aqsa Schools Trust</t>
  </si>
  <si>
    <t>LE5 4PP</t>
  </si>
  <si>
    <t>Al-Ashraf Primary School</t>
  </si>
  <si>
    <t>GL1 4HB</t>
  </si>
  <si>
    <t>Al-Ashraf Secondary School for Girls</t>
  </si>
  <si>
    <t>GL1 4AW</t>
  </si>
  <si>
    <t>Ateres Girls High School</t>
  </si>
  <si>
    <t>Gateshead</t>
  </si>
  <si>
    <t>NE10 9PQ</t>
  </si>
  <si>
    <t>Athelstan House School</t>
  </si>
  <si>
    <t>TW12 2LA</t>
  </si>
  <si>
    <t>S162a - LTI Inspection Historic</t>
  </si>
  <si>
    <t>Auckland College</t>
  </si>
  <si>
    <t>Multi-faith</t>
  </si>
  <si>
    <t>Liverpool</t>
  </si>
  <si>
    <t>L17 4LE</t>
  </si>
  <si>
    <t>Avecinna Academy</t>
  </si>
  <si>
    <t>B9 4BS</t>
  </si>
  <si>
    <t>ITS447300</t>
  </si>
  <si>
    <t>Avicenna Academy</t>
  </si>
  <si>
    <t>Sheffield</t>
  </si>
  <si>
    <t>S9 5DL</t>
  </si>
  <si>
    <t>ITS447249</t>
  </si>
  <si>
    <t>Birtley House Independent School</t>
  </si>
  <si>
    <t>TN15 6AY</t>
  </si>
  <si>
    <t>ITS443150</t>
  </si>
  <si>
    <t>Brighton and Hove Montessori School</t>
  </si>
  <si>
    <t>BN1 6FB</t>
  </si>
  <si>
    <t>ITS422749</t>
  </si>
  <si>
    <t>Christian Fellowship School</t>
  </si>
  <si>
    <t>L7 3HL</t>
  </si>
  <si>
    <t>College Francais Bilingue De Londres</t>
  </si>
  <si>
    <t>NW5 3AX</t>
  </si>
  <si>
    <t>ITS454239</t>
  </si>
  <si>
    <t>David Game College</t>
  </si>
  <si>
    <t>Westminster</t>
  </si>
  <si>
    <t>EC3N 2ET</t>
  </si>
  <si>
    <t>Dormer House School</t>
  </si>
  <si>
    <t>GL56 0AD</t>
  </si>
  <si>
    <t>Doulton House School</t>
  </si>
  <si>
    <t>Lincolnshire</t>
  </si>
  <si>
    <t>NG34 9SJ</t>
  </si>
  <si>
    <t>ITS462987</t>
  </si>
  <si>
    <t>Downham Preparatory School and Montessori Nursery</t>
  </si>
  <si>
    <t>PE34 3HT</t>
  </si>
  <si>
    <t>ITS443466</t>
  </si>
  <si>
    <t>Fletewood School at Derry Villas</t>
  </si>
  <si>
    <t>Seventh Day Adventist</t>
  </si>
  <si>
    <t>Plymouth</t>
  </si>
  <si>
    <t>PL4 6AN</t>
  </si>
  <si>
    <t>Flexible Learning Centre</t>
  </si>
  <si>
    <t>B23 7RJ</t>
  </si>
  <si>
    <t>Footsteps Trust</t>
  </si>
  <si>
    <t>Haringey</t>
  </si>
  <si>
    <t>N17 0SL</t>
  </si>
  <si>
    <t>Henley-in-Arden Montessori Primary School</t>
  </si>
  <si>
    <t>B95 5JP</t>
  </si>
  <si>
    <t>Herington House School</t>
  </si>
  <si>
    <t>CM13 2NS</t>
  </si>
  <si>
    <t>Hessle Mount School</t>
  </si>
  <si>
    <t>East Riding of Yorkshire</t>
  </si>
  <si>
    <t>HU13 0JZ</t>
  </si>
  <si>
    <t>Jamea Al Kauthar</t>
  </si>
  <si>
    <t>LA1 5AJ</t>
  </si>
  <si>
    <t>Lantern of Knowledge Secondary School</t>
  </si>
  <si>
    <t>Waltham Forest</t>
  </si>
  <si>
    <t>E10 6QT</t>
  </si>
  <si>
    <t>Le Herisson School</t>
  </si>
  <si>
    <t>W6 9JT</t>
  </si>
  <si>
    <t>Leeds Christian School of Excellence</t>
  </si>
  <si>
    <t>Leeds</t>
  </si>
  <si>
    <t>LS8 4EX</t>
  </si>
  <si>
    <t>Leeds Menorah School</t>
  </si>
  <si>
    <t>LS17 6HQ</t>
  </si>
  <si>
    <t>CB2 1JE</t>
  </si>
  <si>
    <t>Mander Portman Woodward Independent College</t>
  </si>
  <si>
    <t>B15 3AU</t>
  </si>
  <si>
    <t>ITS443497</t>
  </si>
  <si>
    <t>Maple House School</t>
  </si>
  <si>
    <t>Croydon</t>
  </si>
  <si>
    <t>CR7 8LY</t>
  </si>
  <si>
    <t>ITS408724</t>
  </si>
  <si>
    <t>Maranatha Christian School</t>
  </si>
  <si>
    <t>Swindon</t>
  </si>
  <si>
    <t>SN6 7SQ</t>
  </si>
  <si>
    <t>Northleigh House School</t>
  </si>
  <si>
    <t>CV35 7HZ</t>
  </si>
  <si>
    <t>Oak Heights Independent School</t>
  </si>
  <si>
    <t>TW3 1JS</t>
  </si>
  <si>
    <t>Oak Tree High</t>
  </si>
  <si>
    <t>S4 8DG</t>
  </si>
  <si>
    <t>Oakwood Primary School</t>
  </si>
  <si>
    <t>LU1 3RR</t>
  </si>
  <si>
    <t>Queenswood School</t>
  </si>
  <si>
    <t>LS27 9EB</t>
  </si>
  <si>
    <t>Quwwat Ul Islam Girls' School</t>
  </si>
  <si>
    <t>E7 9NB</t>
  </si>
  <si>
    <t>ITS422770</t>
  </si>
  <si>
    <t>LU4 8AX</t>
  </si>
  <si>
    <t>Ashwicke Hall School</t>
  </si>
  <si>
    <t>SN14 8AG</t>
  </si>
  <si>
    <t>Saint Pierre School</t>
  </si>
  <si>
    <t>Southend on Sea</t>
  </si>
  <si>
    <t>SS9 1LE</t>
  </si>
  <si>
    <t>Sakutu Organisation Montessori</t>
  </si>
  <si>
    <t>Brent</t>
  </si>
  <si>
    <t>NW2 6HL</t>
  </si>
  <si>
    <t>Greenfields Primary School</t>
  </si>
  <si>
    <t>B10 9SN</t>
  </si>
  <si>
    <t>Stella Maris School</t>
  </si>
  <si>
    <t>SK4 3BR</t>
  </si>
  <si>
    <t>Stoneygate School</t>
  </si>
  <si>
    <t>LE8 9DJ</t>
  </si>
  <si>
    <t>Streatham Schools</t>
  </si>
  <si>
    <t>Sefton</t>
  </si>
  <si>
    <t>L23 8UQ</t>
  </si>
  <si>
    <t>StreetVibes Media Academy</t>
  </si>
  <si>
    <t>SE9 1DA</t>
  </si>
  <si>
    <t>Suffah Primary School</t>
  </si>
  <si>
    <t>TW4 5HU</t>
  </si>
  <si>
    <t>The Meadows Montessori School</t>
  </si>
  <si>
    <t>IP1 6AR</t>
  </si>
  <si>
    <t>The Mount School</t>
  </si>
  <si>
    <t>Kirklees</t>
  </si>
  <si>
    <t>HD2 2AP</t>
  </si>
  <si>
    <t>The Noam Primary School</t>
  </si>
  <si>
    <t>HA9 8JW</t>
  </si>
  <si>
    <t>The Norwegian Kindergarten In London</t>
  </si>
  <si>
    <t>SW20 8AH</t>
  </si>
  <si>
    <t>ITS462894</t>
  </si>
  <si>
    <t>BD5 8HH</t>
  </si>
  <si>
    <t>TLG Reading</t>
  </si>
  <si>
    <t>RG31 4XR</t>
  </si>
  <si>
    <t>ITS462891</t>
  </si>
  <si>
    <t>TLG West London</t>
  </si>
  <si>
    <t>W6 9JJ</t>
  </si>
  <si>
    <t>ITS462889</t>
  </si>
  <si>
    <t>Torah Vodaas</t>
  </si>
  <si>
    <t>NW9 7AJ</t>
  </si>
  <si>
    <t>Twycross House School</t>
  </si>
  <si>
    <t>CV9 3PL</t>
  </si>
  <si>
    <t>Cambridge Street School</t>
  </si>
  <si>
    <t>WF17 5JB</t>
  </si>
  <si>
    <t>Jefferson House</t>
  </si>
  <si>
    <t>CW7 1JT</t>
  </si>
  <si>
    <t>Austen House</t>
  </si>
  <si>
    <t>BB4 5TS</t>
  </si>
  <si>
    <t>Youth Empowerment Education Programme</t>
  </si>
  <si>
    <t>Havering</t>
  </si>
  <si>
    <t>RM13 8EU</t>
  </si>
  <si>
    <t>Riverside Education</t>
  </si>
  <si>
    <t>B33 9BF</t>
  </si>
  <si>
    <t>Blackstone Secondary School</t>
  </si>
  <si>
    <t>OL9 6JN</t>
  </si>
  <si>
    <t>Landmark International School</t>
  </si>
  <si>
    <t>CB21 5EP</t>
  </si>
  <si>
    <t>ASPIRE: Lifeskills Learning Centre</t>
  </si>
  <si>
    <t>LE11 3EB</t>
  </si>
  <si>
    <t>Oak House School</t>
  </si>
  <si>
    <t>Redbridge</t>
  </si>
  <si>
    <t>IG3 9AB</t>
  </si>
  <si>
    <t>Chances Educational Support Services</t>
  </si>
  <si>
    <t>TQ12 2SH</t>
  </si>
  <si>
    <t>Birmingham Independent College</t>
  </si>
  <si>
    <t>B6 5NU</t>
  </si>
  <si>
    <t>London Tutorial College</t>
  </si>
  <si>
    <t>KT6 7AB</t>
  </si>
  <si>
    <t>Old Farm School</t>
  </si>
  <si>
    <t>Redcar and Cleveland</t>
  </si>
  <si>
    <t>TS12 2TZ</t>
  </si>
  <si>
    <t>TLG Chelmsford</t>
  </si>
  <si>
    <t>CM2 0HG</t>
  </si>
  <si>
    <t>Crossley Manor</t>
  </si>
  <si>
    <t>St Helens</t>
  </si>
  <si>
    <t>L35 6NE</t>
  </si>
  <si>
    <t>Rhodes Wood Hospital School</t>
  </si>
  <si>
    <t>Hertfordshire</t>
  </si>
  <si>
    <t>AL9 6NN</t>
  </si>
  <si>
    <t>Lubavitch Yeshiva Ketanah of London</t>
  </si>
  <si>
    <t>Orthodox Jewish</t>
  </si>
  <si>
    <t>NW11 0QB</t>
  </si>
  <si>
    <t>Aurora Redehall School</t>
  </si>
  <si>
    <t>RH6 9QA</t>
  </si>
  <si>
    <t>Gesher Primary Special School</t>
  </si>
  <si>
    <t>NW2 3BS</t>
  </si>
  <si>
    <t>The Anderson School</t>
  </si>
  <si>
    <t>IG7 5AB</t>
  </si>
  <si>
    <t>Progress Schools - Wigan</t>
  </si>
  <si>
    <t>WN1 1RU</t>
  </si>
  <si>
    <t>Bep Academy</t>
  </si>
  <si>
    <t>RM7 0AU</t>
  </si>
  <si>
    <t>ID Academy</t>
  </si>
  <si>
    <t>North Tyneside</t>
  </si>
  <si>
    <t>NE13 6DS</t>
  </si>
  <si>
    <t>The Orchard School</t>
  </si>
  <si>
    <t>BA22 8ST</t>
  </si>
  <si>
    <t>Acorn School</t>
  </si>
  <si>
    <t>EX36 4SA</t>
  </si>
  <si>
    <t>Acorns School</t>
  </si>
  <si>
    <t>SK6 7NN</t>
  </si>
  <si>
    <t>Adventure Care Ltd</t>
  </si>
  <si>
    <t>SK17 0TJ</t>
  </si>
  <si>
    <t>ITS462942</t>
  </si>
  <si>
    <t>Aidenswood</t>
  </si>
  <si>
    <t>Cheshire East</t>
  </si>
  <si>
    <t>CW12 4ED</t>
  </si>
  <si>
    <t>Aim Habonim</t>
  </si>
  <si>
    <t>Salford</t>
  </si>
  <si>
    <t>M7 4NX</t>
  </si>
  <si>
    <t>ITS464320</t>
  </si>
  <si>
    <t>Brambles School</t>
  </si>
  <si>
    <t>Tameside</t>
  </si>
  <si>
    <t>SK14 6NT</t>
  </si>
  <si>
    <t>Bramfield House School</t>
  </si>
  <si>
    <t>IP19 9AB</t>
  </si>
  <si>
    <t>Brantwood Specialist School</t>
  </si>
  <si>
    <t>S7 1NU</t>
  </si>
  <si>
    <t>Chilworth House Upper School</t>
  </si>
  <si>
    <t>OX33 1JP</t>
  </si>
  <si>
    <t>Clannad Education Centre</t>
  </si>
  <si>
    <t>SP1 3UT</t>
  </si>
  <si>
    <t>Clarence High School</t>
  </si>
  <si>
    <t>L37 7AZ</t>
  </si>
  <si>
    <t>Clay Hill School</t>
  </si>
  <si>
    <t>SO43 7DE</t>
  </si>
  <si>
    <t>Eden Park Academy</t>
  </si>
  <si>
    <t>LS11 7EN</t>
  </si>
  <si>
    <t>Progress Schools - Northamptonshire</t>
  </si>
  <si>
    <t>NN1 2BG</t>
  </si>
  <si>
    <t>Catch 22</t>
  </si>
  <si>
    <t>NG24 4UT</t>
  </si>
  <si>
    <t>Progress Schools - Buckinghamshire</t>
  </si>
  <si>
    <t>HP12 4JG</t>
  </si>
  <si>
    <t>Gretton School</t>
  </si>
  <si>
    <t>CB3 0RX</t>
  </si>
  <si>
    <t>Gryphon School</t>
  </si>
  <si>
    <t>LE12 8BQ</t>
  </si>
  <si>
    <t>Halton House School</t>
  </si>
  <si>
    <t>WA7 3EW</t>
  </si>
  <si>
    <t>Halton School</t>
  </si>
  <si>
    <t>WA7 2AN</t>
  </si>
  <si>
    <t>Howard House</t>
  </si>
  <si>
    <t>Northumberland</t>
  </si>
  <si>
    <t>NE22 6BB</t>
  </si>
  <si>
    <t>Huntercombe Hospital School Cotswold Spa</t>
  </si>
  <si>
    <t>Worcestershire</t>
  </si>
  <si>
    <t>WR12 7DE</t>
  </si>
  <si>
    <t>Huntercombe Hospital School Stafford</t>
  </si>
  <si>
    <t>ST19 9QT</t>
  </si>
  <si>
    <t>Hythe House Education</t>
  </si>
  <si>
    <t>ME12 2AP</t>
  </si>
  <si>
    <t>ITS454271</t>
  </si>
  <si>
    <t>Knole Development Centre</t>
  </si>
  <si>
    <t>TN15 0JR</t>
  </si>
  <si>
    <t>Knowl Hill School</t>
  </si>
  <si>
    <t>GU24 0JN</t>
  </si>
  <si>
    <t>Lakeside School</t>
  </si>
  <si>
    <t>L27 2YA</t>
  </si>
  <si>
    <t>Lawrence House School</t>
  </si>
  <si>
    <t>Knowsley</t>
  </si>
  <si>
    <t>My Choice School - Oak House</t>
  </si>
  <si>
    <t>National Institute for Conductive Education</t>
  </si>
  <si>
    <t>B13 8RD</t>
  </si>
  <si>
    <t>3 Dimensions</t>
  </si>
  <si>
    <t>TA20 3AJ</t>
  </si>
  <si>
    <t>ITS464256</t>
  </si>
  <si>
    <t xml:space="preserve">Access School </t>
  </si>
  <si>
    <t>SY4 3EW</t>
  </si>
  <si>
    <t>Acorn Cottage</t>
  </si>
  <si>
    <t>IP7 6NY</t>
  </si>
  <si>
    <t>Acorn Park School</t>
  </si>
  <si>
    <t>NR16 2HU</t>
  </si>
  <si>
    <t>Blue Mountain Education</t>
  </si>
  <si>
    <t>NG16 2SD</t>
  </si>
  <si>
    <t>Blue Skies School</t>
  </si>
  <si>
    <t>ME4 6DQ</t>
  </si>
  <si>
    <t>Bradshaw Farm Independent School</t>
  </si>
  <si>
    <t>SK17 0QY</t>
  </si>
  <si>
    <t>ITS446278</t>
  </si>
  <si>
    <t>Chartwell House School</t>
  </si>
  <si>
    <t>PE13 5HQ</t>
  </si>
  <si>
    <t>Quay View School</t>
  </si>
  <si>
    <t>PL20 7EX</t>
  </si>
  <si>
    <t>ITS462861</t>
  </si>
  <si>
    <t>Chiltern Tutorial School</t>
  </si>
  <si>
    <t>SO21 2ET</t>
  </si>
  <si>
    <t>Chilworth House School</t>
  </si>
  <si>
    <t>Eagle House School</t>
  </si>
  <si>
    <t>CR4 3HD</t>
  </si>
  <si>
    <t>Eagle House School Sutton</t>
  </si>
  <si>
    <t>Sutton</t>
  </si>
  <si>
    <t>SM2 5SJ</t>
  </si>
  <si>
    <t>ITS420201</t>
  </si>
  <si>
    <t>East London Independent Special School</t>
  </si>
  <si>
    <t>E15 4HT</t>
  </si>
  <si>
    <t>ITS422826</t>
  </si>
  <si>
    <t>Eastwood Grange School</t>
  </si>
  <si>
    <t>S45 0BA</t>
  </si>
  <si>
    <t>Cumbria</t>
  </si>
  <si>
    <t>CA1 1JZ</t>
  </si>
  <si>
    <t>Cambian Hartlepool School</t>
  </si>
  <si>
    <t>Hartlepool</t>
  </si>
  <si>
    <t>TS25 1NN</t>
  </si>
  <si>
    <t>Haskel School</t>
  </si>
  <si>
    <t>NE8 4DR</t>
  </si>
  <si>
    <t>Headstart</t>
  </si>
  <si>
    <t>TN33 9EG</t>
  </si>
  <si>
    <t>Heath Farm School</t>
  </si>
  <si>
    <t>TN27 0AX</t>
  </si>
  <si>
    <t>Helen Allison School</t>
  </si>
  <si>
    <t>DA13 0EW</t>
  </si>
  <si>
    <t>Independent Educational Services</t>
  </si>
  <si>
    <t>CV10 8JH</t>
  </si>
  <si>
    <t>ITS422866</t>
  </si>
  <si>
    <t>Insights Independent School</t>
  </si>
  <si>
    <t>W13 0NP</t>
  </si>
  <si>
    <t>Inspired Directions School</t>
  </si>
  <si>
    <t>E8 3AZ</t>
  </si>
  <si>
    <t>ITS462895</t>
  </si>
  <si>
    <t>ISP School (Kent)</t>
  </si>
  <si>
    <t>ME10 3EG</t>
  </si>
  <si>
    <t>J.A.M.E.S</t>
  </si>
  <si>
    <t>BD9 4JB</t>
  </si>
  <si>
    <t>Longdon Hall School</t>
  </si>
  <si>
    <t>WS15 4PT</t>
  </si>
  <si>
    <t>ITS393267</t>
  </si>
  <si>
    <t>Longdon Park School</t>
  </si>
  <si>
    <t>DE65 6GU</t>
  </si>
  <si>
    <t>LVS Hassocks</t>
  </si>
  <si>
    <t>BN6 9HT</t>
  </si>
  <si>
    <t>LVS Oxford</t>
  </si>
  <si>
    <t>OX5 1RX</t>
  </si>
  <si>
    <t>ITS462901</t>
  </si>
  <si>
    <t>Macintyre School</t>
  </si>
  <si>
    <t>HP22 4PA</t>
  </si>
  <si>
    <t>Oliver House School</t>
  </si>
  <si>
    <t>PR7 1XA</t>
  </si>
  <si>
    <t>Olsen House School</t>
  </si>
  <si>
    <t>L23 5TD</t>
  </si>
  <si>
    <t>On Track Education Centre (Mildenhall)</t>
  </si>
  <si>
    <t>IP28 7RD</t>
  </si>
  <si>
    <t>On Track Education Centre Northants</t>
  </si>
  <si>
    <t>NN3 6QB</t>
  </si>
  <si>
    <t>Belmont School</t>
  </si>
  <si>
    <t>BB4 6RX</t>
  </si>
  <si>
    <t>Benjamin College</t>
  </si>
  <si>
    <t>HP19 7AR</t>
  </si>
  <si>
    <t>Cambian Home Tree School</t>
  </si>
  <si>
    <t>PE14 0LP</t>
  </si>
  <si>
    <t>Cambian New Elizabethan School</t>
  </si>
  <si>
    <t>DY11 7TE</t>
  </si>
  <si>
    <t>Cambian Scarborough School</t>
  </si>
  <si>
    <t>YO11 3BQ</t>
  </si>
  <si>
    <t>ITS463007</t>
  </si>
  <si>
    <t>Cambian Somerset School</t>
  </si>
  <si>
    <t>TA3 5PX</t>
  </si>
  <si>
    <t>ITS454261</t>
  </si>
  <si>
    <t>Cruckton Hall School</t>
  </si>
  <si>
    <t>SY5 8PR</t>
  </si>
  <si>
    <t>Cumberland School</t>
  </si>
  <si>
    <t>PR5 6EP</t>
  </si>
  <si>
    <t>ITS463013</t>
  </si>
  <si>
    <t>Darwin School</t>
  </si>
  <si>
    <t>W6 9RU</t>
  </si>
  <si>
    <t>Demeter House</t>
  </si>
  <si>
    <t>North Lincolnshire</t>
  </si>
  <si>
    <t>DN20 8EF</t>
  </si>
  <si>
    <t>Future Education</t>
  </si>
  <si>
    <t>NR5 8EG</t>
  </si>
  <si>
    <t>Gable End</t>
  </si>
  <si>
    <t>IP7 7NL</t>
  </si>
  <si>
    <t>Get U Started Training</t>
  </si>
  <si>
    <t>NE63 8SF</t>
  </si>
  <si>
    <t>Gloucester House, The Tavistock Children's Day Unit</t>
  </si>
  <si>
    <t>NW3 5BU</t>
  </si>
  <si>
    <t>iMap Centre</t>
  </si>
  <si>
    <t>CH3 7JA</t>
  </si>
  <si>
    <t>Inaura School</t>
  </si>
  <si>
    <t>TA7 0RB</t>
  </si>
  <si>
    <t>Include - Thames Valley</t>
  </si>
  <si>
    <t>Bracknell Forest</t>
  </si>
  <si>
    <t>RG12 7WW</t>
  </si>
  <si>
    <t>ITS462878</t>
  </si>
  <si>
    <t>IncludEd</t>
  </si>
  <si>
    <t>M16 8ER</t>
  </si>
  <si>
    <t>Lime Meadows</t>
  </si>
  <si>
    <t>Northease Manor School</t>
  </si>
  <si>
    <t>BN7 3EY</t>
  </si>
  <si>
    <t>ITS446382</t>
  </si>
  <si>
    <t>Norton College</t>
  </si>
  <si>
    <t>WR5 2PU</t>
  </si>
  <si>
    <t>ITS452377</t>
  </si>
  <si>
    <t>Nugent House School</t>
  </si>
  <si>
    <t>WN5 7TT</t>
  </si>
  <si>
    <t>Oak Tree School</t>
  </si>
  <si>
    <t>Cornwall</t>
  </si>
  <si>
    <t>TR4 9NH</t>
  </si>
  <si>
    <t>ITS462740</t>
  </si>
  <si>
    <t>Oakfield House School</t>
  </si>
  <si>
    <t>PR4 0YH</t>
  </si>
  <si>
    <t>ITS463004</t>
  </si>
  <si>
    <t>Park View Academy</t>
  </si>
  <si>
    <t>Bexley</t>
  </si>
  <si>
    <t>DA16 1SR</t>
  </si>
  <si>
    <t>Parkside House School</t>
  </si>
  <si>
    <t>NE27 0AB</t>
  </si>
  <si>
    <t>ITS463009</t>
  </si>
  <si>
    <t>Peak Education</t>
  </si>
  <si>
    <t>ST19 5PR</t>
  </si>
  <si>
    <t>Pear Tree School</t>
  </si>
  <si>
    <t>DL2 2UQ</t>
  </si>
  <si>
    <t>Alderwasley Hall School</t>
  </si>
  <si>
    <t>DE56 2SR</t>
  </si>
  <si>
    <t>ITS446380</t>
  </si>
  <si>
    <t>Anderida Learning Centre</t>
  </si>
  <si>
    <t>BN22 8HR</t>
  </si>
  <si>
    <t>Apple Orchard Slinfold</t>
  </si>
  <si>
    <t>RH13 0RQ</t>
  </si>
  <si>
    <t>Cambian Beverley School</t>
  </si>
  <si>
    <t>HU17 0EW</t>
  </si>
  <si>
    <t>ITS463006</t>
  </si>
  <si>
    <t>Cambian Devon School</t>
  </si>
  <si>
    <t>TQ4 7DQ</t>
  </si>
  <si>
    <t>Cambian Hereford School</t>
  </si>
  <si>
    <t>Herefordshire</t>
  </si>
  <si>
    <t>HR6 8LL</t>
  </si>
  <si>
    <t>Progress Schools - Carlisle</t>
  </si>
  <si>
    <t>CA1 1EJ</t>
  </si>
  <si>
    <t>Elland House School</t>
  </si>
  <si>
    <t>OL2 5PJ</t>
  </si>
  <si>
    <t>Engaging Potential</t>
  </si>
  <si>
    <t>RG14 2PR</t>
  </si>
  <si>
    <t>ITS454263</t>
  </si>
  <si>
    <t>Holme Court School</t>
  </si>
  <si>
    <t>CB21 6BQ</t>
  </si>
  <si>
    <t>Holme Farm School</t>
  </si>
  <si>
    <t>Middlesbrough</t>
  </si>
  <si>
    <t>TS8 9DF</t>
  </si>
  <si>
    <t>Hope Corner School</t>
  </si>
  <si>
    <t>WA7 4TD</t>
  </si>
  <si>
    <t>NG24 3NE</t>
  </si>
  <si>
    <t>Meadow View Farm School</t>
  </si>
  <si>
    <t>LE9 8FT</t>
  </si>
  <si>
    <t>Meadow View Learning Centre</t>
  </si>
  <si>
    <t>PR6 8BN</t>
  </si>
  <si>
    <t>Meadowcroft School</t>
  </si>
  <si>
    <t>WF1 4AD</t>
  </si>
  <si>
    <t>Meadows School</t>
  </si>
  <si>
    <t>OL12 9EN</t>
  </si>
  <si>
    <t>Independent school standard inspection - group</t>
  </si>
  <si>
    <t>Overley Hall School</t>
  </si>
  <si>
    <t>Telford and Wrekin</t>
  </si>
  <si>
    <t>TF6 5HE</t>
  </si>
  <si>
    <t>Owlswick School</t>
  </si>
  <si>
    <t>BN7 3NF</t>
  </si>
  <si>
    <t>P.A.C.E Alternative Education Ltd</t>
  </si>
  <si>
    <t>ST5 0LS</t>
  </si>
  <si>
    <t>ITS454293</t>
  </si>
  <si>
    <t>Papillon House</t>
  </si>
  <si>
    <t>KT20 7PA</t>
  </si>
  <si>
    <t>ITS462882</t>
  </si>
  <si>
    <t>Shelldene House School</t>
  </si>
  <si>
    <t>PE14 0HJ</t>
  </si>
  <si>
    <t>ITS462934</t>
  </si>
  <si>
    <t>Side By Side School</t>
  </si>
  <si>
    <t>E5 9HH</t>
  </si>
  <si>
    <t>Silver Birch</t>
  </si>
  <si>
    <t>B34 7RD</t>
  </si>
  <si>
    <t>The Grange Learning Centre</t>
  </si>
  <si>
    <t>Durham</t>
  </si>
  <si>
    <t>DL15 0TY</t>
  </si>
  <si>
    <t>The Grange School</t>
  </si>
  <si>
    <t>WF5 9JE</t>
  </si>
  <si>
    <t>The Grange Therapeutic School</t>
  </si>
  <si>
    <t>LE15 8LY</t>
  </si>
  <si>
    <t>The Holmewood School London</t>
  </si>
  <si>
    <t>N12 8SH</t>
  </si>
  <si>
    <t xml:space="preserve">Tumblewood Community School  </t>
  </si>
  <si>
    <t>BA13 4LF</t>
  </si>
  <si>
    <t>Arnfield Independent School</t>
  </si>
  <si>
    <t>SK10 5JR</t>
  </si>
  <si>
    <t>ALP Leicester</t>
  </si>
  <si>
    <t>LE4 4JG</t>
  </si>
  <si>
    <t>ITS429468</t>
  </si>
  <si>
    <t>Ashcroft School</t>
  </si>
  <si>
    <t>SK8 1JE</t>
  </si>
  <si>
    <t>Cambian Southwick Park School</t>
  </si>
  <si>
    <t>GL20 7DG</t>
  </si>
  <si>
    <t>Cambian Whinfell School</t>
  </si>
  <si>
    <t>LA9 5EZ</t>
  </si>
  <si>
    <t>ITS463008</t>
  </si>
  <si>
    <t>Cambian Wisbech School</t>
  </si>
  <si>
    <t>PE13 1JF</t>
  </si>
  <si>
    <t>Frewen College</t>
  </si>
  <si>
    <t>TN31 6NL</t>
  </si>
  <si>
    <t>Freyburg School</t>
  </si>
  <si>
    <t>S80 3BP</t>
  </si>
  <si>
    <t>ITS447295</t>
  </si>
  <si>
    <t>Fullerton House School</t>
  </si>
  <si>
    <t>Doncaster</t>
  </si>
  <si>
    <t>DN12 4AR</t>
  </si>
  <si>
    <t>Hope View School</t>
  </si>
  <si>
    <t>CT4 8EG</t>
  </si>
  <si>
    <t>Hopedale School</t>
  </si>
  <si>
    <t>ST13 7ED</t>
  </si>
  <si>
    <t>Hopewell School (Harmony House)</t>
  </si>
  <si>
    <t>Barking and Dagenham</t>
  </si>
  <si>
    <t>RM9 6XN</t>
  </si>
  <si>
    <t>Horton House School</t>
  </si>
  <si>
    <t>HU7 5YY</t>
  </si>
  <si>
    <t>Mackworth House School</t>
  </si>
  <si>
    <t>DE22 4LL</t>
  </si>
  <si>
    <t>ITS446396</t>
  </si>
  <si>
    <t>Manor Cottage</t>
  </si>
  <si>
    <t>ITS454303</t>
  </si>
  <si>
    <t>Marchant Holliday School</t>
  </si>
  <si>
    <t>BA8 0AH</t>
  </si>
  <si>
    <t>Mark College</t>
  </si>
  <si>
    <t>TA9 4NP</t>
  </si>
  <si>
    <t>Physis Heathgates Academy</t>
  </si>
  <si>
    <t>SY13 9DE</t>
  </si>
  <si>
    <t xml:space="preserve">Independent school standard inspection - integrated - first </t>
  </si>
  <si>
    <t>Pontville School</t>
  </si>
  <si>
    <t>L39 4TW</t>
  </si>
  <si>
    <t>Cambian Potterspury Lodge School</t>
  </si>
  <si>
    <t>NN12 7LL</t>
  </si>
  <si>
    <t>PPP Community School</t>
  </si>
  <si>
    <t>W10 6TH</t>
  </si>
  <si>
    <t>Springboard Education</t>
  </si>
  <si>
    <t>BN15 8AN</t>
  </si>
  <si>
    <t>St Andrew's School</t>
  </si>
  <si>
    <t>Quaker</t>
  </si>
  <si>
    <t>NR11 8QA</t>
  </si>
  <si>
    <t>St Edward's School</t>
  </si>
  <si>
    <t>SO51 6ZR</t>
  </si>
  <si>
    <t>ITS461519</t>
  </si>
  <si>
    <t>West Heath School</t>
  </si>
  <si>
    <t>TN13 1SR</t>
  </si>
  <si>
    <t>The Oaks</t>
  </si>
  <si>
    <t>LE9 7QJ</t>
  </si>
  <si>
    <t>ITS462937</t>
  </si>
  <si>
    <t>The Old Priory School</t>
  </si>
  <si>
    <t>CT11 9PG</t>
  </si>
  <si>
    <t>ITS462876</t>
  </si>
  <si>
    <t>ITS462919</t>
  </si>
  <si>
    <t>Ocean Lodge Independent School</t>
  </si>
  <si>
    <t>SS0 7PU</t>
  </si>
  <si>
    <t>Octavia House Schools</t>
  </si>
  <si>
    <t>Lambeth</t>
  </si>
  <si>
    <t>SE11 6AU</t>
  </si>
  <si>
    <t>ITS420274</t>
  </si>
  <si>
    <t>Old Sams Farm Independent School</t>
  </si>
  <si>
    <t>SK17 0SN</t>
  </si>
  <si>
    <t>ITS446246</t>
  </si>
  <si>
    <t>Pegasus School</t>
  </si>
  <si>
    <t>DE12 6RS</t>
  </si>
  <si>
    <t>ITS462921</t>
  </si>
  <si>
    <t>Phoenixplace</t>
  </si>
  <si>
    <t>SE5 0NA</t>
  </si>
  <si>
    <t>Rutherford School</t>
  </si>
  <si>
    <t>CR2 7HZ</t>
  </si>
  <si>
    <t>ITS462858</t>
  </si>
  <si>
    <t>Sacrewell Lodge School</t>
  </si>
  <si>
    <t>PE8 6HJ</t>
  </si>
  <si>
    <t>Sallygate School</t>
  </si>
  <si>
    <t>CT17 0RX</t>
  </si>
  <si>
    <t>School for Inspiring Talents</t>
  </si>
  <si>
    <t>TQ12 6NQ</t>
  </si>
  <si>
    <t>Seadown School</t>
  </si>
  <si>
    <t>BN11 2BE</t>
  </si>
  <si>
    <t>Teaseldown School</t>
  </si>
  <si>
    <t>CO9 3PX</t>
  </si>
  <si>
    <t>The Amicus School</t>
  </si>
  <si>
    <t>BN18 0SX</t>
  </si>
  <si>
    <t>ITS397759</t>
  </si>
  <si>
    <t>The Annex School House</t>
  </si>
  <si>
    <t>BR8 7PS</t>
  </si>
  <si>
    <t>Lighthouse School</t>
  </si>
  <si>
    <t>CT9 2QJ</t>
  </si>
  <si>
    <t>The Pace Centre</t>
  </si>
  <si>
    <t>HP19 9JL</t>
  </si>
  <si>
    <t>The Parks</t>
  </si>
  <si>
    <t>WA3 3PU</t>
  </si>
  <si>
    <t>The Priory Lodge School</t>
  </si>
  <si>
    <t>SW15 5JJ</t>
  </si>
  <si>
    <t>The Quest School</t>
  </si>
  <si>
    <t>TN12 6PY</t>
  </si>
  <si>
    <t>ITS393305</t>
  </si>
  <si>
    <t>Vranch House School</t>
  </si>
  <si>
    <t>EX4 8AD</t>
  </si>
  <si>
    <t>ITS465376</t>
  </si>
  <si>
    <t>Liverpool Progressive School</t>
  </si>
  <si>
    <t>L9 1NR</t>
  </si>
  <si>
    <t>ITS454265</t>
  </si>
  <si>
    <t>Waterloo Lodge School</t>
  </si>
  <si>
    <t>PR6 7AX</t>
  </si>
  <si>
    <t>ITS454250</t>
  </si>
  <si>
    <t xml:space="preserve">Wathen Grange School </t>
  </si>
  <si>
    <t>CV9 1PZ</t>
  </si>
  <si>
    <t>Wessex College</t>
  </si>
  <si>
    <t>BA11 4LA</t>
  </si>
  <si>
    <t>ITS446282</t>
  </si>
  <si>
    <t>Al Islah Girls' High School</t>
  </si>
  <si>
    <t>BB1 1TF</t>
  </si>
  <si>
    <t>Al Jamiatul Islamiyah</t>
  </si>
  <si>
    <t>Bolton</t>
  </si>
  <si>
    <t>BL3 4HF</t>
  </si>
  <si>
    <t>Al Khair School</t>
  </si>
  <si>
    <t>ITS462980</t>
  </si>
  <si>
    <t>Al Mumin Primary and Secondary School</t>
  </si>
  <si>
    <t>BD8 7DA</t>
  </si>
  <si>
    <t>Ashgrove School Ltd</t>
  </si>
  <si>
    <t>BR1 3BE</t>
  </si>
  <si>
    <t>Ashlea House School</t>
  </si>
  <si>
    <t>M34 6ET</t>
  </si>
  <si>
    <t>Assess Education</t>
  </si>
  <si>
    <t>L15 4LP</t>
  </si>
  <si>
    <t>Assunnah Primary School</t>
  </si>
  <si>
    <t>N17 6SB</t>
  </si>
  <si>
    <t>Beis Trana Girls' School</t>
  </si>
  <si>
    <t>E5 9DH</t>
  </si>
  <si>
    <t>ITS442962</t>
  </si>
  <si>
    <t>R.Y.A.N Education Academy</t>
  </si>
  <si>
    <t>Does not apply</t>
  </si>
  <si>
    <t>B11 1LF</t>
  </si>
  <si>
    <t>Radlett Lodge School</t>
  </si>
  <si>
    <t>WD7 9HW</t>
  </si>
  <si>
    <t>Park House School</t>
  </si>
  <si>
    <t>SW18 2SL</t>
  </si>
  <si>
    <t>Ramillies Hall School</t>
  </si>
  <si>
    <t>SK8 7AJ</t>
  </si>
  <si>
    <t>Southover Partnership School</t>
  </si>
  <si>
    <t>NW9 9HA</t>
  </si>
  <si>
    <t>Spring Hill High School</t>
  </si>
  <si>
    <t>B23 7PG</t>
  </si>
  <si>
    <t>ITS455443</t>
  </si>
  <si>
    <t>Stonegate School</t>
  </si>
  <si>
    <t>LA2 7BX</t>
  </si>
  <si>
    <t>The Evolution Centre</t>
  </si>
  <si>
    <t>SY3 8EQ</t>
  </si>
  <si>
    <t>The Farringdon Centre</t>
  </si>
  <si>
    <t>SP1 3YA</t>
  </si>
  <si>
    <t>ITS454289</t>
  </si>
  <si>
    <t>The Forum School</t>
  </si>
  <si>
    <t>DT11 0QS</t>
  </si>
  <si>
    <t>Thornhill Park School</t>
  </si>
  <si>
    <t>Sunderland</t>
  </si>
  <si>
    <t>SR2 7LA</t>
  </si>
  <si>
    <t>TR4 8EG</t>
  </si>
  <si>
    <t>TLC The Learning Centre</t>
  </si>
  <si>
    <t>BR5 1EB</t>
  </si>
  <si>
    <t>ITS447201</t>
  </si>
  <si>
    <t>Training and Skills Centre</t>
  </si>
  <si>
    <t>BD3 9BE</t>
  </si>
  <si>
    <t>Wings School</t>
  </si>
  <si>
    <t>UB7 0AE</t>
  </si>
  <si>
    <t>Wings School Notts</t>
  </si>
  <si>
    <t>Oversands School</t>
  </si>
  <si>
    <t>LA11 6SD</t>
  </si>
  <si>
    <t>Al-Burhan Grammar School</t>
  </si>
  <si>
    <t>B11 3DW</t>
  </si>
  <si>
    <t>ITS447293</t>
  </si>
  <si>
    <t>Al-Falah Primary School</t>
  </si>
  <si>
    <t>E5 8BY</t>
  </si>
  <si>
    <t>Al-Furqaan Preparatory School</t>
  </si>
  <si>
    <t>WF13 2JR</t>
  </si>
  <si>
    <t>Al-Huda Primary School</t>
  </si>
  <si>
    <t>BL1 3EH</t>
  </si>
  <si>
    <t>Avondale Preparatory School</t>
  </si>
  <si>
    <t>SP4 9DR</t>
  </si>
  <si>
    <t>ITS462872</t>
  </si>
  <si>
    <t>Ayesha Community School</t>
  </si>
  <si>
    <t>NW4 3ES</t>
  </si>
  <si>
    <t>ITS420193</t>
  </si>
  <si>
    <t>Ayesha Siddiqa Girls School</t>
  </si>
  <si>
    <t>UB1 1LS</t>
  </si>
  <si>
    <t>ITS440228</t>
  </si>
  <si>
    <t>Azhar Academy Girls School</t>
  </si>
  <si>
    <t>E7 9HL</t>
  </si>
  <si>
    <t>Bahr Academy</t>
  </si>
  <si>
    <t>Sunni Deobandi</t>
  </si>
  <si>
    <t>Newcastle upon Tyne</t>
  </si>
  <si>
    <t>NE4 6PR</t>
  </si>
  <si>
    <t>Bnos Zion of Bobov</t>
  </si>
  <si>
    <t>N16 6TJ</t>
  </si>
  <si>
    <t>Bolton Islamic Girls School</t>
  </si>
  <si>
    <t>BL3 2AW</t>
  </si>
  <si>
    <t>Bosco Centre College</t>
  </si>
  <si>
    <t>SE16 4RS</t>
  </si>
  <si>
    <t>Brackenfield School</t>
  </si>
  <si>
    <t>HG1 2HE</t>
  </si>
  <si>
    <t>Appletree School</t>
  </si>
  <si>
    <t>LA9 7QS</t>
  </si>
  <si>
    <t>Applied Educational Solutions</t>
  </si>
  <si>
    <t>EN3 7HG</t>
  </si>
  <si>
    <t>Arc School Ansley</t>
  </si>
  <si>
    <t>CV10 9ND</t>
  </si>
  <si>
    <t>ITS462983</t>
  </si>
  <si>
    <t>Arc School Old Arley</t>
  </si>
  <si>
    <t>CV7 8NU</t>
  </si>
  <si>
    <t>ITS462915</t>
  </si>
  <si>
    <t>Arc School Napton</t>
  </si>
  <si>
    <t>UB11 1AA</t>
  </si>
  <si>
    <t>ITS462981</t>
  </si>
  <si>
    <t>Brewood Secondary School</t>
  </si>
  <si>
    <t>CT14 9TR</t>
  </si>
  <si>
    <t>Bright Futures School for children with autism</t>
  </si>
  <si>
    <t>OL4 4DW</t>
  </si>
  <si>
    <t>Broadclough Lodge</t>
  </si>
  <si>
    <t>OL13 8DF</t>
  </si>
  <si>
    <t>Calderdale</t>
  </si>
  <si>
    <t>HX5 0SH</t>
  </si>
  <si>
    <t>Cornfield School</t>
  </si>
  <si>
    <t>RH1 5HS</t>
  </si>
  <si>
    <t>Essex Fresh Start</t>
  </si>
  <si>
    <t>CM8 2JL</t>
  </si>
  <si>
    <t>Estuary High School</t>
  </si>
  <si>
    <t>SS9 3NH</t>
  </si>
  <si>
    <t>ITS462929</t>
  </si>
  <si>
    <t>Face Youth Therapeutic School</t>
  </si>
  <si>
    <t>SW19 1JN</t>
  </si>
  <si>
    <t>Fairfield House School</t>
  </si>
  <si>
    <t>Trafford</t>
  </si>
  <si>
    <t>M31 4NL</t>
  </si>
  <si>
    <t>Hardwick House School</t>
  </si>
  <si>
    <t>LE11 3HU</t>
  </si>
  <si>
    <t>Hill House School</t>
  </si>
  <si>
    <t>SO41 8NE</t>
  </si>
  <si>
    <t>Hillcrest Slinfold School</t>
  </si>
  <si>
    <t>RH13 0QX</t>
  </si>
  <si>
    <t>Hillcrest Park School</t>
  </si>
  <si>
    <t>OX7 5QH</t>
  </si>
  <si>
    <t>ITS446270</t>
  </si>
  <si>
    <t>Kestrel House School</t>
  </si>
  <si>
    <t>N8 9EA</t>
  </si>
  <si>
    <t>Aurora Keyes Barn School</t>
  </si>
  <si>
    <t>Learn 4 Life School</t>
  </si>
  <si>
    <t>WN8 9AL</t>
  </si>
  <si>
    <t>Learning Opportunities Centre Secondary</t>
  </si>
  <si>
    <t>CT14 8DW</t>
  </si>
  <si>
    <t>ITS393337</t>
  </si>
  <si>
    <t>Leaways School</t>
  </si>
  <si>
    <t>E5 9NZ</t>
  </si>
  <si>
    <t>New Direction School</t>
  </si>
  <si>
    <t>S43 4BX</t>
  </si>
  <si>
    <t>Newbury Manor School</t>
  </si>
  <si>
    <t>BA11 3RG</t>
  </si>
  <si>
    <t>Newlands Hey</t>
  </si>
  <si>
    <t>L36 5SE</t>
  </si>
  <si>
    <t>North Bridge Enterprise College</t>
  </si>
  <si>
    <t>DN5 8AF</t>
  </si>
  <si>
    <t>Avocet House</t>
  </si>
  <si>
    <t>NR14 6QP</t>
  </si>
  <si>
    <t>Avon Park School</t>
  </si>
  <si>
    <t>CV22 5HR</t>
  </si>
  <si>
    <t>Options Barton</t>
  </si>
  <si>
    <t>DN18 6DA</t>
  </si>
  <si>
    <t>Baston House School</t>
  </si>
  <si>
    <t>BR2 7AB</t>
  </si>
  <si>
    <t>ITS447202</t>
  </si>
  <si>
    <t>Broadlands Hall</t>
  </si>
  <si>
    <t>CB9 7UD</t>
  </si>
  <si>
    <t>HX2 0RU</t>
  </si>
  <si>
    <t>ITS422852</t>
  </si>
  <si>
    <t>Browns School</t>
  </si>
  <si>
    <t>BR6 7PH</t>
  </si>
  <si>
    <t>Calder House School</t>
  </si>
  <si>
    <t>SN14 8BN</t>
  </si>
  <si>
    <t>Coxlease School</t>
  </si>
  <si>
    <t>Cressex Lodge (SWAAY)</t>
  </si>
  <si>
    <t>RG42 4DE</t>
  </si>
  <si>
    <t>Cressey College</t>
  </si>
  <si>
    <t>CR0 5SP</t>
  </si>
  <si>
    <t>ITS422750</t>
  </si>
  <si>
    <t>Crookhey Hall School</t>
  </si>
  <si>
    <t>LA2 0HA</t>
  </si>
  <si>
    <t>Fairlight Glen Independent Special School</t>
  </si>
  <si>
    <t>CT6 5QQ</t>
  </si>
  <si>
    <t>Farney Close School</t>
  </si>
  <si>
    <t>RH17 5RD</t>
  </si>
  <si>
    <t>Fell House School</t>
  </si>
  <si>
    <t>LA11 6AS</t>
  </si>
  <si>
    <t>Ferndearle</t>
  </si>
  <si>
    <t>CT19 5HH</t>
  </si>
  <si>
    <t>Options Higford</t>
  </si>
  <si>
    <t>TF11 9ET</t>
  </si>
  <si>
    <t>ITS462939</t>
  </si>
  <si>
    <t>High Grange School</t>
  </si>
  <si>
    <t>DE3 0DR</t>
  </si>
  <si>
    <t>High Peak School</t>
  </si>
  <si>
    <t>Highcroft School</t>
  </si>
  <si>
    <t>DL13 5AG</t>
  </si>
  <si>
    <t>Kirby Moor School</t>
  </si>
  <si>
    <t>CA8 2AB</t>
  </si>
  <si>
    <t>Kisharon School</t>
  </si>
  <si>
    <t>NW11 7HB</t>
  </si>
  <si>
    <t>ITS441640</t>
  </si>
  <si>
    <t>Kisimul School</t>
  </si>
  <si>
    <t>LN6 9LU</t>
  </si>
  <si>
    <t>KT6 5HN</t>
  </si>
  <si>
    <t>North East Centre for Autism - Aycliffe School</t>
  </si>
  <si>
    <t>DL5 6UN</t>
  </si>
  <si>
    <t>North Hill House</t>
  </si>
  <si>
    <t>BA11 2HB</t>
  </si>
  <si>
    <t>North West London Independent Special School</t>
  </si>
  <si>
    <t>W3 7DD</t>
  </si>
  <si>
    <t>Progress School</t>
  </si>
  <si>
    <t>PR5 6AQ</t>
  </si>
  <si>
    <t>Purbeck View School</t>
  </si>
  <si>
    <t>BH19 1PR</t>
  </si>
  <si>
    <t>HR8 2PZ</t>
  </si>
  <si>
    <t>ITS462920</t>
  </si>
  <si>
    <t>R.E.A.L Independent Schools</t>
  </si>
  <si>
    <t>NG21 0PN</t>
  </si>
  <si>
    <t>Turnstone House School</t>
  </si>
  <si>
    <t>NR35 2HP</t>
  </si>
  <si>
    <t>Ummid Independent School</t>
  </si>
  <si>
    <t>BD7 3EX</t>
  </si>
  <si>
    <t>Underley Garden School</t>
  </si>
  <si>
    <t>LA6 2DZ</t>
  </si>
  <si>
    <t>Afifah School</t>
  </si>
  <si>
    <t>M16 9GN</t>
  </si>
  <si>
    <t>Ahavas Torah Boys Academy</t>
  </si>
  <si>
    <t>M7 4QX</t>
  </si>
  <si>
    <t>ITS443025</t>
  </si>
  <si>
    <t>Al Ashraaf Secondary School</t>
  </si>
  <si>
    <t>E1 7RA</t>
  </si>
  <si>
    <t>Al Huda Girls' School</t>
  </si>
  <si>
    <t>B8 1RD</t>
  </si>
  <si>
    <t>Barbara Speake Stage School</t>
  </si>
  <si>
    <t>W3 7EG</t>
  </si>
  <si>
    <t>Beech Grove School</t>
  </si>
  <si>
    <t>CT15 4FB</t>
  </si>
  <si>
    <t>Beis Aharon School</t>
  </si>
  <si>
    <t>N16 5ED</t>
  </si>
  <si>
    <t>ITS422718</t>
  </si>
  <si>
    <t>Beis Chinuch Lebonos Girls School</t>
  </si>
  <si>
    <t>N4 2SH</t>
  </si>
  <si>
    <t>ITS364224</t>
  </si>
  <si>
    <t>Windsor and Maidenhead</t>
  </si>
  <si>
    <t>SL4 2AX</t>
  </si>
  <si>
    <t>Brondesbury College London</t>
  </si>
  <si>
    <t>NW6 7BT</t>
  </si>
  <si>
    <t>ITS409639</t>
  </si>
  <si>
    <t>Brooke House Day School</t>
  </si>
  <si>
    <t>LE9 1SE</t>
  </si>
  <si>
    <t>Bryony School</t>
  </si>
  <si>
    <t>ME8 0AJ</t>
  </si>
  <si>
    <t>Buckholme Towers School</t>
  </si>
  <si>
    <t>Poole</t>
  </si>
  <si>
    <t>BH14 0JW</t>
  </si>
  <si>
    <t>Emmanuel Christian School</t>
  </si>
  <si>
    <t>Christian/Evangelical</t>
  </si>
  <si>
    <t>LE3 1QP</t>
  </si>
  <si>
    <t>Emmanuel School</t>
  </si>
  <si>
    <t>Walsall</t>
  </si>
  <si>
    <t>WS2 8PR</t>
  </si>
  <si>
    <t>Hall School Wimbledon</t>
  </si>
  <si>
    <t>SW15 3EQ</t>
  </si>
  <si>
    <t>Hampstead Hill School</t>
  </si>
  <si>
    <t>NW3 2PP</t>
  </si>
  <si>
    <t>Hampton Court House</t>
  </si>
  <si>
    <t>KT8 9BS</t>
  </si>
  <si>
    <t>ITS420172</t>
  </si>
  <si>
    <t>Jamiatul Ummah School</t>
  </si>
  <si>
    <t>E1 2ND</t>
  </si>
  <si>
    <t>Jamiatul-Ilm Wal-Huda UK School</t>
  </si>
  <si>
    <t>BB1 5JT</t>
  </si>
  <si>
    <t>Jus'T'Learn</t>
  </si>
  <si>
    <t>CR4 2QA</t>
  </si>
  <si>
    <t>ITS447231</t>
  </si>
  <si>
    <t>Kerem Shloime</t>
  </si>
  <si>
    <t>M7 4DQ</t>
  </si>
  <si>
    <t>Madrasatul Imam Muhammad Zakariya</t>
  </si>
  <si>
    <t>BL1 8LX</t>
  </si>
  <si>
    <t>Magdalen Court School</t>
  </si>
  <si>
    <t>EX2 4NU</t>
  </si>
  <si>
    <t>Manchester  Young Lives</t>
  </si>
  <si>
    <t>M22 9TF</t>
  </si>
  <si>
    <t>ITS454299</t>
  </si>
  <si>
    <t>Manchester Islamic High School for Girls</t>
  </si>
  <si>
    <t>M21 9FA</t>
  </si>
  <si>
    <t>Olive Secondary Boys</t>
  </si>
  <si>
    <t>BD3 0AD</t>
  </si>
  <si>
    <t>Olive Tree Primary School</t>
  </si>
  <si>
    <t>LU1 1HE</t>
  </si>
  <si>
    <t>Roselyn House School</t>
  </si>
  <si>
    <t>PR25 4SE</t>
  </si>
  <si>
    <t>Rowden House School</t>
  </si>
  <si>
    <t>HR7 4LS</t>
  </si>
  <si>
    <t>Sunfield Children's Home Limited</t>
  </si>
  <si>
    <t>DY9 9PB</t>
  </si>
  <si>
    <t>T Plus Centre (Taliesin Education)</t>
  </si>
  <si>
    <t>PL14 4DA</t>
  </si>
  <si>
    <t>ITS454283</t>
  </si>
  <si>
    <t>Manchester Jewish School for Special Education</t>
  </si>
  <si>
    <t>M7 4QY</t>
  </si>
  <si>
    <t>Tadley Court School</t>
  </si>
  <si>
    <t>RG26 3TB</t>
  </si>
  <si>
    <t>The Loddon School</t>
  </si>
  <si>
    <t>RG27 0JD</t>
  </si>
  <si>
    <t>ITS462865</t>
  </si>
  <si>
    <t>N10 1JP</t>
  </si>
  <si>
    <t>The Marlowe School</t>
  </si>
  <si>
    <t>GL19 3BG</t>
  </si>
  <si>
    <t>ITS462863</t>
  </si>
  <si>
    <t>The Meadows</t>
  </si>
  <si>
    <t>SK17 8DJ</t>
  </si>
  <si>
    <t>Aurora Hedgeway School</t>
  </si>
  <si>
    <t>BS35 4JN</t>
  </si>
  <si>
    <t>Unsted Park School</t>
  </si>
  <si>
    <t>GU7 1UW</t>
  </si>
  <si>
    <t>Values Academy</t>
  </si>
  <si>
    <t>B18 5PB</t>
  </si>
  <si>
    <t>CV10 8JX</t>
  </si>
  <si>
    <t>Abbey College in Malvern</t>
  </si>
  <si>
    <t>WR14 4JF</t>
  </si>
  <si>
    <t>Abbotsford Preparatory School</t>
  </si>
  <si>
    <t>M41 5PR</t>
  </si>
  <si>
    <t>Abu Bakr Boys School</t>
  </si>
  <si>
    <t>WS2 7AN</t>
  </si>
  <si>
    <t>ITS442989</t>
  </si>
  <si>
    <t>Abu Bakr Girls School</t>
  </si>
  <si>
    <t>WS1 4JJ</t>
  </si>
  <si>
    <t>Archway Academy</t>
  </si>
  <si>
    <t>B9 4HN</t>
  </si>
  <si>
    <t>Ashbourne Independent School</t>
  </si>
  <si>
    <t>W8 4PL</t>
  </si>
  <si>
    <t>Ashbrooke House School</t>
  </si>
  <si>
    <t>North Somerset</t>
  </si>
  <si>
    <t>BS23 1XH</t>
  </si>
  <si>
    <t>Bethany School</t>
  </si>
  <si>
    <t>S3 7PS</t>
  </si>
  <si>
    <t>Bhaktivedanta Manor School</t>
  </si>
  <si>
    <t>Hindu</t>
  </si>
  <si>
    <t>Bicker Preparatory and Early Years School</t>
  </si>
  <si>
    <t>PE20 3DW</t>
  </si>
  <si>
    <t>ITS462917</t>
  </si>
  <si>
    <t>Big Creative Independent School</t>
  </si>
  <si>
    <t>Birchfield Independent Girls' School</t>
  </si>
  <si>
    <t>B6 6JU</t>
  </si>
  <si>
    <t>Carmel Christian School</t>
  </si>
  <si>
    <t>BS4 5NL</t>
  </si>
  <si>
    <t>Chartfield School</t>
  </si>
  <si>
    <t>CT8 8DA</t>
  </si>
  <si>
    <t>ITS440227</t>
  </si>
  <si>
    <t>Chase House School</t>
  </si>
  <si>
    <t>Chepstow House School</t>
  </si>
  <si>
    <t>W11 1QS</t>
  </si>
  <si>
    <t>Wilds Lodge School</t>
  </si>
  <si>
    <t>LE15 8QQ</t>
  </si>
  <si>
    <t>Willows</t>
  </si>
  <si>
    <t>TA21 9LQ</t>
  </si>
  <si>
    <t>Wilsic Hall School</t>
  </si>
  <si>
    <t>DN11 9AG</t>
  </si>
  <si>
    <t>Al-Ikhlaas Primary School</t>
  </si>
  <si>
    <t>BB9 7TN</t>
  </si>
  <si>
    <t>Al-Islamia Institute for Education</t>
  </si>
  <si>
    <t>LE2 0SA</t>
  </si>
  <si>
    <t>Al-Khair School</t>
  </si>
  <si>
    <t>CR0 6BE</t>
  </si>
  <si>
    <t>N16 5RS</t>
  </si>
  <si>
    <t>Beis Ruchel Girls School</t>
  </si>
  <si>
    <t>M8 5BQ</t>
  </si>
  <si>
    <t>M7 4AJ</t>
  </si>
  <si>
    <t>ITS443452</t>
  </si>
  <si>
    <t>Buckswood School</t>
  </si>
  <si>
    <t>TN35 4LT</t>
  </si>
  <si>
    <t>Buttercup Primary School</t>
  </si>
  <si>
    <t>E1 2LX</t>
  </si>
  <si>
    <t>CR7 8HQ</t>
  </si>
  <si>
    <t>Carfax College</t>
  </si>
  <si>
    <t>OX1 2EP</t>
  </si>
  <si>
    <t>ITS443023</t>
  </si>
  <si>
    <t>SW1W 9BA</t>
  </si>
  <si>
    <t>SW7 5QH</t>
  </si>
  <si>
    <t>ITS441436</t>
  </si>
  <si>
    <t>Ecole Francaise de Londres Jacques Prevert</t>
  </si>
  <si>
    <t>W6 7BE</t>
  </si>
  <si>
    <t>ITS385065</t>
  </si>
  <si>
    <t>Edgware Jewish Girls - Beis Chinuch</t>
  </si>
  <si>
    <t>HA8 8NP</t>
  </si>
  <si>
    <t>Harrow House International College</t>
  </si>
  <si>
    <t>BH19 1PE</t>
  </si>
  <si>
    <t>Harrow Primary School</t>
  </si>
  <si>
    <t>Harrow</t>
  </si>
  <si>
    <t>HA1 2LS</t>
  </si>
  <si>
    <t>King of Kings School</t>
  </si>
  <si>
    <t>M4 4DN</t>
  </si>
  <si>
    <t>Kings Bournemouth</t>
  </si>
  <si>
    <t>BH2 6LD</t>
  </si>
  <si>
    <t>Kings Kids Christian School</t>
  </si>
  <si>
    <t>SE14 6EU</t>
  </si>
  <si>
    <t>Kings London</t>
  </si>
  <si>
    <t>BR3 4PR</t>
  </si>
  <si>
    <t>Kings Oxford</t>
  </si>
  <si>
    <t>OX4 2UJ</t>
  </si>
  <si>
    <t>Marathon Science School</t>
  </si>
  <si>
    <t>SE8 5RQ</t>
  </si>
  <si>
    <t>Maria Montessori School</t>
  </si>
  <si>
    <t>NW3 5NW</t>
  </si>
  <si>
    <t>Markazul Uloom</t>
  </si>
  <si>
    <t>BB2 3NY</t>
  </si>
  <si>
    <t>Martec Training</t>
  </si>
  <si>
    <t>ST5 1LZ</t>
  </si>
  <si>
    <t>ITS386858</t>
  </si>
  <si>
    <t>Mazahirul Uloom London School</t>
  </si>
  <si>
    <t>E1 4AA</t>
  </si>
  <si>
    <t>Beis Yaakov Girls School</t>
  </si>
  <si>
    <t>Charadi Jewish</t>
  </si>
  <si>
    <t>N16 0QJ</t>
  </si>
  <si>
    <t>Benedict House Preparatory School</t>
  </si>
  <si>
    <t>DA15 7HD</t>
  </si>
  <si>
    <t>Brian Jackson College</t>
  </si>
  <si>
    <t>WF16 0AD</t>
  </si>
  <si>
    <t>Bridge School</t>
  </si>
  <si>
    <t>Hamd House School</t>
  </si>
  <si>
    <t>B9 5QT</t>
  </si>
  <si>
    <t>Bridge House Independent School</t>
  </si>
  <si>
    <t>PE21 7NL</t>
  </si>
  <si>
    <t>Darul Hadis Latifiah Northwest</t>
  </si>
  <si>
    <t>OL8 1TJ</t>
  </si>
  <si>
    <t>Darul Uloom Al Arabiya Al Islamiya</t>
  </si>
  <si>
    <t>BL8 4NG</t>
  </si>
  <si>
    <t>ITS447246</t>
  </si>
  <si>
    <t>Darul Uloom Dawatul Imaan</t>
  </si>
  <si>
    <t>BD4 9PH</t>
  </si>
  <si>
    <t>Fig Tree Primary School</t>
  </si>
  <si>
    <t>NG7 4AF</t>
  </si>
  <si>
    <t>Firwood Manor Preparatory School</t>
  </si>
  <si>
    <t>OL9 0AD</t>
  </si>
  <si>
    <t>Gateshead Jewish Nursery School</t>
  </si>
  <si>
    <t>NE8 1RB</t>
  </si>
  <si>
    <t>ITS422699</t>
  </si>
  <si>
    <t>Green Meadow Independent Primary School</t>
  </si>
  <si>
    <t>WA3 2RD</t>
  </si>
  <si>
    <t>Greenwich House School</t>
  </si>
  <si>
    <t>LN11 0HE</t>
  </si>
  <si>
    <t>Guru Gobind Singh Khalsa College</t>
  </si>
  <si>
    <t>Sikh</t>
  </si>
  <si>
    <t>IG7 6BQ</t>
  </si>
  <si>
    <t>Hackney City Farm</t>
  </si>
  <si>
    <t>E2 8QA</t>
  </si>
  <si>
    <t>International School of London (Surrey) Limited</t>
  </si>
  <si>
    <t>GU22 8HY</t>
  </si>
  <si>
    <t>International Stanborough School</t>
  </si>
  <si>
    <t>WD25 9JT</t>
  </si>
  <si>
    <t>Iqra Academy</t>
  </si>
  <si>
    <t>PE3 8YQ</t>
  </si>
  <si>
    <t>Iqra High School</t>
  </si>
  <si>
    <t>OL4 1ER</t>
  </si>
  <si>
    <t>Kingswood School</t>
  </si>
  <si>
    <t>Solihull</t>
  </si>
  <si>
    <t>B90 2BA</t>
  </si>
  <si>
    <t>ITS443499</t>
  </si>
  <si>
    <t>L'Ecole Bilingue Elementaire</t>
  </si>
  <si>
    <t>W2 1SJ</t>
  </si>
  <si>
    <t>L'Ecole de Battersea</t>
  </si>
  <si>
    <t>SW11 3DS</t>
  </si>
  <si>
    <t>ITS463316</t>
  </si>
  <si>
    <t>L'Ecole des Petits School</t>
  </si>
  <si>
    <t>SW6 2NB</t>
  </si>
  <si>
    <t>London Islamic School</t>
  </si>
  <si>
    <t>E1 2HX</t>
  </si>
  <si>
    <t>ITS442987</t>
  </si>
  <si>
    <t>Longwood School &amp; Nursery</t>
  </si>
  <si>
    <t>WD23 2QG</t>
  </si>
  <si>
    <t>Lord's Independent School</t>
  </si>
  <si>
    <t>BL1 4JU</t>
  </si>
  <si>
    <t>LPW Independent School</t>
  </si>
  <si>
    <t>BS3 4AG</t>
  </si>
  <si>
    <t>Crown House School</t>
  </si>
  <si>
    <t>HP11 1QX</t>
  </si>
  <si>
    <t>Croydon Metropolitan College</t>
  </si>
  <si>
    <t>CR0 1DN</t>
  </si>
  <si>
    <t>Crystal Gardens Primary School</t>
  </si>
  <si>
    <t>BD5 7PE</t>
  </si>
  <si>
    <t>Edstart</t>
  </si>
  <si>
    <t>M6 6DW</t>
  </si>
  <si>
    <t>Ellern Mede School</t>
  </si>
  <si>
    <t>NW7 4HX</t>
  </si>
  <si>
    <t>Excelsior College</t>
  </si>
  <si>
    <t>N17 8JN</t>
  </si>
  <si>
    <t>Gateshead Jewish Primary School</t>
  </si>
  <si>
    <t>NE8 4EA</t>
  </si>
  <si>
    <t>Getters Talmud Torah</t>
  </si>
  <si>
    <t>N16 5AR</t>
  </si>
  <si>
    <t>ITS447171</t>
  </si>
  <si>
    <t>Ghausia Girls' High School</t>
  </si>
  <si>
    <t>BB9 7EN</t>
  </si>
  <si>
    <t>Golders Hill School</t>
  </si>
  <si>
    <t>NW11 7NT</t>
  </si>
  <si>
    <t>Goodwyn School</t>
  </si>
  <si>
    <t>NW7 4DB</t>
  </si>
  <si>
    <t>ITS443491</t>
  </si>
  <si>
    <t>Hyland House School</t>
  </si>
  <si>
    <t>N17 9AD</t>
  </si>
  <si>
    <t>Imam Muhammad Zakariya School</t>
  </si>
  <si>
    <t>PR1 3TN</t>
  </si>
  <si>
    <t>Imam Zakariya Academy</t>
  </si>
  <si>
    <t>E7 8AB</t>
  </si>
  <si>
    <t>Impact Independent School</t>
  </si>
  <si>
    <t>WS10 0JS</t>
  </si>
  <si>
    <t>Islamic Tarbiyah Preparatory School</t>
  </si>
  <si>
    <t>BD8 8AW</t>
  </si>
  <si>
    <t>Islamiyah School</t>
  </si>
  <si>
    <t>BB1 5NQ</t>
  </si>
  <si>
    <t>ITS447244</t>
  </si>
  <si>
    <t>Jaamiatul Imaam Muhammad Zakaria</t>
  </si>
  <si>
    <t>BD14 6JX</t>
  </si>
  <si>
    <t>ITS464000</t>
  </si>
  <si>
    <t>La Scuola Italiana A Londra</t>
  </si>
  <si>
    <t>W11 4UH</t>
  </si>
  <si>
    <t>Lady Aisha Academy</t>
  </si>
  <si>
    <t>IG11 8PY</t>
  </si>
  <si>
    <t>Land of Learning Primary School</t>
  </si>
  <si>
    <t>LE5 5PF</t>
  </si>
  <si>
    <t>Madani Secondary Girls' School</t>
  </si>
  <si>
    <t>E1 1HL</t>
  </si>
  <si>
    <t>Madinatul Uloom Al Islamiya School</t>
  </si>
  <si>
    <t>DY10 4BH</t>
  </si>
  <si>
    <t>Madni Academy</t>
  </si>
  <si>
    <t>WF12 9AY</t>
  </si>
  <si>
    <t>Newbold School</t>
  </si>
  <si>
    <t>RG42 4AH</t>
  </si>
  <si>
    <t>Newbury Hall School</t>
  </si>
  <si>
    <t>RG14 6AD</t>
  </si>
  <si>
    <t>HP8 4AD</t>
  </si>
  <si>
    <t>Nisai Learning Hub (Nottingham)</t>
  </si>
  <si>
    <t>NG1 1GD</t>
  </si>
  <si>
    <t>ITS447302</t>
  </si>
  <si>
    <t>On Track Education Centre Totnes</t>
  </si>
  <si>
    <t>TQ9 5LQ</t>
  </si>
  <si>
    <t>On Track Education Centre Westbury</t>
  </si>
  <si>
    <t>BA13 4JY</t>
  </si>
  <si>
    <t>On Track Education Centre Wisbech</t>
  </si>
  <si>
    <t>PE13 2RJ</t>
  </si>
  <si>
    <t>Our Place</t>
  </si>
  <si>
    <t>WR6 5JE</t>
  </si>
  <si>
    <t>ITS446256</t>
  </si>
  <si>
    <t>Red Rose School</t>
  </si>
  <si>
    <t>FY8 2NQ</t>
  </si>
  <si>
    <t>ITS408718</t>
  </si>
  <si>
    <t>Cambian Red Rose School</t>
  </si>
  <si>
    <t>PR5 8LN</t>
  </si>
  <si>
    <t>Ripplevale School</t>
  </si>
  <si>
    <t>CT14 8JG</t>
  </si>
  <si>
    <t>Riverbank Primary School</t>
  </si>
  <si>
    <t>HX6 4DH</t>
  </si>
  <si>
    <t>Roaches School</t>
  </si>
  <si>
    <t>ST8 7AB</t>
  </si>
  <si>
    <t>ITS422711</t>
  </si>
  <si>
    <t>St Paul's</t>
  </si>
  <si>
    <t>B12 8NJ</t>
  </si>
  <si>
    <t>RH19 4HP</t>
  </si>
  <si>
    <t>ITS463916</t>
  </si>
  <si>
    <t>Stepping Stones School Hindhead</t>
  </si>
  <si>
    <t>GU26 6SU</t>
  </si>
  <si>
    <t>Stradbroke</t>
  </si>
  <si>
    <t>IG8 8HD</t>
  </si>
  <si>
    <t>ITS462888</t>
  </si>
  <si>
    <t>The Island Project School</t>
  </si>
  <si>
    <t>CV7 7HQ</t>
  </si>
  <si>
    <t>ITS455552</t>
  </si>
  <si>
    <t>Jigsaw CABAS School</t>
  </si>
  <si>
    <t>GU6 8TB</t>
  </si>
  <si>
    <t>The Linnet Independent Learning Centre</t>
  </si>
  <si>
    <t>DE11 9JE</t>
  </si>
  <si>
    <t>Treasure House London Cic</t>
  </si>
  <si>
    <t>SE15 1JF</t>
  </si>
  <si>
    <t>ITS462896</t>
  </si>
  <si>
    <t>Trinity College</t>
  </si>
  <si>
    <t>LE11 1BA</t>
  </si>
  <si>
    <t>Trinity School and College</t>
  </si>
  <si>
    <t>ME1 1BG</t>
  </si>
  <si>
    <t>ITS463026</t>
  </si>
  <si>
    <t>Hillcrest Glebedale School</t>
  </si>
  <si>
    <t>ST4 3AY</t>
  </si>
  <si>
    <t>ITS446255</t>
  </si>
  <si>
    <t>Abbey College Cambridge</t>
  </si>
  <si>
    <t>CB2 8EB</t>
  </si>
  <si>
    <t>Al-Mahad-Al-Islami</t>
  </si>
  <si>
    <t>S9 5FP</t>
  </si>
  <si>
    <t>Al-Mizan School</t>
  </si>
  <si>
    <t>E1 1JX</t>
  </si>
  <si>
    <t>ITS446127</t>
  </si>
  <si>
    <t>Beis Hatalmud School</t>
  </si>
  <si>
    <t>M7 2FD</t>
  </si>
  <si>
    <t>Beis Malka Belz Girls School</t>
  </si>
  <si>
    <t>M7 2BT</t>
  </si>
  <si>
    <t>Beis Malka Girls' School</t>
  </si>
  <si>
    <t>N16 6XD</t>
  </si>
  <si>
    <t>Beis Medrash Elyon</t>
  </si>
  <si>
    <t>NW9 7DH</t>
  </si>
  <si>
    <t>ITS447235</t>
  </si>
  <si>
    <t>Beis Rochel d'Satmar Girls' School</t>
  </si>
  <si>
    <t>N16 5DL</t>
  </si>
  <si>
    <t>ITS462854</t>
  </si>
  <si>
    <t>Sketchley School</t>
  </si>
  <si>
    <t>LE10 3HT</t>
  </si>
  <si>
    <t>Small Haven School</t>
  </si>
  <si>
    <t>CT12 6PT</t>
  </si>
  <si>
    <t>Smallbrook School</t>
  </si>
  <si>
    <t>SY4 3HE</t>
  </si>
  <si>
    <t>Snowflake School</t>
  </si>
  <si>
    <t>SW5 9SJ</t>
  </si>
  <si>
    <t>The Corner House School (Chs)</t>
  </si>
  <si>
    <t>B98 9BD</t>
  </si>
  <si>
    <t>ITS446283</t>
  </si>
  <si>
    <t>The Davenport School</t>
  </si>
  <si>
    <t>The Dominie School Limited</t>
  </si>
  <si>
    <t>SW11 4DX</t>
  </si>
  <si>
    <t>The Education Centre</t>
  </si>
  <si>
    <t>RH16 1DB</t>
  </si>
  <si>
    <t>The Tutorial Foundation</t>
  </si>
  <si>
    <t>BR1 3HY</t>
  </si>
  <si>
    <t>The Unicorn School</t>
  </si>
  <si>
    <t>OX14 1AA</t>
  </si>
  <si>
    <t>Kingsmere School</t>
  </si>
  <si>
    <t>W14 8UD</t>
  </si>
  <si>
    <t>ITS397656</t>
  </si>
  <si>
    <t>The Yellow House School</t>
  </si>
  <si>
    <t>CO9 3HX</t>
  </si>
  <si>
    <t>Woodcroft School</t>
  </si>
  <si>
    <t>IG10 1SQ</t>
  </si>
  <si>
    <t>Woodlands School</t>
  </si>
  <si>
    <t>BL0 0QL</t>
  </si>
  <si>
    <t>Woodspring School</t>
  </si>
  <si>
    <t>BS22 7YA</t>
  </si>
  <si>
    <t>Al-Noor College</t>
  </si>
  <si>
    <t>B11 4RU</t>
  </si>
  <si>
    <t>Al-Noor Primary School</t>
  </si>
  <si>
    <t>RM6 5SD</t>
  </si>
  <si>
    <t>SW17 7TJ</t>
  </si>
  <si>
    <t>Al-Sadiq and Al-Zahra Schools</t>
  </si>
  <si>
    <t>NW6 6PF</t>
  </si>
  <si>
    <t>ITS452042</t>
  </si>
  <si>
    <t>All Saints School</t>
  </si>
  <si>
    <t>NR12 0DJ</t>
  </si>
  <si>
    <t>Bnei Zion Community School</t>
  </si>
  <si>
    <t>Bnois Jerusalem Girls School</t>
  </si>
  <si>
    <t>ITS386844</t>
  </si>
  <si>
    <t>Bnos Beis Yaakov Primary School</t>
  </si>
  <si>
    <t>NW9 8XR</t>
  </si>
  <si>
    <t>ITS447183</t>
  </si>
  <si>
    <t>Bnos Yisroel School Manchester</t>
  </si>
  <si>
    <t>M7 4DA</t>
  </si>
  <si>
    <t>Colston Bassett School Limited</t>
  </si>
  <si>
    <t>Conifers School</t>
  </si>
  <si>
    <t>GU29 9BG</t>
  </si>
  <si>
    <t>Connaught House School</t>
  </si>
  <si>
    <t>W2 2HL</t>
  </si>
  <si>
    <t>ITS408702</t>
  </si>
  <si>
    <t>Covenant Christian School</t>
  </si>
  <si>
    <t>SK4 4NX</t>
  </si>
  <si>
    <t>Drive Preparatory School</t>
  </si>
  <si>
    <t>BN3 6GE</t>
  </si>
  <si>
    <t>Dudley House School</t>
  </si>
  <si>
    <t>NG31 9AA</t>
  </si>
  <si>
    <t>Kensington Park School</t>
  </si>
  <si>
    <t>SW7 5JP</t>
  </si>
  <si>
    <t>Earlscliffe (Sussex Summer Schools Ltd)</t>
  </si>
  <si>
    <t>CT20 2NB</t>
  </si>
  <si>
    <t>Eastcourt Independent School</t>
  </si>
  <si>
    <t>IG3 8UW</t>
  </si>
  <si>
    <t>ITS447187</t>
  </si>
  <si>
    <t>On Track Education Centre (Silsoe)</t>
  </si>
  <si>
    <t>MK45 4HS</t>
  </si>
  <si>
    <t>St George's Preparatory School &amp; Little Dragons Preschool</t>
  </si>
  <si>
    <t>PE21 7HB</t>
  </si>
  <si>
    <t>St Helens Montessori</t>
  </si>
  <si>
    <t>ME15 0JT</t>
  </si>
  <si>
    <t>St John's Preparatory and Senior School</t>
  </si>
  <si>
    <t>EN6 5QT</t>
  </si>
  <si>
    <t>The Branch Christian School</t>
  </si>
  <si>
    <t>WF13 4LA</t>
  </si>
  <si>
    <t>The Children's House Upper School</t>
  </si>
  <si>
    <t>Islington</t>
  </si>
  <si>
    <t>N1 4PB</t>
  </si>
  <si>
    <t>The Christian School (Takeley)</t>
  </si>
  <si>
    <t>CM22 6QH</t>
  </si>
  <si>
    <t>The Complete Works Independent School</t>
  </si>
  <si>
    <t>E1 6LP</t>
  </si>
  <si>
    <t>ITS429469</t>
  </si>
  <si>
    <t>The Deenway Montessori School</t>
  </si>
  <si>
    <t>Reading</t>
  </si>
  <si>
    <t>RG1 4QX</t>
  </si>
  <si>
    <t>Wharfedale Montessori School</t>
  </si>
  <si>
    <t>BD23 6AN</t>
  </si>
  <si>
    <t>Wickham Court School</t>
  </si>
  <si>
    <t>BR4 9HW</t>
  </si>
  <si>
    <t>Winston House Preparatory School</t>
  </si>
  <si>
    <t>E18 2QS</t>
  </si>
  <si>
    <t>ITS462886</t>
  </si>
  <si>
    <t>Wiznitz Cheder School</t>
  </si>
  <si>
    <t>N16 6QT</t>
  </si>
  <si>
    <t>ITS397705</t>
  </si>
  <si>
    <t>Raise Education and Wellbeing School</t>
  </si>
  <si>
    <t>BL3 3HS</t>
  </si>
  <si>
    <t>St Anthony's School for Girls</t>
  </si>
  <si>
    <t>NW11 7SX</t>
  </si>
  <si>
    <t>New Barn School</t>
  </si>
  <si>
    <t>RH12 3PQ</t>
  </si>
  <si>
    <t>Blackwater Academy</t>
  </si>
  <si>
    <t>B1 3ND</t>
  </si>
  <si>
    <t>Pivot Academy</t>
  </si>
  <si>
    <t>BD19 5LH</t>
  </si>
  <si>
    <t>Kensington Wade</t>
  </si>
  <si>
    <t>W14 8PU</t>
  </si>
  <si>
    <t>Independent Educational Services Long Street</t>
  </si>
  <si>
    <t>CV9 1AY</t>
  </si>
  <si>
    <t>Good Apple Education Company</t>
  </si>
  <si>
    <t>DN21 2NS</t>
  </si>
  <si>
    <t>Huntercombe Hospital School Meadow Lodge</t>
  </si>
  <si>
    <t>TQ13 0DD</t>
  </si>
  <si>
    <t>Cherry Tree School</t>
  </si>
  <si>
    <t>CT9 5QN</t>
  </si>
  <si>
    <t>Darul Uloom Leicester</t>
  </si>
  <si>
    <t>LE4 5LN</t>
  </si>
  <si>
    <t>Darul Uloom London</t>
  </si>
  <si>
    <t>BR7 6SD</t>
  </si>
  <si>
    <t>Darvell School</t>
  </si>
  <si>
    <t>TN32 5DR</t>
  </si>
  <si>
    <t>ITS361340</t>
  </si>
  <si>
    <t>Date Palm Primary School</t>
  </si>
  <si>
    <t>E1 2DE</t>
  </si>
  <si>
    <t>ITS422853</t>
  </si>
  <si>
    <t>Exeter Tutorial College</t>
  </si>
  <si>
    <t>EX2 4TE</t>
  </si>
  <si>
    <t>Fair Ways School</t>
  </si>
  <si>
    <t>SO31 7HE</t>
  </si>
  <si>
    <t>Greek Primary School of London</t>
  </si>
  <si>
    <t>Greek Orthodox</t>
  </si>
  <si>
    <t>W3 9JR</t>
  </si>
  <si>
    <t>Greek Secondary School of London</t>
  </si>
  <si>
    <t>N22 8LB</t>
  </si>
  <si>
    <t>ITS443494</t>
  </si>
  <si>
    <t>Green Crescent Primary School</t>
  </si>
  <si>
    <t>NG6 0DG</t>
  </si>
  <si>
    <t>ITS454301</t>
  </si>
  <si>
    <t>Green Gables Montessori Primary School</t>
  </si>
  <si>
    <t>E1W 2RG</t>
  </si>
  <si>
    <t>Green Heath School</t>
  </si>
  <si>
    <t>B10 0NR</t>
  </si>
  <si>
    <t>Catch22 Include Bristol</t>
  </si>
  <si>
    <t>BS2 8SF</t>
  </si>
  <si>
    <t>Include Schools Norfolk</t>
  </si>
  <si>
    <t>NR3 3UA</t>
  </si>
  <si>
    <t>Catch 22 Include Primary School Suffolk</t>
  </si>
  <si>
    <t>IP8 3AS</t>
  </si>
  <si>
    <t>Al Huda Academy (Jamia Al-Hudaa)</t>
  </si>
  <si>
    <t>S9 3FY</t>
  </si>
  <si>
    <t>Jamia Islamia Birmingham</t>
  </si>
  <si>
    <t>B11 1PL</t>
  </si>
  <si>
    <t>Leicester Community Academy</t>
  </si>
  <si>
    <t>LE5 0JA</t>
  </si>
  <si>
    <t>ITS444500</t>
  </si>
  <si>
    <t>Leicester International School</t>
  </si>
  <si>
    <t>LE2 0AA</t>
  </si>
  <si>
    <t>Leicester Islamic Academy</t>
  </si>
  <si>
    <t>LE2 2PJ</t>
  </si>
  <si>
    <t>Leicester Preparatory School</t>
  </si>
  <si>
    <t>LE2 2AA</t>
  </si>
  <si>
    <t>ITS462912</t>
  </si>
  <si>
    <t>Mechinoh School</t>
  </si>
  <si>
    <t>M7 4HY</t>
  </si>
  <si>
    <t>Mehria School</t>
  </si>
  <si>
    <t>LU4 8JD</t>
  </si>
  <si>
    <t>Menorah Grammar School</t>
  </si>
  <si>
    <t>HA8 0QS</t>
  </si>
  <si>
    <t>W6 0EU</t>
  </si>
  <si>
    <t>ITS408746</t>
  </si>
  <si>
    <t>Orchard School</t>
  </si>
  <si>
    <t>DN22 0DJ</t>
  </si>
  <si>
    <t>Palfrey Girls School</t>
  </si>
  <si>
    <t>WS1 4AB</t>
  </si>
  <si>
    <t>Radlett Preparatory School</t>
  </si>
  <si>
    <t>WD7 7LY</t>
  </si>
  <si>
    <t>Rainbow Montessori School</t>
  </si>
  <si>
    <t>NW6 3PL</t>
  </si>
  <si>
    <t>Rawdhatul Uloom</t>
  </si>
  <si>
    <t>BB10 1LU</t>
  </si>
  <si>
    <t>ITS440216</t>
  </si>
  <si>
    <t>Rawdhatul Uloom Islamic Primary School</t>
  </si>
  <si>
    <t>BB1 5NZ</t>
  </si>
  <si>
    <t>Read Academy</t>
  </si>
  <si>
    <t>IG1 4AD</t>
  </si>
  <si>
    <t>ITS443014</t>
  </si>
  <si>
    <t>Tarbiyyah Primary School</t>
  </si>
  <si>
    <t>UB3 4SA</t>
  </si>
  <si>
    <t>Tashbar of Edgware</t>
  </si>
  <si>
    <t>HA8 8JL</t>
  </si>
  <si>
    <t>Tashbar of Manchester</t>
  </si>
  <si>
    <t>M7 4HL</t>
  </si>
  <si>
    <t>Tawhid Boys School, Tawhid Educational Trust</t>
  </si>
  <si>
    <t>N16 6PA</t>
  </si>
  <si>
    <t>ITS447191</t>
  </si>
  <si>
    <t>Toras Emes</t>
  </si>
  <si>
    <t>M7 4AH</t>
  </si>
  <si>
    <t>TTD Gur School</t>
  </si>
  <si>
    <t>N16 6UX</t>
  </si>
  <si>
    <t>Twycross House Pre-Preparatory School</t>
  </si>
  <si>
    <t>CV9 3PQ</t>
  </si>
  <si>
    <t>ITS443464</t>
  </si>
  <si>
    <t>Reddish Hall School</t>
  </si>
  <si>
    <t>SK5 6RN</t>
  </si>
  <si>
    <t>Chelmsford Hospital School</t>
  </si>
  <si>
    <t>CM1 7SJ</t>
  </si>
  <si>
    <t>REAL Alternative Provision School</t>
  </si>
  <si>
    <t>NG18 2AD</t>
  </si>
  <si>
    <t>The GFC School</t>
  </si>
  <si>
    <t>ME7 4DD</t>
  </si>
  <si>
    <t>Talmud Torah London</t>
  </si>
  <si>
    <t>Progress Schools - Toxteth</t>
  </si>
  <si>
    <t>L8 8HD</t>
  </si>
  <si>
    <t>The Ryes College and Community</t>
  </si>
  <si>
    <t>CO10 5NA</t>
  </si>
  <si>
    <t>Foundation Bridge Academy</t>
  </si>
  <si>
    <t>ST6 1JJ</t>
  </si>
  <si>
    <t>Cheshire Alternative Provision School</t>
  </si>
  <si>
    <t>CW12 1EH</t>
  </si>
  <si>
    <t>Bluebell School</t>
  </si>
  <si>
    <t>ST7 1EH</t>
  </si>
  <si>
    <t>Mill Cottage Montessori School</t>
  </si>
  <si>
    <t>HD6 4HA</t>
  </si>
  <si>
    <t>Milverton House School</t>
  </si>
  <si>
    <t>CV11 4NS</t>
  </si>
  <si>
    <t>Moor Allerton Preparatory School</t>
  </si>
  <si>
    <t>M20 2PW</t>
  </si>
  <si>
    <t>Paradise Primary School</t>
  </si>
  <si>
    <t>WF12 9BB</t>
  </si>
  <si>
    <t>Paragon Christian Academy</t>
  </si>
  <si>
    <t>E5 0JP</t>
  </si>
  <si>
    <t>Pardes House Grammar School</t>
  </si>
  <si>
    <t>N3 1SA</t>
  </si>
  <si>
    <t>Park School</t>
  </si>
  <si>
    <t>TQ9 6EQ</t>
  </si>
  <si>
    <t>St Albans Independent College</t>
  </si>
  <si>
    <t>AL1 1LN</t>
  </si>
  <si>
    <t>St Andrew's College</t>
  </si>
  <si>
    <t>NN1 5HQ</t>
  </si>
  <si>
    <t>St Christopher's School</t>
  </si>
  <si>
    <t>CT1 3DT</t>
  </si>
  <si>
    <t>ITS452710</t>
  </si>
  <si>
    <t>St Christophers The Hall School</t>
  </si>
  <si>
    <t>BR3 5PA</t>
  </si>
  <si>
    <t>St John's Wood Pre-Preparatory School</t>
  </si>
  <si>
    <t>NW8 7NE</t>
  </si>
  <si>
    <t>ITS385071</t>
  </si>
  <si>
    <t>M7 2AU</t>
  </si>
  <si>
    <t>Talmud Torah Machzikei Hadass School</t>
  </si>
  <si>
    <t>E5 9SN</t>
  </si>
  <si>
    <t>ITS422689</t>
  </si>
  <si>
    <t>Talmud Torah Tiferes Shlomoh</t>
  </si>
  <si>
    <t>NW11 9TB</t>
  </si>
  <si>
    <t>The King's School</t>
  </si>
  <si>
    <t>RG21 8SR</t>
  </si>
  <si>
    <t>AL5 4DU</t>
  </si>
  <si>
    <t>The Lambs Christian School</t>
  </si>
  <si>
    <t>B19 1AY</t>
  </si>
  <si>
    <t>The London Acorn School</t>
  </si>
  <si>
    <t>SM4 5JD</t>
  </si>
  <si>
    <t>Tiferes</t>
  </si>
  <si>
    <t>M7 2JR</t>
  </si>
  <si>
    <t>Tiferes High School</t>
  </si>
  <si>
    <t>NW4 2TA</t>
  </si>
  <si>
    <t>ITS447170</t>
  </si>
  <si>
    <t>NG5 5HN</t>
  </si>
  <si>
    <t>TLG - South East Birmingham</t>
  </si>
  <si>
    <t>B14 4BN</t>
  </si>
  <si>
    <t>TLG Manchester</t>
  </si>
  <si>
    <t>M9 5US</t>
  </si>
  <si>
    <t>ITS454292</t>
  </si>
  <si>
    <t>Oscott Academy</t>
  </si>
  <si>
    <t>B23 5AP</t>
  </si>
  <si>
    <t>Manchester Vocational and Learning Academy</t>
  </si>
  <si>
    <t>M19 3AQ</t>
  </si>
  <si>
    <t>SK4 5HS</t>
  </si>
  <si>
    <t>S75 3DH</t>
  </si>
  <si>
    <t>Cambian Bletchley Park School</t>
  </si>
  <si>
    <t>Milton Keynes</t>
  </si>
  <si>
    <t>MK3 7EB</t>
  </si>
  <si>
    <t>Broadbeck Learning Centre</t>
  </si>
  <si>
    <t>BD6 2LE</t>
  </si>
  <si>
    <t>Horton School Beverley</t>
  </si>
  <si>
    <t>HU17 0BG</t>
  </si>
  <si>
    <t>New Level Academy</t>
  </si>
  <si>
    <t>NW10 8LW</t>
  </si>
  <si>
    <t>Bridge Training and Development</t>
  </si>
  <si>
    <t>WR8 0DX</t>
  </si>
  <si>
    <t>Prestwich Preparatory School</t>
  </si>
  <si>
    <t>M25 1PZ</t>
  </si>
  <si>
    <t>Priory School</t>
  </si>
  <si>
    <t>Isle of Wight</t>
  </si>
  <si>
    <t>PO32 6LP</t>
  </si>
  <si>
    <t>ITS397611</t>
  </si>
  <si>
    <t>Promised Land Academy</t>
  </si>
  <si>
    <t>E13 8SR</t>
  </si>
  <si>
    <t>Prospect House</t>
  </si>
  <si>
    <t>LA5 9TG</t>
  </si>
  <si>
    <t>Schoolhouse Education</t>
  </si>
  <si>
    <t>SE2 9LZ</t>
  </si>
  <si>
    <t>Shernold School</t>
  </si>
  <si>
    <t>ME16 0ER</t>
  </si>
  <si>
    <t>Silverhill School</t>
  </si>
  <si>
    <t>BS36 1RL</t>
  </si>
  <si>
    <t>St. Andrew's College Cambridge</t>
  </si>
  <si>
    <t>CB1 2JB</t>
  </si>
  <si>
    <t>ITS446379</t>
  </si>
  <si>
    <t>Stanborough Primary School</t>
  </si>
  <si>
    <t>WD25 0DQ</t>
  </si>
  <si>
    <t>The Eden SDA School</t>
  </si>
  <si>
    <t>W3 8JY</t>
  </si>
  <si>
    <t>The Fountain</t>
  </si>
  <si>
    <t>BD5 8BP</t>
  </si>
  <si>
    <t>The From Boyhood To Manhood Foundation</t>
  </si>
  <si>
    <t>SE15 6EF</t>
  </si>
  <si>
    <t>ITS385632</t>
  </si>
  <si>
    <t>The Shrubbery School</t>
  </si>
  <si>
    <t>B76 1HY</t>
  </si>
  <si>
    <t>The St Anne's College Grammar School</t>
  </si>
  <si>
    <t>FY8 1HN</t>
  </si>
  <si>
    <t>The Swedish School</t>
  </si>
  <si>
    <t>SW13 9JS</t>
  </si>
  <si>
    <t>The Treehouse School</t>
  </si>
  <si>
    <t>OX10 9LG</t>
  </si>
  <si>
    <t>Walthamstow Montessori School</t>
  </si>
  <si>
    <t>E17 5DA</t>
  </si>
  <si>
    <t>Ward End Community College</t>
  </si>
  <si>
    <t>B8 2LS</t>
  </si>
  <si>
    <t>ITS454273</t>
  </si>
  <si>
    <t>Wentworth Tutorial College</t>
  </si>
  <si>
    <t>NW11 9LH</t>
  </si>
  <si>
    <t>ITS386849</t>
  </si>
  <si>
    <t>Westminster Tutors</t>
  </si>
  <si>
    <t>SW7 3LQ</t>
  </si>
  <si>
    <t>ITS454302</t>
  </si>
  <si>
    <t>Westwood High</t>
  </si>
  <si>
    <t>OL9 6HR</t>
  </si>
  <si>
    <t>The Haven School</t>
  </si>
  <si>
    <t>ST17 9DJ</t>
  </si>
  <si>
    <t>Cheadle Hospital School</t>
  </si>
  <si>
    <t>SK8 3DG</t>
  </si>
  <si>
    <t>Lower Pastures</t>
  </si>
  <si>
    <t>BB3 3QP</t>
  </si>
  <si>
    <t>North London Hospital School</t>
  </si>
  <si>
    <t>N14 6RA</t>
  </si>
  <si>
    <t>TLG Bolton</t>
  </si>
  <si>
    <t>BL4 9AL</t>
  </si>
  <si>
    <t>FUEL</t>
  </si>
  <si>
    <t>NG5 1DX</t>
  </si>
  <si>
    <t>Dar-Ul-Madinah</t>
  </si>
  <si>
    <t>BB2 6HD</t>
  </si>
  <si>
    <t>The Place Independent School</t>
  </si>
  <si>
    <t>NG13 0EA</t>
  </si>
  <si>
    <t>Gloucestershire International School</t>
  </si>
  <si>
    <t>GL1 3PT</t>
  </si>
  <si>
    <t>SW!TCH Borders</t>
  </si>
  <si>
    <t>RM8 2UT</t>
  </si>
  <si>
    <t>Bradford Christian School</t>
  </si>
  <si>
    <t>BD2 1BT</t>
  </si>
  <si>
    <t>Bramdean School</t>
  </si>
  <si>
    <t>EX1 2QR</t>
  </si>
  <si>
    <t>Break Through</t>
  </si>
  <si>
    <t>DA17 5JX</t>
  </si>
  <si>
    <t>ITS443027</t>
  </si>
  <si>
    <t>City United Academy (CUA)</t>
  </si>
  <si>
    <t>ITS408670</t>
  </si>
  <si>
    <t>Dallington School</t>
  </si>
  <si>
    <t>EC1V 0BW</t>
  </si>
  <si>
    <t>Darul Hadis Latifiah</t>
  </si>
  <si>
    <t>E2 0HW</t>
  </si>
  <si>
    <t>Epic Learning Independent School</t>
  </si>
  <si>
    <t>Eternal Light Secondary School</t>
  </si>
  <si>
    <t>BD5 9DH</t>
  </si>
  <si>
    <t>Etz Chaim Boys School</t>
  </si>
  <si>
    <t>Gracefield Preparatory School</t>
  </si>
  <si>
    <t>BS16 2RG</t>
  </si>
  <si>
    <t>Grafton House Preparatory School</t>
  </si>
  <si>
    <t>OL6 6XB</t>
  </si>
  <si>
    <t>Grantham Farm Montessori School</t>
  </si>
  <si>
    <t>RG26 5JS</t>
  </si>
  <si>
    <t>High Elms Manor School</t>
  </si>
  <si>
    <t>WD25 0JX</t>
  </si>
  <si>
    <t>Hill House International Junior School</t>
  </si>
  <si>
    <t>SW1X 0EP</t>
  </si>
  <si>
    <t>Homeschool</t>
  </si>
  <si>
    <t>WS10 0GB</t>
  </si>
  <si>
    <t>House of Light</t>
  </si>
  <si>
    <t>CV11 5RB</t>
  </si>
  <si>
    <t>ITS440219</t>
  </si>
  <si>
    <t>Islamia Girls' High School</t>
  </si>
  <si>
    <t>Islamia School for Girls'</t>
  </si>
  <si>
    <t>NW6 6PE</t>
  </si>
  <si>
    <t xml:space="preserve">Islamic Preparatory School Wolverhampton </t>
  </si>
  <si>
    <t>Wolverhampton</t>
  </si>
  <si>
    <t>WV1 4RA</t>
  </si>
  <si>
    <t>N15 5RG</t>
  </si>
  <si>
    <t>ITS464982</t>
  </si>
  <si>
    <t>W1B 1LS</t>
  </si>
  <si>
    <t>ITS422857</t>
  </si>
  <si>
    <t>La Chouette School</t>
  </si>
  <si>
    <t>W5 2PJ</t>
  </si>
  <si>
    <t>ITS397703</t>
  </si>
  <si>
    <t>La Petite Ecole Bilingue</t>
  </si>
  <si>
    <t>W10 5UW</t>
  </si>
  <si>
    <t>NW5 4NL</t>
  </si>
  <si>
    <t>La Petite Ecole Francaise</t>
  </si>
  <si>
    <t>W10 6EJ</t>
  </si>
  <si>
    <t>ITS361320</t>
  </si>
  <si>
    <t>Luton Pentecostal Church Christian Academy</t>
  </si>
  <si>
    <t>LU1 3JE</t>
  </si>
  <si>
    <t>Lycee Francais Charles de Gaulle</t>
  </si>
  <si>
    <t>SW7 2DG</t>
  </si>
  <si>
    <t>ITS397589</t>
  </si>
  <si>
    <t>Elite Grammar School</t>
  </si>
  <si>
    <t>BD5 0HT</t>
  </si>
  <si>
    <t>Madani Primary School</t>
  </si>
  <si>
    <t>Portsmouth</t>
  </si>
  <si>
    <t>PO1 4JZ</t>
  </si>
  <si>
    <t>Full Circle Education</t>
  </si>
  <si>
    <t>SE3 8ND</t>
  </si>
  <si>
    <t>ITS443035</t>
  </si>
  <si>
    <t>Future First Independent School</t>
  </si>
  <si>
    <t>B18 7RL</t>
  </si>
  <si>
    <t>Gateshead Jewish Boarding School</t>
  </si>
  <si>
    <t>NE8 1HG</t>
  </si>
  <si>
    <t>Haddon Dene School</t>
  </si>
  <si>
    <t>CT10 2HY</t>
  </si>
  <si>
    <t>Halcyon London International School</t>
  </si>
  <si>
    <t>W1H 5AU</t>
  </si>
  <si>
    <t>Hall Cliffe School</t>
  </si>
  <si>
    <t>WF4 6BB</t>
  </si>
  <si>
    <t>Institute of Islamic Education</t>
  </si>
  <si>
    <t>WF12 9NG</t>
  </si>
  <si>
    <t>Instituto Espanol Canada Blanch</t>
  </si>
  <si>
    <t>W10 5SZ</t>
  </si>
  <si>
    <t>ITS420175</t>
  </si>
  <si>
    <t>International Community School</t>
  </si>
  <si>
    <t>ITS442983</t>
  </si>
  <si>
    <t>International School of London</t>
  </si>
  <si>
    <t>W3 8LG</t>
  </si>
  <si>
    <t>TS3 8BT</t>
  </si>
  <si>
    <t>Khalsa College London</t>
  </si>
  <si>
    <t>HA1 4ES</t>
  </si>
  <si>
    <t>ITS454276</t>
  </si>
  <si>
    <t>Kimichi School</t>
  </si>
  <si>
    <t>B27 6LL</t>
  </si>
  <si>
    <t>ITS462986</t>
  </si>
  <si>
    <t>King Fahad Academy</t>
  </si>
  <si>
    <t>W3 7HD</t>
  </si>
  <si>
    <t>Lion House School</t>
  </si>
  <si>
    <t>SW15 6EH</t>
  </si>
  <si>
    <t>ITS443488</t>
  </si>
  <si>
    <t>London Bunka Yochien School</t>
  </si>
  <si>
    <t>W3 0BP</t>
  </si>
  <si>
    <t>London Christian Learning Centre</t>
  </si>
  <si>
    <t>E12 5AD</t>
  </si>
  <si>
    <t>London East Academy</t>
  </si>
  <si>
    <t>Manchester Junior Girls' School</t>
  </si>
  <si>
    <t>M7 4JA</t>
  </si>
  <si>
    <t>Manchester Muslim Preparatory School</t>
  </si>
  <si>
    <t>M20 4BA</t>
  </si>
  <si>
    <t>Manchester Senior Girls School</t>
  </si>
  <si>
    <t>M7 4GB</t>
  </si>
  <si>
    <t>Manchester Settlement</t>
  </si>
  <si>
    <t>M11 1JG</t>
  </si>
  <si>
    <t>Noor Ul Islam Primary School</t>
  </si>
  <si>
    <t>E10 6QW</t>
  </si>
  <si>
    <t>Norman Court School</t>
  </si>
  <si>
    <t>SP5 1NH</t>
  </si>
  <si>
    <t>ITS462905</t>
  </si>
  <si>
    <t>North London Grammar School</t>
  </si>
  <si>
    <t>NW9 6HB</t>
  </si>
  <si>
    <t>ITS422772</t>
  </si>
  <si>
    <t>North Road Academy</t>
  </si>
  <si>
    <t>ST6 2BP</t>
  </si>
  <si>
    <t>ITS422847</t>
  </si>
  <si>
    <t>Redstone Educational Academy</t>
  </si>
  <si>
    <t>B12 9AN</t>
  </si>
  <si>
    <t>Reedham Park School Limited</t>
  </si>
  <si>
    <t>CR8 4DN</t>
  </si>
  <si>
    <t>ITS443493</t>
  </si>
  <si>
    <t>Right Choice Independent Special School</t>
  </si>
  <si>
    <t>SE18 6BB</t>
  </si>
  <si>
    <t>ITS422763</t>
  </si>
  <si>
    <t>Rikkyo School-in-England</t>
  </si>
  <si>
    <t>Anglican/Christian</t>
  </si>
  <si>
    <t>RH12 3BE</t>
  </si>
  <si>
    <t>ITS446181</t>
  </si>
  <si>
    <t>RISE Education</t>
  </si>
  <si>
    <t>CR4 3ED</t>
  </si>
  <si>
    <t>ITS462890</t>
  </si>
  <si>
    <t>River House Montessori School</t>
  </si>
  <si>
    <t>E14 9XP</t>
  </si>
  <si>
    <t>ITS364208</t>
  </si>
  <si>
    <t>Rochdale Islamic Academy</t>
  </si>
  <si>
    <t>OL12 0HZ</t>
  </si>
  <si>
    <t>Rose House Montessori School</t>
  </si>
  <si>
    <t>SE23 2UJ</t>
  </si>
  <si>
    <t>Rosslyn School</t>
  </si>
  <si>
    <t>B28 9JB</t>
  </si>
  <si>
    <t>St Mary's Independent School</t>
  </si>
  <si>
    <t>SO18 4DJ</t>
  </si>
  <si>
    <t>ITS408714</t>
  </si>
  <si>
    <t>St Mary's Hare Park School</t>
  </si>
  <si>
    <t>RM2 6HH</t>
  </si>
  <si>
    <t>ITS443495</t>
  </si>
  <si>
    <t>St Philip's School</t>
  </si>
  <si>
    <t>SW7 4NE</t>
  </si>
  <si>
    <t>ITS420169</t>
  </si>
  <si>
    <t>Tayyibah Girls' School</t>
  </si>
  <si>
    <t>N16 6JJ</t>
  </si>
  <si>
    <t>The Academy School</t>
  </si>
  <si>
    <t>NW3 1NG</t>
  </si>
  <si>
    <t>The Acorn School</t>
  </si>
  <si>
    <t>GL6 0BP</t>
  </si>
  <si>
    <t>The American School in London</t>
  </si>
  <si>
    <t>NW8 0NP</t>
  </si>
  <si>
    <t>ITS408703</t>
  </si>
  <si>
    <t>The Norwegian School in London</t>
  </si>
  <si>
    <t>The Pier Head Preparatory Montessori School</t>
  </si>
  <si>
    <t>E1W 3TD</t>
  </si>
  <si>
    <t>The Roche School</t>
  </si>
  <si>
    <t>SW18 1HW</t>
  </si>
  <si>
    <t>ITS443487</t>
  </si>
  <si>
    <t>The School of the Islamic Republic of Iran</t>
  </si>
  <si>
    <t>NW6 5HE</t>
  </si>
  <si>
    <t>Unity Girls High School</t>
  </si>
  <si>
    <t>NW9 7DY</t>
  </si>
  <si>
    <t>ITS397700</t>
  </si>
  <si>
    <t>Vishnitz Girls School</t>
  </si>
  <si>
    <t>Wakefield Independent School</t>
  </si>
  <si>
    <t>WF4 1QG</t>
  </si>
  <si>
    <t>Stafford Hall School</t>
  </si>
  <si>
    <t>HX3 0AW</t>
  </si>
  <si>
    <t>Huntercombe Hospital School Maidenhead</t>
  </si>
  <si>
    <t>SL6 0PQ</t>
  </si>
  <si>
    <t>My Choice School Osprey House</t>
  </si>
  <si>
    <t>Lycee International De Londres</t>
  </si>
  <si>
    <t>HA9 9LY</t>
  </si>
  <si>
    <t>Ecole Jeannine Manuel</t>
  </si>
  <si>
    <t>WC1B 3DN</t>
  </si>
  <si>
    <t>The Jam Academy</t>
  </si>
  <si>
    <t>SL7 2LS</t>
  </si>
  <si>
    <t>Active Support Education Centre</t>
  </si>
  <si>
    <t>LU3 1RJ</t>
  </si>
  <si>
    <t>Hall Cliffe Primary School</t>
  </si>
  <si>
    <t>WF2 0QB</t>
  </si>
  <si>
    <t>Excel and Exceed Centre</t>
  </si>
  <si>
    <t>BL8 2BS</t>
  </si>
  <si>
    <t>Horatio House Independent School</t>
  </si>
  <si>
    <t>NR32 5LL</t>
  </si>
  <si>
    <t>Columbus House</t>
  </si>
  <si>
    <t>HX2 0TX</t>
  </si>
  <si>
    <t>Tlg Wakefield</t>
  </si>
  <si>
    <t>WF6 1NT</t>
  </si>
  <si>
    <t>The National Mathematics and Science College</t>
  </si>
  <si>
    <t>CV4 8JB</t>
  </si>
  <si>
    <t>Gloverspiece</t>
  </si>
  <si>
    <t>WR9 0RQ</t>
  </si>
  <si>
    <t>Newbury School</t>
  </si>
  <si>
    <t>B19 2SW</t>
  </si>
  <si>
    <t>The Retreat</t>
  </si>
  <si>
    <t>TF6 6PN</t>
  </si>
  <si>
    <t>Yeshiva Lezeirim Preparatory Academy</t>
  </si>
  <si>
    <t>NE8 4EF</t>
  </si>
  <si>
    <t>Eden School</t>
  </si>
  <si>
    <t>SK10 3LQ</t>
  </si>
  <si>
    <t>Ashbrooke School</t>
  </si>
  <si>
    <t>SR2 7JA</t>
  </si>
  <si>
    <t>Advance Education</t>
  </si>
  <si>
    <t>NW10 7TR</t>
  </si>
  <si>
    <t>Arbour House</t>
  </si>
  <si>
    <t>DT4 7QF</t>
  </si>
  <si>
    <t>KWS School</t>
  </si>
  <si>
    <t>MK2 3HU</t>
  </si>
  <si>
    <t>Eaton Square Upper School, Mayfair</t>
  </si>
  <si>
    <t>W1J 7NL</t>
  </si>
  <si>
    <t>Edith Kay Independent School</t>
  </si>
  <si>
    <t>NW10 8HR</t>
  </si>
  <si>
    <t>Alamiyah School</t>
  </si>
  <si>
    <t>RM8 2ES</t>
  </si>
  <si>
    <t>Watchorn Christian School</t>
  </si>
  <si>
    <t>DE55 7AQ</t>
  </si>
  <si>
    <t>E-Spired</t>
  </si>
  <si>
    <t>MK42 9TW</t>
  </si>
  <si>
    <t>Releasing Potential</t>
  </si>
  <si>
    <t>PO9 1LS</t>
  </si>
  <si>
    <t>Education My Life Matters</t>
  </si>
  <si>
    <t>SE26 6AD</t>
  </si>
  <si>
    <t>Reflections Small School</t>
  </si>
  <si>
    <t>BN11 1PS</t>
  </si>
  <si>
    <t>Wood Edge Independent School</t>
  </si>
  <si>
    <t>L39 4UL</t>
  </si>
  <si>
    <t>Totnes Progressive School</t>
  </si>
  <si>
    <t>TQ9 5JT</t>
  </si>
  <si>
    <t>Hillcrest New Barn</t>
  </si>
  <si>
    <t>RG20 8HZ</t>
  </si>
  <si>
    <t>Lubavitch Senior Boys' School</t>
  </si>
  <si>
    <t>E5 9AE</t>
  </si>
  <si>
    <t>The Orchard</t>
  </si>
  <si>
    <t>DN37 9PH</t>
  </si>
  <si>
    <t>SBC School</t>
  </si>
  <si>
    <t>South Tyneside</t>
  </si>
  <si>
    <t>NE32 5RR</t>
  </si>
  <si>
    <t>Compass Community School South</t>
  </si>
  <si>
    <t>BN9 0NS</t>
  </si>
  <si>
    <t>Embleton View</t>
  </si>
  <si>
    <t>DL2 3DL</t>
  </si>
  <si>
    <t>Dovecote School</t>
  </si>
  <si>
    <t>HR9 6PB</t>
  </si>
  <si>
    <t>Take 1 Learning Centre</t>
  </si>
  <si>
    <t>NG7 6BE</t>
  </si>
  <si>
    <t>Kingsbrook School</t>
  </si>
  <si>
    <t>IP25 7TJ</t>
  </si>
  <si>
    <t>New Forest Small School</t>
  </si>
  <si>
    <t>SO43 7BU</t>
  </si>
  <si>
    <t>ITS447181</t>
  </si>
  <si>
    <t>New Horizon Community School</t>
  </si>
  <si>
    <t>LS7 4JE</t>
  </si>
  <si>
    <t>Parkgate House School</t>
  </si>
  <si>
    <t>SW4 9SD</t>
  </si>
  <si>
    <t>ITS443489</t>
  </si>
  <si>
    <t>Peninim</t>
  </si>
  <si>
    <t>NW4 2NL</t>
  </si>
  <si>
    <t>N9 8LD</t>
  </si>
  <si>
    <t>Phoenix U16 Independent School</t>
  </si>
  <si>
    <t>ST1 4AF</t>
  </si>
  <si>
    <t>Soaring High Montessori School</t>
  </si>
  <si>
    <t>CO6 1TH</t>
  </si>
  <si>
    <t>Sol Christian Academy</t>
  </si>
  <si>
    <t>M12 6EL</t>
  </si>
  <si>
    <t>South Park Enterprise College (11-19)</t>
  </si>
  <si>
    <t>DN17 2TX</t>
  </si>
  <si>
    <t>ITS463010</t>
  </si>
  <si>
    <t>Sporting Stars Academy</t>
  </si>
  <si>
    <t>ST2 7AS</t>
  </si>
  <si>
    <t>ITS462985</t>
  </si>
  <si>
    <t>Sunrise Primary School</t>
  </si>
  <si>
    <t>N17 0EX</t>
  </si>
  <si>
    <t>Switched-On Christian School</t>
  </si>
  <si>
    <t>BH2 6NA</t>
  </si>
  <si>
    <t>Sycamore Hall Preparatory School</t>
  </si>
  <si>
    <t>DN4 8PT</t>
  </si>
  <si>
    <t>The Gateshead Cheder Primary School</t>
  </si>
  <si>
    <t>NE8 3HY</t>
  </si>
  <si>
    <t>The German School</t>
  </si>
  <si>
    <t>TW10 7AH</t>
  </si>
  <si>
    <t>ITS441612</t>
  </si>
  <si>
    <t>The Green Room</t>
  </si>
  <si>
    <t>SL4 5BU</t>
  </si>
  <si>
    <t>The Hall School</t>
  </si>
  <si>
    <t>HA6 2RB</t>
  </si>
  <si>
    <t>ITS341952</t>
  </si>
  <si>
    <t>The Harrodian School</t>
  </si>
  <si>
    <t>SW13 9QN</t>
  </si>
  <si>
    <t>ITS387062</t>
  </si>
  <si>
    <t>The Wisdom Academy</t>
  </si>
  <si>
    <t>B7 4HY</t>
  </si>
  <si>
    <t>Thomas's Battersea</t>
  </si>
  <si>
    <t>SW11 3JB</t>
  </si>
  <si>
    <t>Thomas's Clapham</t>
  </si>
  <si>
    <t>SW11 6JZ</t>
  </si>
  <si>
    <t>Thomas's Fulham</t>
  </si>
  <si>
    <t>SW6 3ES</t>
  </si>
  <si>
    <t>ITS443472</t>
  </si>
  <si>
    <t>Yorston Lodge School</t>
  </si>
  <si>
    <t>WA16 0DP</t>
  </si>
  <si>
    <t>Young Dancers Academy</t>
  </si>
  <si>
    <t>W12 8AR</t>
  </si>
  <si>
    <t>Ysgol Gymraeg Llundain, London Welsh School</t>
  </si>
  <si>
    <t>W7 1PD</t>
  </si>
  <si>
    <t>Zakaria Muslim Girls' High School</t>
  </si>
  <si>
    <t>WF17 6AJ</t>
  </si>
  <si>
    <t>The Write Time</t>
  </si>
  <si>
    <t>CR0 2XX</t>
  </si>
  <si>
    <t>The Shires At Oakham</t>
  </si>
  <si>
    <t>LE15 6JB</t>
  </si>
  <si>
    <t>Evergreen School</t>
  </si>
  <si>
    <t>ST10 2LP</t>
  </si>
  <si>
    <t>Imedia School</t>
  </si>
  <si>
    <t>B23 6UT</t>
  </si>
  <si>
    <t>St Joseph's Convent Independent Preparatory School</t>
  </si>
  <si>
    <t>DA12 1NR</t>
  </si>
  <si>
    <t>T T T Y Y School</t>
  </si>
  <si>
    <t>N16 5NH</t>
  </si>
  <si>
    <t>Talmud Torah Bobov Primary School</t>
  </si>
  <si>
    <t>N16 6UE</t>
  </si>
  <si>
    <t>ITS464155</t>
  </si>
  <si>
    <t>Talmud Torah Chaim Meirim Wiznitz School</t>
  </si>
  <si>
    <t>N16 6XB</t>
  </si>
  <si>
    <t>The Imam Muhammad Adam Institute  School</t>
  </si>
  <si>
    <t>LE5 5AY</t>
  </si>
  <si>
    <t>The Japanese School</t>
  </si>
  <si>
    <t>W3 9PU</t>
  </si>
  <si>
    <t>The Kensington School</t>
  </si>
  <si>
    <t>W8 5HN</t>
  </si>
  <si>
    <t>The Viking School</t>
  </si>
  <si>
    <t>PE25 2QJ</t>
  </si>
  <si>
    <t>The Villa</t>
  </si>
  <si>
    <t>SE15 5AH</t>
  </si>
  <si>
    <t>ITS420194</t>
  </si>
  <si>
    <t>The Village School</t>
  </si>
  <si>
    <t>NW3 2YN</t>
  </si>
  <si>
    <t>The White House School</t>
  </si>
  <si>
    <t>SY13 2AA</t>
  </si>
  <si>
    <t>Woodhill Preparatory School</t>
  </si>
  <si>
    <t>SO30 2ER</t>
  </si>
  <si>
    <t>Woodstock Girls' School</t>
  </si>
  <si>
    <t>B13 9BB</t>
  </si>
  <si>
    <t>Yeshivah Ohr Torah School</t>
  </si>
  <si>
    <t>M7 4FX</t>
  </si>
  <si>
    <t>ITS422716</t>
  </si>
  <si>
    <t>Yesodey Hatorah School</t>
  </si>
  <si>
    <t>N16 5AE</t>
  </si>
  <si>
    <t>Manorway Academy</t>
  </si>
  <si>
    <t>ME4 6BA</t>
  </si>
  <si>
    <t>Garden City Montessori School</t>
  </si>
  <si>
    <t>SG6 4UE</t>
  </si>
  <si>
    <t>Wemms Education Centre</t>
  </si>
  <si>
    <t>KT21 1AZ</t>
  </si>
  <si>
    <t>Delta Independent School</t>
  </si>
  <si>
    <t>DH8 5DH</t>
  </si>
  <si>
    <t>Bow Street School</t>
  </si>
  <si>
    <t>WV14 7NB</t>
  </si>
  <si>
    <t>The Llewellyn School and Nursery</t>
  </si>
  <si>
    <t>CT9 5DU</t>
  </si>
  <si>
    <t>Cambian Spring Hill</t>
  </si>
  <si>
    <t>HG4 3HN</t>
  </si>
  <si>
    <t>Phoenix School of Therapeutic Education</t>
  </si>
  <si>
    <t>S2 3PX</t>
  </si>
  <si>
    <t>Ticehurst Hospital School</t>
  </si>
  <si>
    <t>TN5 7HU</t>
  </si>
  <si>
    <t>Pennine House School</t>
  </si>
  <si>
    <t>BL9 7TD</t>
  </si>
  <si>
    <t>Peak Education Stoke</t>
  </si>
  <si>
    <t>ST1 4LY</t>
  </si>
  <si>
    <t>TLG Lewisham</t>
  </si>
  <si>
    <t>SE13 7FY</t>
  </si>
  <si>
    <t>Aurora Hanley School</t>
  </si>
  <si>
    <t>ST2 8LY</t>
  </si>
  <si>
    <t>Queensgate College</t>
  </si>
  <si>
    <t>Nightingale House School</t>
  </si>
  <si>
    <t>HX7 5RP</t>
  </si>
  <si>
    <t>Lincoln House School</t>
  </si>
  <si>
    <t>BB12 0QZ</t>
  </si>
  <si>
    <t>Parkview Academy</t>
  </si>
  <si>
    <t>CT9 2AN</t>
  </si>
  <si>
    <t>The Wasp Centre</t>
  </si>
  <si>
    <t>SP2 7PY</t>
  </si>
  <si>
    <t>Wetherby Kensington</t>
  </si>
  <si>
    <t>SW5 0JN</t>
  </si>
  <si>
    <t>Clovelly House School</t>
  </si>
  <si>
    <t>LE67 1AP</t>
  </si>
  <si>
    <t>Beechtree Steiner Initiative</t>
  </si>
  <si>
    <t>LS7 4HZ</t>
  </si>
  <si>
    <t>Hidelow Grange School</t>
  </si>
  <si>
    <t>WR6 5AH</t>
  </si>
  <si>
    <t>Kings Brighton</t>
  </si>
  <si>
    <t>BN1 4SB</t>
  </si>
  <si>
    <t>Azbuka Russian-English Bilingual School</t>
  </si>
  <si>
    <t>SW14 8NH</t>
  </si>
  <si>
    <t>TLG Newcastle</t>
  </si>
  <si>
    <t>NE12 8UZ</t>
  </si>
  <si>
    <t>Rotunda Ltd</t>
  </si>
  <si>
    <t>L5 2PL</t>
  </si>
  <si>
    <t>The Rowan School</t>
  </si>
  <si>
    <t>WV14 8XH</t>
  </si>
  <si>
    <t>Maple House</t>
  </si>
  <si>
    <t>BB4 6LN</t>
  </si>
  <si>
    <t>Youth Works Community College</t>
  </si>
  <si>
    <t>NN16 9HX</t>
  </si>
  <si>
    <t>The Belsteads School</t>
  </si>
  <si>
    <t>CM3 3PP</t>
  </si>
  <si>
    <t>Peregrinate Ltd</t>
  </si>
  <si>
    <t>L34 1PB</t>
  </si>
  <si>
    <t>CO13 9PW</t>
  </si>
  <si>
    <t>Tram House School</t>
  </si>
  <si>
    <t>Allen House Independent School</t>
  </si>
  <si>
    <t>SW15 1SZ</t>
  </si>
  <si>
    <t>Olive Secondary Girls</t>
  </si>
  <si>
    <t>M24 4BD</t>
  </si>
  <si>
    <t>On Track Education Centre Barnstaple</t>
  </si>
  <si>
    <t>EX32 8PA</t>
  </si>
  <si>
    <t>Rida Girls' High School</t>
  </si>
  <si>
    <t>WF12 9NQ</t>
  </si>
  <si>
    <t>Olive High Ltd</t>
  </si>
  <si>
    <t>BB10 1LJ</t>
  </si>
  <si>
    <t>Open Box Education Centre</t>
  </si>
  <si>
    <t>CM16 5DN</t>
  </si>
  <si>
    <t>Central Birmingham Education Centre</t>
  </si>
  <si>
    <t>B18 7HF</t>
  </si>
  <si>
    <t>Assure Community College</t>
  </si>
  <si>
    <t>SO16 6RB</t>
  </si>
  <si>
    <t>Progress Schools - Wirral</t>
  </si>
  <si>
    <t>CH41 4EA</t>
  </si>
  <si>
    <t>Provider open / closed status</t>
  </si>
  <si>
    <t>Open</t>
  </si>
  <si>
    <t>NULL</t>
  </si>
  <si>
    <t>Have all standards been met</t>
  </si>
  <si>
    <t>All standards Met</t>
  </si>
  <si>
    <t>Did not meet all standards</t>
  </si>
  <si>
    <t>Date Valley School Trust</t>
  </si>
  <si>
    <t>Birtenshaw School, Merseyside</t>
  </si>
  <si>
    <t>L9 7AB</t>
  </si>
  <si>
    <t>The Aspire Hub, Burnley</t>
  </si>
  <si>
    <t>BB11 1LE</t>
  </si>
  <si>
    <t>TLG Tendring</t>
  </si>
  <si>
    <t>Greater Manchester Alternative Provision</t>
  </si>
  <si>
    <t>OL6 7HG</t>
  </si>
  <si>
    <t>Royale International School of Education</t>
  </si>
  <si>
    <t>OX2 0DJ</t>
  </si>
  <si>
    <t>© Crown copyright 2018</t>
  </si>
  <si>
    <t>OVERALL standards</t>
  </si>
  <si>
    <t>Part 1 overall</t>
  </si>
  <si>
    <t>Part 2 overall</t>
  </si>
  <si>
    <t>Part 3 overall</t>
  </si>
  <si>
    <t>Part 4 overall</t>
  </si>
  <si>
    <t>Part 5 overall</t>
  </si>
  <si>
    <t>Part 6 overall</t>
  </si>
  <si>
    <t>Part 7 overall</t>
  </si>
  <si>
    <t>Part 8 overall</t>
  </si>
  <si>
    <t>Rudolf Steiner School</t>
  </si>
  <si>
    <t>WD4 9HG</t>
  </si>
  <si>
    <t>SIS</t>
  </si>
  <si>
    <t>Progress monitoring inspection outcome</t>
  </si>
  <si>
    <t>Christian
Church of England
Inter- / non- denominational
Islam
Jewish
Muslim
Roman Catholic
Seventh Day Adventist</t>
  </si>
  <si>
    <t>Total number of independent schools</t>
  </si>
  <si>
    <t>Number of independent schools that have been inspected</t>
  </si>
  <si>
    <t>Total requires improvement and inadequate</t>
  </si>
  <si>
    <t>Prog Mon Event number</t>
  </si>
  <si>
    <t>Prog Mon Event type</t>
  </si>
  <si>
    <t>Prog Mon event end date</t>
  </si>
  <si>
    <t>Prog Mon Academic year</t>
  </si>
  <si>
    <t>Prog Mon Last Publication date</t>
  </si>
  <si>
    <t>Prog Mon Overall outcome</t>
  </si>
  <si>
    <t>2016/17</t>
  </si>
  <si>
    <t xml:space="preserve">Independent school progress monitoring inspection - Integrated </t>
  </si>
  <si>
    <t>2017/18</t>
  </si>
  <si>
    <t>2015/16</t>
  </si>
  <si>
    <t>Standards met</t>
  </si>
  <si>
    <t>1 = Outstanding
2 = Good
3 = Requires improvement
4 = Inadequate
0, 8, 9 = not enough evidence / not inspected / not applicable</t>
  </si>
  <si>
    <t>Link to non-association independent schools management information web page including publication schedule:</t>
  </si>
  <si>
    <t>3. One inspection within the time period had no overall grade allocated, but safeguarding and compliance with the independent school standards were checked.</t>
  </si>
  <si>
    <t>3. Non-association independent schools that failed at least one of the independent school standards and were therefore judged requires improvement or inadequate at their most recent standard inspection, normally receive a progress monitoring inspection.</t>
  </si>
  <si>
    <t>Independent Schools Standards: 2(1)</t>
  </si>
  <si>
    <t>Independent Schools Standards: 2(1)(a)</t>
  </si>
  <si>
    <t>Independent Schools Standards: 2(1)(b)</t>
  </si>
  <si>
    <t>Independent Schools Standards: 2(1)(b)(i)</t>
  </si>
  <si>
    <t>Independent Schools Standards: 2(1)(b)(ii)</t>
  </si>
  <si>
    <t>Independent Schools Standards: 2(2)</t>
  </si>
  <si>
    <t>Independent Schools Standards: 2(2)(a)</t>
  </si>
  <si>
    <t>Independent Schools Standards: 2(2)(b)</t>
  </si>
  <si>
    <t>Independent Schools Standards: 2(2)(c)</t>
  </si>
  <si>
    <t>Independent Schools Standards: 2(2)(d)</t>
  </si>
  <si>
    <t>Independent Schools Standards: 2(2)(d)(i)</t>
  </si>
  <si>
    <t>Independent Schools Standards: 2(2)(d)(ii)</t>
  </si>
  <si>
    <t>Independent Schools Standards: 2(2)(e)</t>
  </si>
  <si>
    <t>Independent Schools Standards: 2(2)(e)(i)</t>
  </si>
  <si>
    <t>Independent Schools Standards: 2(2)(e)(ii)</t>
  </si>
  <si>
    <t>Independent Schools Standards: 2(2)(e)(iii)</t>
  </si>
  <si>
    <t>Independent Schools Standards: 2(2)(f)</t>
  </si>
  <si>
    <t>Independent Schools Standards: 2(2)(g)</t>
  </si>
  <si>
    <t>Independent Schools Standards: 2(2)(h)</t>
  </si>
  <si>
    <t>Independent Schools Standards: 2(2)(i)</t>
  </si>
  <si>
    <t>Independent Schools Standards: 3</t>
  </si>
  <si>
    <t>Independent Schools Standards: 3(a)</t>
  </si>
  <si>
    <t>Independent Schools Standards: 3(b)</t>
  </si>
  <si>
    <t>Independent Schools Standards: 3(c)</t>
  </si>
  <si>
    <t>Independent Schools Standards: 3(d)</t>
  </si>
  <si>
    <t>Independent Schools Standards: 3(e)</t>
  </si>
  <si>
    <t>Independent Schools Standards: 3(f)</t>
  </si>
  <si>
    <t>Independent Schools Standards: 3(g)</t>
  </si>
  <si>
    <t>Independent Schools Standards: 3(h)</t>
  </si>
  <si>
    <t>Independent Schools Standards: 3(i)</t>
  </si>
  <si>
    <t>Independent Schools Standards: 3(j)</t>
  </si>
  <si>
    <t>Independent Schools Standards: 4</t>
  </si>
  <si>
    <t>Independent Schools Standards: 5</t>
  </si>
  <si>
    <t>Independent Schools Standards: 5(a)</t>
  </si>
  <si>
    <t>Independent Schools Standards: 5(b)</t>
  </si>
  <si>
    <t>Independent Schools Standards: 5(b)(i)</t>
  </si>
  <si>
    <t>Independent Schools Standards: 5(b)(ii)</t>
  </si>
  <si>
    <t>Independent Schools Standards: 5(b)(iii)</t>
  </si>
  <si>
    <t>Independent Schools Standards: 5(b)(iv)</t>
  </si>
  <si>
    <t>Independent Schools Standards: 5(b)(v)</t>
  </si>
  <si>
    <t>Independent Schools Standards: 5(b)(vi)</t>
  </si>
  <si>
    <t>Independent Schools Standards: 5(b)(vii)</t>
  </si>
  <si>
    <t>Independent Schools Standards: 5(c)</t>
  </si>
  <si>
    <t>Independent Schools Standards: 5(d)</t>
  </si>
  <si>
    <t>Independent Schools Standards: 5(d)(i)</t>
  </si>
  <si>
    <t>Independent Schools Standards: 5(d)(ii)</t>
  </si>
  <si>
    <t>Independent Schools Standards: 5(d)(iii)</t>
  </si>
  <si>
    <t>Independent Schools Standards: 7</t>
  </si>
  <si>
    <t>Independent Schools Standards: 7(a)</t>
  </si>
  <si>
    <t>Independent Schools Standards: 7(b)</t>
  </si>
  <si>
    <t>Independent Schools Standards: 8</t>
  </si>
  <si>
    <t>Independent Schools Standards: 8(a)</t>
  </si>
  <si>
    <t>Independent Schools Standards: 8(b)</t>
  </si>
  <si>
    <t>Independent Schools Standards: 9</t>
  </si>
  <si>
    <t>Independent Schools Standards: 9(a)</t>
  </si>
  <si>
    <t>Independent Schools Standards: 9(b)</t>
  </si>
  <si>
    <t>Independent Schools Standards: 9(c)</t>
  </si>
  <si>
    <t>Independent Schools Standards: 10</t>
  </si>
  <si>
    <t>Independent Schools Standards: 11</t>
  </si>
  <si>
    <t>Independent Schools Standards: 12</t>
  </si>
  <si>
    <t>Independent Schools Standards: 13</t>
  </si>
  <si>
    <t>Independent Schools Standards: 14</t>
  </si>
  <si>
    <t>Independent Schools Standards: 15</t>
  </si>
  <si>
    <t>Independent Schools Standards: 16</t>
  </si>
  <si>
    <t>Independent Schools Standards: 16(a)</t>
  </si>
  <si>
    <t>Independent Schools Standards: 16(b)</t>
  </si>
  <si>
    <t>Independent Schools Standards: 18(2)</t>
  </si>
  <si>
    <t>Independent Schools Standards: 18(2)(a)</t>
  </si>
  <si>
    <t>Independent Schools Standards: 18(2)(b)</t>
  </si>
  <si>
    <t>Independent Schools Standards: 18(2)(c)</t>
  </si>
  <si>
    <t>Independent Schools Standards: 18(2)(c)(i)</t>
  </si>
  <si>
    <t>Independent Schools Standards: 18(2)(c)(ii)</t>
  </si>
  <si>
    <t>Independent Schools Standards: 18(2)(c)(iii)</t>
  </si>
  <si>
    <t>Independent Schools Standards: 18(2)(c)(iv)</t>
  </si>
  <si>
    <t>Independent Schools Standards: 18(2)(d)</t>
  </si>
  <si>
    <t>Independent Schools Standards: 18(2)(e)</t>
  </si>
  <si>
    <t>Independent Schools Standards: 18(2)(f)</t>
  </si>
  <si>
    <t>Independent Schools Standards: 18(3)</t>
  </si>
  <si>
    <t>Independent Schools Standards: 19(2)</t>
  </si>
  <si>
    <t>Independent Schools Standards: 19(2)(a)</t>
  </si>
  <si>
    <t>Independent Schools Standards: 19(2)(a)(i)</t>
  </si>
  <si>
    <t>Independent Schools Standards: 19(2)(a)(i)(aa)</t>
  </si>
  <si>
    <t>Independent Schools Standards: 19(2)(a)(i)(bb)</t>
  </si>
  <si>
    <t>Independent Schools Standards: 19(2)(a)(i)(cc)</t>
  </si>
  <si>
    <t>Independent Schools Standards: 19(2)(a)(ii)</t>
  </si>
  <si>
    <t>Independent Schools Standards: 19(2)(b)</t>
  </si>
  <si>
    <t>Independent Schools Standards: 19(2)(c)</t>
  </si>
  <si>
    <t>Independent Schools Standards: 19(2)(d)</t>
  </si>
  <si>
    <t>Independent Schools Standards: 19(2)(d)(i)</t>
  </si>
  <si>
    <t>Independent Schools Standards: 19(2)(d)(ii)</t>
  </si>
  <si>
    <t>Independent Schools Standards: 19(2)(e)</t>
  </si>
  <si>
    <t>Independent Schools Standards: 19(3)</t>
  </si>
  <si>
    <t>Independent Schools Standards: 20(6)</t>
  </si>
  <si>
    <t>Independent Schools Standards: 20(6)(a)</t>
  </si>
  <si>
    <t>Independent Schools Standards: 20(6)(a)(i)</t>
  </si>
  <si>
    <t>Independent Schools Standards: 20(6)(a)(ii)</t>
  </si>
  <si>
    <t>Independent Schools Standards: 20(6)(b)</t>
  </si>
  <si>
    <t>Independent Schools Standards: 20(6)(b)(i)</t>
  </si>
  <si>
    <t>Independent Schools Standards: 20(6)(b)(ii)</t>
  </si>
  <si>
    <t>Independent Schools Standards: 20(6)(b)(iii)</t>
  </si>
  <si>
    <t>Independent Schools Standards: 20(6)(c)</t>
  </si>
  <si>
    <t>Independent Schools Standards: 21(1)</t>
  </si>
  <si>
    <t>Independent Schools Standards: 21(2)</t>
  </si>
  <si>
    <t>Independent Schools Standards: 21(3)</t>
  </si>
  <si>
    <t>Independent Schools Standards: 21(3)(a)</t>
  </si>
  <si>
    <t>Independent Schools Standards: 21(3)(a)(i)</t>
  </si>
  <si>
    <t>Independent Schools Standards: 21(3)(a)(ii)</t>
  </si>
  <si>
    <t>Independent Schools Standards: 21(3)(a)(iii)</t>
  </si>
  <si>
    <t>Independent Schools Standards: 21(3)(a)(iv)</t>
  </si>
  <si>
    <t>Independent Schools Standards: 21(3)(a)(v)</t>
  </si>
  <si>
    <t>Independent Schools Standards: 21(3)(a)(vi)</t>
  </si>
  <si>
    <t>Independent Schools Standards: 21(3)(a)(vii)</t>
  </si>
  <si>
    <t>Independent Schools Standards: 21(3)(a)(viii)</t>
  </si>
  <si>
    <t>Independent Schools Standards: 21(3)(b)</t>
  </si>
  <si>
    <t>Independent Schools Standards: 21(4)</t>
  </si>
  <si>
    <t>Independent Schools Standards: 21(5)</t>
  </si>
  <si>
    <t>Independent Schools Standards: 21(5)(a)</t>
  </si>
  <si>
    <t>Independent Schools Standards: 21(5)(a)(i)</t>
  </si>
  <si>
    <t>Independent Schools Standards: 21(5)(a)(ii)</t>
  </si>
  <si>
    <t>Independent Schools Standards: 21(5)(b)</t>
  </si>
  <si>
    <t>Independent Schools Standards: 21(5)(c)</t>
  </si>
  <si>
    <t>Independent Schools Standards: 21(6)</t>
  </si>
  <si>
    <t>Independent Schools Standards: 21(7)</t>
  </si>
  <si>
    <t>Independent Schools Standards: 21(7)(a)</t>
  </si>
  <si>
    <t>Independent Schools Standards: 21(7)(b)</t>
  </si>
  <si>
    <t>Independent Schools Standards: 23(1)</t>
  </si>
  <si>
    <t>Independent Schools Standards: 23(1)(a)</t>
  </si>
  <si>
    <t>Independent Schools Standards: 23(1)(b)</t>
  </si>
  <si>
    <t>Independent Schools Standards: 23(1)(c)</t>
  </si>
  <si>
    <t>Independent Schools Standards: 24(1)</t>
  </si>
  <si>
    <t>Independent Schools Standards: 24(1)(a)</t>
  </si>
  <si>
    <t>Independent Schools Standards: 24(1)(b)</t>
  </si>
  <si>
    <t>Independent Schools Standards: 24(1)(c)</t>
  </si>
  <si>
    <t>Independent Schools Standards: 24(2)</t>
  </si>
  <si>
    <t>Independent Schools Standards: 25</t>
  </si>
  <si>
    <t>Independent Schools Standards: 26</t>
  </si>
  <si>
    <t>Independent Schools Standards: 27</t>
  </si>
  <si>
    <t>Independent Schools Standards: 27(a)</t>
  </si>
  <si>
    <t>Independent Schools Standards: 27(b)</t>
  </si>
  <si>
    <t>Independent Schools Standards: 28(1)</t>
  </si>
  <si>
    <t>Independent Schools Standards: 28(1)(a)</t>
  </si>
  <si>
    <t>Independent Schools Standards: 28(1)(b)</t>
  </si>
  <si>
    <t>Independent Schools Standards: 28(1)(c)</t>
  </si>
  <si>
    <t>Independent Schools Standards: 28(1)(d)</t>
  </si>
  <si>
    <t>Independent Schools Standards: 28(2)</t>
  </si>
  <si>
    <t>Independent Schools Standards: 28(2)(a)</t>
  </si>
  <si>
    <t>Independent Schools Standards: 28(2)(b)</t>
  </si>
  <si>
    <t>Independent Schools Standards: 29(1)</t>
  </si>
  <si>
    <t>Independent Schools Standards: 29(1)(a)</t>
  </si>
  <si>
    <t>Independent Schools Standards: 29(1)(b)</t>
  </si>
  <si>
    <t>Independent Schools Standards: 30</t>
  </si>
  <si>
    <t>Independent Schools Standards: 32(1)</t>
  </si>
  <si>
    <t>Independent Schools Standards: 32(1)(a)</t>
  </si>
  <si>
    <t>Independent Schools Standards: 32(1)(b)</t>
  </si>
  <si>
    <t>Independent Schools Standards: 32(1)(c)</t>
  </si>
  <si>
    <t>Independent Schools Standards: 32(1)(d)</t>
  </si>
  <si>
    <t>Independent Schools Standards: 32(1)(e)</t>
  </si>
  <si>
    <t>Independent Schools Standards: 32(1)(f)</t>
  </si>
  <si>
    <t>Independent Schools Standards: 32(1)(g)</t>
  </si>
  <si>
    <t>Independent Schools Standards: 32(1)(h)</t>
  </si>
  <si>
    <t>Independent Schools Standards: 32(1)(i)</t>
  </si>
  <si>
    <t>Independent Schools Standards: 32(1)(j)</t>
  </si>
  <si>
    <t>Independent Schools Standards: 32(2)</t>
  </si>
  <si>
    <t>Independent Schools Standards: 32(2)(a)</t>
  </si>
  <si>
    <t>Independent Schools Standards: 32(2)(b)</t>
  </si>
  <si>
    <t>Independent Schools Standards: 32(2)(b)(i)</t>
  </si>
  <si>
    <t>Independent Schools Standards: 32(2)(b)(ii)</t>
  </si>
  <si>
    <t>Independent Schools Standards: 32(2)(c)</t>
  </si>
  <si>
    <t>Independent Schools Standards: 32(2)(d)</t>
  </si>
  <si>
    <t>Independent Schools Standards: 32(3)</t>
  </si>
  <si>
    <t>Independent Schools Standards: 32(3)(a)</t>
  </si>
  <si>
    <t>Independent Schools Standards: 32(3)(b)</t>
  </si>
  <si>
    <t>Independent Schools Standards: 32(3)(c)</t>
  </si>
  <si>
    <t>Independent Schools Standards: 32(3)(d)</t>
  </si>
  <si>
    <t>Independent Schools Standards: 32(3)(e)</t>
  </si>
  <si>
    <t>Independent Schools Standards: 32(3)(f)</t>
  </si>
  <si>
    <t>Independent Schools Standards: 32(3)(g)</t>
  </si>
  <si>
    <t>Independent Schools Standards: 32(4)</t>
  </si>
  <si>
    <t>Independent Schools Standards: 32(4)(a)</t>
  </si>
  <si>
    <t>Independent Schools Standards: 32(4)(b)</t>
  </si>
  <si>
    <t>Independent Schools Standards: 32(4)(c)</t>
  </si>
  <si>
    <t>Independent Schools Standards: 33</t>
  </si>
  <si>
    <t>Independent Schools Standards: 33(a)</t>
  </si>
  <si>
    <t>Independent Schools Standards: 33(b)</t>
  </si>
  <si>
    <t>Independent Schools Standards: 33(c)</t>
  </si>
  <si>
    <t>Independent Schools Standards: 33(d)</t>
  </si>
  <si>
    <t>Independent Schools Standards: 33(e)</t>
  </si>
  <si>
    <t>Independent Schools Standards: 33(f)</t>
  </si>
  <si>
    <t>Independent Schools Standards: 33(g)</t>
  </si>
  <si>
    <t>Independent Schools Standards: 33(h)</t>
  </si>
  <si>
    <t>Independent Schools Standards: 33(i)</t>
  </si>
  <si>
    <t>Independent Schools Standards: 33(i)(i)</t>
  </si>
  <si>
    <t>Independent Schools Standards: 33(i)(ii)</t>
  </si>
  <si>
    <t>Independent Schools Standards: 33(j)</t>
  </si>
  <si>
    <t>Independent Schools Standards: 33(j)(i)</t>
  </si>
  <si>
    <t>Independent Schools Standards: 33(j)(ii)</t>
  </si>
  <si>
    <t>Independent Schools Standards: 33(k)</t>
  </si>
  <si>
    <t>Independent Schools Standards: 34(1)</t>
  </si>
  <si>
    <t>Independent Schools Standards: 34(1)(a)</t>
  </si>
  <si>
    <t>Independent Schools Standards: 34(1)(b)</t>
  </si>
  <si>
    <t>Independent Schools Standards: 34(1)(c)</t>
  </si>
  <si>
    <t>Christian
Church of England
Church of England/Christian
Church of England/Free Church
Church of England/Methodist
Church of England/Methodist/United Reform Church/Baptist
Church of England/Roman Catholic
Church of England/United Reformed Church
Faith School Type
Greek Orthodox
Hindu
Inter- / non- denominational
Islam
Orthodox Jewish
Methodist
Methodist/Church of England
Muslim
None
Quaker
Roman Catholic
Roman Catholic/Church of England
Seventh Day Adventist
Sikh
United Reformed Church</t>
  </si>
  <si>
    <t>East Midlands
East of England
London
North East, Yorkshire and the Humber
North West
South East
South West
West Midlands</t>
  </si>
  <si>
    <t>Government office region</t>
  </si>
  <si>
    <t>East Midlands
East of England
London
North East
Yorkshire and the Humber
North West
South East
South West
West Midlands</t>
  </si>
  <si>
    <t>3. Two inspections within the time period recorded "no response" for parts 1 and 2 of the Independent Schools Standards.</t>
  </si>
  <si>
    <t>4. Not all RI and inadequate schools have been subject to a progress monitoring inspection at the time of this release. The Department for Education commission and determine the timing for Ofsted to carry out progress monitoring inspections.</t>
  </si>
  <si>
    <t>Dataset 2: Inspection outcomes of progress monitoring inspections for non-association independent schools</t>
  </si>
  <si>
    <r>
      <t>Table 4a: Non-association independent schools overall effectiveness at their most recent standard inspection</t>
    </r>
    <r>
      <rPr>
        <b/>
        <vertAlign val="superscript"/>
        <sz val="12"/>
        <color theme="1"/>
        <rFont val="Tahoma"/>
        <family val="2"/>
      </rPr>
      <t>1 2 3 4 5</t>
    </r>
  </si>
  <si>
    <r>
      <t>Table 4b: Outcomes of most recent progress monitoring inspection following their most recent standard inspection, for non-association independent schools</t>
    </r>
    <r>
      <rPr>
        <b/>
        <vertAlign val="superscript"/>
        <sz val="12"/>
        <color theme="1"/>
        <rFont val="Tahoma"/>
        <family val="2"/>
      </rPr>
      <t>1 2 3 4</t>
    </r>
  </si>
  <si>
    <r>
      <t>Table 3: Progress monitoring inspection outcomes for non-association independent schools</t>
    </r>
    <r>
      <rPr>
        <b/>
        <vertAlign val="superscript"/>
        <sz val="12"/>
        <rFont val="Tahoma"/>
        <family val="2"/>
      </rPr>
      <t xml:space="preserve"> 1 2</t>
    </r>
  </si>
  <si>
    <r>
      <t xml:space="preserve">Table 2: Compliance with regulatory standards for non-association independent schools </t>
    </r>
    <r>
      <rPr>
        <b/>
        <vertAlign val="superscript"/>
        <sz val="12"/>
        <rFont val="Tahoma"/>
        <family val="2"/>
      </rPr>
      <t>1 2 3</t>
    </r>
  </si>
  <si>
    <r>
      <t xml:space="preserve">Table 1: Non-association independent schools standard inspections and outcomes </t>
    </r>
    <r>
      <rPr>
        <b/>
        <vertAlign val="superscript"/>
        <sz val="12"/>
        <color theme="1"/>
        <rFont val="Tahoma"/>
        <family val="2"/>
      </rPr>
      <t>1 2 3</t>
    </r>
  </si>
  <si>
    <t>School information</t>
  </si>
  <si>
    <t>Unique reference number for the school</t>
  </si>
  <si>
    <t>School name</t>
  </si>
  <si>
    <t>Name of the school</t>
  </si>
  <si>
    <t>Type of education</t>
  </si>
  <si>
    <t>The type of school</t>
  </si>
  <si>
    <t>School religious character</t>
  </si>
  <si>
    <t>School religious ethos</t>
  </si>
  <si>
    <t>School Ofsted region</t>
  </si>
  <si>
    <t>School government office region</t>
  </si>
  <si>
    <t xml:space="preserve">School local authority </t>
  </si>
  <si>
    <t>School postcode</t>
  </si>
  <si>
    <t>L36 5SJ</t>
  </si>
  <si>
    <t>2014/15</t>
  </si>
  <si>
    <t>ITS454864</t>
  </si>
  <si>
    <t>ITS463315</t>
  </si>
  <si>
    <t>NG12 3FD</t>
  </si>
  <si>
    <t>CACFO Uk Education Centre</t>
  </si>
  <si>
    <t>Keys 7 Ks</t>
  </si>
  <si>
    <t>Rabia Girls' and Boys' School</t>
  </si>
  <si>
    <t>Inspections from 1 September 2017 to 31 March 2018, published by 31 March 2018</t>
  </si>
  <si>
    <t>Most recent inspections published by 31 March 2018</t>
  </si>
  <si>
    <t>Eaton House Belgravia Pre-Preparatory School</t>
  </si>
  <si>
    <t>RG7 1HF</t>
  </si>
  <si>
    <t>SK5 7JG</t>
  </si>
  <si>
    <t>Tlg Nottingham</t>
  </si>
  <si>
    <t>W10 5QJ</t>
  </si>
  <si>
    <t>E9 6SJ</t>
  </si>
  <si>
    <t>HD1 5NG</t>
  </si>
  <si>
    <t>WD25 8HB</t>
  </si>
  <si>
    <t>All standards met</t>
  </si>
  <si>
    <t>Eaton House Belgravia Preparatory School</t>
  </si>
  <si>
    <t>Al Risalah Secondary School</t>
  </si>
  <si>
    <t>W1H 1PN</t>
  </si>
  <si>
    <t>Woodstar School</t>
  </si>
  <si>
    <t>Talmud Torah Chinuch Norim</t>
  </si>
  <si>
    <t>Queensmead School Limited</t>
  </si>
  <si>
    <t>Markus Alexander Bernhardt</t>
  </si>
  <si>
    <t>Three Bridges School</t>
  </si>
  <si>
    <t>Rabia Girls School</t>
  </si>
  <si>
    <t>Fulham Prep School</t>
  </si>
  <si>
    <t>Broadwood School</t>
  </si>
  <si>
    <t>CT13 0NY</t>
  </si>
  <si>
    <t>TLG Bradford</t>
  </si>
  <si>
    <t>Step By Step School</t>
  </si>
  <si>
    <t>Dalling House Mandarin Immersion School</t>
  </si>
  <si>
    <t>Keys Tees Valley College</t>
  </si>
  <si>
    <t>Beis Ruchel D`Satmar</t>
  </si>
  <si>
    <t>B1 2RX</t>
  </si>
  <si>
    <t>Compass Community School North</t>
  </si>
  <si>
    <t>Novaturient School</t>
  </si>
  <si>
    <t>NR30 1EA</t>
  </si>
  <si>
    <t>Serene House School</t>
  </si>
  <si>
    <t>L'Ecole Internationale Franco-Anglaise Ltd</t>
  </si>
  <si>
    <t>B68 8LR</t>
  </si>
  <si>
    <t>E17 5QJ</t>
  </si>
  <si>
    <t>Fountain House School</t>
  </si>
  <si>
    <t>The Chalfonts Independent Grammar</t>
  </si>
  <si>
    <t>Broadstones</t>
  </si>
  <si>
    <t>Brookways School</t>
  </si>
  <si>
    <t>SM3 9BZ</t>
  </si>
  <si>
    <t>Woodbury School</t>
  </si>
  <si>
    <t>WV10 8ED</t>
  </si>
  <si>
    <t>SW17 0NY</t>
  </si>
  <si>
    <t>Elizabeth House School</t>
  </si>
  <si>
    <t>Buzz Learning School</t>
  </si>
  <si>
    <t>NE63 8AP</t>
  </si>
  <si>
    <t>Edgbaston Grammar School</t>
  </si>
  <si>
    <t>B12 9LB</t>
  </si>
  <si>
    <t>Magic Arc School</t>
  </si>
  <si>
    <t>ME3 8UJ</t>
  </si>
  <si>
    <t>Linton School</t>
  </si>
  <si>
    <t>PR4 1HX</t>
  </si>
  <si>
    <t>St. Bees School</t>
  </si>
  <si>
    <t>CA27 0DS</t>
  </si>
  <si>
    <t>Eton - Dorney School</t>
  </si>
  <si>
    <t>SL4 6QS</t>
  </si>
  <si>
    <t>Park House, Taunton</t>
  </si>
  <si>
    <t>TA2 7AX</t>
  </si>
  <si>
    <t>SwitchED2</t>
  </si>
  <si>
    <t>LA11 6RG</t>
  </si>
  <si>
    <t>Brickyard Barn Outdoor Learning Centre</t>
  </si>
  <si>
    <t>CV33 9QD</t>
  </si>
  <si>
    <t>The Green Room School Kingsley</t>
  </si>
  <si>
    <t>GU35 9LU</t>
  </si>
  <si>
    <t>https://www.gov.uk/government/statistical-data-sets/non-association-independent-schools-inspections-and-outcomes-management-information</t>
  </si>
  <si>
    <t>Inspection grouping name</t>
  </si>
  <si>
    <t>Overall outcome of independent school standards</t>
  </si>
  <si>
    <t>Independent Schools Standards: 2(1) - 34(1)</t>
  </si>
  <si>
    <t>Safeguarding procedure 1-3</t>
  </si>
  <si>
    <t>Provider open/closed status</t>
  </si>
  <si>
    <t>Have all standards been met?</t>
  </si>
  <si>
    <t>Prog mon event type</t>
  </si>
  <si>
    <t>Prog mon event number</t>
  </si>
  <si>
    <t>Prog mon event end date</t>
  </si>
  <si>
    <t>Prog mon academic year</t>
  </si>
  <si>
    <t>Prog mon last publication date</t>
  </si>
  <si>
    <t>Prog mon overall outcome</t>
  </si>
  <si>
    <t>Part 1: Quality of Education</t>
  </si>
  <si>
    <t>Part 2: Spiritual, Moral, Social and Cultural development of pupils (SMSC)</t>
  </si>
  <si>
    <t>Part 3: Welfare, health and safety of pupils</t>
  </si>
  <si>
    <t>Part 4: Suitability of staff, supply staff and proprietors</t>
  </si>
  <si>
    <t>Part 5: Premises and accommodation</t>
  </si>
  <si>
    <t>Part 6: Provision of information</t>
  </si>
  <si>
    <t>Part 7: Manner in which complaints are handled</t>
  </si>
  <si>
    <t>Part 8: Quality of Leadership and management in schools</t>
  </si>
  <si>
    <t>Body responsible for inspecting school</t>
  </si>
  <si>
    <t>http://www.legislation.gov.uk/uksi/2014/3283/contents/made</t>
  </si>
  <si>
    <t>Data in D1, D2 and D3 presents information about whether a school has met the Independent School Standards.</t>
  </si>
  <si>
    <t>For each part of the standards, ‘met’ means that all of the Independent Schools Standards have been met in that part.</t>
  </si>
  <si>
    <t>Further information about the Independent School Standards is available at the following link:</t>
  </si>
  <si>
    <t>Independent School Standards</t>
  </si>
  <si>
    <t>Schedule of Independent School Standards</t>
  </si>
  <si>
    <t>School Group</t>
  </si>
  <si>
    <t>Progress monitoring inspection number</t>
  </si>
  <si>
    <t>Progress monitoring inspection type</t>
  </si>
  <si>
    <t>Progress monitoring inspection end date</t>
  </si>
  <si>
    <t>Progress monitoring inspection academic year</t>
  </si>
  <si>
    <t>Progress monitoring inspection report publication date</t>
  </si>
  <si>
    <t>Outcome of progress monitoring inspection</t>
  </si>
  <si>
    <t>Standards met
Met all standards that were checked
Did not meet all standards that were checked</t>
  </si>
  <si>
    <t>All standards met
Did not meet all standards</t>
  </si>
  <si>
    <t>Independent Schools Standards outcome at last full inspection</t>
  </si>
  <si>
    <t>Met all standards that were checked
Did not meet all standards that were checked</t>
  </si>
  <si>
    <t>Standards outcome of progress monitoring inspection</t>
  </si>
  <si>
    <t>Standards outcome of standard inspection</t>
  </si>
  <si>
    <t>Independent School Standards outcomes</t>
  </si>
  <si>
    <t>Met
No response
No in scope for this inspection
Not met</t>
  </si>
  <si>
    <t>2. Percentages are rounded and may not sum to 100. Where the number of inspections is small, percentages should be treated with caution.</t>
  </si>
  <si>
    <t>Compliance to the requirements of Schedule 10 of the Equality Act 2010 outcome</t>
  </si>
  <si>
    <t>Compliance to safeguarding procedures outcome</t>
  </si>
  <si>
    <t>Y=Yes
N=No</t>
  </si>
  <si>
    <t>Inspection group</t>
  </si>
  <si>
    <t>Ofsted
SIS</t>
  </si>
  <si>
    <t>School group</t>
  </si>
  <si>
    <t>Independent school
Independent special school</t>
  </si>
  <si>
    <t>Open
Closed</t>
  </si>
  <si>
    <t>Indicates whether the school is open or closed</t>
  </si>
  <si>
    <t xml:space="preserve">The Common Inspection Framework (CIF) for education, skills and early years was introduced in September 2015. </t>
  </si>
  <si>
    <t>All judgements made during these inspections have been included in the underlying dataset. There were a number of judgements introduced that do not map to previous frameworks. Please see the Ofsted website for details:</t>
  </si>
  <si>
    <t>Only those judgements that map to the CIF have been included in this publication. All other judgements made on inspection can be found in the inspection report using the web link provided.</t>
  </si>
  <si>
    <t>5. One school at their most recent inspection had no overall grade allocated, but safeguarding and compliance with the Independent School Standards were checked.</t>
  </si>
  <si>
    <t>Dataset 3: Overall effectiveness and standards for non-association independent schools overall effectiveness at their most recent inspection, and progress monitoring inspections and outcomes following an overall effectiveness grade of requires improvement or inadequate</t>
  </si>
  <si>
    <t xml:space="preserve">In order for a school to have ‘met’ the standards overall, all eight parts must have been met. </t>
  </si>
  <si>
    <t>Other Independent special school
Other Independent school</t>
  </si>
  <si>
    <t>Independent standard inspection
Inspection additional visits/Other</t>
  </si>
  <si>
    <t>Yes
No
No response
Not applicable</t>
  </si>
  <si>
    <t>Independent school progress monitoring inspection
Independent school progress monitoring inspection - Integrated</t>
  </si>
  <si>
    <t>4. Data on the total number of independent schools, number inspected, their overall effectiveness and their compliance to the Independent Schools Standards is based on their most recent inspection if applicable. Data on Safeguarding (the light orange headed columns) is based on inspections since 1 September 2015. The safeguarding judgement was introduced with the Common Inspection Framework in 2015. Since September 2015, 785 independent schools have been checked for safeguarding at their most recent standard inspection.</t>
  </si>
  <si>
    <t>Independent school standard inspection</t>
  </si>
  <si>
    <t>Independent school standard inspection
ndependent school standard inspection - first
Independent school standard inspection - group
Independent school standard inspection - integrated
Independent school standard inspection - integrated - first
S162a - Boarding Pilot Historic
S162a - LTI Inspection Historic
S162a - LTI Integrated Inspection Historic
S162a - LTI Pilot Historic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</si>
</sst>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F800]dddd\,\ mmmm\ dd\,\ yyyy"/>
  </numFmts>
  <fonts count="80" x14ac:knownFonts="1">
    <font>
      <sz val="11"/>
      <color theme="1"/>
      <name val="Calibri"/>
      <family val="2"/>
      <scheme val="minor"/>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1"/>
      <color theme="1"/>
      <name val="Calibri"/>
      <family val="2"/>
      <scheme val="minor"/>
    </font>
    <font>
      <sz val="11"/>
      <color theme="1"/>
      <name val="Calibri"/>
      <family val="2"/>
    </font>
    <font>
      <sz val="10"/>
      <name val="Tahoma"/>
      <family val="2"/>
    </font>
    <font>
      <b/>
      <sz val="12"/>
      <name val="Tahoma"/>
      <family val="2"/>
    </font>
    <font>
      <u/>
      <sz val="10"/>
      <color indexed="12"/>
      <name val="Tahoma"/>
      <family val="2"/>
    </font>
    <font>
      <sz val="10"/>
      <color indexed="23"/>
      <name val="Tahoma"/>
      <family val="2"/>
    </font>
    <font>
      <sz val="10"/>
      <color indexed="8"/>
      <name val="Tahoma"/>
      <family val="2"/>
    </font>
    <font>
      <sz val="10"/>
      <name val="Arial"/>
      <family val="2"/>
    </font>
    <font>
      <u/>
      <sz val="10"/>
      <color theme="10"/>
      <name val="Arial"/>
      <family val="2"/>
    </font>
    <font>
      <u/>
      <sz val="10"/>
      <color theme="10"/>
      <name val="Tahoma"/>
      <family val="2"/>
    </font>
    <font>
      <sz val="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2"/>
      <name val="Arial"/>
      <family val="2"/>
    </font>
    <font>
      <b/>
      <sz val="11"/>
      <color indexed="63"/>
      <name val="Calibri"/>
      <family val="2"/>
    </font>
    <font>
      <b/>
      <sz val="18"/>
      <color indexed="56"/>
      <name val="Cambria"/>
      <family val="2"/>
    </font>
    <font>
      <sz val="12"/>
      <color theme="1"/>
      <name val="Arial"/>
      <family val="2"/>
    </font>
    <font>
      <b/>
      <sz val="10"/>
      <color theme="1"/>
      <name val="Tahoma"/>
      <family val="2"/>
    </font>
    <font>
      <b/>
      <sz val="10"/>
      <name val="Tahoma"/>
      <family val="2"/>
    </font>
    <font>
      <sz val="10"/>
      <color rgb="FF000000"/>
      <name val="Tahoma"/>
      <family val="2"/>
    </font>
    <font>
      <b/>
      <sz val="10"/>
      <color rgb="FFFF0000"/>
      <name val="Tahoma"/>
      <family val="2"/>
    </font>
    <font>
      <i/>
      <sz val="10"/>
      <name val="Tahoma"/>
      <family val="2"/>
    </font>
    <font>
      <sz val="10"/>
      <name val="Tahoma"/>
      <family val="2"/>
    </font>
    <font>
      <sz val="10"/>
      <name val="Arial"/>
      <family val="4"/>
    </font>
    <font>
      <sz val="10"/>
      <color theme="1"/>
      <name val="Verdana"/>
      <family val="2"/>
    </font>
    <font>
      <u/>
      <sz val="12"/>
      <color indexed="12"/>
      <name val="Tahoma"/>
      <family val="2"/>
    </font>
    <font>
      <sz val="12"/>
      <color theme="1"/>
      <name val="Tahoma"/>
      <family val="2"/>
    </font>
    <font>
      <b/>
      <u/>
      <sz val="12"/>
      <name val="Tahoma"/>
      <family val="2"/>
    </font>
    <font>
      <u/>
      <sz val="12"/>
      <color theme="10"/>
      <name val="Tahoma"/>
      <family val="2"/>
    </font>
    <font>
      <u/>
      <sz val="11"/>
      <color rgb="FF0070C0"/>
      <name val="Calibri"/>
      <family val="2"/>
      <scheme val="minor"/>
    </font>
    <font>
      <sz val="10"/>
      <color rgb="FFFF0000"/>
      <name val="Tahoma"/>
      <family val="2"/>
    </font>
    <font>
      <u/>
      <sz val="11"/>
      <color rgb="FF0070C0"/>
      <name val="Calibri"/>
      <family val="2"/>
      <scheme val="minor"/>
    </font>
    <font>
      <sz val="12"/>
      <name val="Tahoma"/>
      <family val="2"/>
    </font>
    <font>
      <sz val="11"/>
      <color theme="1"/>
      <name val="Calibri"/>
      <family val="2"/>
      <scheme val="minor"/>
    </font>
    <font>
      <b/>
      <sz val="20"/>
      <color indexed="9"/>
      <name val="Tahoma"/>
      <family val="2"/>
    </font>
    <font>
      <sz val="11"/>
      <color rgb="FFFF0000"/>
      <name val="Calibri"/>
      <family val="2"/>
      <scheme val="minor"/>
    </font>
    <font>
      <b/>
      <sz val="12"/>
      <name val="Tahoma"/>
      <family val="2"/>
    </font>
    <font>
      <sz val="12"/>
      <color theme="10"/>
      <name val="Tahoma"/>
      <family val="2"/>
    </font>
    <font>
      <sz val="12"/>
      <color indexed="12"/>
      <name val="Tahoma"/>
      <family val="2"/>
    </font>
    <font>
      <sz val="11"/>
      <name val="Calibri"/>
      <family val="2"/>
      <scheme val="minor"/>
    </font>
    <font>
      <b/>
      <sz val="12"/>
      <color theme="1"/>
      <name val="Tahoma"/>
      <family val="2"/>
    </font>
    <font>
      <b/>
      <vertAlign val="superscript"/>
      <sz val="12"/>
      <color theme="1"/>
      <name val="Tahoma"/>
      <family val="2"/>
    </font>
    <font>
      <b/>
      <vertAlign val="superscript"/>
      <sz val="12"/>
      <name val="Tahoma"/>
      <family val="2"/>
    </font>
  </fonts>
  <fills count="32">
    <fill>
      <patternFill patternType="none"/>
    </fill>
    <fill>
      <patternFill patternType="gray125"/>
    </fill>
    <fill>
      <patternFill patternType="solid">
        <fgColor rgb="FFFFFFCC"/>
      </patternFill>
    </fill>
    <fill>
      <patternFill patternType="solid">
        <fgColor theme="3" tint="0.39997558519241921"/>
        <bgColor indexed="64"/>
      </patternFill>
    </fill>
    <fill>
      <patternFill patternType="solid">
        <fgColor theme="0"/>
        <bgColor indexed="6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2"/>
      </patternFill>
    </fill>
    <fill>
      <patternFill patternType="solid">
        <fgColor indexed="55"/>
      </patternFill>
    </fill>
    <fill>
      <patternFill patternType="solid">
        <fgColor theme="3" tint="0.7999816888943144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theme="9" tint="0.79998168889431442"/>
        <bgColor indexed="64"/>
      </patternFill>
    </fill>
  </fills>
  <borders count="74">
    <border>
      <left/>
      <right/>
      <top/>
      <bottom/>
      <diagonal/>
    </border>
    <border>
      <left style="thin">
        <color rgb="FFB2B2B2"/>
      </left>
      <right style="thin">
        <color rgb="FFB2B2B2"/>
      </right>
      <top style="thin">
        <color rgb="FFB2B2B2"/>
      </top>
      <bottom style="thin">
        <color rgb="FFB2B2B2"/>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hair">
        <color indexed="64"/>
      </left>
      <right style="hair">
        <color indexed="64"/>
      </right>
      <top style="hair">
        <color indexed="64"/>
      </top>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55"/>
      </left>
      <right/>
      <top style="thin">
        <color indexed="55"/>
      </top>
      <bottom style="thin">
        <color indexed="55"/>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style="thin">
        <color indexed="64"/>
      </right>
      <top style="thin">
        <color theme="0"/>
      </top>
      <bottom/>
      <diagonal/>
    </border>
    <border>
      <left/>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style="thin">
        <color indexed="64"/>
      </right>
      <top style="thin">
        <color indexed="64"/>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theme="0"/>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s>
  <cellStyleXfs count="353">
    <xf numFmtId="0" fontId="0" fillId="0" borderId="0"/>
    <xf numFmtId="0" fontId="22" fillId="0" borderId="0"/>
    <xf numFmtId="0" fontId="25" fillId="0" borderId="0"/>
    <xf numFmtId="43" fontId="25" fillId="0" borderId="0" applyFon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5" fillId="0" borderId="0"/>
    <xf numFmtId="0" fontId="22" fillId="0" borderId="0"/>
    <xf numFmtId="0" fontId="25" fillId="0" borderId="0"/>
    <xf numFmtId="0" fontId="22" fillId="0" borderId="0"/>
    <xf numFmtId="0" fontId="25" fillId="0" borderId="0"/>
    <xf numFmtId="0" fontId="28" fillId="2" borderId="1" applyNumberFormat="0" applyFont="0" applyAlignment="0" applyProtection="0"/>
    <xf numFmtId="9" fontId="25" fillId="0" borderId="0" applyFont="0" applyFill="0" applyBorder="0" applyAlignment="0" applyProtection="0"/>
    <xf numFmtId="9" fontId="29" fillId="0" borderId="0" applyFont="0" applyFill="0" applyBorder="0" applyAlignment="0" applyProtection="0"/>
    <xf numFmtId="43" fontId="25" fillId="0" borderId="0" applyFont="0" applyFill="0" applyBorder="0" applyAlignment="0" applyProtection="0"/>
    <xf numFmtId="0" fontId="30" fillId="0" borderId="0"/>
    <xf numFmtId="9" fontId="25" fillId="0" borderId="0" applyFont="0" applyFill="0" applyBorder="0" applyAlignment="0" applyProtection="0"/>
    <xf numFmtId="0" fontId="22" fillId="0" borderId="0"/>
    <xf numFmtId="0" fontId="30" fillId="0" borderId="0"/>
    <xf numFmtId="0" fontId="22" fillId="0" borderId="0"/>
    <xf numFmtId="0" fontId="31" fillId="0" borderId="0" applyNumberFormat="0" applyFill="0" applyBorder="0" applyAlignment="0" applyProtection="0"/>
    <xf numFmtId="0" fontId="22" fillId="0" borderId="0"/>
    <xf numFmtId="0" fontId="32" fillId="0" borderId="0" applyNumberFormat="0" applyFill="0" applyBorder="0" applyAlignment="0" applyProtection="0"/>
    <xf numFmtId="0" fontId="25" fillId="0" borderId="0"/>
    <xf numFmtId="0" fontId="2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4" fillId="5" borderId="0" applyNumberFormat="0" applyBorder="0" applyAlignment="0" applyProtection="0"/>
    <xf numFmtId="0" fontId="34" fillId="5"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6"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0" fontId="37" fillId="25" borderId="11" applyNumberFormat="0" applyAlignment="0" applyProtection="0"/>
    <xf numFmtId="0" fontId="38" fillId="26" borderId="12" applyNumberFormat="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0" fontId="39" fillId="0" borderId="0" applyNumberFormat="0" applyFill="0" applyBorder="0" applyAlignment="0" applyProtection="0"/>
    <xf numFmtId="0" fontId="40" fillId="9" borderId="0" applyNumberFormat="0" applyBorder="0" applyAlignment="0" applyProtection="0"/>
    <xf numFmtId="0" fontId="45" fillId="0" borderId="13" applyNumberFormat="0" applyFill="0" applyAlignment="0" applyProtection="0"/>
    <xf numFmtId="0" fontId="46" fillId="0" borderId="14" applyNumberFormat="0" applyFill="0" applyAlignment="0" applyProtection="0"/>
    <xf numFmtId="0" fontId="47" fillId="0" borderId="1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2" fillId="0" borderId="0" applyNumberFormat="0" applyFill="0" applyBorder="0" applyAlignment="0" applyProtection="0"/>
    <xf numFmtId="0" fontId="49" fillId="12" borderId="11" applyNumberFormat="0" applyAlignment="0" applyProtection="0"/>
    <xf numFmtId="0" fontId="41" fillId="0" borderId="16" applyNumberFormat="0" applyFill="0" applyAlignment="0" applyProtection="0"/>
    <xf numFmtId="0" fontId="42" fillId="24" borderId="0" applyNumberFormat="0" applyBorder="0" applyAlignment="0" applyProtection="0"/>
    <xf numFmtId="0" fontId="30" fillId="0" borderId="0"/>
    <xf numFmtId="0" fontId="30" fillId="0" borderId="0"/>
    <xf numFmtId="0" fontId="23" fillId="0" borderId="0"/>
    <xf numFmtId="0" fontId="30" fillId="0" borderId="0"/>
    <xf numFmtId="0" fontId="30" fillId="0" borderId="0"/>
    <xf numFmtId="0" fontId="23" fillId="0" borderId="0"/>
    <xf numFmtId="0" fontId="30" fillId="0" borderId="0"/>
    <xf numFmtId="0" fontId="30" fillId="0" borderId="0"/>
    <xf numFmtId="0" fontId="23" fillId="0" borderId="0"/>
    <xf numFmtId="0" fontId="53" fillId="0" borderId="0"/>
    <xf numFmtId="0" fontId="23" fillId="0" borderId="0"/>
    <xf numFmtId="0" fontId="23" fillId="0" borderId="0"/>
    <xf numFmtId="0" fontId="30" fillId="0" borderId="0"/>
    <xf numFmtId="0" fontId="22" fillId="0" borderId="0"/>
    <xf numFmtId="0" fontId="53" fillId="0" borderId="0"/>
    <xf numFmtId="0" fontId="30" fillId="0" borderId="0"/>
    <xf numFmtId="0" fontId="50" fillId="0" borderId="0"/>
    <xf numFmtId="0" fontId="53" fillId="0" borderId="0"/>
    <xf numFmtId="0" fontId="22" fillId="0" borderId="0"/>
    <xf numFmtId="0" fontId="25" fillId="0" borderId="0"/>
    <xf numFmtId="0" fontId="30" fillId="0" borderId="0"/>
    <xf numFmtId="0" fontId="30" fillId="0" borderId="0" applyNumberFormat="0" applyFont="0" applyFill="0" applyBorder="0" applyAlignment="0" applyProtection="0"/>
    <xf numFmtId="0" fontId="30" fillId="0" borderId="0"/>
    <xf numFmtId="0" fontId="30" fillId="0" borderId="0" applyNumberFormat="0" applyFont="0" applyFill="0" applyBorder="0" applyAlignment="0" applyProtection="0"/>
    <xf numFmtId="0" fontId="30" fillId="0" borderId="0"/>
    <xf numFmtId="0" fontId="50" fillId="0" borderId="0"/>
    <xf numFmtId="0" fontId="25" fillId="0" borderId="0"/>
    <xf numFmtId="0" fontId="30" fillId="0" borderId="0"/>
    <xf numFmtId="0" fontId="53" fillId="0" borderId="0"/>
    <xf numFmtId="0" fontId="53" fillId="0" borderId="0"/>
    <xf numFmtId="0" fontId="30" fillId="0" borderId="0"/>
    <xf numFmtId="0" fontId="53" fillId="0" borderId="0"/>
    <xf numFmtId="0" fontId="30" fillId="0" borderId="0" applyNumberFormat="0" applyFont="0" applyFill="0" applyBorder="0" applyAlignment="0" applyProtection="0"/>
    <xf numFmtId="0" fontId="25" fillId="0" borderId="0"/>
    <xf numFmtId="0" fontId="30" fillId="0" borderId="0"/>
    <xf numFmtId="0" fontId="22" fillId="0" borderId="0"/>
    <xf numFmtId="0" fontId="30" fillId="0" borderId="0"/>
    <xf numFmtId="0" fontId="53" fillId="0" borderId="0"/>
    <xf numFmtId="0" fontId="25" fillId="0" borderId="0"/>
    <xf numFmtId="0" fontId="25" fillId="0" borderId="0"/>
    <xf numFmtId="0" fontId="25" fillId="0" borderId="0"/>
    <xf numFmtId="0" fontId="25" fillId="0" borderId="0"/>
    <xf numFmtId="0" fontId="23" fillId="0" borderId="0"/>
    <xf numFmtId="0" fontId="23" fillId="0" borderId="0"/>
    <xf numFmtId="0" fontId="25" fillId="0" borderId="0"/>
    <xf numFmtId="0" fontId="25" fillId="0" borderId="0"/>
    <xf numFmtId="0" fontId="30" fillId="0" borderId="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30" fillId="8" borderId="17" applyNumberFormat="0" applyFont="0" applyAlignment="0" applyProtection="0"/>
    <xf numFmtId="0" fontId="51" fillId="25" borderId="18"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0" fontId="52" fillId="0" borderId="0" applyNumberFormat="0" applyFill="0" applyBorder="0" applyAlignment="0" applyProtection="0"/>
    <xf numFmtId="0" fontId="43" fillId="0" borderId="19" applyNumberFormat="0" applyFill="0" applyAlignment="0" applyProtection="0"/>
    <xf numFmtId="0" fontId="44" fillId="0" borderId="0" applyNumberFormat="0" applyFill="0" applyBorder="0" applyAlignment="0" applyProtection="0"/>
    <xf numFmtId="0" fontId="22"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43" fontId="25" fillId="0" borderId="0" applyFont="0" applyFill="0" applyBorder="0" applyAlignment="0" applyProtection="0"/>
    <xf numFmtId="0" fontId="25" fillId="0" borderId="0"/>
    <xf numFmtId="9" fontId="25" fillId="0" borderId="0" applyFont="0" applyFill="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9" fontId="22" fillId="0" borderId="0" applyFont="0" applyFill="0" applyBorder="0" applyAlignment="0" applyProtection="0"/>
    <xf numFmtId="43" fontId="25" fillId="0" borderId="0" applyFont="0" applyFill="0" applyBorder="0" applyAlignment="0" applyProtection="0"/>
    <xf numFmtId="0" fontId="27" fillId="0" borderId="0" applyNumberFormat="0" applyFill="0" applyBorder="0" applyAlignment="0" applyProtection="0">
      <alignment vertical="top"/>
      <protection locked="0"/>
    </xf>
    <xf numFmtId="0" fontId="30" fillId="0" borderId="0"/>
    <xf numFmtId="0" fontId="22" fillId="0" borderId="0"/>
    <xf numFmtId="0" fontId="50" fillId="0" borderId="0"/>
    <xf numFmtId="0" fontId="23" fillId="0" borderId="0"/>
    <xf numFmtId="0" fontId="53" fillId="0" borderId="0"/>
    <xf numFmtId="0" fontId="24" fillId="0" borderId="0"/>
    <xf numFmtId="0" fontId="22" fillId="0" borderId="0"/>
    <xf numFmtId="0" fontId="25" fillId="0" borderId="0"/>
    <xf numFmtId="0" fontId="25" fillId="0" borderId="0"/>
    <xf numFmtId="0" fontId="22"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9" fontId="23" fillId="0" borderId="0" applyFont="0" applyFill="0" applyBorder="0" applyAlignment="0" applyProtection="0"/>
    <xf numFmtId="0" fontId="59" fillId="0" borderId="0"/>
    <xf numFmtId="0" fontId="19" fillId="0" borderId="0"/>
    <xf numFmtId="0" fontId="23" fillId="0" borderId="0"/>
    <xf numFmtId="15" fontId="60" fillId="28" borderId="36">
      <alignment horizontal="left" vertical="center"/>
    </xf>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9" fillId="0" borderId="0" applyFont="0" applyFill="0" applyBorder="0" applyAlignment="0" applyProtection="0"/>
    <xf numFmtId="0" fontId="27"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0" borderId="0" applyNumberFormat="0" applyFill="0" applyBorder="0" applyAlignment="0" applyProtection="0"/>
    <xf numFmtId="0" fontId="25" fillId="0" borderId="0"/>
    <xf numFmtId="0" fontId="19" fillId="0" borderId="0"/>
    <xf numFmtId="0" fontId="19" fillId="0" borderId="0"/>
    <xf numFmtId="0" fontId="19" fillId="0" borderId="0"/>
    <xf numFmtId="0" fontId="30" fillId="0" borderId="0"/>
    <xf numFmtId="0" fontId="25" fillId="0" borderId="0"/>
    <xf numFmtId="0" fontId="25" fillId="0" borderId="0"/>
    <xf numFmtId="0" fontId="19" fillId="0" borderId="0"/>
    <xf numFmtId="0" fontId="19" fillId="0" borderId="0"/>
    <xf numFmtId="0" fontId="19" fillId="0" borderId="0"/>
    <xf numFmtId="0" fontId="19" fillId="0" borderId="0"/>
    <xf numFmtId="0" fontId="61" fillId="0" borderId="0"/>
    <xf numFmtId="0" fontId="19" fillId="0" borderId="0"/>
    <xf numFmtId="0" fontId="23"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25" fillId="0" borderId="0"/>
    <xf numFmtId="0" fontId="19" fillId="0" borderId="0"/>
    <xf numFmtId="9"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59" fillId="0" borderId="0"/>
    <xf numFmtId="43" fontId="25"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25" fillId="0" borderId="0"/>
    <xf numFmtId="9" fontId="16" fillId="0" borderId="0" applyFont="0" applyFill="0" applyBorder="0" applyAlignment="0" applyProtection="0"/>
    <xf numFmtId="0" fontId="32" fillId="0" borderId="0" applyNumberForma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cellStyleXfs>
  <cellXfs count="325">
    <xf numFmtId="0" fontId="0" fillId="0" borderId="0" xfId="0"/>
    <xf numFmtId="0" fontId="0" fillId="4" borderId="0" xfId="0" applyFill="1"/>
    <xf numFmtId="0" fontId="56" fillId="4" borderId="0" xfId="0" applyFont="1" applyFill="1" applyBorder="1" applyAlignment="1">
      <alignment vertical="center"/>
    </xf>
    <xf numFmtId="0" fontId="56" fillId="4" borderId="0" xfId="0" applyFont="1" applyFill="1" applyBorder="1" applyAlignment="1">
      <alignment horizontal="center" vertical="center"/>
    </xf>
    <xf numFmtId="0" fontId="55" fillId="0" borderId="30" xfId="0" applyFont="1" applyFill="1" applyBorder="1" applyAlignment="1" applyProtection="1">
      <alignment vertical="center"/>
      <protection locked="0" hidden="1"/>
    </xf>
    <xf numFmtId="0" fontId="57" fillId="0" borderId="30" xfId="0" applyFont="1" applyFill="1" applyBorder="1" applyAlignment="1" applyProtection="1">
      <alignment vertical="center"/>
      <protection locked="0" hidden="1"/>
    </xf>
    <xf numFmtId="0" fontId="25" fillId="0" borderId="30" xfId="0" quotePrefix="1" applyFont="1" applyFill="1" applyBorder="1" applyAlignment="1" applyProtection="1">
      <alignment vertical="center"/>
      <protection hidden="1"/>
    </xf>
    <xf numFmtId="0" fontId="25" fillId="0" borderId="31" xfId="0" quotePrefix="1" applyFont="1" applyFill="1" applyBorder="1" applyAlignment="1" applyProtection="1">
      <alignment vertical="center"/>
      <protection hidden="1"/>
    </xf>
    <xf numFmtId="0" fontId="25" fillId="0" borderId="30" xfId="6" applyFont="1" applyFill="1" applyBorder="1" applyProtection="1">
      <protection locked="0" hidden="1"/>
    </xf>
    <xf numFmtId="0" fontId="54" fillId="4" borderId="0" xfId="0" applyFont="1" applyFill="1"/>
    <xf numFmtId="0" fontId="21" fillId="4" borderId="0" xfId="0" applyFont="1" applyFill="1"/>
    <xf numFmtId="0" fontId="21" fillId="0" borderId="0" xfId="0" applyFont="1"/>
    <xf numFmtId="0" fontId="55" fillId="0" borderId="31" xfId="0" applyFont="1" applyFill="1" applyBorder="1" applyAlignment="1" applyProtection="1">
      <alignment vertical="center"/>
      <protection hidden="1"/>
    </xf>
    <xf numFmtId="0" fontId="55" fillId="0" borderId="30" xfId="0" applyFont="1" applyFill="1" applyBorder="1" applyAlignment="1" applyProtection="1">
      <alignment vertical="center" wrapText="1"/>
      <protection locked="0" hidden="1"/>
    </xf>
    <xf numFmtId="0" fontId="55" fillId="0" borderId="31" xfId="0" applyFont="1" applyFill="1" applyBorder="1" applyAlignment="1" applyProtection="1">
      <alignment vertical="center" wrapText="1"/>
      <protection locked="0" hidden="1"/>
    </xf>
    <xf numFmtId="0" fontId="55" fillId="0" borderId="33" xfId="0" applyFont="1" applyFill="1" applyBorder="1" applyProtection="1">
      <protection hidden="1"/>
    </xf>
    <xf numFmtId="0" fontId="55" fillId="0" borderId="31" xfId="0" applyFont="1" applyFill="1" applyBorder="1" applyAlignment="1" applyProtection="1">
      <alignment horizontal="center" vertical="center" wrapText="1"/>
      <protection locked="0" hidden="1"/>
    </xf>
    <xf numFmtId="0" fontId="55" fillId="0" borderId="34" xfId="0" applyFont="1" applyFill="1" applyBorder="1" applyAlignment="1" applyProtection="1">
      <alignment vertical="center" wrapText="1"/>
      <protection locked="0" hidden="1"/>
    </xf>
    <xf numFmtId="0" fontId="58" fillId="0" borderId="30" xfId="0" applyFont="1" applyFill="1" applyBorder="1" applyAlignment="1" applyProtection="1">
      <alignment horizontal="right"/>
      <protection hidden="1"/>
    </xf>
    <xf numFmtId="0" fontId="25" fillId="0" borderId="33" xfId="0" applyFont="1" applyFill="1" applyBorder="1" applyAlignment="1" applyProtection="1">
      <alignment horizontal="right"/>
      <protection hidden="1"/>
    </xf>
    <xf numFmtId="0" fontId="55" fillId="0" borderId="0" xfId="0" applyFont="1" applyFill="1" applyBorder="1" applyProtection="1">
      <protection hidden="1"/>
    </xf>
    <xf numFmtId="49" fontId="55" fillId="27" borderId="23" xfId="0" applyNumberFormat="1" applyFont="1" applyFill="1" applyBorder="1" applyAlignment="1">
      <alignment horizontal="center" vertical="center" wrapText="1"/>
    </xf>
    <xf numFmtId="0" fontId="20" fillId="4" borderId="24" xfId="0" applyFont="1" applyFill="1" applyBorder="1" applyAlignment="1">
      <alignment horizontal="right"/>
    </xf>
    <xf numFmtId="0" fontId="20" fillId="4" borderId="29" xfId="0" applyFont="1" applyFill="1" applyBorder="1" applyAlignment="1">
      <alignment horizontal="right"/>
    </xf>
    <xf numFmtId="0" fontId="20" fillId="4" borderId="25" xfId="0" applyFont="1" applyFill="1" applyBorder="1" applyAlignment="1">
      <alignment horizontal="right"/>
    </xf>
    <xf numFmtId="0" fontId="20" fillId="4" borderId="26" xfId="0" applyFont="1" applyFill="1" applyBorder="1" applyAlignment="1">
      <alignment horizontal="right"/>
    </xf>
    <xf numFmtId="0" fontId="20" fillId="4" borderId="0" xfId="0" applyFont="1" applyFill="1"/>
    <xf numFmtId="0" fontId="20" fillId="0" borderId="0" xfId="0" applyFont="1"/>
    <xf numFmtId="0" fontId="20" fillId="4" borderId="0" xfId="0" applyFont="1" applyFill="1" applyBorder="1" applyAlignment="1">
      <alignment horizontal="center" vertical="center"/>
    </xf>
    <xf numFmtId="1" fontId="20" fillId="4" borderId="0" xfId="0" applyNumberFormat="1" applyFont="1" applyFill="1" applyBorder="1" applyAlignment="1">
      <alignment horizontal="center" vertical="center"/>
    </xf>
    <xf numFmtId="49" fontId="55" fillId="27" borderId="23" xfId="0" applyNumberFormat="1" applyFont="1" applyFill="1" applyBorder="1" applyAlignment="1">
      <alignment horizontal="center" vertical="center" wrapText="1"/>
    </xf>
    <xf numFmtId="0" fontId="18" fillId="4" borderId="0" xfId="0" applyFont="1" applyFill="1"/>
    <xf numFmtId="0" fontId="18" fillId="0" borderId="0" xfId="0" applyFont="1"/>
    <xf numFmtId="0" fontId="18" fillId="4" borderId="24" xfId="0" applyFont="1" applyFill="1" applyBorder="1" applyAlignment="1">
      <alignment horizontal="right"/>
    </xf>
    <xf numFmtId="0" fontId="18" fillId="4" borderId="29" xfId="0" applyFont="1" applyFill="1" applyBorder="1" applyAlignment="1">
      <alignment horizontal="right"/>
    </xf>
    <xf numFmtId="0" fontId="18" fillId="4" borderId="25" xfId="0" applyFont="1" applyFill="1" applyBorder="1" applyAlignment="1">
      <alignment horizontal="right"/>
    </xf>
    <xf numFmtId="0" fontId="18" fillId="4" borderId="26" xfId="0" applyFont="1" applyFill="1" applyBorder="1" applyAlignment="1">
      <alignment horizontal="right"/>
    </xf>
    <xf numFmtId="0" fontId="18" fillId="0" borderId="0" xfId="0" applyFont="1" applyFill="1"/>
    <xf numFmtId="0" fontId="18" fillId="0" borderId="30" xfId="0" applyFont="1" applyFill="1" applyBorder="1" applyAlignment="1" applyProtection="1">
      <alignment horizontal="right" vertical="top"/>
      <protection locked="0" hidden="1"/>
    </xf>
    <xf numFmtId="0" fontId="18" fillId="0" borderId="32" xfId="0" applyFont="1" applyFill="1" applyBorder="1" applyAlignment="1" applyProtection="1">
      <alignment horizontal="right" vertical="top"/>
      <protection locked="0" hidden="1"/>
    </xf>
    <xf numFmtId="0" fontId="18" fillId="0" borderId="32" xfId="0" applyFont="1" applyFill="1" applyBorder="1" applyAlignment="1" applyProtection="1">
      <alignment horizontal="right" vertical="top" wrapText="1"/>
      <protection locked="0" hidden="1"/>
    </xf>
    <xf numFmtId="0" fontId="18" fillId="0" borderId="33" xfId="0" applyFont="1" applyFill="1" applyBorder="1" applyProtection="1">
      <protection hidden="1"/>
    </xf>
    <xf numFmtId="0" fontId="25" fillId="0" borderId="30" xfId="0" applyFont="1" applyFill="1" applyBorder="1" applyProtection="1">
      <protection locked="0" hidden="1"/>
    </xf>
    <xf numFmtId="0" fontId="18" fillId="0" borderId="30" xfId="0" applyFont="1" applyFill="1" applyBorder="1" applyProtection="1">
      <protection hidden="1"/>
    </xf>
    <xf numFmtId="0" fontId="18" fillId="0" borderId="30" xfId="0" applyFont="1" applyFill="1" applyBorder="1" applyProtection="1">
      <protection locked="0" hidden="1"/>
    </xf>
    <xf numFmtId="0" fontId="18" fillId="4" borderId="0" xfId="0" applyFont="1" applyFill="1" applyAlignment="1">
      <alignment horizontal="right" vertical="top"/>
    </xf>
    <xf numFmtId="0" fontId="18" fillId="0" borderId="0" xfId="0" applyFont="1" applyAlignment="1">
      <alignment horizontal="right" vertical="top"/>
    </xf>
    <xf numFmtId="0" fontId="18" fillId="0" borderId="31" xfId="0" applyFont="1" applyFill="1" applyBorder="1" applyProtection="1">
      <protection locked="0" hidden="1"/>
    </xf>
    <xf numFmtId="0" fontId="18" fillId="0" borderId="32" xfId="0" applyFont="1" applyFill="1" applyBorder="1" applyProtection="1">
      <protection locked="0" hidden="1"/>
    </xf>
    <xf numFmtId="0" fontId="18" fillId="0" borderId="34" xfId="0" applyFont="1" applyFill="1" applyBorder="1" applyProtection="1">
      <protection locked="0" hidden="1"/>
    </xf>
    <xf numFmtId="0" fontId="18" fillId="0" borderId="33" xfId="0" applyFont="1" applyFill="1" applyBorder="1" applyProtection="1">
      <protection locked="0" hidden="1"/>
    </xf>
    <xf numFmtId="0" fontId="25" fillId="4" borderId="29" xfId="0" applyFont="1" applyFill="1" applyBorder="1" applyAlignment="1">
      <alignment horizontal="right"/>
    </xf>
    <xf numFmtId="0" fontId="25" fillId="4" borderId="26" xfId="0" applyFont="1" applyFill="1" applyBorder="1" applyAlignment="1">
      <alignment horizontal="right"/>
    </xf>
    <xf numFmtId="0" fontId="21" fillId="4" borderId="0" xfId="0" applyFont="1" applyFill="1" applyAlignment="1">
      <alignment horizontal="left"/>
    </xf>
    <xf numFmtId="0" fontId="20" fillId="0" borderId="0" xfId="0" applyFont="1" applyAlignment="1">
      <alignment horizontal="left"/>
    </xf>
    <xf numFmtId="0" fontId="17" fillId="4" borderId="0" xfId="0" applyFont="1" applyFill="1"/>
    <xf numFmtId="0" fontId="63" fillId="4" borderId="0" xfId="0" applyFont="1" applyFill="1"/>
    <xf numFmtId="0" fontId="26" fillId="29" borderId="0" xfId="338" applyFont="1" applyFill="1" applyProtection="1">
      <protection locked="0" hidden="1"/>
    </xf>
    <xf numFmtId="0" fontId="33" fillId="29" borderId="0" xfId="338" applyFont="1" applyFill="1" applyProtection="1">
      <protection locked="0" hidden="1"/>
    </xf>
    <xf numFmtId="0" fontId="64" fillId="29" borderId="0" xfId="338" applyFont="1" applyFill="1" applyProtection="1">
      <protection locked="0" hidden="1"/>
    </xf>
    <xf numFmtId="0" fontId="62" fillId="4" borderId="0" xfId="5" applyFont="1" applyFill="1" applyBorder="1" applyAlignment="1" applyProtection="1">
      <alignment horizontal="left" vertical="center"/>
      <protection hidden="1"/>
    </xf>
    <xf numFmtId="0" fontId="62" fillId="4" borderId="0" xfId="5" applyFont="1" applyFill="1" applyBorder="1" applyAlignment="1" applyProtection="1">
      <alignment horizontal="left" vertical="top"/>
      <protection hidden="1"/>
    </xf>
    <xf numFmtId="0" fontId="65" fillId="4" borderId="0" xfId="22" applyFont="1" applyFill="1"/>
    <xf numFmtId="0" fontId="20" fillId="4" borderId="0" xfId="0" applyFont="1" applyFill="1" applyBorder="1" applyAlignment="1">
      <alignment horizontal="right" indent="1"/>
    </xf>
    <xf numFmtId="0" fontId="20" fillId="4" borderId="23" xfId="0" applyFont="1" applyFill="1" applyBorder="1" applyAlignment="1">
      <alignment horizontal="right" indent="1"/>
    </xf>
    <xf numFmtId="49" fontId="55" fillId="27" borderId="27" xfId="0" applyNumberFormat="1" applyFont="1" applyFill="1" applyBorder="1" applyAlignment="1">
      <alignment horizontal="center" vertical="center" wrapText="1"/>
    </xf>
    <xf numFmtId="49" fontId="55" fillId="27" borderId="22" xfId="0" applyNumberFormat="1" applyFont="1" applyFill="1" applyBorder="1" applyAlignment="1">
      <alignment horizontal="center" vertical="center" wrapText="1"/>
    </xf>
    <xf numFmtId="49" fontId="55" fillId="27" borderId="28" xfId="0" applyNumberFormat="1" applyFont="1" applyFill="1" applyBorder="1" applyAlignment="1">
      <alignment horizontal="center" vertical="center" wrapText="1"/>
    </xf>
    <xf numFmtId="49" fontId="55" fillId="27" borderId="26" xfId="0" applyNumberFormat="1" applyFont="1" applyFill="1" applyBorder="1" applyAlignment="1">
      <alignment horizontal="center" vertical="center" wrapText="1"/>
    </xf>
    <xf numFmtId="49" fontId="55" fillId="27" borderId="23" xfId="0" applyNumberFormat="1" applyFont="1" applyFill="1" applyBorder="1" applyAlignment="1">
      <alignment horizontal="center" vertical="center" wrapText="1"/>
    </xf>
    <xf numFmtId="49" fontId="55" fillId="27" borderId="26" xfId="0" applyNumberFormat="1" applyFont="1" applyFill="1" applyBorder="1" applyAlignment="1">
      <alignment horizontal="center" vertical="center" wrapText="1"/>
    </xf>
    <xf numFmtId="49" fontId="55" fillId="27" borderId="23" xfId="0" applyNumberFormat="1" applyFont="1" applyFill="1" applyBorder="1" applyAlignment="1">
      <alignment horizontal="center" vertical="center" wrapText="1"/>
    </xf>
    <xf numFmtId="0" fontId="54" fillId="4" borderId="40" xfId="0" applyFont="1" applyFill="1" applyBorder="1"/>
    <xf numFmtId="0" fontId="18" fillId="4" borderId="40" xfId="0" applyFont="1" applyFill="1" applyBorder="1" applyAlignment="1">
      <alignment horizontal="left" indent="1"/>
    </xf>
    <xf numFmtId="0" fontId="18" fillId="4" borderId="41" xfId="0" applyFont="1" applyFill="1" applyBorder="1" applyAlignment="1">
      <alignment horizontal="left" indent="1"/>
    </xf>
    <xf numFmtId="0" fontId="55" fillId="0" borderId="34" xfId="0" applyFont="1" applyFill="1" applyBorder="1" applyAlignment="1" applyProtection="1">
      <alignment horizontal="center" vertical="center"/>
      <protection hidden="1"/>
    </xf>
    <xf numFmtId="0" fontId="54" fillId="4" borderId="39" xfId="0" applyFont="1" applyFill="1" applyBorder="1" applyAlignment="1">
      <alignment wrapText="1"/>
    </xf>
    <xf numFmtId="49" fontId="55" fillId="27" borderId="39" xfId="0" applyNumberFormat="1" applyFont="1" applyFill="1" applyBorder="1" applyAlignment="1">
      <alignment horizontal="center" vertical="center" wrapText="1"/>
    </xf>
    <xf numFmtId="49" fontId="55" fillId="27" borderId="41" xfId="0" applyNumberFormat="1" applyFont="1" applyFill="1" applyBorder="1" applyAlignment="1">
      <alignment horizontal="center" vertical="center" wrapText="1"/>
    </xf>
    <xf numFmtId="0" fontId="54" fillId="4" borderId="40" xfId="0" applyFont="1" applyFill="1" applyBorder="1" applyAlignment="1">
      <alignment horizontal="left"/>
    </xf>
    <xf numFmtId="0" fontId="55" fillId="0" borderId="45" xfId="0" applyFont="1" applyFill="1" applyBorder="1" applyAlignment="1" applyProtection="1">
      <alignment vertical="center" wrapText="1"/>
      <protection hidden="1"/>
    </xf>
    <xf numFmtId="0" fontId="55" fillId="0" borderId="45" xfId="0" applyFont="1" applyFill="1" applyBorder="1" applyAlignment="1" applyProtection="1">
      <alignment horizontal="left" vertical="center" wrapText="1" indent="1"/>
      <protection hidden="1"/>
    </xf>
    <xf numFmtId="0" fontId="25" fillId="0" borderId="45" xfId="0" applyFont="1" applyFill="1" applyBorder="1" applyAlignment="1" applyProtection="1">
      <alignment horizontal="left" vertical="top" wrapText="1" indent="1"/>
      <protection hidden="1"/>
    </xf>
    <xf numFmtId="0" fontId="25" fillId="0" borderId="46" xfId="0" applyFont="1" applyFill="1" applyBorder="1" applyAlignment="1" applyProtection="1">
      <alignment horizontal="left" vertical="top" wrapText="1" indent="1"/>
      <protection hidden="1"/>
    </xf>
    <xf numFmtId="0" fontId="55" fillId="0" borderId="45" xfId="0" applyFont="1" applyFill="1" applyBorder="1" applyAlignment="1" applyProtection="1">
      <alignment horizontal="left" vertical="center" wrapText="1" indent="2"/>
      <protection hidden="1"/>
    </xf>
    <xf numFmtId="0" fontId="25" fillId="0" borderId="45" xfId="0" applyFont="1" applyFill="1" applyBorder="1" applyAlignment="1" applyProtection="1">
      <alignment horizontal="left" vertical="top" wrapText="1" indent="2"/>
      <protection hidden="1"/>
    </xf>
    <xf numFmtId="0" fontId="25" fillId="0" borderId="46" xfId="0" applyFont="1" applyFill="1" applyBorder="1" applyAlignment="1" applyProtection="1">
      <alignment horizontal="left" vertical="top" wrapText="1" indent="2"/>
      <protection hidden="1"/>
    </xf>
    <xf numFmtId="0" fontId="25" fillId="0" borderId="47" xfId="0" applyFont="1" applyFill="1" applyBorder="1" applyAlignment="1" applyProtection="1">
      <alignment horizontal="left" vertical="top" wrapText="1" indent="2"/>
      <protection hidden="1"/>
    </xf>
    <xf numFmtId="0" fontId="54" fillId="4" borderId="42" xfId="0" applyFont="1" applyFill="1" applyBorder="1" applyAlignment="1">
      <alignment horizontal="right"/>
    </xf>
    <xf numFmtId="0" fontId="54" fillId="4" borderId="21" xfId="0" applyFont="1" applyFill="1" applyBorder="1" applyAlignment="1">
      <alignment horizontal="right"/>
    </xf>
    <xf numFmtId="0" fontId="18" fillId="0" borderId="24" xfId="0" applyFont="1" applyBorder="1"/>
    <xf numFmtId="0" fontId="18" fillId="0" borderId="0" xfId="0" applyFont="1" applyBorder="1"/>
    <xf numFmtId="0" fontId="57" fillId="0" borderId="0" xfId="0" applyFont="1"/>
    <xf numFmtId="0" fontId="55" fillId="0" borderId="48" xfId="0" applyFont="1" applyFill="1" applyBorder="1" applyAlignment="1" applyProtection="1">
      <alignment horizontal="right" vertical="center" indent="2"/>
      <protection hidden="1"/>
    </xf>
    <xf numFmtId="0" fontId="55" fillId="0" borderId="49" xfId="0" applyFont="1" applyFill="1" applyBorder="1" applyAlignment="1" applyProtection="1">
      <alignment horizontal="right" vertical="center" indent="2"/>
      <protection hidden="1"/>
    </xf>
    <xf numFmtId="0" fontId="55" fillId="0" borderId="53" xfId="0" applyFont="1" applyFill="1" applyBorder="1" applyAlignment="1" applyProtection="1">
      <alignment horizontal="right" vertical="center" indent="3"/>
      <protection hidden="1"/>
    </xf>
    <xf numFmtId="0" fontId="55" fillId="0" borderId="45" xfId="0" applyFont="1" applyFill="1" applyBorder="1" applyAlignment="1" applyProtection="1">
      <alignment horizontal="right" vertical="center" indent="3"/>
      <protection hidden="1"/>
    </xf>
    <xf numFmtId="0" fontId="25" fillId="0" borderId="46" xfId="0" applyFont="1" applyFill="1" applyBorder="1" applyAlignment="1" applyProtection="1">
      <alignment horizontal="right" vertical="center" indent="3"/>
      <protection hidden="1"/>
    </xf>
    <xf numFmtId="0" fontId="55" fillId="0" borderId="47" xfId="0" applyFont="1" applyFill="1" applyBorder="1" applyAlignment="1" applyProtection="1">
      <alignment horizontal="right" vertical="center" indent="3"/>
      <protection hidden="1"/>
    </xf>
    <xf numFmtId="0" fontId="0" fillId="0" borderId="0" xfId="0" applyAlignment="1">
      <alignment wrapText="1"/>
    </xf>
    <xf numFmtId="0" fontId="57" fillId="4" borderId="0" xfId="0" applyFont="1" applyFill="1"/>
    <xf numFmtId="0" fontId="55" fillId="0" borderId="54" xfId="0" applyFont="1" applyFill="1" applyBorder="1" applyAlignment="1" applyProtection="1">
      <alignment horizontal="right" vertical="center" indent="2"/>
      <protection hidden="1"/>
    </xf>
    <xf numFmtId="0" fontId="55" fillId="0" borderId="55" xfId="0" applyFont="1" applyFill="1" applyBorder="1" applyAlignment="1" applyProtection="1">
      <alignment horizontal="right" vertical="center" indent="2"/>
      <protection hidden="1"/>
    </xf>
    <xf numFmtId="0" fontId="55" fillId="0" borderId="53" xfId="0" applyFont="1" applyFill="1" applyBorder="1" applyAlignment="1" applyProtection="1">
      <alignment horizontal="right" vertical="center" indent="2"/>
      <protection hidden="1"/>
    </xf>
    <xf numFmtId="0" fontId="54" fillId="30" borderId="56" xfId="0" applyFont="1" applyFill="1" applyBorder="1" applyAlignment="1">
      <alignment wrapText="1"/>
    </xf>
    <xf numFmtId="0" fontId="54" fillId="30" borderId="66" xfId="0" applyFont="1" applyFill="1" applyBorder="1"/>
    <xf numFmtId="0" fontId="54" fillId="30" borderId="67" xfId="0" applyFont="1" applyFill="1" applyBorder="1" applyAlignment="1">
      <alignment wrapText="1"/>
    </xf>
    <xf numFmtId="0" fontId="54" fillId="30" borderId="68" xfId="0" applyFont="1" applyFill="1" applyBorder="1"/>
    <xf numFmtId="14" fontId="0" fillId="0" borderId="0" xfId="0" applyNumberFormat="1"/>
    <xf numFmtId="14" fontId="21" fillId="4" borderId="0" xfId="0" applyNumberFormat="1" applyFont="1" applyFill="1"/>
    <xf numFmtId="9" fontId="18" fillId="4" borderId="0" xfId="0" applyNumberFormat="1" applyFont="1" applyFill="1"/>
    <xf numFmtId="0" fontId="66" fillId="0" borderId="0" xfId="0" applyFont="1"/>
    <xf numFmtId="49" fontId="55" fillId="27" borderId="24" xfId="0" applyNumberFormat="1" applyFont="1" applyFill="1" applyBorder="1" applyAlignment="1">
      <alignment horizontal="center" vertical="center" wrapText="1"/>
    </xf>
    <xf numFmtId="49" fontId="55" fillId="27" borderId="0" xfId="0" applyNumberFormat="1" applyFont="1" applyFill="1" applyBorder="1" applyAlignment="1">
      <alignment horizontal="center" vertical="center" wrapText="1"/>
    </xf>
    <xf numFmtId="0" fontId="13" fillId="0" borderId="0" xfId="0" applyFont="1"/>
    <xf numFmtId="0" fontId="57" fillId="0" borderId="34" xfId="0" applyFont="1" applyFill="1" applyBorder="1" applyAlignment="1" applyProtection="1">
      <alignment horizontal="center" vertical="center"/>
      <protection hidden="1"/>
    </xf>
    <xf numFmtId="3" fontId="20" fillId="4" borderId="40" xfId="0" applyNumberFormat="1" applyFont="1" applyFill="1" applyBorder="1" applyAlignment="1">
      <alignment horizontal="right" indent="1"/>
    </xf>
    <xf numFmtId="3" fontId="20" fillId="4" borderId="41" xfId="0" applyNumberFormat="1" applyFont="1" applyFill="1" applyBorder="1" applyAlignment="1">
      <alignment horizontal="right" indent="1"/>
    </xf>
    <xf numFmtId="0" fontId="67" fillId="4" borderId="0" xfId="0" applyFont="1" applyFill="1" applyBorder="1" applyAlignment="1">
      <alignment horizontal="center" vertical="center"/>
    </xf>
    <xf numFmtId="0" fontId="67" fillId="4" borderId="0" xfId="0" applyFont="1" applyFill="1"/>
    <xf numFmtId="0" fontId="67" fillId="0" borderId="0" xfId="0" applyFont="1"/>
    <xf numFmtId="0" fontId="68" fillId="0" borderId="0" xfId="0" applyFont="1"/>
    <xf numFmtId="49" fontId="55" fillId="31" borderId="27" xfId="0" applyNumberFormat="1" applyFont="1" applyFill="1" applyBorder="1" applyAlignment="1">
      <alignment horizontal="center" vertical="center" wrapText="1"/>
    </xf>
    <xf numFmtId="49" fontId="55" fillId="31" borderId="28" xfId="0" applyNumberFormat="1" applyFont="1" applyFill="1" applyBorder="1" applyAlignment="1">
      <alignment horizontal="center" vertical="center" wrapText="1"/>
    </xf>
    <xf numFmtId="49" fontId="55" fillId="31" borderId="22" xfId="0" applyNumberFormat="1" applyFont="1" applyFill="1" applyBorder="1" applyAlignment="1">
      <alignment horizontal="center" vertical="center" wrapText="1"/>
    </xf>
    <xf numFmtId="0" fontId="25" fillId="4" borderId="51" xfId="0" applyFont="1" applyFill="1" applyBorder="1" applyAlignment="1" applyProtection="1">
      <alignment horizontal="right" vertical="center" indent="2"/>
      <protection hidden="1"/>
    </xf>
    <xf numFmtId="0" fontId="25" fillId="4" borderId="37" xfId="0" applyFont="1" applyFill="1" applyBorder="1" applyAlignment="1" applyProtection="1">
      <alignment horizontal="right" vertical="center" indent="2"/>
      <protection hidden="1"/>
    </xf>
    <xf numFmtId="0" fontId="55" fillId="4" borderId="54" xfId="0" applyFont="1" applyFill="1" applyBorder="1" applyAlignment="1" applyProtection="1">
      <alignment horizontal="right" vertical="center" indent="2"/>
      <protection hidden="1"/>
    </xf>
    <xf numFmtId="49" fontId="55" fillId="27" borderId="26" xfId="0" applyNumberFormat="1" applyFont="1" applyFill="1" applyBorder="1" applyAlignment="1">
      <alignment horizontal="center" vertical="center" wrapText="1"/>
    </xf>
    <xf numFmtId="49" fontId="55" fillId="27" borderId="23" xfId="0" applyNumberFormat="1" applyFont="1" applyFill="1" applyBorder="1" applyAlignment="1">
      <alignment horizontal="center" vertical="center" wrapText="1"/>
    </xf>
    <xf numFmtId="0" fontId="11" fillId="4" borderId="0" xfId="0" applyFont="1" applyFill="1" applyAlignment="1"/>
    <xf numFmtId="49" fontId="55" fillId="27" borderId="25" xfId="0" applyNumberFormat="1" applyFont="1" applyFill="1" applyBorder="1" applyAlignment="1">
      <alignment horizontal="center" vertical="center" wrapText="1"/>
    </xf>
    <xf numFmtId="0" fontId="70" fillId="4" borderId="0" xfId="0" applyFont="1" applyFill="1"/>
    <xf numFmtId="0" fontId="69" fillId="0" borderId="6" xfId="2" applyFont="1" applyBorder="1" applyAlignment="1" applyProtection="1">
      <alignment vertical="center" wrapText="1"/>
      <protection locked="0" hidden="1"/>
    </xf>
    <xf numFmtId="164" fontId="69" fillId="4" borderId="6" xfId="2" quotePrefix="1" applyNumberFormat="1" applyFont="1" applyFill="1" applyBorder="1" applyAlignment="1" applyProtection="1">
      <alignment horizontal="left" vertical="center" wrapText="1"/>
      <protection hidden="1"/>
    </xf>
    <xf numFmtId="0" fontId="69" fillId="0" borderId="7" xfId="2" applyFont="1" applyBorder="1" applyAlignment="1" applyProtection="1">
      <alignment vertical="center" wrapText="1"/>
      <protection locked="0" hidden="1"/>
    </xf>
    <xf numFmtId="0" fontId="69" fillId="0" borderId="8" xfId="2" applyFont="1" applyBorder="1" applyAlignment="1" applyProtection="1">
      <alignment vertical="center" wrapText="1"/>
      <protection locked="0" hidden="1"/>
    </xf>
    <xf numFmtId="0" fontId="72" fillId="4" borderId="0" xfId="0" applyFont="1" applyFill="1"/>
    <xf numFmtId="0" fontId="69" fillId="0" borderId="10" xfId="2" applyFont="1" applyBorder="1" applyAlignment="1" applyProtection="1">
      <alignment vertical="center" wrapText="1"/>
      <protection locked="0" hidden="1"/>
    </xf>
    <xf numFmtId="0" fontId="73" fillId="0" borderId="6" xfId="2" applyFont="1" applyBorder="1" applyAlignment="1" applyProtection="1">
      <alignment vertical="center" wrapText="1"/>
      <protection locked="0" hidden="1"/>
    </xf>
    <xf numFmtId="0" fontId="69" fillId="4" borderId="6" xfId="2" applyFont="1" applyFill="1" applyBorder="1" applyAlignment="1" applyProtection="1">
      <alignment horizontal="left" vertical="center" wrapText="1"/>
      <protection locked="0" hidden="1"/>
    </xf>
    <xf numFmtId="0" fontId="69" fillId="0" borderId="6" xfId="2" applyFont="1" applyBorder="1" applyAlignment="1" applyProtection="1">
      <alignment horizontal="left" vertical="center" wrapText="1"/>
      <protection locked="0" hidden="1"/>
    </xf>
    <xf numFmtId="0" fontId="74" fillId="0" borderId="6" xfId="22" applyFont="1" applyBorder="1" applyAlignment="1" applyProtection="1">
      <alignment horizontal="left" vertical="center" wrapText="1"/>
      <protection locked="0" hidden="1"/>
    </xf>
    <xf numFmtId="0" fontId="69" fillId="4" borderId="2" xfId="2" applyFont="1" applyFill="1" applyBorder="1" applyProtection="1">
      <protection locked="0" hidden="1"/>
    </xf>
    <xf numFmtId="0" fontId="69" fillId="4" borderId="3" xfId="2" applyFont="1" applyFill="1" applyBorder="1" applyProtection="1">
      <protection locked="0" hidden="1"/>
    </xf>
    <xf numFmtId="3" fontId="69" fillId="4" borderId="2" xfId="2" applyNumberFormat="1" applyFont="1" applyFill="1" applyBorder="1" applyProtection="1">
      <protection locked="0" hidden="1"/>
    </xf>
    <xf numFmtId="3" fontId="69" fillId="4" borderId="3" xfId="2" applyNumberFormat="1" applyFont="1" applyFill="1" applyBorder="1" applyProtection="1">
      <protection locked="0" hidden="1"/>
    </xf>
    <xf numFmtId="3" fontId="73" fillId="4" borderId="3" xfId="2" applyNumberFormat="1" applyFont="1" applyFill="1" applyBorder="1" applyProtection="1">
      <protection locked="0" hidden="1"/>
    </xf>
    <xf numFmtId="3" fontId="69" fillId="4" borderId="3" xfId="2" applyNumberFormat="1" applyFont="1" applyFill="1" applyBorder="1" applyAlignment="1" applyProtection="1">
      <alignment wrapText="1"/>
      <protection locked="0" hidden="1"/>
    </xf>
    <xf numFmtId="3" fontId="69" fillId="4" borderId="2" xfId="2" applyNumberFormat="1" applyFont="1" applyFill="1" applyBorder="1" applyAlignment="1" applyProtection="1">
      <alignment wrapText="1"/>
      <protection locked="0" hidden="1"/>
    </xf>
    <xf numFmtId="3" fontId="74" fillId="4" borderId="2" xfId="22" applyNumberFormat="1" applyFont="1" applyFill="1" applyBorder="1" applyAlignment="1" applyProtection="1">
      <protection locked="0" hidden="1"/>
    </xf>
    <xf numFmtId="3" fontId="75" fillId="4" borderId="3" xfId="5" applyNumberFormat="1" applyFont="1" applyFill="1" applyBorder="1" applyAlignment="1" applyProtection="1">
      <protection locked="0" hidden="1"/>
    </xf>
    <xf numFmtId="3" fontId="69" fillId="4" borderId="4" xfId="2" applyNumberFormat="1" applyFont="1" applyFill="1" applyBorder="1" applyProtection="1">
      <protection locked="0" hidden="1"/>
    </xf>
    <xf numFmtId="3" fontId="69" fillId="4" borderId="5" xfId="2" applyNumberFormat="1" applyFont="1" applyFill="1" applyBorder="1" applyProtection="1">
      <protection locked="0" hidden="1"/>
    </xf>
    <xf numFmtId="0" fontId="76" fillId="4" borderId="0" xfId="0" applyFont="1" applyFill="1"/>
    <xf numFmtId="0" fontId="54" fillId="4" borderId="39" xfId="0" applyFont="1" applyFill="1" applyBorder="1" applyAlignment="1">
      <alignment horizontal="right"/>
    </xf>
    <xf numFmtId="0" fontId="54" fillId="4" borderId="35" xfId="0" applyFont="1" applyFill="1" applyBorder="1" applyAlignment="1">
      <alignment horizontal="right"/>
    </xf>
    <xf numFmtId="0" fontId="12" fillId="4" borderId="40" xfId="0" applyFont="1" applyFill="1" applyBorder="1" applyAlignment="1">
      <alignment horizontal="right"/>
    </xf>
    <xf numFmtId="0" fontId="12" fillId="4" borderId="41" xfId="0" applyFont="1" applyFill="1" applyBorder="1" applyAlignment="1">
      <alignment horizontal="right"/>
    </xf>
    <xf numFmtId="0" fontId="18" fillId="0" borderId="25" xfId="0" applyFont="1" applyBorder="1"/>
    <xf numFmtId="0" fontId="18" fillId="0" borderId="29" xfId="0" applyFont="1" applyBorder="1"/>
    <xf numFmtId="0" fontId="18" fillId="0" borderId="23" xfId="0" applyFont="1" applyBorder="1"/>
    <xf numFmtId="0" fontId="18" fillId="0" borderId="26" xfId="0" applyFont="1" applyBorder="1"/>
    <xf numFmtId="0" fontId="25" fillId="4" borderId="54" xfId="0" applyFont="1" applyFill="1" applyBorder="1" applyAlignment="1" applyProtection="1">
      <alignment horizontal="right" vertical="center" indent="2"/>
      <protection hidden="1"/>
    </xf>
    <xf numFmtId="0" fontId="55" fillId="0" borderId="43" xfId="0" applyFont="1" applyFill="1" applyBorder="1" applyAlignment="1" applyProtection="1">
      <alignment horizontal="right" vertical="center" indent="2"/>
      <protection hidden="1"/>
    </xf>
    <xf numFmtId="0" fontId="25" fillId="4" borderId="43" xfId="0" applyFont="1" applyFill="1" applyBorder="1" applyAlignment="1" applyProtection="1">
      <alignment horizontal="right" vertical="center" indent="2"/>
      <protection hidden="1"/>
    </xf>
    <xf numFmtId="0" fontId="55" fillId="4" borderId="43" xfId="0" applyFont="1" applyFill="1" applyBorder="1" applyAlignment="1" applyProtection="1">
      <alignment horizontal="right" vertical="center" indent="2"/>
      <protection hidden="1"/>
    </xf>
    <xf numFmtId="0" fontId="25" fillId="4" borderId="69" xfId="0" applyFont="1" applyFill="1" applyBorder="1" applyAlignment="1" applyProtection="1">
      <alignment horizontal="right" vertical="center" indent="2"/>
      <protection hidden="1"/>
    </xf>
    <xf numFmtId="0" fontId="25" fillId="4" borderId="44" xfId="0" applyFont="1" applyFill="1" applyBorder="1" applyAlignment="1" applyProtection="1">
      <alignment horizontal="right" vertical="center" indent="2"/>
      <protection hidden="1"/>
    </xf>
    <xf numFmtId="3" fontId="54" fillId="4" borderId="39" xfId="0" applyNumberFormat="1" applyFont="1" applyFill="1" applyBorder="1" applyAlignment="1">
      <alignment horizontal="right" indent="1"/>
    </xf>
    <xf numFmtId="0" fontId="54" fillId="4" borderId="42" xfId="0" applyFont="1" applyFill="1" applyBorder="1" applyAlignment="1">
      <alignment horizontal="right" indent="1"/>
    </xf>
    <xf numFmtId="0" fontId="54" fillId="4" borderId="21" xfId="0" applyFont="1" applyFill="1" applyBorder="1" applyAlignment="1">
      <alignment horizontal="right" indent="1"/>
    </xf>
    <xf numFmtId="0" fontId="20" fillId="4" borderId="24" xfId="0" applyFont="1" applyFill="1" applyBorder="1" applyAlignment="1">
      <alignment horizontal="right" indent="1"/>
    </xf>
    <xf numFmtId="0" fontId="20" fillId="4" borderId="25" xfId="0" applyFont="1" applyFill="1" applyBorder="1" applyAlignment="1">
      <alignment horizontal="right" indent="1"/>
    </xf>
    <xf numFmtId="0" fontId="55" fillId="4" borderId="35" xfId="0" applyFont="1" applyFill="1" applyBorder="1" applyAlignment="1">
      <alignment horizontal="right"/>
    </xf>
    <xf numFmtId="0" fontId="25" fillId="0" borderId="45" xfId="0" applyFont="1" applyFill="1" applyBorder="1" applyAlignment="1" applyProtection="1">
      <alignment horizontal="right" vertical="center" indent="3"/>
      <protection hidden="1"/>
    </xf>
    <xf numFmtId="0" fontId="25" fillId="0" borderId="43" xfId="0" applyFont="1" applyFill="1" applyBorder="1" applyAlignment="1" applyProtection="1">
      <alignment horizontal="right" vertical="center" indent="2"/>
      <protection hidden="1"/>
    </xf>
    <xf numFmtId="0" fontId="25" fillId="0" borderId="47" xfId="0" applyFont="1" applyFill="1" applyBorder="1" applyAlignment="1" applyProtection="1">
      <alignment horizontal="right" vertical="center" indent="3"/>
      <protection hidden="1"/>
    </xf>
    <xf numFmtId="0" fontId="25" fillId="0" borderId="44" xfId="0" applyFont="1" applyFill="1" applyBorder="1" applyAlignment="1" applyProtection="1">
      <alignment horizontal="right" vertical="center" indent="2"/>
      <protection hidden="1"/>
    </xf>
    <xf numFmtId="0" fontId="25" fillId="0" borderId="0" xfId="0" applyFont="1" applyFill="1" applyBorder="1" applyAlignment="1" applyProtection="1">
      <alignment horizontal="right"/>
      <protection hidden="1"/>
    </xf>
    <xf numFmtId="0" fontId="33" fillId="0" borderId="9" xfId="2" applyFont="1" applyBorder="1" applyAlignment="1" applyProtection="1">
      <alignment vertical="center" wrapText="1"/>
      <protection hidden="1"/>
    </xf>
    <xf numFmtId="0" fontId="10" fillId="4" borderId="0" xfId="0" applyFont="1" applyFill="1"/>
    <xf numFmtId="0" fontId="10" fillId="0" borderId="0" xfId="0" applyFont="1"/>
    <xf numFmtId="0" fontId="10" fillId="4" borderId="59" xfId="0" applyFont="1" applyFill="1" applyBorder="1"/>
    <xf numFmtId="0" fontId="10" fillId="4" borderId="60" xfId="0" applyFont="1" applyFill="1" applyBorder="1" applyAlignment="1">
      <alignment wrapText="1"/>
    </xf>
    <xf numFmtId="0" fontId="10" fillId="4" borderId="61" xfId="0" applyFont="1" applyFill="1" applyBorder="1"/>
    <xf numFmtId="0" fontId="10" fillId="4" borderId="28" xfId="0" applyFont="1" applyFill="1" applyBorder="1"/>
    <xf numFmtId="0" fontId="10" fillId="4" borderId="36" xfId="0" applyFont="1" applyFill="1" applyBorder="1" applyAlignment="1">
      <alignment wrapText="1"/>
    </xf>
    <xf numFmtId="0" fontId="10" fillId="4" borderId="62" xfId="0" applyFont="1" applyFill="1" applyBorder="1"/>
    <xf numFmtId="0" fontId="10" fillId="4" borderId="62" xfId="0" applyFont="1" applyFill="1" applyBorder="1" applyAlignment="1">
      <alignment wrapText="1"/>
    </xf>
    <xf numFmtId="0" fontId="10" fillId="0" borderId="62" xfId="0" applyFont="1" applyFill="1" applyBorder="1" applyAlignment="1">
      <alignment wrapText="1"/>
    </xf>
    <xf numFmtId="0" fontId="10" fillId="4" borderId="0" xfId="0" applyFont="1" applyFill="1" applyAlignment="1">
      <alignment wrapText="1"/>
    </xf>
    <xf numFmtId="0" fontId="10" fillId="0" borderId="0" xfId="0" applyFont="1" applyAlignment="1">
      <alignment wrapText="1"/>
    </xf>
    <xf numFmtId="0" fontId="9" fillId="4" borderId="62" xfId="0" applyFont="1" applyFill="1" applyBorder="1" applyAlignment="1">
      <alignment wrapText="1"/>
    </xf>
    <xf numFmtId="0" fontId="77" fillId="4" borderId="0" xfId="0" applyFont="1" applyFill="1"/>
    <xf numFmtId="0" fontId="26" fillId="0" borderId="31" xfId="0" applyFont="1" applyFill="1" applyBorder="1" applyAlignment="1" applyProtection="1">
      <alignment vertical="center"/>
      <protection hidden="1"/>
    </xf>
    <xf numFmtId="0" fontId="26" fillId="0" borderId="30" xfId="0" applyFont="1" applyFill="1" applyBorder="1" applyAlignment="1" applyProtection="1">
      <alignment vertical="center"/>
      <protection hidden="1"/>
    </xf>
    <xf numFmtId="0" fontId="8" fillId="4" borderId="36" xfId="0" applyFont="1" applyFill="1" applyBorder="1" applyAlignment="1">
      <alignment wrapText="1"/>
    </xf>
    <xf numFmtId="0" fontId="8" fillId="4" borderId="28" xfId="0" applyFont="1" applyFill="1" applyBorder="1"/>
    <xf numFmtId="0" fontId="25" fillId="0" borderId="50" xfId="0" applyFont="1" applyFill="1" applyBorder="1" applyAlignment="1" applyProtection="1">
      <alignment horizontal="right" vertical="center" indent="2"/>
      <protection hidden="1"/>
    </xf>
    <xf numFmtId="0" fontId="25" fillId="0" borderId="52" xfId="0" applyFont="1" applyFill="1" applyBorder="1" applyAlignment="1" applyProtection="1">
      <alignment horizontal="right" vertical="center" indent="2"/>
      <protection hidden="1"/>
    </xf>
    <xf numFmtId="0" fontId="66" fillId="0" borderId="0" xfId="0" applyNumberFormat="1" applyFont="1"/>
    <xf numFmtId="49" fontId="55" fillId="27" borderId="27" xfId="0" applyNumberFormat="1" applyFont="1" applyFill="1" applyBorder="1" applyAlignment="1">
      <alignment horizontal="center" vertical="center" wrapText="1"/>
    </xf>
    <xf numFmtId="49" fontId="55" fillId="27" borderId="22" xfId="0" applyNumberFormat="1" applyFont="1" applyFill="1" applyBorder="1" applyAlignment="1">
      <alignment horizontal="center" vertical="center" wrapText="1"/>
    </xf>
    <xf numFmtId="49" fontId="55" fillId="27" borderId="28" xfId="0" applyNumberFormat="1" applyFont="1" applyFill="1" applyBorder="1" applyAlignment="1">
      <alignment horizontal="center" vertical="center" wrapText="1"/>
    </xf>
    <xf numFmtId="0" fontId="6" fillId="4" borderId="40" xfId="0" applyFont="1" applyFill="1" applyBorder="1" applyAlignment="1">
      <alignment horizontal="left" indent="1"/>
    </xf>
    <xf numFmtId="0" fontId="6" fillId="4" borderId="41" xfId="0" applyFont="1" applyFill="1" applyBorder="1" applyAlignment="1">
      <alignment horizontal="left" indent="1"/>
    </xf>
    <xf numFmtId="0" fontId="20" fillId="4" borderId="41" xfId="0" applyFont="1" applyFill="1" applyBorder="1" applyAlignment="1">
      <alignment horizontal="left" indent="1"/>
    </xf>
    <xf numFmtId="0" fontId="5" fillId="4" borderId="73" xfId="0" applyFont="1" applyFill="1" applyBorder="1" applyAlignment="1">
      <alignment wrapText="1"/>
    </xf>
    <xf numFmtId="0" fontId="5" fillId="4" borderId="65" xfId="0" applyFont="1" applyFill="1" applyBorder="1" applyAlignment="1">
      <alignment wrapText="1"/>
    </xf>
    <xf numFmtId="0" fontId="7" fillId="4" borderId="35" xfId="0" applyFont="1" applyFill="1" applyBorder="1"/>
    <xf numFmtId="0" fontId="5" fillId="4" borderId="39" xfId="0" applyFont="1" applyFill="1" applyBorder="1" applyAlignment="1">
      <alignment wrapText="1"/>
    </xf>
    <xf numFmtId="0" fontId="7" fillId="4" borderId="63" xfId="0" applyFont="1" applyFill="1" applyBorder="1"/>
    <xf numFmtId="0" fontId="5" fillId="4" borderId="64" xfId="0" applyFont="1" applyFill="1" applyBorder="1" applyAlignment="1">
      <alignment wrapText="1"/>
    </xf>
    <xf numFmtId="0" fontId="5" fillId="4" borderId="62" xfId="0" applyFont="1" applyFill="1" applyBorder="1" applyAlignment="1">
      <alignment wrapText="1"/>
    </xf>
    <xf numFmtId="0" fontId="5" fillId="4" borderId="36" xfId="0" applyFont="1" applyFill="1" applyBorder="1" applyAlignment="1">
      <alignment wrapText="1"/>
    </xf>
    <xf numFmtId="0" fontId="10" fillId="4" borderId="35" xfId="0" applyFont="1" applyFill="1" applyBorder="1"/>
    <xf numFmtId="0" fontId="5" fillId="4" borderId="0" xfId="0" applyFont="1" applyFill="1"/>
    <xf numFmtId="0" fontId="63" fillId="4" borderId="0" xfId="0" applyFont="1" applyFill="1" applyAlignment="1"/>
    <xf numFmtId="0" fontId="4" fillId="4" borderId="73" xfId="0" applyFont="1" applyFill="1" applyBorder="1" applyAlignment="1">
      <alignment wrapText="1"/>
    </xf>
    <xf numFmtId="0" fontId="4" fillId="4" borderId="39" xfId="0" applyFont="1" applyFill="1" applyBorder="1" applyAlignment="1">
      <alignment wrapText="1"/>
    </xf>
    <xf numFmtId="0" fontId="7" fillId="4" borderId="28" xfId="0" applyFont="1" applyFill="1" applyBorder="1"/>
    <xf numFmtId="0" fontId="4" fillId="4" borderId="36" xfId="0" applyFont="1" applyFill="1" applyBorder="1" applyAlignment="1">
      <alignment wrapText="1"/>
    </xf>
    <xf numFmtId="0" fontId="4" fillId="4" borderId="62" xfId="0" applyFont="1" applyFill="1" applyBorder="1" applyAlignment="1">
      <alignment wrapText="1"/>
    </xf>
    <xf numFmtId="0" fontId="4" fillId="4" borderId="28" xfId="0" applyFont="1" applyFill="1" applyBorder="1"/>
    <xf numFmtId="49" fontId="55" fillId="27" borderId="26" xfId="0" applyNumberFormat="1" applyFont="1" applyFill="1" applyBorder="1" applyAlignment="1">
      <alignment horizontal="center" vertical="center" wrapText="1"/>
    </xf>
    <xf numFmtId="49" fontId="55" fillId="27" borderId="39" xfId="0" applyNumberFormat="1" applyFont="1" applyFill="1" applyBorder="1" applyAlignment="1">
      <alignment horizontal="center" vertical="center" wrapText="1"/>
    </xf>
    <xf numFmtId="49" fontId="55" fillId="27" borderId="41" xfId="0" applyNumberFormat="1" applyFont="1" applyFill="1" applyBorder="1" applyAlignment="1">
      <alignment horizontal="center" vertical="center" wrapText="1"/>
    </xf>
    <xf numFmtId="0" fontId="3" fillId="4" borderId="0" xfId="0" applyFont="1" applyFill="1"/>
    <xf numFmtId="1" fontId="54" fillId="4" borderId="42" xfId="0" applyNumberFormat="1" applyFont="1" applyFill="1" applyBorder="1" applyAlignment="1">
      <alignment horizontal="right"/>
    </xf>
    <xf numFmtId="1" fontId="54" fillId="4" borderId="21" xfId="0" applyNumberFormat="1" applyFont="1" applyFill="1" applyBorder="1" applyAlignment="1">
      <alignment horizontal="right"/>
    </xf>
    <xf numFmtId="1" fontId="54" fillId="4" borderId="35" xfId="0" applyNumberFormat="1" applyFont="1" applyFill="1" applyBorder="1" applyAlignment="1">
      <alignment horizontal="right"/>
    </xf>
    <xf numFmtId="1" fontId="13" fillId="4" borderId="24" xfId="0" applyNumberFormat="1" applyFont="1" applyFill="1" applyBorder="1" applyAlignment="1">
      <alignment horizontal="right"/>
    </xf>
    <xf numFmtId="1" fontId="13" fillId="4" borderId="0" xfId="0" applyNumberFormat="1" applyFont="1" applyFill="1" applyBorder="1" applyAlignment="1">
      <alignment horizontal="right"/>
    </xf>
    <xf numFmtId="1" fontId="13" fillId="4" borderId="29" xfId="0" applyNumberFormat="1" applyFont="1" applyFill="1" applyBorder="1" applyAlignment="1">
      <alignment horizontal="right"/>
    </xf>
    <xf numFmtId="1" fontId="13" fillId="4" borderId="25" xfId="0" applyNumberFormat="1" applyFont="1" applyFill="1" applyBorder="1" applyAlignment="1">
      <alignment horizontal="right"/>
    </xf>
    <xf numFmtId="1" fontId="13" fillId="4" borderId="23" xfId="0" applyNumberFormat="1" applyFont="1" applyFill="1" applyBorder="1" applyAlignment="1">
      <alignment horizontal="right"/>
    </xf>
    <xf numFmtId="1" fontId="13" fillId="4" borderId="26" xfId="0" applyNumberFormat="1" applyFont="1" applyFill="1" applyBorder="1" applyAlignment="1">
      <alignment horizontal="right"/>
    </xf>
    <xf numFmtId="1" fontId="54" fillId="4" borderId="42" xfId="268" applyNumberFormat="1" applyFont="1" applyFill="1" applyBorder="1" applyAlignment="1">
      <alignment horizontal="right"/>
    </xf>
    <xf numFmtId="1" fontId="54" fillId="4" borderId="35" xfId="268" applyNumberFormat="1" applyFont="1" applyFill="1" applyBorder="1" applyAlignment="1">
      <alignment horizontal="right"/>
    </xf>
    <xf numFmtId="1" fontId="14" fillId="4" borderId="24" xfId="268" applyNumberFormat="1" applyFont="1" applyFill="1" applyBorder="1" applyAlignment="1">
      <alignment horizontal="right"/>
    </xf>
    <xf numFmtId="1" fontId="14" fillId="4" borderId="29" xfId="268" applyNumberFormat="1" applyFont="1" applyFill="1" applyBorder="1" applyAlignment="1">
      <alignment horizontal="right"/>
    </xf>
    <xf numFmtId="1" fontId="14" fillId="4" borderId="25" xfId="268" applyNumberFormat="1" applyFont="1" applyFill="1" applyBorder="1" applyAlignment="1">
      <alignment horizontal="right"/>
    </xf>
    <xf numFmtId="1" fontId="14" fillId="4" borderId="26" xfId="268" applyNumberFormat="1" applyFont="1" applyFill="1" applyBorder="1" applyAlignment="1">
      <alignment horizontal="right"/>
    </xf>
    <xf numFmtId="1" fontId="55" fillId="0" borderId="45" xfId="268" applyNumberFormat="1" applyFont="1" applyFill="1" applyBorder="1" applyAlignment="1" applyProtection="1">
      <alignment horizontal="right" vertical="center" indent="2"/>
      <protection hidden="1"/>
    </xf>
    <xf numFmtId="1" fontId="25" fillId="0" borderId="45" xfId="268" applyNumberFormat="1" applyFont="1" applyFill="1" applyBorder="1" applyAlignment="1" applyProtection="1">
      <alignment horizontal="right" vertical="center" indent="2"/>
      <protection hidden="1"/>
    </xf>
    <xf numFmtId="1" fontId="25" fillId="0" borderId="46" xfId="268" applyNumberFormat="1" applyFont="1" applyFill="1" applyBorder="1" applyAlignment="1" applyProtection="1">
      <alignment horizontal="right" vertical="center" indent="2"/>
      <protection hidden="1"/>
    </xf>
    <xf numFmtId="1" fontId="25" fillId="0" borderId="47" xfId="268" applyNumberFormat="1" applyFont="1" applyFill="1" applyBorder="1" applyAlignment="1" applyProtection="1">
      <alignment horizontal="right" vertical="center" indent="2"/>
      <protection hidden="1"/>
    </xf>
    <xf numFmtId="1" fontId="54" fillId="4" borderId="21" xfId="268" applyNumberFormat="1" applyFont="1" applyFill="1" applyBorder="1" applyAlignment="1">
      <alignment horizontal="right"/>
    </xf>
    <xf numFmtId="1" fontId="18" fillId="4" borderId="0" xfId="0" applyNumberFormat="1" applyFont="1" applyFill="1" applyBorder="1" applyAlignment="1">
      <alignment horizontal="right"/>
    </xf>
    <xf numFmtId="1" fontId="18" fillId="4" borderId="29" xfId="0" applyNumberFormat="1" applyFont="1" applyFill="1" applyBorder="1" applyAlignment="1">
      <alignment horizontal="right"/>
    </xf>
    <xf numFmtId="1" fontId="18" fillId="4" borderId="23" xfId="0" applyNumberFormat="1" applyFont="1" applyFill="1" applyBorder="1" applyAlignment="1">
      <alignment horizontal="right"/>
    </xf>
    <xf numFmtId="1" fontId="18" fillId="4" borderId="26" xfId="0" applyNumberFormat="1" applyFont="1" applyFill="1" applyBorder="1" applyAlignment="1">
      <alignment horizontal="right"/>
    </xf>
    <xf numFmtId="0" fontId="18" fillId="4" borderId="40" xfId="0" applyFont="1" applyFill="1" applyBorder="1" applyAlignment="1">
      <alignment horizontal="right"/>
    </xf>
    <xf numFmtId="0" fontId="18" fillId="4" borderId="41" xfId="0" applyFont="1" applyFill="1" applyBorder="1" applyAlignment="1">
      <alignment horizontal="right"/>
    </xf>
    <xf numFmtId="1" fontId="55" fillId="0" borderId="50" xfId="268" applyNumberFormat="1" applyFont="1" applyFill="1" applyBorder="1" applyAlignment="1" applyProtection="1">
      <alignment horizontal="right" vertical="center" indent="2"/>
      <protection hidden="1"/>
    </xf>
    <xf numFmtId="1" fontId="55" fillId="0" borderId="43" xfId="268" applyNumberFormat="1" applyFont="1" applyFill="1" applyBorder="1" applyAlignment="1" applyProtection="1">
      <alignment horizontal="right" vertical="center" indent="2"/>
      <protection hidden="1"/>
    </xf>
    <xf numFmtId="1" fontId="25" fillId="0" borderId="50" xfId="268" applyNumberFormat="1" applyFont="1" applyFill="1" applyBorder="1" applyAlignment="1" applyProtection="1">
      <alignment horizontal="right" vertical="center" indent="2"/>
      <protection hidden="1"/>
    </xf>
    <xf numFmtId="1" fontId="25" fillId="0" borderId="43" xfId="268" applyNumberFormat="1" applyFont="1" applyFill="1" applyBorder="1" applyAlignment="1" applyProtection="1">
      <alignment horizontal="right" vertical="center" indent="2"/>
      <protection hidden="1"/>
    </xf>
    <xf numFmtId="1" fontId="25" fillId="0" borderId="52" xfId="268" applyNumberFormat="1" applyFont="1" applyFill="1" applyBorder="1" applyAlignment="1" applyProtection="1">
      <alignment horizontal="right" vertical="center" indent="2"/>
      <protection hidden="1"/>
    </xf>
    <xf numFmtId="1" fontId="25" fillId="0" borderId="44" xfId="268" applyNumberFormat="1" applyFont="1" applyFill="1" applyBorder="1" applyAlignment="1" applyProtection="1">
      <alignment horizontal="right" vertical="center" indent="2"/>
      <protection hidden="1"/>
    </xf>
    <xf numFmtId="1" fontId="54" fillId="4" borderId="42" xfId="268" applyNumberFormat="1" applyFont="1" applyFill="1" applyBorder="1" applyAlignment="1">
      <alignment horizontal="right" indent="1"/>
    </xf>
    <xf numFmtId="1" fontId="13" fillId="4" borderId="24" xfId="268" applyNumberFormat="1" applyFont="1" applyFill="1" applyBorder="1" applyAlignment="1">
      <alignment horizontal="right" indent="1"/>
    </xf>
    <xf numFmtId="1" fontId="13" fillId="4" borderId="25" xfId="268" applyNumberFormat="1" applyFont="1" applyFill="1" applyBorder="1" applyAlignment="1">
      <alignment horizontal="right" indent="1"/>
    </xf>
    <xf numFmtId="1" fontId="54" fillId="4" borderId="21" xfId="268" applyNumberFormat="1" applyFont="1" applyFill="1" applyBorder="1" applyAlignment="1">
      <alignment horizontal="right" indent="1"/>
    </xf>
    <xf numFmtId="1" fontId="13" fillId="4" borderId="0" xfId="268" applyNumberFormat="1" applyFont="1" applyFill="1" applyBorder="1" applyAlignment="1">
      <alignment horizontal="right" indent="1"/>
    </xf>
    <xf numFmtId="1" fontId="13" fillId="4" borderId="23" xfId="268" applyNumberFormat="1" applyFont="1" applyFill="1" applyBorder="1" applyAlignment="1">
      <alignment horizontal="right" indent="1"/>
    </xf>
    <xf numFmtId="0" fontId="55" fillId="4" borderId="21" xfId="0" applyFont="1" applyFill="1" applyBorder="1" applyAlignment="1">
      <alignment horizontal="right"/>
    </xf>
    <xf numFmtId="0" fontId="25" fillId="4" borderId="0" xfId="0" applyFont="1" applyFill="1" applyBorder="1" applyAlignment="1">
      <alignment horizontal="right"/>
    </xf>
    <xf numFmtId="0" fontId="25" fillId="4" borderId="23" xfId="0" applyFont="1" applyFill="1" applyBorder="1" applyAlignment="1">
      <alignment horizontal="right"/>
    </xf>
    <xf numFmtId="1" fontId="54" fillId="4" borderId="35" xfId="268" applyNumberFormat="1" applyFont="1" applyFill="1" applyBorder="1" applyAlignment="1">
      <alignment horizontal="right" indent="1"/>
    </xf>
    <xf numFmtId="1" fontId="13" fillId="4" borderId="29" xfId="268" applyNumberFormat="1" applyFont="1" applyFill="1" applyBorder="1" applyAlignment="1">
      <alignment horizontal="right" indent="1"/>
    </xf>
    <xf numFmtId="1" fontId="13" fillId="4" borderId="26" xfId="268" applyNumberFormat="1" applyFont="1" applyFill="1" applyBorder="1" applyAlignment="1">
      <alignment horizontal="right" indent="1"/>
    </xf>
    <xf numFmtId="1" fontId="55" fillId="4" borderId="21" xfId="268" applyNumberFormat="1" applyFont="1" applyFill="1" applyBorder="1" applyAlignment="1">
      <alignment horizontal="right"/>
    </xf>
    <xf numFmtId="1" fontId="25" fillId="4" borderId="0" xfId="268" applyNumberFormat="1" applyFont="1" applyFill="1" applyBorder="1" applyAlignment="1">
      <alignment horizontal="right"/>
    </xf>
    <xf numFmtId="1" fontId="25" fillId="4" borderId="23" xfId="268" applyNumberFormat="1" applyFont="1" applyFill="1" applyBorder="1" applyAlignment="1">
      <alignment horizontal="right"/>
    </xf>
    <xf numFmtId="1" fontId="25" fillId="4" borderId="26" xfId="268" applyNumberFormat="1" applyFont="1" applyFill="1" applyBorder="1" applyAlignment="1">
      <alignment horizontal="right"/>
    </xf>
    <xf numFmtId="1" fontId="15" fillId="4" borderId="24" xfId="268" applyNumberFormat="1" applyFont="1" applyFill="1" applyBorder="1" applyAlignment="1">
      <alignment horizontal="right"/>
    </xf>
    <xf numFmtId="1" fontId="15" fillId="4" borderId="29" xfId="268" applyNumberFormat="1" applyFont="1" applyFill="1" applyBorder="1" applyAlignment="1">
      <alignment horizontal="right"/>
    </xf>
    <xf numFmtId="1" fontId="15" fillId="4" borderId="25" xfId="268" applyNumberFormat="1" applyFont="1" applyFill="1" applyBorder="1" applyAlignment="1">
      <alignment horizontal="right"/>
    </xf>
    <xf numFmtId="1" fontId="15" fillId="4" borderId="26" xfId="268" applyNumberFormat="1" applyFont="1" applyFill="1" applyBorder="1" applyAlignment="1">
      <alignment horizontal="right"/>
    </xf>
    <xf numFmtId="0" fontId="2" fillId="4" borderId="62" xfId="0" applyFont="1" applyFill="1" applyBorder="1" applyAlignment="1">
      <alignment wrapText="1"/>
    </xf>
    <xf numFmtId="0" fontId="2" fillId="0" borderId="62" xfId="0" applyFont="1" applyFill="1" applyBorder="1" applyAlignment="1">
      <alignment wrapText="1"/>
    </xf>
    <xf numFmtId="0" fontId="2" fillId="4" borderId="73" xfId="0" applyFont="1" applyFill="1" applyBorder="1" applyAlignment="1">
      <alignment wrapText="1"/>
    </xf>
    <xf numFmtId="0" fontId="1" fillId="0" borderId="62" xfId="0" applyFont="1" applyFill="1" applyBorder="1" applyAlignment="1">
      <alignment wrapText="1"/>
    </xf>
    <xf numFmtId="0" fontId="71" fillId="3" borderId="6" xfId="2" applyFont="1" applyFill="1" applyBorder="1" applyAlignment="1" applyProtection="1">
      <alignment horizontal="left" vertical="center" wrapText="1"/>
      <protection locked="0" hidden="1"/>
    </xf>
    <xf numFmtId="0" fontId="69" fillId="0" borderId="20" xfId="2" applyFont="1" applyBorder="1" applyAlignment="1" applyProtection="1">
      <alignment horizontal="center" vertical="center" wrapText="1"/>
      <protection locked="0" hidden="1"/>
    </xf>
    <xf numFmtId="0" fontId="69" fillId="0" borderId="9" xfId="2" applyFont="1" applyBorder="1" applyAlignment="1" applyProtection="1">
      <alignment horizontal="center" vertical="center" wrapText="1"/>
      <protection locked="0" hidden="1"/>
    </xf>
    <xf numFmtId="0" fontId="33" fillId="29" borderId="0" xfId="338" applyFont="1" applyFill="1" applyBorder="1" applyAlignment="1" applyProtection="1">
      <alignment horizontal="left" vertical="center" wrapText="1"/>
      <protection hidden="1"/>
    </xf>
    <xf numFmtId="0" fontId="26" fillId="0" borderId="0" xfId="6" applyFont="1" applyAlignment="1" applyProtection="1">
      <alignment horizontal="left" vertical="top" wrapText="1"/>
      <protection locked="0" hidden="1"/>
    </xf>
    <xf numFmtId="0" fontId="33" fillId="4" borderId="0" xfId="5" applyFont="1" applyFill="1" applyBorder="1" applyAlignment="1" applyProtection="1">
      <alignment horizontal="left" vertical="top" wrapText="1"/>
      <protection locked="0" hidden="1"/>
    </xf>
    <xf numFmtId="0" fontId="33" fillId="4" borderId="0" xfId="338" applyFont="1" applyFill="1" applyBorder="1" applyAlignment="1" applyProtection="1">
      <alignment horizontal="left" vertical="center" wrapText="1"/>
      <protection hidden="1"/>
    </xf>
    <xf numFmtId="0" fontId="62" fillId="4" borderId="0" xfId="5" applyFont="1" applyFill="1" applyBorder="1" applyAlignment="1" applyProtection="1">
      <alignment horizontal="left" vertical="top" wrapText="1"/>
      <protection hidden="1"/>
    </xf>
    <xf numFmtId="0" fontId="8" fillId="4" borderId="57" xfId="0" applyFont="1" applyFill="1" applyBorder="1" applyAlignment="1">
      <alignment horizontal="center" vertical="center" wrapText="1"/>
    </xf>
    <xf numFmtId="0" fontId="10" fillId="4" borderId="58"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2" xfId="0" applyFont="1" applyFill="1" applyBorder="1" applyAlignment="1">
      <alignment horizontal="center" vertical="center" wrapText="1"/>
    </xf>
    <xf numFmtId="49" fontId="55" fillId="27" borderId="27" xfId="0" applyNumberFormat="1" applyFont="1" applyFill="1" applyBorder="1" applyAlignment="1">
      <alignment horizontal="center" vertical="center" wrapText="1"/>
    </xf>
    <xf numFmtId="49" fontId="55" fillId="27" borderId="22" xfId="0" applyNumberFormat="1" applyFont="1" applyFill="1" applyBorder="1" applyAlignment="1">
      <alignment horizontal="center" vertical="center" wrapText="1"/>
    </xf>
    <xf numFmtId="49" fontId="55" fillId="27" borderId="28" xfId="0" applyNumberFormat="1" applyFont="1" applyFill="1" applyBorder="1" applyAlignment="1">
      <alignment horizontal="center" vertical="center" wrapText="1"/>
    </xf>
    <xf numFmtId="49" fontId="55" fillId="27" borderId="39" xfId="0" applyNumberFormat="1" applyFont="1" applyFill="1" applyBorder="1" applyAlignment="1">
      <alignment horizontal="left" vertical="center" wrapText="1"/>
    </xf>
    <xf numFmtId="49" fontId="55" fillId="27" borderId="40" xfId="0" applyNumberFormat="1" applyFont="1" applyFill="1" applyBorder="1" applyAlignment="1">
      <alignment horizontal="left" vertical="center" wrapText="1"/>
    </xf>
    <xf numFmtId="49" fontId="55" fillId="27" borderId="41" xfId="0" applyNumberFormat="1" applyFont="1" applyFill="1" applyBorder="1" applyAlignment="1">
      <alignment horizontal="left" vertical="center" wrapText="1"/>
    </xf>
    <xf numFmtId="49" fontId="55" fillId="27" borderId="35" xfId="0" applyNumberFormat="1" applyFont="1" applyFill="1" applyBorder="1" applyAlignment="1">
      <alignment horizontal="center" vertical="center" wrapText="1"/>
    </xf>
    <xf numFmtId="49" fontId="55" fillId="27" borderId="29" xfId="0" applyNumberFormat="1" applyFont="1" applyFill="1" applyBorder="1" applyAlignment="1">
      <alignment horizontal="center" vertical="center" wrapText="1"/>
    </xf>
    <xf numFmtId="49" fontId="55" fillId="27" borderId="26" xfId="0" applyNumberFormat="1" applyFont="1" applyFill="1" applyBorder="1" applyAlignment="1">
      <alignment horizontal="center" vertical="center" wrapText="1"/>
    </xf>
    <xf numFmtId="49" fontId="55" fillId="27" borderId="23" xfId="0" applyNumberFormat="1" applyFont="1" applyFill="1" applyBorder="1" applyAlignment="1">
      <alignment horizontal="center" vertical="center" wrapText="1"/>
    </xf>
    <xf numFmtId="0" fontId="25" fillId="0" borderId="32" xfId="0" applyFont="1" applyFill="1" applyBorder="1" applyAlignment="1" applyProtection="1">
      <alignment horizontal="left" wrapText="1"/>
      <protection locked="0" hidden="1"/>
    </xf>
    <xf numFmtId="0" fontId="25" fillId="0" borderId="38" xfId="0" applyFont="1" applyFill="1" applyBorder="1" applyAlignment="1" applyProtection="1">
      <alignment horizontal="left" wrapText="1"/>
      <protection locked="0" hidden="1"/>
    </xf>
    <xf numFmtId="0" fontId="25" fillId="0" borderId="34" xfId="0" applyFont="1" applyFill="1" applyBorder="1" applyAlignment="1" applyProtection="1">
      <alignment horizontal="left" wrapText="1"/>
      <protection locked="0" hidden="1"/>
    </xf>
    <xf numFmtId="0" fontId="5" fillId="4" borderId="0" xfId="0" applyFont="1" applyFill="1" applyAlignment="1">
      <alignment horizontal="left" vertical="top" wrapText="1"/>
    </xf>
    <xf numFmtId="0" fontId="18" fillId="4" borderId="0" xfId="0" applyFont="1" applyFill="1" applyAlignment="1">
      <alignment horizontal="left" vertical="top" wrapText="1"/>
    </xf>
    <xf numFmtId="49" fontId="55" fillId="31" borderId="27" xfId="0" applyNumberFormat="1" applyFont="1" applyFill="1" applyBorder="1" applyAlignment="1">
      <alignment horizontal="center" vertical="center" wrapText="1"/>
    </xf>
    <xf numFmtId="49" fontId="55" fillId="31" borderId="22" xfId="0" applyNumberFormat="1" applyFont="1" applyFill="1" applyBorder="1" applyAlignment="1">
      <alignment horizontal="center" vertical="center" wrapText="1"/>
    </xf>
    <xf numFmtId="49" fontId="55" fillId="31" borderId="28" xfId="0" applyNumberFormat="1" applyFont="1" applyFill="1" applyBorder="1" applyAlignment="1">
      <alignment horizontal="center" vertical="center" wrapText="1"/>
    </xf>
    <xf numFmtId="0" fontId="11" fillId="4" borderId="0" xfId="0" applyFont="1" applyFill="1" applyAlignment="1">
      <alignment horizontal="left" wrapText="1"/>
    </xf>
    <xf numFmtId="0" fontId="18" fillId="4" borderId="0" xfId="0" applyFont="1" applyFill="1" applyAlignment="1">
      <alignment horizontal="left" wrapText="1"/>
    </xf>
    <xf numFmtId="0" fontId="10" fillId="4" borderId="0" xfId="0" applyFont="1" applyFill="1" applyAlignment="1">
      <alignment horizontal="left" wrapText="1"/>
    </xf>
    <xf numFmtId="0" fontId="77" fillId="0" borderId="0" xfId="0" applyFont="1" applyFill="1" applyAlignment="1">
      <alignment horizontal="left" vertical="top" wrapText="1"/>
    </xf>
    <xf numFmtId="49" fontId="55" fillId="27" borderId="39" xfId="0" applyNumberFormat="1" applyFont="1" applyFill="1" applyBorder="1" applyAlignment="1">
      <alignment horizontal="center" vertical="center" wrapText="1"/>
    </xf>
    <xf numFmtId="49" fontId="55" fillId="27" borderId="40" xfId="0" applyNumberFormat="1" applyFont="1" applyFill="1" applyBorder="1" applyAlignment="1">
      <alignment horizontal="center" vertical="center" wrapText="1"/>
    </xf>
    <xf numFmtId="49" fontId="55" fillId="27" borderId="41" xfId="0" applyNumberFormat="1" applyFont="1" applyFill="1" applyBorder="1" applyAlignment="1">
      <alignment horizontal="center" vertical="center" wrapText="1"/>
    </xf>
    <xf numFmtId="0" fontId="2" fillId="4" borderId="0" xfId="0" applyFont="1" applyFill="1" applyAlignment="1">
      <alignment horizontal="left" vertical="top" wrapText="1"/>
    </xf>
    <xf numFmtId="0" fontId="11" fillId="4" borderId="0" xfId="0" applyFont="1" applyFill="1" applyAlignment="1">
      <alignment horizontal="left" vertical="top" wrapText="1"/>
    </xf>
  </cellXfs>
  <cellStyles count="353">
    <cellStyle name=" 1" xfId="25" xr:uid="{00000000-0005-0000-0000-000000000000}"/>
    <cellStyle name=" 2" xfId="26" xr:uid="{00000000-0005-0000-0000-000001000000}"/>
    <cellStyle name=" 3" xfId="27" xr:uid="{00000000-0005-0000-0000-000002000000}"/>
    <cellStyle name="]_x000d__x000a_Zoomed=1_x000d__x000a_Row=0_x000d__x000a_Column=0_x000d__x000a_Height=0_x000d__x000a_Width=0_x000d__x000a_FontName=FoxFont_x000d__x000a_FontStyle=0_x000d__x000a_FontSize=9_x000d__x000a_PrtFontName=FoxPrin" xfId="28" xr:uid="{00000000-0005-0000-0000-000003000000}"/>
    <cellStyle name="]_x000d__x000a_Zoomed=1_x000d__x000a_Row=0_x000d__x000a_Column=0_x000d__x000a_Height=0_x000d__x000a_Width=0_x000d__x000a_FontName=FoxFont_x000d__x000a_FontStyle=0_x000d__x000a_FontSize=9_x000d__x000a_PrtFontName=FoxPrin 2" xfId="29" xr:uid="{00000000-0005-0000-0000-000004000000}"/>
    <cellStyle name="]_x000d__x000a_Zoomed=1_x000d__x000a_Row=0_x000d__x000a_Column=0_x000d__x000a_Height=0_x000d__x000a_Width=0_x000d__x000a_FontName=FoxFont_x000d__x000a_FontStyle=0_x000d__x000a_FontSize=9_x000d__x000a_PrtFontName=FoxPrin 2 2" xfId="30" xr:uid="{00000000-0005-0000-0000-000005000000}"/>
    <cellStyle name="]_x000d__x000a_Zoomed=1_x000d__x000a_Row=0_x000d__x000a_Column=0_x000d__x000a_Height=0_x000d__x000a_Width=0_x000d__x000a_FontName=FoxFont_x000d__x000a_FontStyle=0_x000d__x000a_FontSize=9_x000d__x000a_PrtFontName=FoxPrin 3" xfId="31" xr:uid="{00000000-0005-0000-0000-000006000000}"/>
    <cellStyle name="]_x000d__x000a_Zoomed=1_x000d__x000a_Row=0_x000d__x000a_Column=0_x000d__x000a_Height=0_x000d__x000a_Width=0_x000d__x000a_FontName=FoxFont_x000d__x000a_FontStyle=0_x000d__x000a_FontSize=9_x000d__x000a_PrtFontName=FoxPrin 3 2" xfId="32" xr:uid="{00000000-0005-0000-0000-000007000000}"/>
    <cellStyle name="]_x000d__x000a_Zoomed=1_x000d__x000a_Row=0_x000d__x000a_Column=0_x000d__x000a_Height=0_x000d__x000a_Width=0_x000d__x000a_FontName=FoxFont_x000d__x000a_FontStyle=0_x000d__x000a_FontSize=9_x000d__x000a_PrtFontName=FoxPrin 3_All Schools2" xfId="33" xr:uid="{00000000-0005-0000-0000-000008000000}"/>
    <cellStyle name="]_x000d__x000a_Zoomed=1_x000d__x000a_Row=0_x000d__x000a_Column=0_x000d__x000a_Height=0_x000d__x000a_Width=0_x000d__x000a_FontName=FoxFont_x000d__x000a_FontStyle=0_x000d__x000a_FontSize=9_x000d__x000a_PrtFontName=FoxPrin_All Schools2" xfId="34" xr:uid="{00000000-0005-0000-0000-000009000000}"/>
    <cellStyle name="20% - Accent1 2" xfId="35" xr:uid="{00000000-0005-0000-0000-00000A000000}"/>
    <cellStyle name="20% - Accent1 2 2" xfId="36" xr:uid="{00000000-0005-0000-0000-00000B000000}"/>
    <cellStyle name="20% - Accent2 2" xfId="37" xr:uid="{00000000-0005-0000-0000-00000C000000}"/>
    <cellStyle name="20% - Accent2 2 2" xfId="38" xr:uid="{00000000-0005-0000-0000-00000D000000}"/>
    <cellStyle name="20% - Accent3 2" xfId="39" xr:uid="{00000000-0005-0000-0000-00000E000000}"/>
    <cellStyle name="20% - Accent3 2 2" xfId="40" xr:uid="{00000000-0005-0000-0000-00000F000000}"/>
    <cellStyle name="20% - Accent4 2" xfId="41" xr:uid="{00000000-0005-0000-0000-000010000000}"/>
    <cellStyle name="20% - Accent4 2 2" xfId="42" xr:uid="{00000000-0005-0000-0000-000011000000}"/>
    <cellStyle name="20% - Accent5 2" xfId="43" xr:uid="{00000000-0005-0000-0000-000012000000}"/>
    <cellStyle name="20% - Accent5 2 2" xfId="44" xr:uid="{00000000-0005-0000-0000-000013000000}"/>
    <cellStyle name="20% - Accent6 2" xfId="45" xr:uid="{00000000-0005-0000-0000-000014000000}"/>
    <cellStyle name="20% - Accent6 2 2" xfId="46" xr:uid="{00000000-0005-0000-0000-000015000000}"/>
    <cellStyle name="40% - Accent1 2" xfId="47" xr:uid="{00000000-0005-0000-0000-000016000000}"/>
    <cellStyle name="40% - Accent1 2 2" xfId="48" xr:uid="{00000000-0005-0000-0000-000017000000}"/>
    <cellStyle name="40% - Accent2 2" xfId="49" xr:uid="{00000000-0005-0000-0000-000018000000}"/>
    <cellStyle name="40% - Accent2 2 2" xfId="50" xr:uid="{00000000-0005-0000-0000-000019000000}"/>
    <cellStyle name="40% - Accent3 2" xfId="51" xr:uid="{00000000-0005-0000-0000-00001A000000}"/>
    <cellStyle name="40% - Accent3 2 2" xfId="52" xr:uid="{00000000-0005-0000-0000-00001B000000}"/>
    <cellStyle name="40% - Accent4 2" xfId="53" xr:uid="{00000000-0005-0000-0000-00001C000000}"/>
    <cellStyle name="40% - Accent4 2 2" xfId="54" xr:uid="{00000000-0005-0000-0000-00001D000000}"/>
    <cellStyle name="40% - Accent5 2" xfId="55" xr:uid="{00000000-0005-0000-0000-00001E000000}"/>
    <cellStyle name="40% - Accent5 2 2" xfId="56" xr:uid="{00000000-0005-0000-0000-00001F000000}"/>
    <cellStyle name="40% - Accent6 2" xfId="57" xr:uid="{00000000-0005-0000-0000-000020000000}"/>
    <cellStyle name="40% - Accent6 2 2" xfId="58" xr:uid="{00000000-0005-0000-0000-000021000000}"/>
    <cellStyle name="60% - Accent1 2" xfId="59" xr:uid="{00000000-0005-0000-0000-000022000000}"/>
    <cellStyle name="60% - Accent2 2" xfId="60" xr:uid="{00000000-0005-0000-0000-000023000000}"/>
    <cellStyle name="60% - Accent3 2" xfId="61" xr:uid="{00000000-0005-0000-0000-000024000000}"/>
    <cellStyle name="60% - Accent4 2" xfId="62" xr:uid="{00000000-0005-0000-0000-000025000000}"/>
    <cellStyle name="60% - Accent5 2" xfId="63" xr:uid="{00000000-0005-0000-0000-000026000000}"/>
    <cellStyle name="60% - Accent6 2" xfId="64" xr:uid="{00000000-0005-0000-0000-000027000000}"/>
    <cellStyle name="Accent1 2" xfId="65" xr:uid="{00000000-0005-0000-0000-000028000000}"/>
    <cellStyle name="Accent2 2" xfId="66" xr:uid="{00000000-0005-0000-0000-000029000000}"/>
    <cellStyle name="Accent3 2" xfId="67" xr:uid="{00000000-0005-0000-0000-00002A000000}"/>
    <cellStyle name="Accent4 2" xfId="68" xr:uid="{00000000-0005-0000-0000-00002B000000}"/>
    <cellStyle name="Accent5 2" xfId="69" xr:uid="{00000000-0005-0000-0000-00002C000000}"/>
    <cellStyle name="Accent6 2" xfId="70" xr:uid="{00000000-0005-0000-0000-00002D000000}"/>
    <cellStyle name="Bad 2" xfId="71" xr:uid="{00000000-0005-0000-0000-00002E000000}"/>
    <cellStyle name="Calculation 2" xfId="72" xr:uid="{00000000-0005-0000-0000-00002F000000}"/>
    <cellStyle name="Check Cell 2" xfId="73" xr:uid="{00000000-0005-0000-0000-000030000000}"/>
    <cellStyle name="Comma 2" xfId="3" xr:uid="{00000000-0005-0000-0000-000031000000}"/>
    <cellStyle name="Comma 2 2" xfId="180" xr:uid="{00000000-0005-0000-0000-000032000000}"/>
    <cellStyle name="Comma 2 2 2" xfId="237" xr:uid="{00000000-0005-0000-0000-000033000000}"/>
    <cellStyle name="Comma 2 2 3" xfId="259" xr:uid="{00000000-0005-0000-0000-000034000000}"/>
    <cellStyle name="Comma 2 2 4" xfId="274" xr:uid="{00000000-0005-0000-0000-000035000000}"/>
    <cellStyle name="Comma 2 3" xfId="75" xr:uid="{00000000-0005-0000-0000-000036000000}"/>
    <cellStyle name="Comma 2 3 2" xfId="230" xr:uid="{00000000-0005-0000-0000-000037000000}"/>
    <cellStyle name="Comma 2 3 2 2" xfId="318" xr:uid="{00000000-0005-0000-0000-000038000000}"/>
    <cellStyle name="Comma 2 3 3" xfId="252" xr:uid="{00000000-0005-0000-0000-000039000000}"/>
    <cellStyle name="Comma 2 3 4" xfId="275" xr:uid="{00000000-0005-0000-0000-00003A000000}"/>
    <cellStyle name="Comma 2 4" xfId="210" xr:uid="{00000000-0005-0000-0000-00003B000000}"/>
    <cellStyle name="Comma 2 4 2" xfId="245" xr:uid="{00000000-0005-0000-0000-00003C000000}"/>
    <cellStyle name="Comma 2 4 3" xfId="267" xr:uid="{00000000-0005-0000-0000-00003D000000}"/>
    <cellStyle name="Comma 2 5" xfId="227" xr:uid="{00000000-0005-0000-0000-00003E000000}"/>
    <cellStyle name="Comma 2 6" xfId="249" xr:uid="{00000000-0005-0000-0000-00003F000000}"/>
    <cellStyle name="Comma 2 7" xfId="273" xr:uid="{00000000-0005-0000-0000-000040000000}"/>
    <cellStyle name="Comma 2 8" xfId="339" xr:uid="{00000000-0005-0000-0000-000041000000}"/>
    <cellStyle name="Comma 3" xfId="14" xr:uid="{00000000-0005-0000-0000-000042000000}"/>
    <cellStyle name="Comma 3 2" xfId="181" xr:uid="{00000000-0005-0000-0000-000043000000}"/>
    <cellStyle name="Comma 3 2 2" xfId="238" xr:uid="{00000000-0005-0000-0000-000044000000}"/>
    <cellStyle name="Comma 3 2 3" xfId="260" xr:uid="{00000000-0005-0000-0000-000045000000}"/>
    <cellStyle name="Comma 3 2 4" xfId="277" xr:uid="{00000000-0005-0000-0000-000046000000}"/>
    <cellStyle name="Comma 3 3" xfId="76" xr:uid="{00000000-0005-0000-0000-000047000000}"/>
    <cellStyle name="Comma 3 3 2" xfId="231" xr:uid="{00000000-0005-0000-0000-000048000000}"/>
    <cellStyle name="Comma 3 3 3" xfId="253" xr:uid="{00000000-0005-0000-0000-000049000000}"/>
    <cellStyle name="Comma 3 4" xfId="228" xr:uid="{00000000-0005-0000-0000-00004A000000}"/>
    <cellStyle name="Comma 3 5" xfId="250" xr:uid="{00000000-0005-0000-0000-00004B000000}"/>
    <cellStyle name="Comma 3 6" xfId="276" xr:uid="{00000000-0005-0000-0000-00004C000000}"/>
    <cellStyle name="Comma 4" xfId="77" xr:uid="{00000000-0005-0000-0000-00004D000000}"/>
    <cellStyle name="Comma 4 2" xfId="78" xr:uid="{00000000-0005-0000-0000-00004E000000}"/>
    <cellStyle name="Comma 4 2 2" xfId="183" xr:uid="{00000000-0005-0000-0000-00004F000000}"/>
    <cellStyle name="Comma 4 2 2 2" xfId="240" xr:uid="{00000000-0005-0000-0000-000050000000}"/>
    <cellStyle name="Comma 4 2 2 3" xfId="262" xr:uid="{00000000-0005-0000-0000-000051000000}"/>
    <cellStyle name="Comma 4 2 2 4" xfId="280" xr:uid="{00000000-0005-0000-0000-000052000000}"/>
    <cellStyle name="Comma 4 2 3" xfId="233" xr:uid="{00000000-0005-0000-0000-000053000000}"/>
    <cellStyle name="Comma 4 2 4" xfId="255" xr:uid="{00000000-0005-0000-0000-000054000000}"/>
    <cellStyle name="Comma 4 2 5" xfId="279" xr:uid="{00000000-0005-0000-0000-000055000000}"/>
    <cellStyle name="Comma 4 3" xfId="182" xr:uid="{00000000-0005-0000-0000-000056000000}"/>
    <cellStyle name="Comma 4 3 2" xfId="239" xr:uid="{00000000-0005-0000-0000-000057000000}"/>
    <cellStyle name="Comma 4 3 3" xfId="261" xr:uid="{00000000-0005-0000-0000-000058000000}"/>
    <cellStyle name="Comma 4 3 4" xfId="281" xr:uid="{00000000-0005-0000-0000-000059000000}"/>
    <cellStyle name="Comma 4 4" xfId="232" xr:uid="{00000000-0005-0000-0000-00005A000000}"/>
    <cellStyle name="Comma 4 5" xfId="254" xr:uid="{00000000-0005-0000-0000-00005B000000}"/>
    <cellStyle name="Comma 4 6" xfId="278" xr:uid="{00000000-0005-0000-0000-00005C000000}"/>
    <cellStyle name="Comma 5" xfId="79" xr:uid="{00000000-0005-0000-0000-00005D000000}"/>
    <cellStyle name="Comma 5 2" xfId="80" xr:uid="{00000000-0005-0000-0000-00005E000000}"/>
    <cellStyle name="Comma 5 2 2" xfId="185" xr:uid="{00000000-0005-0000-0000-00005F000000}"/>
    <cellStyle name="Comma 5 2 2 2" xfId="242" xr:uid="{00000000-0005-0000-0000-000060000000}"/>
    <cellStyle name="Comma 5 2 2 3" xfId="264" xr:uid="{00000000-0005-0000-0000-000061000000}"/>
    <cellStyle name="Comma 5 2 2 4" xfId="284" xr:uid="{00000000-0005-0000-0000-000062000000}"/>
    <cellStyle name="Comma 5 2 3" xfId="235" xr:uid="{00000000-0005-0000-0000-000063000000}"/>
    <cellStyle name="Comma 5 2 4" xfId="257" xr:uid="{00000000-0005-0000-0000-000064000000}"/>
    <cellStyle name="Comma 5 2 5" xfId="283" xr:uid="{00000000-0005-0000-0000-000065000000}"/>
    <cellStyle name="Comma 5 3" xfId="184" xr:uid="{00000000-0005-0000-0000-000066000000}"/>
    <cellStyle name="Comma 5 3 2" xfId="241" xr:uid="{00000000-0005-0000-0000-000067000000}"/>
    <cellStyle name="Comma 5 3 3" xfId="263" xr:uid="{00000000-0005-0000-0000-000068000000}"/>
    <cellStyle name="Comma 5 3 4" xfId="285" xr:uid="{00000000-0005-0000-0000-000069000000}"/>
    <cellStyle name="Comma 5 4" xfId="234" xr:uid="{00000000-0005-0000-0000-00006A000000}"/>
    <cellStyle name="Comma 5 5" xfId="256" xr:uid="{00000000-0005-0000-0000-00006B000000}"/>
    <cellStyle name="Comma 5 6" xfId="282" xr:uid="{00000000-0005-0000-0000-00006C000000}"/>
    <cellStyle name="Comma 6" xfId="81" xr:uid="{00000000-0005-0000-0000-00006D000000}"/>
    <cellStyle name="Comma 6 2" xfId="236" xr:uid="{00000000-0005-0000-0000-00006E000000}"/>
    <cellStyle name="Comma 6 2 2" xfId="319" xr:uid="{00000000-0005-0000-0000-00006F000000}"/>
    <cellStyle name="Comma 6 3" xfId="258" xr:uid="{00000000-0005-0000-0000-000070000000}"/>
    <cellStyle name="Comma 6 4" xfId="286" xr:uid="{00000000-0005-0000-0000-000071000000}"/>
    <cellStyle name="Comma 7" xfId="74" xr:uid="{00000000-0005-0000-0000-000072000000}"/>
    <cellStyle name="Comma 7 2" xfId="229" xr:uid="{00000000-0005-0000-0000-000073000000}"/>
    <cellStyle name="Comma 7 3" xfId="251" xr:uid="{00000000-0005-0000-0000-000074000000}"/>
    <cellStyle name="Comma 7 4" xfId="287" xr:uid="{00000000-0005-0000-0000-000075000000}"/>
    <cellStyle name="Comma 8" xfId="203" xr:uid="{00000000-0005-0000-0000-000076000000}"/>
    <cellStyle name="Comma 8 2" xfId="243" xr:uid="{00000000-0005-0000-0000-000077000000}"/>
    <cellStyle name="Comma 8 3" xfId="265" xr:uid="{00000000-0005-0000-0000-000078000000}"/>
    <cellStyle name="Comma 8 4" xfId="288" xr:uid="{00000000-0005-0000-0000-000079000000}"/>
    <cellStyle name="Comma 9" xfId="207" xr:uid="{00000000-0005-0000-0000-00007A000000}"/>
    <cellStyle name="Comma 9 2" xfId="244" xr:uid="{00000000-0005-0000-0000-00007B000000}"/>
    <cellStyle name="Comma 9 2 2" xfId="320" xr:uid="{00000000-0005-0000-0000-00007C000000}"/>
    <cellStyle name="Comma 9 3" xfId="266" xr:uid="{00000000-0005-0000-0000-00007D000000}"/>
    <cellStyle name="Comma 9 4" xfId="289" xr:uid="{00000000-0005-0000-0000-00007E000000}"/>
    <cellStyle name="Explanatory Text 2" xfId="82" xr:uid="{00000000-0005-0000-0000-00007F000000}"/>
    <cellStyle name="Good 2" xfId="83" xr:uid="{00000000-0005-0000-0000-000080000000}"/>
    <cellStyle name="Heading 1 2" xfId="84" xr:uid="{00000000-0005-0000-0000-000081000000}"/>
    <cellStyle name="Heading 2 2" xfId="85" xr:uid="{00000000-0005-0000-0000-000082000000}"/>
    <cellStyle name="Heading 3 2" xfId="86" xr:uid="{00000000-0005-0000-0000-000083000000}"/>
    <cellStyle name="Heading 4 2" xfId="87" xr:uid="{00000000-0005-0000-0000-000084000000}"/>
    <cellStyle name="Hyperlink" xfId="22" builtinId="8"/>
    <cellStyle name="Hyperlink 2" xfId="5" xr:uid="{00000000-0005-0000-0000-000086000000}"/>
    <cellStyle name="Hyperlink 2 2" xfId="88" xr:uid="{00000000-0005-0000-0000-000087000000}"/>
    <cellStyle name="Hyperlink 2 3" xfId="290" xr:uid="{00000000-0005-0000-0000-000088000000}"/>
    <cellStyle name="Hyperlink 3" xfId="20" xr:uid="{00000000-0005-0000-0000-000089000000}"/>
    <cellStyle name="Hyperlink 3 2" xfId="89" xr:uid="{00000000-0005-0000-0000-00008A000000}"/>
    <cellStyle name="Hyperlink 3 2 2" xfId="291" xr:uid="{00000000-0005-0000-0000-00008B000000}"/>
    <cellStyle name="Hyperlink 3 3" xfId="211" xr:uid="{00000000-0005-0000-0000-00008C000000}"/>
    <cellStyle name="Hyperlink 4" xfId="4" xr:uid="{00000000-0005-0000-0000-00008D000000}"/>
    <cellStyle name="Hyperlink 4 2" xfId="348" xr:uid="{00000000-0005-0000-0000-00008E000000}"/>
    <cellStyle name="Hyperlink 5" xfId="90" xr:uid="{00000000-0005-0000-0000-00008F000000}"/>
    <cellStyle name="Hyperlink 6" xfId="292" xr:uid="{00000000-0005-0000-0000-000090000000}"/>
    <cellStyle name="Input 2" xfId="91" xr:uid="{00000000-0005-0000-0000-000091000000}"/>
    <cellStyle name="Linked Cell 2" xfId="92" xr:uid="{00000000-0005-0000-0000-000092000000}"/>
    <cellStyle name="Neutral 2" xfId="93" xr:uid="{00000000-0005-0000-0000-000093000000}"/>
    <cellStyle name="Normal" xfId="0" builtinId="0"/>
    <cellStyle name="Normal 10" xfId="2" xr:uid="{00000000-0005-0000-0000-000095000000}"/>
    <cellStyle name="Normal 10 2" xfId="95" xr:uid="{00000000-0005-0000-0000-000096000000}"/>
    <cellStyle name="Normal 10 2 2" xfId="346" xr:uid="{00000000-0005-0000-0000-000097000000}"/>
    <cellStyle name="Normal 10 3" xfId="94" xr:uid="{00000000-0005-0000-0000-000098000000}"/>
    <cellStyle name="Normal 10 3 2" xfId="293" xr:uid="{00000000-0005-0000-0000-000099000000}"/>
    <cellStyle name="Normal 10 4" xfId="212" xr:uid="{00000000-0005-0000-0000-00009A000000}"/>
    <cellStyle name="Normal 10 5" xfId="345" xr:uid="{00000000-0005-0000-0000-00009B000000}"/>
    <cellStyle name="Normal 11" xfId="96" xr:uid="{00000000-0005-0000-0000-00009C000000}"/>
    <cellStyle name="Normal 11 2" xfId="349" xr:uid="{00000000-0005-0000-0000-00009D000000}"/>
    <cellStyle name="Normal 12" xfId="97" xr:uid="{00000000-0005-0000-0000-00009E000000}"/>
    <cellStyle name="Normal 12 2" xfId="98" xr:uid="{00000000-0005-0000-0000-00009F000000}"/>
    <cellStyle name="Normal 12 3" xfId="350" xr:uid="{00000000-0005-0000-0000-0000A0000000}"/>
    <cellStyle name="Normal 128" xfId="213" xr:uid="{00000000-0005-0000-0000-0000A1000000}"/>
    <cellStyle name="Normal 128 2" xfId="321" xr:uid="{00000000-0005-0000-0000-0000A2000000}"/>
    <cellStyle name="Normal 128 3" xfId="294" xr:uid="{00000000-0005-0000-0000-0000A3000000}"/>
    <cellStyle name="Normal 13" xfId="99" xr:uid="{00000000-0005-0000-0000-0000A4000000}"/>
    <cellStyle name="Normal 13 2" xfId="352" xr:uid="{00000000-0005-0000-0000-0000A5000000}"/>
    <cellStyle name="Normal 14" xfId="100" xr:uid="{00000000-0005-0000-0000-0000A6000000}"/>
    <cellStyle name="Normal 14 2" xfId="101" xr:uid="{00000000-0005-0000-0000-0000A7000000}"/>
    <cellStyle name="Normal 15" xfId="102" xr:uid="{00000000-0005-0000-0000-0000A8000000}"/>
    <cellStyle name="Normal 16" xfId="103" xr:uid="{00000000-0005-0000-0000-0000A9000000}"/>
    <cellStyle name="Normal 17" xfId="104" xr:uid="{00000000-0005-0000-0000-0000AA000000}"/>
    <cellStyle name="Normal 18" xfId="105" xr:uid="{00000000-0005-0000-0000-0000AB000000}"/>
    <cellStyle name="Normal 19" xfId="106" xr:uid="{00000000-0005-0000-0000-0000AC000000}"/>
    <cellStyle name="Normal 2" xfId="6" xr:uid="{00000000-0005-0000-0000-0000AD000000}"/>
    <cellStyle name="Normal 2 2" xfId="7" xr:uid="{00000000-0005-0000-0000-0000AE000000}"/>
    <cellStyle name="Normal 2 2 2" xfId="107" xr:uid="{00000000-0005-0000-0000-0000AF000000}"/>
    <cellStyle name="Normal 2 2 2 2" xfId="108" xr:uid="{00000000-0005-0000-0000-0000B0000000}"/>
    <cellStyle name="Normal 2 2 2 3" xfId="323" xr:uid="{00000000-0005-0000-0000-0000B1000000}"/>
    <cellStyle name="Normal 2 2 2 4" xfId="296" xr:uid="{00000000-0005-0000-0000-0000B2000000}"/>
    <cellStyle name="Normal 2 2 3" xfId="109" xr:uid="{00000000-0005-0000-0000-0000B3000000}"/>
    <cellStyle name="Normal 2 2 4" xfId="322" xr:uid="{00000000-0005-0000-0000-0000B4000000}"/>
    <cellStyle name="Normal 2 2 5" xfId="295" xr:uid="{00000000-0005-0000-0000-0000B5000000}"/>
    <cellStyle name="Normal 2 2 6" xfId="340" xr:uid="{00000000-0005-0000-0000-0000B6000000}"/>
    <cellStyle name="Normal 2 3" xfId="18" xr:uid="{00000000-0005-0000-0000-0000B7000000}"/>
    <cellStyle name="Normal 2 3 2" xfId="110" xr:uid="{00000000-0005-0000-0000-0000B8000000}"/>
    <cellStyle name="Normal 2 3 2 2" xfId="297" xr:uid="{00000000-0005-0000-0000-0000B9000000}"/>
    <cellStyle name="Normal 2 3 3" xfId="214" xr:uid="{00000000-0005-0000-0000-0000BA000000}"/>
    <cellStyle name="Normal 2 4" xfId="23" xr:uid="{00000000-0005-0000-0000-0000BB000000}"/>
    <cellStyle name="Normal 2 4 2" xfId="111" xr:uid="{00000000-0005-0000-0000-0000BC000000}"/>
    <cellStyle name="Normal 2 4 2 2" xfId="298" xr:uid="{00000000-0005-0000-0000-0000BD000000}"/>
    <cellStyle name="Normal 2 4 3" xfId="215" xr:uid="{00000000-0005-0000-0000-0000BE000000}"/>
    <cellStyle name="Normal 2 4 4" xfId="216" xr:uid="{00000000-0005-0000-0000-0000BF000000}"/>
    <cellStyle name="Normal 2 5" xfId="186" xr:uid="{00000000-0005-0000-0000-0000C0000000}"/>
    <cellStyle name="Normal 2 6" xfId="299" xr:uid="{00000000-0005-0000-0000-0000C1000000}"/>
    <cellStyle name="Normal 2_Contents" xfId="246" xr:uid="{00000000-0005-0000-0000-0000C2000000}"/>
    <cellStyle name="Normal 20" xfId="112" xr:uid="{00000000-0005-0000-0000-0000C3000000}"/>
    <cellStyle name="Normal 20 2" xfId="324" xr:uid="{00000000-0005-0000-0000-0000C4000000}"/>
    <cellStyle name="Normal 20 3" xfId="300" xr:uid="{00000000-0005-0000-0000-0000C5000000}"/>
    <cellStyle name="Normal 21" xfId="24" xr:uid="{00000000-0005-0000-0000-0000C6000000}"/>
    <cellStyle name="Normal 22" xfId="179" xr:uid="{00000000-0005-0000-0000-0000C7000000}"/>
    <cellStyle name="Normal 22 2" xfId="325" xr:uid="{00000000-0005-0000-0000-0000C8000000}"/>
    <cellStyle name="Normal 22 3" xfId="301" xr:uid="{00000000-0005-0000-0000-0000C9000000}"/>
    <cellStyle name="Normal 23" xfId="204" xr:uid="{00000000-0005-0000-0000-0000CA000000}"/>
    <cellStyle name="Normal 24" xfId="206" xr:uid="{00000000-0005-0000-0000-0000CB000000}"/>
    <cellStyle name="Normal 24 2" xfId="326" xr:uid="{00000000-0005-0000-0000-0000CC000000}"/>
    <cellStyle name="Normal 24 3" xfId="302" xr:uid="{00000000-0005-0000-0000-0000CD000000}"/>
    <cellStyle name="Normal 25" xfId="1" xr:uid="{00000000-0005-0000-0000-0000CE000000}"/>
    <cellStyle name="Normal 25 2" xfId="315" xr:uid="{00000000-0005-0000-0000-0000CF000000}"/>
    <cellStyle name="Normal 26" xfId="336" xr:uid="{00000000-0005-0000-0000-0000D0000000}"/>
    <cellStyle name="Normal 27" xfId="337" xr:uid="{00000000-0005-0000-0000-0000D1000000}"/>
    <cellStyle name="Normal 28" xfId="269" xr:uid="{00000000-0005-0000-0000-0000D2000000}"/>
    <cellStyle name="Normal 29" xfId="338" xr:uid="{00000000-0005-0000-0000-0000D3000000}"/>
    <cellStyle name="Normal 3" xfId="8" xr:uid="{00000000-0005-0000-0000-0000D4000000}"/>
    <cellStyle name="Normal 3 2" xfId="114" xr:uid="{00000000-0005-0000-0000-0000D5000000}"/>
    <cellStyle name="Normal 3 2 2" xfId="115" xr:uid="{00000000-0005-0000-0000-0000D6000000}"/>
    <cellStyle name="Normal 3 3" xfId="116" xr:uid="{00000000-0005-0000-0000-0000D7000000}"/>
    <cellStyle name="Normal 3 4" xfId="117" xr:uid="{00000000-0005-0000-0000-0000D8000000}"/>
    <cellStyle name="Normal 3 5" xfId="187" xr:uid="{00000000-0005-0000-0000-0000D9000000}"/>
    <cellStyle name="Normal 3 6" xfId="113" xr:uid="{00000000-0005-0000-0000-0000DA000000}"/>
    <cellStyle name="Normal 3_Contents" xfId="247" xr:uid="{00000000-0005-0000-0000-0000DB000000}"/>
    <cellStyle name="Normal 4" xfId="9" xr:uid="{00000000-0005-0000-0000-0000DC000000}"/>
    <cellStyle name="Normal 4 2" xfId="118" xr:uid="{00000000-0005-0000-0000-0000DD000000}"/>
    <cellStyle name="Normal 4 3" xfId="119" xr:uid="{00000000-0005-0000-0000-0000DE000000}"/>
    <cellStyle name="Normal 4 4" xfId="217" xr:uid="{00000000-0005-0000-0000-0000DF000000}"/>
    <cellStyle name="Normal 4 5" xfId="218" xr:uid="{00000000-0005-0000-0000-0000E0000000}"/>
    <cellStyle name="Normal 4 5 2" xfId="327" xr:uid="{00000000-0005-0000-0000-0000E1000000}"/>
    <cellStyle name="Normal 4 5 3" xfId="303" xr:uid="{00000000-0005-0000-0000-0000E2000000}"/>
    <cellStyle name="Normal 4 6" xfId="341" xr:uid="{00000000-0005-0000-0000-0000E3000000}"/>
    <cellStyle name="Normal 5" xfId="10" xr:uid="{00000000-0005-0000-0000-0000E4000000}"/>
    <cellStyle name="Normal 5 10" xfId="270" xr:uid="{00000000-0005-0000-0000-0000E5000000}"/>
    <cellStyle name="Normal 5 2" xfId="121" xr:uid="{00000000-0005-0000-0000-0000E6000000}"/>
    <cellStyle name="Normal 5 2 2" xfId="122" xr:uid="{00000000-0005-0000-0000-0000E7000000}"/>
    <cellStyle name="Normal 5 3" xfId="123" xr:uid="{00000000-0005-0000-0000-0000E8000000}"/>
    <cellStyle name="Normal 5 3 2" xfId="124" xr:uid="{00000000-0005-0000-0000-0000E9000000}"/>
    <cellStyle name="Normal 5 4" xfId="125" xr:uid="{00000000-0005-0000-0000-0000EA000000}"/>
    <cellStyle name="Normal 5 5" xfId="126" xr:uid="{00000000-0005-0000-0000-0000EB000000}"/>
    <cellStyle name="Normal 5 6" xfId="188" xr:uid="{00000000-0005-0000-0000-0000EC000000}"/>
    <cellStyle name="Normal 5 7" xfId="120" xr:uid="{00000000-0005-0000-0000-0000ED000000}"/>
    <cellStyle name="Normal 5 7 2" xfId="304" xr:uid="{00000000-0005-0000-0000-0000EE000000}"/>
    <cellStyle name="Normal 5 8" xfId="219" xr:uid="{00000000-0005-0000-0000-0000EF000000}"/>
    <cellStyle name="Normal 5 9" xfId="316" xr:uid="{00000000-0005-0000-0000-0000F0000000}"/>
    <cellStyle name="Normal 5_Contents" xfId="248" xr:uid="{00000000-0005-0000-0000-0000F1000000}"/>
    <cellStyle name="Normal 6" xfId="15" xr:uid="{00000000-0005-0000-0000-0000F2000000}"/>
    <cellStyle name="Normal 6 2" xfId="128" xr:uid="{00000000-0005-0000-0000-0000F3000000}"/>
    <cellStyle name="Normal 6 3" xfId="129" xr:uid="{00000000-0005-0000-0000-0000F4000000}"/>
    <cellStyle name="Normal 6 3 2" xfId="130" xr:uid="{00000000-0005-0000-0000-0000F5000000}"/>
    <cellStyle name="Normal 6 3 3" xfId="328" xr:uid="{00000000-0005-0000-0000-0000F6000000}"/>
    <cellStyle name="Normal 6 3 4" xfId="305" xr:uid="{00000000-0005-0000-0000-0000F7000000}"/>
    <cellStyle name="Normal 6 4" xfId="131" xr:uid="{00000000-0005-0000-0000-0000F8000000}"/>
    <cellStyle name="Normal 6 5" xfId="189" xr:uid="{00000000-0005-0000-0000-0000F9000000}"/>
    <cellStyle name="Normal 6 6" xfId="127" xr:uid="{00000000-0005-0000-0000-0000FA000000}"/>
    <cellStyle name="Normal 6 6 2" xfId="306" xr:uid="{00000000-0005-0000-0000-0000FB000000}"/>
    <cellStyle name="Normal 6 7" xfId="220" xr:uid="{00000000-0005-0000-0000-0000FC000000}"/>
    <cellStyle name="Normal 7" xfId="17" xr:uid="{00000000-0005-0000-0000-0000FD000000}"/>
    <cellStyle name="Normal 7 2" xfId="133" xr:uid="{00000000-0005-0000-0000-0000FE000000}"/>
    <cellStyle name="Normal 7 2 2" xfId="191" xr:uid="{00000000-0005-0000-0000-0000FF000000}"/>
    <cellStyle name="Normal 7 2 3" xfId="221" xr:uid="{00000000-0005-0000-0000-000000010000}"/>
    <cellStyle name="Normal 7 2 3 2" xfId="329" xr:uid="{00000000-0005-0000-0000-000001010000}"/>
    <cellStyle name="Normal 7 2 3 3" xfId="307" xr:uid="{00000000-0005-0000-0000-000002010000}"/>
    <cellStyle name="Normal 7 2 4" xfId="222" xr:uid="{00000000-0005-0000-0000-000003010000}"/>
    <cellStyle name="Normal 7 3" xfId="134" xr:uid="{00000000-0005-0000-0000-000004010000}"/>
    <cellStyle name="Normal 7 3 2" xfId="192" xr:uid="{00000000-0005-0000-0000-000005010000}"/>
    <cellStyle name="Normal 7 4" xfId="190" xr:uid="{00000000-0005-0000-0000-000006010000}"/>
    <cellStyle name="Normal 7 5" xfId="132" xr:uid="{00000000-0005-0000-0000-000007010000}"/>
    <cellStyle name="Normal 7 5 2" xfId="330" xr:uid="{00000000-0005-0000-0000-000008010000}"/>
    <cellStyle name="Normal 7 5 3" xfId="308" xr:uid="{00000000-0005-0000-0000-000009010000}"/>
    <cellStyle name="Normal 7 6" xfId="223" xr:uid="{00000000-0005-0000-0000-00000A010000}"/>
    <cellStyle name="Normal 7 7" xfId="271" xr:uid="{00000000-0005-0000-0000-00000B010000}"/>
    <cellStyle name="Normal 7 8" xfId="342" xr:uid="{00000000-0005-0000-0000-00000C010000}"/>
    <cellStyle name="Normal 8" xfId="21" xr:uid="{00000000-0005-0000-0000-00000D010000}"/>
    <cellStyle name="Normal 8 2" xfId="136" xr:uid="{00000000-0005-0000-0000-00000E010000}"/>
    <cellStyle name="Normal 8 2 2" xfId="137" xr:uid="{00000000-0005-0000-0000-00000F010000}"/>
    <cellStyle name="Normal 8 3" xfId="138" xr:uid="{00000000-0005-0000-0000-000010010000}"/>
    <cellStyle name="Normal 8 3 2" xfId="194" xr:uid="{00000000-0005-0000-0000-000011010000}"/>
    <cellStyle name="Normal 8 4" xfId="193" xr:uid="{00000000-0005-0000-0000-000012010000}"/>
    <cellStyle name="Normal 8 5" xfId="135" xr:uid="{00000000-0005-0000-0000-000013010000}"/>
    <cellStyle name="Normal 8 5 2" xfId="331" xr:uid="{00000000-0005-0000-0000-000014010000}"/>
    <cellStyle name="Normal 8 5 3" xfId="309" xr:uid="{00000000-0005-0000-0000-000015010000}"/>
    <cellStyle name="Normal 8 6" xfId="224" xr:uid="{00000000-0005-0000-0000-000016010000}"/>
    <cellStyle name="Normal 8 7" xfId="343" xr:uid="{00000000-0005-0000-0000-000017010000}"/>
    <cellStyle name="Normal 9" xfId="19" xr:uid="{00000000-0005-0000-0000-000018010000}"/>
    <cellStyle name="Normal 9 2" xfId="140" xr:uid="{00000000-0005-0000-0000-000019010000}"/>
    <cellStyle name="Normal 9 3" xfId="195" xr:uid="{00000000-0005-0000-0000-00001A010000}"/>
    <cellStyle name="Normal 9 4" xfId="139" xr:uid="{00000000-0005-0000-0000-00001B010000}"/>
    <cellStyle name="Normal 9 4 2" xfId="332" xr:uid="{00000000-0005-0000-0000-00001C010000}"/>
    <cellStyle name="Normal 9 4 3" xfId="310" xr:uid="{00000000-0005-0000-0000-00001D010000}"/>
    <cellStyle name="Normal 9 5" xfId="225" xr:uid="{00000000-0005-0000-0000-00001E010000}"/>
    <cellStyle name="Normal 9 6" xfId="344" xr:uid="{00000000-0005-0000-0000-00001F010000}"/>
    <cellStyle name="Note 2" xfId="11" xr:uid="{00000000-0005-0000-0000-000020010000}"/>
    <cellStyle name="Note 2 2" xfId="141" xr:uid="{00000000-0005-0000-0000-000021010000}"/>
    <cellStyle name="Note 2 2 2" xfId="142" xr:uid="{00000000-0005-0000-0000-000022010000}"/>
    <cellStyle name="Note 2 3" xfId="143" xr:uid="{00000000-0005-0000-0000-000023010000}"/>
    <cellStyle name="Note 2 3 2" xfId="144" xr:uid="{00000000-0005-0000-0000-000024010000}"/>
    <cellStyle name="Note 2 4" xfId="145" xr:uid="{00000000-0005-0000-0000-000025010000}"/>
    <cellStyle name="Note 2 4 2" xfId="146" xr:uid="{00000000-0005-0000-0000-000026010000}"/>
    <cellStyle name="Note 2 5" xfId="147" xr:uid="{00000000-0005-0000-0000-000027010000}"/>
    <cellStyle name="Note 2 5 2" xfId="148" xr:uid="{00000000-0005-0000-0000-000028010000}"/>
    <cellStyle name="Note 2 6" xfId="149" xr:uid="{00000000-0005-0000-0000-000029010000}"/>
    <cellStyle name="Note 2 6 2" xfId="150" xr:uid="{00000000-0005-0000-0000-00002A010000}"/>
    <cellStyle name="Note 3" xfId="151" xr:uid="{00000000-0005-0000-0000-00002B010000}"/>
    <cellStyle name="Note 3 2" xfId="152" xr:uid="{00000000-0005-0000-0000-00002C010000}"/>
    <cellStyle name="Note 3 2 2" xfId="153" xr:uid="{00000000-0005-0000-0000-00002D010000}"/>
    <cellStyle name="Note 3 3" xfId="154" xr:uid="{00000000-0005-0000-0000-00002E010000}"/>
    <cellStyle name="Note 3 3 2" xfId="155" xr:uid="{00000000-0005-0000-0000-00002F010000}"/>
    <cellStyle name="Note 3 4" xfId="156" xr:uid="{00000000-0005-0000-0000-000030010000}"/>
    <cellStyle name="Note 4" xfId="157" xr:uid="{00000000-0005-0000-0000-000031010000}"/>
    <cellStyle name="Note 4 2" xfId="158" xr:uid="{00000000-0005-0000-0000-000032010000}"/>
    <cellStyle name="Note 5" xfId="159" xr:uid="{00000000-0005-0000-0000-000033010000}"/>
    <cellStyle name="Note 5 2" xfId="160" xr:uid="{00000000-0005-0000-0000-000034010000}"/>
    <cellStyle name="Note 6" xfId="161" xr:uid="{00000000-0005-0000-0000-000035010000}"/>
    <cellStyle name="Note 6 2" xfId="162" xr:uid="{00000000-0005-0000-0000-000036010000}"/>
    <cellStyle name="Note 7" xfId="163" xr:uid="{00000000-0005-0000-0000-000037010000}"/>
    <cellStyle name="Note 7 2" xfId="164" xr:uid="{00000000-0005-0000-0000-000038010000}"/>
    <cellStyle name="Note 8" xfId="165" xr:uid="{00000000-0005-0000-0000-000039010000}"/>
    <cellStyle name="Note 8 2" xfId="166" xr:uid="{00000000-0005-0000-0000-00003A010000}"/>
    <cellStyle name="Output 2" xfId="167" xr:uid="{00000000-0005-0000-0000-00003B010000}"/>
    <cellStyle name="Percent" xfId="268" builtinId="5"/>
    <cellStyle name="Percent 10" xfId="205" xr:uid="{00000000-0005-0000-0000-00003D010000}"/>
    <cellStyle name="Percent 11" xfId="208" xr:uid="{00000000-0005-0000-0000-00003E010000}"/>
    <cellStyle name="Percent 11 2" xfId="333" xr:uid="{00000000-0005-0000-0000-00003F010000}"/>
    <cellStyle name="Percent 11 3" xfId="311" xr:uid="{00000000-0005-0000-0000-000040010000}"/>
    <cellStyle name="Percent 12" xfId="209" xr:uid="{00000000-0005-0000-0000-000041010000}"/>
    <cellStyle name="Percent 12 2" xfId="317" xr:uid="{00000000-0005-0000-0000-000042010000}"/>
    <cellStyle name="Percent 2" xfId="12" xr:uid="{00000000-0005-0000-0000-000043010000}"/>
    <cellStyle name="Percent 2 2" xfId="196" xr:uid="{00000000-0005-0000-0000-000044010000}"/>
    <cellStyle name="Percent 2 3" xfId="169" xr:uid="{00000000-0005-0000-0000-000045010000}"/>
    <cellStyle name="Percent 2 3 2" xfId="312" xr:uid="{00000000-0005-0000-0000-000046010000}"/>
    <cellStyle name="Percent 2 4" xfId="226" xr:uid="{00000000-0005-0000-0000-000047010000}"/>
    <cellStyle name="Percent 3" xfId="13" xr:uid="{00000000-0005-0000-0000-000048010000}"/>
    <cellStyle name="Percent 4" xfId="16" xr:uid="{00000000-0005-0000-0000-000049010000}"/>
    <cellStyle name="Percent 4 2" xfId="197" xr:uid="{00000000-0005-0000-0000-00004A010000}"/>
    <cellStyle name="Percent 4 3" xfId="170" xr:uid="{00000000-0005-0000-0000-00004B010000}"/>
    <cellStyle name="Percent 4 4" xfId="347" xr:uid="{00000000-0005-0000-0000-00004C010000}"/>
    <cellStyle name="Percent 5" xfId="171" xr:uid="{00000000-0005-0000-0000-00004D010000}"/>
    <cellStyle name="Percent 5 2" xfId="172" xr:uid="{00000000-0005-0000-0000-00004E010000}"/>
    <cellStyle name="Percent 5 2 2" xfId="199" xr:uid="{00000000-0005-0000-0000-00004F010000}"/>
    <cellStyle name="Percent 5 3" xfId="198" xr:uid="{00000000-0005-0000-0000-000050010000}"/>
    <cellStyle name="Percent 5 4" xfId="351" xr:uid="{00000000-0005-0000-0000-000051010000}"/>
    <cellStyle name="Percent 6" xfId="173" xr:uid="{00000000-0005-0000-0000-000052010000}"/>
    <cellStyle name="Percent 6 2" xfId="174" xr:uid="{00000000-0005-0000-0000-000053010000}"/>
    <cellStyle name="Percent 6 2 2" xfId="201" xr:uid="{00000000-0005-0000-0000-000054010000}"/>
    <cellStyle name="Percent 6 3" xfId="200" xr:uid="{00000000-0005-0000-0000-000055010000}"/>
    <cellStyle name="Percent 7" xfId="175" xr:uid="{00000000-0005-0000-0000-000056010000}"/>
    <cellStyle name="Percent 7 2" xfId="334" xr:uid="{00000000-0005-0000-0000-000057010000}"/>
    <cellStyle name="Percent 7 3" xfId="313" xr:uid="{00000000-0005-0000-0000-000058010000}"/>
    <cellStyle name="Percent 8" xfId="168" xr:uid="{00000000-0005-0000-0000-000059010000}"/>
    <cellStyle name="Percent 9" xfId="202" xr:uid="{00000000-0005-0000-0000-00005A010000}"/>
    <cellStyle name="Percent 9 2" xfId="335" xr:uid="{00000000-0005-0000-0000-00005B010000}"/>
    <cellStyle name="Percent 9 3" xfId="314" xr:uid="{00000000-0005-0000-0000-00005C010000}"/>
    <cellStyle name="Title 2" xfId="176" xr:uid="{00000000-0005-0000-0000-00005D010000}"/>
    <cellStyle name="Total 2" xfId="177" xr:uid="{00000000-0005-0000-0000-00005E010000}"/>
    <cellStyle name="Tracking" xfId="272" xr:uid="{00000000-0005-0000-0000-00005F010000}"/>
    <cellStyle name="Warning Text 2" xfId="178" xr:uid="{00000000-0005-0000-0000-000060010000}"/>
  </cellStyles>
  <dxfs count="3">
    <dxf>
      <font>
        <strike val="0"/>
        <outline val="0"/>
        <shadow val="0"/>
        <u/>
        <vertAlign val="baseline"/>
        <sz val="11"/>
        <color rgb="FF0070C0"/>
        <name val="Calibri"/>
        <scheme val="minor"/>
      </font>
    </dxf>
    <dxf>
      <font>
        <strike val="0"/>
        <outline val="0"/>
        <shadow val="0"/>
        <u/>
        <vertAlign val="baseline"/>
        <sz val="11"/>
        <color rgb="FF0070C0"/>
        <name val="Calibri"/>
        <scheme val="minor"/>
      </font>
    </dxf>
    <dxf>
      <alignment horizontal="general"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4053840</xdr:colOff>
      <xdr:row>1</xdr:row>
      <xdr:rowOff>99060</xdr:rowOff>
    </xdr:from>
    <xdr:to>
      <xdr:col>2</xdr:col>
      <xdr:colOff>5308759</xdr:colOff>
      <xdr:row>1</xdr:row>
      <xdr:rowOff>1162050</xdr:rowOff>
    </xdr:to>
    <xdr:pic>
      <xdr:nvPicPr>
        <xdr:cNvPr id="5" name="Picture 4" descr="ofsted_logo">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22820" y="281940"/>
          <a:ext cx="1254919" cy="1062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sites/Portal/Documents/0%20Current%20Month/Big%20Spreadsheet%20-%20Independent%20schoo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Fields"/>
      <sheetName val="Data"/>
    </sheetNames>
    <sheetDataSet>
      <sheetData sheetId="0"/>
      <sheetData sheetId="1"/>
      <sheetData sheetId="2">
        <row r="2">
          <cell r="D2" t="str">
            <v>URN</v>
          </cell>
          <cell r="E2" t="str">
            <v>LAESTAB</v>
          </cell>
          <cell r="F2" t="str">
            <v>Institution name</v>
          </cell>
          <cell r="G2" t="str">
            <v>Type of education</v>
          </cell>
          <cell r="H2" t="str">
            <v>School open date</v>
          </cell>
          <cell r="I2" t="str">
            <v>Number on roll</v>
          </cell>
          <cell r="J2" t="str">
            <v>Ofsted region</v>
          </cell>
          <cell r="K2" t="str">
            <v>Region</v>
          </cell>
          <cell r="L2" t="str">
            <v>Local authority</v>
          </cell>
          <cell r="M2" t="str">
            <v>Parliamentary constituency</v>
          </cell>
          <cell r="N2" t="str">
            <v>Postcode</v>
          </cell>
          <cell r="O2" t="str">
            <v>Sixth form</v>
          </cell>
          <cell r="P2" t="str">
            <v>Statutory lowest age</v>
          </cell>
          <cell r="Q2" t="str">
            <v>Statutory highest age</v>
          </cell>
          <cell r="R2" t="str">
            <v>Designated religious character</v>
          </cell>
          <cell r="S2" t="str">
            <v>Inspectorate (currently)</v>
          </cell>
          <cell r="T2" t="str">
            <v>Number of additional inspections since latest standard inspection</v>
          </cell>
          <cell r="U2" t="str">
            <v>Latest additional inspection number</v>
          </cell>
          <cell r="V2" t="str">
            <v>Latest additional inspection type</v>
          </cell>
          <cell r="W2" t="str">
            <v>Latest additional inspection 
- start date</v>
          </cell>
          <cell r="X2" t="str">
            <v>Latest additional inspection 
- end date</v>
          </cell>
          <cell r="Y2" t="str">
            <v>Latest additional inspection publication date</v>
          </cell>
          <cell r="Z2" t="str">
            <v>Latest additional inspection outcome</v>
          </cell>
          <cell r="AA2" t="str">
            <v>Inspection number</v>
          </cell>
          <cell r="AB2" t="str">
            <v>Inspection type</v>
          </cell>
          <cell r="AC2" t="str">
            <v>Event type grouping</v>
          </cell>
          <cell r="AD2" t="str">
            <v>Inspection start date</v>
          </cell>
          <cell r="AE2" t="str">
            <v>Inspection end date</v>
          </cell>
          <cell r="AF2" t="str">
            <v>Latest Publication date</v>
          </cell>
          <cell r="AG2" t="str">
            <v>Overall effectiveness</v>
          </cell>
          <cell r="AH2" t="str">
            <v>Outcomes for children and learners</v>
          </cell>
          <cell r="AI2" t="str">
            <v>Quality of teaching, learning and assessment</v>
          </cell>
          <cell r="AJ2" t="str">
            <v>Effectiveness of leadership and management</v>
          </cell>
          <cell r="AK2" t="str">
            <v>Personal development, behaviour and welfare</v>
          </cell>
          <cell r="AL2" t="str">
            <v>Early years provision (where applicable)</v>
          </cell>
          <cell r="AM2" t="str">
            <v>Sixth form provision (where applicable)</v>
          </cell>
          <cell r="AN2" t="str">
            <v>Safeguarding is effective?</v>
          </cell>
          <cell r="AO2" t="str">
            <v>Inspection number</v>
          </cell>
          <cell r="AP2" t="str">
            <v>Inspection type</v>
          </cell>
          <cell r="AQ2" t="str">
            <v>Event type grouping</v>
          </cell>
          <cell r="AR2" t="str">
            <v>Inspection start date</v>
          </cell>
          <cell r="AS2" t="str">
            <v>Inspection end date</v>
          </cell>
          <cell r="AT2" t="str">
            <v>Publication date</v>
          </cell>
          <cell r="AU2" t="str">
            <v>Overall effectiveness</v>
          </cell>
          <cell r="AV2" t="str">
            <v>Outcomes for children and learners</v>
          </cell>
          <cell r="AW2" t="str">
            <v>Quality of teaching, learning and assessment</v>
          </cell>
          <cell r="AX2" t="str">
            <v>Effectiveness of leadership and management</v>
          </cell>
          <cell r="AY2" t="str">
            <v>Personal development, behaviour and welfare</v>
          </cell>
          <cell r="AZ2" t="str">
            <v>Early years provision (where applicable)</v>
          </cell>
          <cell r="BA2" t="str">
            <v>Sixth form provision (where applicable)</v>
          </cell>
          <cell r="BB2" t="str">
            <v>Safeguarding is effective?</v>
          </cell>
        </row>
        <row r="3">
          <cell r="D3">
            <v>134909</v>
          </cell>
          <cell r="E3">
            <v>9336207</v>
          </cell>
          <cell r="F3" t="str">
            <v>3 Dimensions</v>
          </cell>
          <cell r="G3" t="str">
            <v>Other Independent Special School</v>
          </cell>
          <cell r="H3">
            <v>38369</v>
          </cell>
          <cell r="I3">
            <v>9</v>
          </cell>
          <cell r="J3" t="str">
            <v>South West</v>
          </cell>
          <cell r="K3" t="str">
            <v>South West</v>
          </cell>
          <cell r="L3" t="str">
            <v>Somerset</v>
          </cell>
          <cell r="M3" t="str">
            <v>Yeovil</v>
          </cell>
          <cell r="N3" t="str">
            <v>TA20 3AJ</v>
          </cell>
          <cell r="O3" t="str">
            <v>Not applicable</v>
          </cell>
          <cell r="P3">
            <v>7</v>
          </cell>
          <cell r="Q3">
            <v>25</v>
          </cell>
          <cell r="R3" t="str">
            <v>None</v>
          </cell>
          <cell r="S3" t="str">
            <v>Ofsted</v>
          </cell>
          <cell r="T3">
            <v>1</v>
          </cell>
          <cell r="U3">
            <v>10018954</v>
          </cell>
          <cell r="V3" t="str">
            <v xml:space="preserve">Independent School material change inspection - Integrated </v>
          </cell>
          <cell r="W3">
            <v>42543</v>
          </cell>
          <cell r="X3">
            <v>42543</v>
          </cell>
          <cell r="Y3" t="str">
            <v>NULL</v>
          </cell>
          <cell r="Z3" t="str">
            <v>Likely to meet relevant standards</v>
          </cell>
          <cell r="AA3" t="str">
            <v>ITS464256</v>
          </cell>
          <cell r="AB3" t="str">
            <v>Independent School standard inspection</v>
          </cell>
          <cell r="AC3" t="str">
            <v>Independent Standard Inspection</v>
          </cell>
          <cell r="AD3">
            <v>42122</v>
          </cell>
          <cell r="AE3">
            <v>42124</v>
          </cell>
          <cell r="AF3">
            <v>42164</v>
          </cell>
          <cell r="AG3">
            <v>2</v>
          </cell>
          <cell r="AH3">
            <v>2</v>
          </cell>
          <cell r="AI3">
            <v>2</v>
          </cell>
          <cell r="AJ3">
            <v>2</v>
          </cell>
          <cell r="AK3" t="str">
            <v>NULL</v>
          </cell>
          <cell r="AL3">
            <v>9</v>
          </cell>
          <cell r="AM3">
            <v>2</v>
          </cell>
          <cell r="AN3" t="str">
            <v>NULL</v>
          </cell>
          <cell r="AO3" t="str">
            <v>ITS386867</v>
          </cell>
          <cell r="AP3" t="str">
            <v>Independent School standard inspection</v>
          </cell>
          <cell r="AQ3" t="str">
            <v>Independent Standard Inspection</v>
          </cell>
          <cell r="AR3">
            <v>40981</v>
          </cell>
          <cell r="AS3">
            <v>40982</v>
          </cell>
          <cell r="AT3">
            <v>41241</v>
          </cell>
          <cell r="AU3">
            <v>2</v>
          </cell>
          <cell r="AV3">
            <v>2</v>
          </cell>
          <cell r="AW3">
            <v>2</v>
          </cell>
          <cell r="AX3" t="str">
            <v>NULL</v>
          </cell>
          <cell r="AY3" t="str">
            <v>NULL</v>
          </cell>
          <cell r="AZ3">
            <v>8</v>
          </cell>
          <cell r="BA3" t="str">
            <v>NULL</v>
          </cell>
          <cell r="BB3" t="str">
            <v>NULL</v>
          </cell>
        </row>
        <row r="4">
          <cell r="D4">
            <v>132772</v>
          </cell>
          <cell r="E4">
            <v>8936096</v>
          </cell>
          <cell r="F4" t="str">
            <v xml:space="preserve">Access School </v>
          </cell>
          <cell r="G4" t="str">
            <v>Other Independent Special School</v>
          </cell>
          <cell r="H4">
            <v>36833</v>
          </cell>
          <cell r="I4">
            <v>25</v>
          </cell>
          <cell r="J4" t="str">
            <v>West Midlands</v>
          </cell>
          <cell r="K4" t="str">
            <v>West Midlands</v>
          </cell>
          <cell r="L4" t="str">
            <v>Shropshire</v>
          </cell>
          <cell r="M4" t="str">
            <v>North Shropshire</v>
          </cell>
          <cell r="N4" t="str">
            <v>SY4 3EW</v>
          </cell>
          <cell r="O4" t="str">
            <v>Not applicable</v>
          </cell>
          <cell r="P4">
            <v>5</v>
          </cell>
          <cell r="Q4">
            <v>16</v>
          </cell>
          <cell r="R4" t="str">
            <v>None</v>
          </cell>
          <cell r="S4" t="str">
            <v>Ofsted</v>
          </cell>
          <cell r="T4">
            <v>1</v>
          </cell>
          <cell r="U4">
            <v>10038143</v>
          </cell>
          <cell r="V4" t="str">
            <v>Independent school Material Change inspection</v>
          </cell>
          <cell r="W4">
            <v>42906</v>
          </cell>
          <cell r="X4">
            <v>42906</v>
          </cell>
          <cell r="Y4">
            <v>42940</v>
          </cell>
          <cell r="Z4" t="str">
            <v>Likely to meet relevant standards</v>
          </cell>
          <cell r="AA4">
            <v>10006013</v>
          </cell>
          <cell r="AB4" t="str">
            <v>Independent School standard inspection</v>
          </cell>
          <cell r="AC4" t="str">
            <v>Independent Standard Inspection</v>
          </cell>
          <cell r="AD4">
            <v>42626</v>
          </cell>
          <cell r="AE4">
            <v>42628</v>
          </cell>
          <cell r="AF4">
            <v>42655</v>
          </cell>
          <cell r="AG4">
            <v>2</v>
          </cell>
          <cell r="AH4">
            <v>2</v>
          </cell>
          <cell r="AI4">
            <v>2</v>
          </cell>
          <cell r="AJ4">
            <v>2</v>
          </cell>
          <cell r="AK4">
            <v>2</v>
          </cell>
          <cell r="AL4" t="str">
            <v>NULL</v>
          </cell>
          <cell r="AM4" t="str">
            <v>NULL</v>
          </cell>
          <cell r="AN4" t="str">
            <v>Yes</v>
          </cell>
          <cell r="AO4" t="str">
            <v>ITS385163</v>
          </cell>
          <cell r="AP4" t="str">
            <v>Independent School standard inspection</v>
          </cell>
          <cell r="AQ4" t="str">
            <v>Independent Standard Inspection</v>
          </cell>
          <cell r="AR4">
            <v>40967</v>
          </cell>
          <cell r="AS4">
            <v>40968</v>
          </cell>
          <cell r="AT4">
            <v>40989</v>
          </cell>
          <cell r="AU4">
            <v>2</v>
          </cell>
          <cell r="AV4">
            <v>2</v>
          </cell>
          <cell r="AW4">
            <v>2</v>
          </cell>
          <cell r="AX4" t="str">
            <v>NULL</v>
          </cell>
          <cell r="AY4" t="str">
            <v>NULL</v>
          </cell>
          <cell r="AZ4">
            <v>8</v>
          </cell>
          <cell r="BA4" t="str">
            <v>NULL</v>
          </cell>
          <cell r="BB4" t="str">
            <v>NULL</v>
          </cell>
        </row>
        <row r="5">
          <cell r="D5">
            <v>130854</v>
          </cell>
          <cell r="E5">
            <v>9356084</v>
          </cell>
          <cell r="F5" t="str">
            <v>Acorn Cottage</v>
          </cell>
          <cell r="G5" t="str">
            <v>Other Independent Special School</v>
          </cell>
          <cell r="H5">
            <v>38617</v>
          </cell>
          <cell r="I5">
            <v>6</v>
          </cell>
          <cell r="J5" t="str">
            <v>East of England</v>
          </cell>
          <cell r="K5" t="str">
            <v>East of England</v>
          </cell>
          <cell r="L5" t="str">
            <v>Suffolk</v>
          </cell>
          <cell r="M5" t="str">
            <v>South Suffolk</v>
          </cell>
          <cell r="N5" t="str">
            <v>IP7 6NY</v>
          </cell>
          <cell r="O5" t="str">
            <v>Not applicable</v>
          </cell>
          <cell r="P5">
            <v>11</v>
          </cell>
          <cell r="Q5">
            <v>16</v>
          </cell>
          <cell r="R5" t="str">
            <v>None</v>
          </cell>
          <cell r="S5" t="str">
            <v>Ofsted</v>
          </cell>
          <cell r="T5" t="str">
            <v>NULL</v>
          </cell>
          <cell r="U5" t="str">
            <v>NULL</v>
          </cell>
          <cell r="V5" t="str">
            <v>NULL</v>
          </cell>
          <cell r="W5" t="str">
            <v>NULL</v>
          </cell>
          <cell r="X5" t="str">
            <v>NULL</v>
          </cell>
          <cell r="Y5" t="str">
            <v>NULL</v>
          </cell>
          <cell r="Z5" t="str">
            <v>NULL</v>
          </cell>
          <cell r="AA5">
            <v>10008942</v>
          </cell>
          <cell r="AB5" t="str">
            <v>Independent school standard inspection - aligned with CH</v>
          </cell>
          <cell r="AC5" t="str">
            <v>Independent Standard Inspection</v>
          </cell>
          <cell r="AD5">
            <v>42920</v>
          </cell>
          <cell r="AE5">
            <v>42922</v>
          </cell>
          <cell r="AF5">
            <v>42969</v>
          </cell>
          <cell r="AG5">
            <v>3</v>
          </cell>
          <cell r="AH5">
            <v>2</v>
          </cell>
          <cell r="AI5">
            <v>2</v>
          </cell>
          <cell r="AJ5">
            <v>3</v>
          </cell>
          <cell r="AK5">
            <v>2</v>
          </cell>
          <cell r="AL5" t="str">
            <v>NULL</v>
          </cell>
          <cell r="AM5" t="str">
            <v>NULL</v>
          </cell>
          <cell r="AN5" t="str">
            <v>Yes</v>
          </cell>
          <cell r="AO5" t="str">
            <v>ITS393298</v>
          </cell>
          <cell r="AP5" t="str">
            <v xml:space="preserve">Independent School standard inspection - integrated </v>
          </cell>
          <cell r="AQ5" t="str">
            <v>Independent Standard Inspection</v>
          </cell>
          <cell r="AR5">
            <v>41086</v>
          </cell>
          <cell r="AS5">
            <v>41087</v>
          </cell>
          <cell r="AT5">
            <v>41110</v>
          </cell>
          <cell r="AU5">
            <v>2</v>
          </cell>
          <cell r="AV5">
            <v>3</v>
          </cell>
          <cell r="AW5">
            <v>2</v>
          </cell>
          <cell r="AX5" t="str">
            <v>NULL</v>
          </cell>
          <cell r="AY5" t="str">
            <v>NULL</v>
          </cell>
          <cell r="AZ5">
            <v>8</v>
          </cell>
          <cell r="BA5" t="str">
            <v>NULL</v>
          </cell>
          <cell r="BB5" t="str">
            <v>NULL</v>
          </cell>
        </row>
        <row r="6">
          <cell r="D6">
            <v>135066</v>
          </cell>
          <cell r="E6">
            <v>9266152</v>
          </cell>
          <cell r="F6" t="str">
            <v>Acorn Park School</v>
          </cell>
          <cell r="G6" t="str">
            <v>Other Independent Special School</v>
          </cell>
          <cell r="H6">
            <v>38477</v>
          </cell>
          <cell r="I6">
            <v>55</v>
          </cell>
          <cell r="J6" t="str">
            <v>East of England</v>
          </cell>
          <cell r="K6" t="str">
            <v>East of England</v>
          </cell>
          <cell r="L6" t="str">
            <v>Norfolk</v>
          </cell>
          <cell r="M6" t="str">
            <v>South West Norfolk</v>
          </cell>
          <cell r="N6" t="str">
            <v>NR16 2HU</v>
          </cell>
          <cell r="O6" t="str">
            <v>Has a sixth form</v>
          </cell>
          <cell r="P6">
            <v>6</v>
          </cell>
          <cell r="Q6">
            <v>19</v>
          </cell>
          <cell r="R6" t="str">
            <v>None</v>
          </cell>
          <cell r="S6" t="str">
            <v>Ofsted</v>
          </cell>
          <cell r="T6">
            <v>1</v>
          </cell>
          <cell r="U6">
            <v>10021734</v>
          </cell>
          <cell r="V6" t="str">
            <v>Independent school evaluation of school action plan</v>
          </cell>
          <cell r="W6">
            <v>42578</v>
          </cell>
          <cell r="X6">
            <v>42578</v>
          </cell>
          <cell r="Y6" t="str">
            <v>NULL</v>
          </cell>
          <cell r="Z6" t="str">
            <v>Action plan is acceptable</v>
          </cell>
          <cell r="AA6">
            <v>10006086</v>
          </cell>
          <cell r="AB6" t="str">
            <v>Independent School standard inspection</v>
          </cell>
          <cell r="AC6" t="str">
            <v>Independent Standard Inspection</v>
          </cell>
          <cell r="AD6">
            <v>42486</v>
          </cell>
          <cell r="AE6">
            <v>42488</v>
          </cell>
          <cell r="AF6">
            <v>42534</v>
          </cell>
          <cell r="AG6">
            <v>3</v>
          </cell>
          <cell r="AH6">
            <v>3</v>
          </cell>
          <cell r="AI6">
            <v>3</v>
          </cell>
          <cell r="AJ6">
            <v>3</v>
          </cell>
          <cell r="AK6">
            <v>2</v>
          </cell>
          <cell r="AL6" t="str">
            <v>NULL</v>
          </cell>
          <cell r="AM6">
            <v>3</v>
          </cell>
          <cell r="AN6" t="str">
            <v>Yes</v>
          </cell>
          <cell r="AO6" t="str">
            <v>ITS397677</v>
          </cell>
          <cell r="AP6" t="str">
            <v xml:space="preserve">Independent School standard inspection - integrated </v>
          </cell>
          <cell r="AQ6" t="str">
            <v>Independent Standard Inspection</v>
          </cell>
          <cell r="AR6">
            <v>41185</v>
          </cell>
          <cell r="AS6">
            <v>41186</v>
          </cell>
          <cell r="AT6">
            <v>41206</v>
          </cell>
          <cell r="AU6">
            <v>3</v>
          </cell>
          <cell r="AV6">
            <v>3</v>
          </cell>
          <cell r="AW6">
            <v>3</v>
          </cell>
          <cell r="AX6" t="str">
            <v>NULL</v>
          </cell>
          <cell r="AY6" t="str">
            <v>NULL</v>
          </cell>
          <cell r="AZ6">
            <v>8</v>
          </cell>
          <cell r="BA6" t="str">
            <v>NULL</v>
          </cell>
          <cell r="BB6" t="str">
            <v>NULL</v>
          </cell>
        </row>
        <row r="7">
          <cell r="D7">
            <v>135576</v>
          </cell>
          <cell r="E7">
            <v>8876130</v>
          </cell>
          <cell r="F7" t="str">
            <v>Blue Skies School</v>
          </cell>
          <cell r="G7" t="str">
            <v>Other Independent Special School</v>
          </cell>
          <cell r="H7">
            <v>39583</v>
          </cell>
          <cell r="I7">
            <v>21</v>
          </cell>
          <cell r="J7" t="str">
            <v>South East</v>
          </cell>
          <cell r="K7" t="str">
            <v>South East</v>
          </cell>
          <cell r="L7" t="str">
            <v>Medway</v>
          </cell>
          <cell r="M7" t="str">
            <v>Chatham and Aylesford</v>
          </cell>
          <cell r="N7" t="str">
            <v>ME4 6DQ</v>
          </cell>
          <cell r="O7" t="str">
            <v>Not applicable</v>
          </cell>
          <cell r="P7">
            <v>11</v>
          </cell>
          <cell r="Q7">
            <v>25</v>
          </cell>
          <cell r="R7" t="str">
            <v>None</v>
          </cell>
          <cell r="S7" t="str">
            <v>Ofsted</v>
          </cell>
          <cell r="T7" t="str">
            <v>NULL</v>
          </cell>
          <cell r="U7" t="str">
            <v>NULL</v>
          </cell>
          <cell r="V7" t="str">
            <v>NULL</v>
          </cell>
          <cell r="W7" t="str">
            <v>NULL</v>
          </cell>
          <cell r="X7" t="str">
            <v>NULL</v>
          </cell>
          <cell r="Y7" t="str">
            <v>NULL</v>
          </cell>
          <cell r="Z7" t="str">
            <v>NULL</v>
          </cell>
          <cell r="AA7">
            <v>10008610</v>
          </cell>
          <cell r="AB7" t="str">
            <v>Independent School standard inspection</v>
          </cell>
          <cell r="AC7" t="str">
            <v>Independent Standard Inspection</v>
          </cell>
          <cell r="AD7">
            <v>42528</v>
          </cell>
          <cell r="AE7">
            <v>42530</v>
          </cell>
          <cell r="AF7">
            <v>42557</v>
          </cell>
          <cell r="AG7">
            <v>2</v>
          </cell>
          <cell r="AH7">
            <v>2</v>
          </cell>
          <cell r="AI7">
            <v>2</v>
          </cell>
          <cell r="AJ7">
            <v>2</v>
          </cell>
          <cell r="AK7">
            <v>2</v>
          </cell>
          <cell r="AL7" t="str">
            <v>NULL</v>
          </cell>
          <cell r="AM7">
            <v>2</v>
          </cell>
          <cell r="AN7" t="str">
            <v>Yes</v>
          </cell>
          <cell r="AO7" t="str">
            <v>ITS397630</v>
          </cell>
          <cell r="AP7" t="str">
            <v>Independent School standard inspection</v>
          </cell>
          <cell r="AQ7" t="str">
            <v>Independent Standard Inspection</v>
          </cell>
          <cell r="AR7">
            <v>41094</v>
          </cell>
          <cell r="AS7">
            <v>41095</v>
          </cell>
          <cell r="AT7">
            <v>41163</v>
          </cell>
          <cell r="AU7">
            <v>2</v>
          </cell>
          <cell r="AV7">
            <v>2</v>
          </cell>
          <cell r="AW7">
            <v>2</v>
          </cell>
          <cell r="AX7" t="str">
            <v>NULL</v>
          </cell>
          <cell r="AY7" t="str">
            <v>NULL</v>
          </cell>
          <cell r="AZ7">
            <v>8</v>
          </cell>
          <cell r="BA7" t="str">
            <v>NULL</v>
          </cell>
          <cell r="BB7" t="str">
            <v>NULL</v>
          </cell>
        </row>
        <row r="8">
          <cell r="D8">
            <v>136050</v>
          </cell>
          <cell r="E8">
            <v>8886112</v>
          </cell>
          <cell r="F8" t="str">
            <v>Bracken School</v>
          </cell>
          <cell r="G8" t="str">
            <v>Other Independent Special School</v>
          </cell>
          <cell r="H8">
            <v>40185</v>
          </cell>
          <cell r="I8">
            <v>3</v>
          </cell>
          <cell r="J8" t="str">
            <v>North West</v>
          </cell>
          <cell r="K8" t="str">
            <v>North West</v>
          </cell>
          <cell r="L8" t="str">
            <v>Lancashire</v>
          </cell>
          <cell r="M8" t="str">
            <v>Fylde</v>
          </cell>
          <cell r="N8" t="str">
            <v>PR4 1YA</v>
          </cell>
          <cell r="O8" t="str">
            <v>Not applicable</v>
          </cell>
          <cell r="P8">
            <v>11</v>
          </cell>
          <cell r="Q8">
            <v>16</v>
          </cell>
          <cell r="R8" t="str">
            <v>None</v>
          </cell>
          <cell r="S8" t="str">
            <v>Ofsted</v>
          </cell>
          <cell r="T8" t="str">
            <v>NULL</v>
          </cell>
          <cell r="U8" t="str">
            <v>NULL</v>
          </cell>
          <cell r="V8" t="str">
            <v>NULL</v>
          </cell>
          <cell r="W8" t="str">
            <v>NULL</v>
          </cell>
          <cell r="X8" t="str">
            <v>NULL</v>
          </cell>
          <cell r="Y8" t="str">
            <v>NULL</v>
          </cell>
          <cell r="Z8" t="str">
            <v>NULL</v>
          </cell>
          <cell r="AA8">
            <v>10026015</v>
          </cell>
          <cell r="AB8" t="str">
            <v>Independent School standard inspection</v>
          </cell>
          <cell r="AC8" t="str">
            <v>Independent Standard Inspection</v>
          </cell>
          <cell r="AD8">
            <v>43011</v>
          </cell>
          <cell r="AE8">
            <v>43012</v>
          </cell>
          <cell r="AF8">
            <v>43031</v>
          </cell>
          <cell r="AG8">
            <v>2</v>
          </cell>
          <cell r="AH8">
            <v>2</v>
          </cell>
          <cell r="AI8">
            <v>2</v>
          </cell>
          <cell r="AJ8">
            <v>2</v>
          </cell>
          <cell r="AK8">
            <v>1</v>
          </cell>
          <cell r="AL8" t="str">
            <v>NULL</v>
          </cell>
          <cell r="AM8" t="str">
            <v>NULL</v>
          </cell>
          <cell r="AN8" t="str">
            <v>Yes</v>
          </cell>
          <cell r="AO8" t="str">
            <v>ITS440217</v>
          </cell>
          <cell r="AP8" t="str">
            <v>Independent School standard inspection</v>
          </cell>
          <cell r="AQ8" t="str">
            <v>Independent Standard Inspection</v>
          </cell>
          <cell r="AR8">
            <v>41709</v>
          </cell>
          <cell r="AS8">
            <v>41710</v>
          </cell>
          <cell r="AT8">
            <v>41731</v>
          </cell>
          <cell r="AU8">
            <v>2</v>
          </cell>
          <cell r="AV8">
            <v>2</v>
          </cell>
          <cell r="AW8">
            <v>2</v>
          </cell>
          <cell r="AX8">
            <v>2</v>
          </cell>
          <cell r="AY8" t="str">
            <v>NULL</v>
          </cell>
          <cell r="AZ8" t="str">
            <v>NULL</v>
          </cell>
          <cell r="BA8" t="str">
            <v>NULL</v>
          </cell>
          <cell r="BB8" t="str">
            <v>NULL</v>
          </cell>
        </row>
        <row r="9">
          <cell r="D9">
            <v>136167</v>
          </cell>
          <cell r="E9">
            <v>8306037</v>
          </cell>
          <cell r="F9" t="str">
            <v>Bradshaw Farm Independent School</v>
          </cell>
          <cell r="G9" t="str">
            <v>Other Independent Special School</v>
          </cell>
          <cell r="H9">
            <v>40371</v>
          </cell>
          <cell r="I9">
            <v>4</v>
          </cell>
          <cell r="J9" t="str">
            <v>East Midlands</v>
          </cell>
          <cell r="K9" t="str">
            <v>East Midlands</v>
          </cell>
          <cell r="L9" t="str">
            <v>Derbyshire</v>
          </cell>
          <cell r="M9" t="str">
            <v>Staffordshire Moorlands</v>
          </cell>
          <cell r="N9" t="str">
            <v>SK17 0QY</v>
          </cell>
          <cell r="O9" t="str">
            <v>Not applicable</v>
          </cell>
          <cell r="P9">
            <v>11</v>
          </cell>
          <cell r="Q9">
            <v>16</v>
          </cell>
          <cell r="R9" t="str">
            <v>None</v>
          </cell>
          <cell r="S9" t="str">
            <v>Ofsted</v>
          </cell>
          <cell r="T9" t="str">
            <v>NULL</v>
          </cell>
          <cell r="U9" t="str">
            <v>NULL</v>
          </cell>
          <cell r="V9" t="str">
            <v>NULL</v>
          </cell>
          <cell r="W9" t="str">
            <v>NULL</v>
          </cell>
          <cell r="X9" t="str">
            <v>NULL</v>
          </cell>
          <cell r="Y9" t="str">
            <v>NULL</v>
          </cell>
          <cell r="Z9" t="str">
            <v>NULL</v>
          </cell>
          <cell r="AA9" t="str">
            <v>ITS446278</v>
          </cell>
          <cell r="AB9" t="str">
            <v>Independent school standard inspection - aligned with CH</v>
          </cell>
          <cell r="AC9" t="str">
            <v>Independent Standard Inspection</v>
          </cell>
          <cell r="AD9">
            <v>41913</v>
          </cell>
          <cell r="AE9">
            <v>41915</v>
          </cell>
          <cell r="AF9">
            <v>41962</v>
          </cell>
          <cell r="AG9">
            <v>2</v>
          </cell>
          <cell r="AH9">
            <v>2</v>
          </cell>
          <cell r="AI9">
            <v>2</v>
          </cell>
          <cell r="AJ9">
            <v>2</v>
          </cell>
          <cell r="AK9" t="str">
            <v>NULL</v>
          </cell>
          <cell r="AL9">
            <v>9</v>
          </cell>
          <cell r="AM9">
            <v>9</v>
          </cell>
          <cell r="AN9" t="str">
            <v>NULL</v>
          </cell>
          <cell r="AO9" t="str">
            <v>ITS366877</v>
          </cell>
          <cell r="AP9" t="str">
            <v xml:space="preserve">Independent School standard inspection - integrated </v>
          </cell>
          <cell r="AQ9" t="str">
            <v>Independent Standard Inspection</v>
          </cell>
          <cell r="AR9">
            <v>40722</v>
          </cell>
          <cell r="AS9">
            <v>40723</v>
          </cell>
          <cell r="AT9">
            <v>40744</v>
          </cell>
          <cell r="AU9">
            <v>3</v>
          </cell>
          <cell r="AV9">
            <v>3</v>
          </cell>
          <cell r="AW9">
            <v>3</v>
          </cell>
          <cell r="AX9" t="str">
            <v>NULL</v>
          </cell>
          <cell r="AY9" t="str">
            <v>NULL</v>
          </cell>
          <cell r="AZ9">
            <v>8</v>
          </cell>
          <cell r="BA9" t="str">
            <v>NULL</v>
          </cell>
          <cell r="BB9" t="str">
            <v>NULL</v>
          </cell>
        </row>
        <row r="10">
          <cell r="D10">
            <v>138884</v>
          </cell>
          <cell r="E10">
            <v>8896013</v>
          </cell>
          <cell r="F10" t="str">
            <v>Aurora Brambles East School</v>
          </cell>
          <cell r="G10" t="str">
            <v>Other Independent Special School</v>
          </cell>
          <cell r="H10">
            <v>41206</v>
          </cell>
          <cell r="I10">
            <v>38</v>
          </cell>
          <cell r="J10" t="str">
            <v>North West</v>
          </cell>
          <cell r="K10" t="str">
            <v>North West</v>
          </cell>
          <cell r="L10" t="str">
            <v>Blackburn with Darwen</v>
          </cell>
          <cell r="M10" t="str">
            <v>Rossendale and Darwen</v>
          </cell>
          <cell r="N10" t="str">
            <v>BB3 2NG</v>
          </cell>
          <cell r="O10" t="str">
            <v>Not applicable</v>
          </cell>
          <cell r="P10">
            <v>10</v>
          </cell>
          <cell r="Q10">
            <v>19</v>
          </cell>
          <cell r="R10" t="str">
            <v>None</v>
          </cell>
          <cell r="S10" t="str">
            <v>Ofsted</v>
          </cell>
          <cell r="T10" t="str">
            <v>NULL</v>
          </cell>
          <cell r="U10" t="str">
            <v>NULL</v>
          </cell>
          <cell r="V10" t="str">
            <v>NULL</v>
          </cell>
          <cell r="W10" t="str">
            <v>NULL</v>
          </cell>
          <cell r="X10" t="str">
            <v>NULL</v>
          </cell>
          <cell r="Y10" t="str">
            <v>NULL</v>
          </cell>
          <cell r="Z10" t="str">
            <v>NULL</v>
          </cell>
          <cell r="AA10">
            <v>10020807</v>
          </cell>
          <cell r="AB10" t="str">
            <v>Independent School standard inspection</v>
          </cell>
          <cell r="AC10" t="str">
            <v>Independent Standard Inspection</v>
          </cell>
          <cell r="AD10">
            <v>43011</v>
          </cell>
          <cell r="AE10">
            <v>43013</v>
          </cell>
          <cell r="AF10">
            <v>43033</v>
          </cell>
          <cell r="AG10">
            <v>2</v>
          </cell>
          <cell r="AH10">
            <v>2</v>
          </cell>
          <cell r="AI10">
            <v>2</v>
          </cell>
          <cell r="AJ10">
            <v>2</v>
          </cell>
          <cell r="AK10">
            <v>2</v>
          </cell>
          <cell r="AL10" t="str">
            <v>NULL</v>
          </cell>
          <cell r="AM10" t="str">
            <v>NULL</v>
          </cell>
          <cell r="AN10" t="str">
            <v>Yes</v>
          </cell>
          <cell r="AO10" t="str">
            <v>ITS422839</v>
          </cell>
          <cell r="AP10" t="str">
            <v>Independent school standard inspection - first</v>
          </cell>
          <cell r="AQ10" t="str">
            <v>Independent Standard Inspection</v>
          </cell>
          <cell r="AR10">
            <v>41541</v>
          </cell>
          <cell r="AS10">
            <v>41543</v>
          </cell>
          <cell r="AT10">
            <v>41564</v>
          </cell>
          <cell r="AU10">
            <v>2</v>
          </cell>
          <cell r="AV10">
            <v>2</v>
          </cell>
          <cell r="AW10">
            <v>2</v>
          </cell>
          <cell r="AX10">
            <v>2</v>
          </cell>
          <cell r="AY10" t="str">
            <v>NULL</v>
          </cell>
          <cell r="AZ10" t="str">
            <v>NULL</v>
          </cell>
          <cell r="BA10" t="str">
            <v>NULL</v>
          </cell>
          <cell r="BB10" t="str">
            <v>NULL</v>
          </cell>
        </row>
        <row r="11">
          <cell r="D11">
            <v>131237</v>
          </cell>
          <cell r="E11">
            <v>2106391</v>
          </cell>
          <cell r="F11" t="str">
            <v>Cavendish School</v>
          </cell>
          <cell r="G11" t="str">
            <v>Other Independent Special School</v>
          </cell>
          <cell r="H11">
            <v>35501</v>
          </cell>
          <cell r="I11">
            <v>32</v>
          </cell>
          <cell r="J11" t="str">
            <v>London</v>
          </cell>
          <cell r="K11" t="str">
            <v>London</v>
          </cell>
          <cell r="L11" t="str">
            <v>Southwark</v>
          </cell>
          <cell r="M11" t="str">
            <v>Bermondsey and Old Southwark</v>
          </cell>
          <cell r="N11" t="str">
            <v>SE16 2PA</v>
          </cell>
          <cell r="O11" t="str">
            <v>Does not have a sixth form</v>
          </cell>
          <cell r="P11">
            <v>11</v>
          </cell>
          <cell r="Q11">
            <v>16</v>
          </cell>
          <cell r="R11" t="str">
            <v>None</v>
          </cell>
          <cell r="S11" t="str">
            <v>Ofsted</v>
          </cell>
          <cell r="T11" t="str">
            <v>NULL</v>
          </cell>
          <cell r="U11" t="str">
            <v>NULL</v>
          </cell>
          <cell r="V11" t="str">
            <v>NULL</v>
          </cell>
          <cell r="W11" t="str">
            <v>NULL</v>
          </cell>
          <cell r="X11" t="str">
            <v>NULL</v>
          </cell>
          <cell r="Y11" t="str">
            <v>NULL</v>
          </cell>
          <cell r="Z11" t="str">
            <v>NULL</v>
          </cell>
          <cell r="AA11" t="str">
            <v>ITS422720</v>
          </cell>
          <cell r="AB11" t="str">
            <v>Independent School standard inspection</v>
          </cell>
          <cell r="AC11" t="str">
            <v>Independent Standard Inspection</v>
          </cell>
          <cell r="AD11">
            <v>41612</v>
          </cell>
          <cell r="AE11">
            <v>41614</v>
          </cell>
          <cell r="AF11">
            <v>41649</v>
          </cell>
          <cell r="AG11">
            <v>2</v>
          </cell>
          <cell r="AH11">
            <v>2</v>
          </cell>
          <cell r="AI11">
            <v>2</v>
          </cell>
          <cell r="AJ11">
            <v>2</v>
          </cell>
          <cell r="AK11" t="str">
            <v>NULL</v>
          </cell>
          <cell r="AL11" t="str">
            <v>NULL</v>
          </cell>
          <cell r="AM11" t="str">
            <v>NULL</v>
          </cell>
          <cell r="AN11" t="str">
            <v>NULL</v>
          </cell>
          <cell r="AO11" t="str">
            <v>ITS364254</v>
          </cell>
          <cell r="AP11" t="str">
            <v>Independent School standard inspection</v>
          </cell>
          <cell r="AQ11" t="str">
            <v>Independent Standard Inspection</v>
          </cell>
          <cell r="AR11">
            <v>40492</v>
          </cell>
          <cell r="AS11">
            <v>40493</v>
          </cell>
          <cell r="AT11">
            <v>40514</v>
          </cell>
          <cell r="AU11">
            <v>2</v>
          </cell>
          <cell r="AV11">
            <v>2</v>
          </cell>
          <cell r="AW11">
            <v>2</v>
          </cell>
          <cell r="AX11" t="str">
            <v>NULL</v>
          </cell>
          <cell r="AY11" t="str">
            <v>NULL</v>
          </cell>
          <cell r="AZ11">
            <v>8</v>
          </cell>
          <cell r="BA11" t="str">
            <v>NULL</v>
          </cell>
          <cell r="BB11" t="str">
            <v>NULL</v>
          </cell>
        </row>
        <row r="12">
          <cell r="D12">
            <v>112456</v>
          </cell>
          <cell r="E12">
            <v>8156041</v>
          </cell>
          <cell r="F12" t="str">
            <v>Cedar House School</v>
          </cell>
          <cell r="G12" t="str">
            <v>Other Independent Special School</v>
          </cell>
          <cell r="H12">
            <v>28034</v>
          </cell>
          <cell r="I12">
            <v>59</v>
          </cell>
          <cell r="J12" t="str">
            <v>North East, Yorkshire and the Humber</v>
          </cell>
          <cell r="K12" t="str">
            <v>Yorkshire and the Humber</v>
          </cell>
          <cell r="L12" t="str">
            <v>North Yorkshire</v>
          </cell>
          <cell r="M12" t="str">
            <v>Skipton and Ripon</v>
          </cell>
          <cell r="N12" t="str">
            <v>LA2 7DD</v>
          </cell>
          <cell r="O12" t="str">
            <v>Not applicable</v>
          </cell>
          <cell r="P12">
            <v>7</v>
          </cell>
          <cell r="Q12">
            <v>18</v>
          </cell>
          <cell r="R12" t="str">
            <v>None</v>
          </cell>
          <cell r="S12" t="str">
            <v>Ofsted</v>
          </cell>
          <cell r="T12" t="str">
            <v>NULL</v>
          </cell>
          <cell r="U12" t="str">
            <v>NULL</v>
          </cell>
          <cell r="V12" t="str">
            <v>NULL</v>
          </cell>
          <cell r="W12" t="str">
            <v>NULL</v>
          </cell>
          <cell r="X12" t="str">
            <v>NULL</v>
          </cell>
          <cell r="Y12" t="str">
            <v>NULL</v>
          </cell>
          <cell r="Z12" t="str">
            <v>NULL</v>
          </cell>
          <cell r="AA12">
            <v>10018438</v>
          </cell>
          <cell r="AB12" t="str">
            <v xml:space="preserve">Independent School standard inspection - integrated </v>
          </cell>
          <cell r="AC12" t="str">
            <v>Independent Standard Inspection</v>
          </cell>
          <cell r="AD12">
            <v>42486</v>
          </cell>
          <cell r="AE12">
            <v>42488</v>
          </cell>
          <cell r="AF12">
            <v>42507</v>
          </cell>
          <cell r="AG12">
            <v>2</v>
          </cell>
          <cell r="AH12">
            <v>2</v>
          </cell>
          <cell r="AI12">
            <v>2</v>
          </cell>
          <cell r="AJ12">
            <v>2</v>
          </cell>
          <cell r="AK12">
            <v>2</v>
          </cell>
          <cell r="AL12" t="str">
            <v>NULL</v>
          </cell>
          <cell r="AM12">
            <v>2</v>
          </cell>
          <cell r="AN12" t="str">
            <v>Yes</v>
          </cell>
          <cell r="AO12" t="str">
            <v>ITS454529</v>
          </cell>
          <cell r="AP12" t="str">
            <v xml:space="preserve">Independent School standard inspection - integrated </v>
          </cell>
          <cell r="AQ12" t="str">
            <v>Independent Standard Inspection</v>
          </cell>
          <cell r="AR12">
            <v>41961</v>
          </cell>
          <cell r="AS12">
            <v>41963</v>
          </cell>
          <cell r="AT12">
            <v>42030</v>
          </cell>
          <cell r="AU12">
            <v>2</v>
          </cell>
          <cell r="AV12">
            <v>2</v>
          </cell>
          <cell r="AW12">
            <v>2</v>
          </cell>
          <cell r="AX12">
            <v>2</v>
          </cell>
          <cell r="AY12" t="str">
            <v>NULL</v>
          </cell>
          <cell r="AZ12">
            <v>9</v>
          </cell>
          <cell r="BA12">
            <v>2</v>
          </cell>
          <cell r="BB12" t="str">
            <v>NULL</v>
          </cell>
        </row>
        <row r="13">
          <cell r="D13">
            <v>124890</v>
          </cell>
          <cell r="E13">
            <v>9356058</v>
          </cell>
          <cell r="F13" t="str">
            <v>Centre Academy East Anglia</v>
          </cell>
          <cell r="G13" t="str">
            <v>Other Independent Special School</v>
          </cell>
          <cell r="H13">
            <v>29629</v>
          </cell>
          <cell r="I13">
            <v>43</v>
          </cell>
          <cell r="J13" t="str">
            <v>East of England</v>
          </cell>
          <cell r="K13" t="str">
            <v>East of England</v>
          </cell>
          <cell r="L13" t="str">
            <v>Suffolk</v>
          </cell>
          <cell r="M13" t="str">
            <v>South Suffolk</v>
          </cell>
          <cell r="N13" t="str">
            <v>IP7 7QR</v>
          </cell>
          <cell r="O13" t="str">
            <v>Not applicable</v>
          </cell>
          <cell r="P13">
            <v>5</v>
          </cell>
          <cell r="Q13">
            <v>21</v>
          </cell>
          <cell r="R13" t="str">
            <v>None</v>
          </cell>
          <cell r="S13" t="str">
            <v>Ofsted</v>
          </cell>
          <cell r="T13" t="str">
            <v>NULL</v>
          </cell>
          <cell r="U13" t="str">
            <v>NULL</v>
          </cell>
          <cell r="V13" t="str">
            <v>NULL</v>
          </cell>
          <cell r="W13" t="str">
            <v>NULL</v>
          </cell>
          <cell r="X13" t="str">
            <v>NULL</v>
          </cell>
          <cell r="Y13" t="str">
            <v>NULL</v>
          </cell>
          <cell r="Z13" t="str">
            <v>NULL</v>
          </cell>
          <cell r="AA13">
            <v>10043519</v>
          </cell>
          <cell r="AB13" t="str">
            <v>Independent School standard inspection</v>
          </cell>
          <cell r="AC13" t="str">
            <v>Independent Standard Inspection</v>
          </cell>
          <cell r="AD13">
            <v>43130</v>
          </cell>
          <cell r="AE13">
            <v>43132</v>
          </cell>
          <cell r="AF13">
            <v>43164</v>
          </cell>
          <cell r="AG13">
            <v>2</v>
          </cell>
          <cell r="AH13">
            <v>2</v>
          </cell>
          <cell r="AI13">
            <v>2</v>
          </cell>
          <cell r="AJ13">
            <v>2</v>
          </cell>
          <cell r="AK13">
            <v>2</v>
          </cell>
          <cell r="AL13" t="str">
            <v>NULL</v>
          </cell>
          <cell r="AM13">
            <v>2</v>
          </cell>
          <cell r="AN13" t="str">
            <v>Yes</v>
          </cell>
          <cell r="AO13">
            <v>10006332</v>
          </cell>
          <cell r="AP13" t="str">
            <v xml:space="preserve">Independent School standard inspection - integrated </v>
          </cell>
          <cell r="AQ13" t="str">
            <v>Independent Standard Inspection</v>
          </cell>
          <cell r="AR13">
            <v>42409</v>
          </cell>
          <cell r="AS13">
            <v>42411</v>
          </cell>
          <cell r="AT13">
            <v>42544</v>
          </cell>
          <cell r="AU13">
            <v>4</v>
          </cell>
          <cell r="AV13">
            <v>3</v>
          </cell>
          <cell r="AW13">
            <v>3</v>
          </cell>
          <cell r="AX13">
            <v>4</v>
          </cell>
          <cell r="AY13">
            <v>3</v>
          </cell>
          <cell r="AZ13" t="str">
            <v>NULL</v>
          </cell>
          <cell r="BA13">
            <v>3</v>
          </cell>
          <cell r="BB13" t="str">
            <v>Yes</v>
          </cell>
        </row>
        <row r="14">
          <cell r="D14">
            <v>101175</v>
          </cell>
          <cell r="E14">
            <v>2126408</v>
          </cell>
          <cell r="F14" t="str">
            <v>Centre Academy London</v>
          </cell>
          <cell r="G14" t="str">
            <v>Other Independent Special School</v>
          </cell>
          <cell r="H14">
            <v>30489</v>
          </cell>
          <cell r="I14">
            <v>40</v>
          </cell>
          <cell r="J14" t="str">
            <v>London</v>
          </cell>
          <cell r="K14" t="str">
            <v>London</v>
          </cell>
          <cell r="L14" t="str">
            <v>Wandsworth</v>
          </cell>
          <cell r="M14" t="str">
            <v>Battersea</v>
          </cell>
          <cell r="N14" t="str">
            <v>SW11 1SH</v>
          </cell>
          <cell r="O14" t="str">
            <v>Has a sixth form</v>
          </cell>
          <cell r="P14">
            <v>9</v>
          </cell>
          <cell r="Q14">
            <v>19</v>
          </cell>
          <cell r="R14" t="str">
            <v>None</v>
          </cell>
          <cell r="S14" t="str">
            <v>Ofsted</v>
          </cell>
          <cell r="T14" t="str">
            <v>NULL</v>
          </cell>
          <cell r="U14" t="str">
            <v>NULL</v>
          </cell>
          <cell r="V14" t="str">
            <v>NULL</v>
          </cell>
          <cell r="W14" t="str">
            <v>NULL</v>
          </cell>
          <cell r="X14" t="str">
            <v>NULL</v>
          </cell>
          <cell r="Y14" t="str">
            <v>NULL</v>
          </cell>
          <cell r="Z14" t="str">
            <v>NULL</v>
          </cell>
          <cell r="AA14" t="str">
            <v>ITS462855</v>
          </cell>
          <cell r="AB14" t="str">
            <v>Independent School standard inspection</v>
          </cell>
          <cell r="AC14" t="str">
            <v>Independent Standard Inspection</v>
          </cell>
          <cell r="AD14">
            <v>42136</v>
          </cell>
          <cell r="AE14">
            <v>42138</v>
          </cell>
          <cell r="AF14">
            <v>42174</v>
          </cell>
          <cell r="AG14">
            <v>2</v>
          </cell>
          <cell r="AH14">
            <v>2</v>
          </cell>
          <cell r="AI14">
            <v>3</v>
          </cell>
          <cell r="AJ14">
            <v>2</v>
          </cell>
          <cell r="AK14" t="str">
            <v>NULL</v>
          </cell>
          <cell r="AL14">
            <v>9</v>
          </cell>
          <cell r="AM14">
            <v>9</v>
          </cell>
          <cell r="AN14" t="str">
            <v>NULL</v>
          </cell>
          <cell r="AO14" t="str">
            <v>ITS386884</v>
          </cell>
          <cell r="AP14" t="str">
            <v>Independent School standard inspection</v>
          </cell>
          <cell r="AQ14" t="str">
            <v>Independent Standard Inspection</v>
          </cell>
          <cell r="AR14">
            <v>40940</v>
          </cell>
          <cell r="AS14">
            <v>40941</v>
          </cell>
          <cell r="AT14">
            <v>41236</v>
          </cell>
          <cell r="AU14">
            <v>2</v>
          </cell>
          <cell r="AV14">
            <v>2</v>
          </cell>
          <cell r="AW14">
            <v>2</v>
          </cell>
          <cell r="AX14" t="str">
            <v>NULL</v>
          </cell>
          <cell r="AY14" t="str">
            <v>NULL</v>
          </cell>
          <cell r="AZ14">
            <v>8</v>
          </cell>
          <cell r="BA14" t="str">
            <v>NULL</v>
          </cell>
          <cell r="BB14" t="str">
            <v>NULL</v>
          </cell>
        </row>
        <row r="15">
          <cell r="D15">
            <v>119849</v>
          </cell>
          <cell r="E15">
            <v>8886022</v>
          </cell>
          <cell r="F15" t="str">
            <v>Crookhey Hall School</v>
          </cell>
          <cell r="G15" t="str">
            <v>Other Independent Special School</v>
          </cell>
          <cell r="H15">
            <v>34128</v>
          </cell>
          <cell r="I15">
            <v>27</v>
          </cell>
          <cell r="J15" t="str">
            <v>North West</v>
          </cell>
          <cell r="K15" t="str">
            <v>North West</v>
          </cell>
          <cell r="L15" t="str">
            <v>Lancashire</v>
          </cell>
          <cell r="M15" t="str">
            <v>Lancaster and Fleetwood</v>
          </cell>
          <cell r="N15" t="str">
            <v>LA2 0HA</v>
          </cell>
          <cell r="O15" t="str">
            <v>Has a sixth form</v>
          </cell>
          <cell r="P15">
            <v>10</v>
          </cell>
          <cell r="Q15">
            <v>17</v>
          </cell>
          <cell r="R15" t="str">
            <v>None</v>
          </cell>
          <cell r="S15" t="str">
            <v>Ofsted</v>
          </cell>
          <cell r="T15" t="str">
            <v>NULL</v>
          </cell>
          <cell r="U15" t="str">
            <v>NULL</v>
          </cell>
          <cell r="V15" t="str">
            <v>NULL</v>
          </cell>
          <cell r="W15" t="str">
            <v>NULL</v>
          </cell>
          <cell r="X15" t="str">
            <v>NULL</v>
          </cell>
          <cell r="Y15" t="str">
            <v>NULL</v>
          </cell>
          <cell r="Z15" t="str">
            <v>NULL</v>
          </cell>
          <cell r="AA15">
            <v>10038839</v>
          </cell>
          <cell r="AB15" t="str">
            <v>Independent School standard inspection</v>
          </cell>
          <cell r="AC15" t="str">
            <v>Independent Standard Inspection</v>
          </cell>
          <cell r="AD15">
            <v>43123</v>
          </cell>
          <cell r="AE15">
            <v>43125</v>
          </cell>
          <cell r="AF15">
            <v>43157</v>
          </cell>
          <cell r="AG15">
            <v>2</v>
          </cell>
          <cell r="AH15">
            <v>2</v>
          </cell>
          <cell r="AI15">
            <v>2</v>
          </cell>
          <cell r="AJ15">
            <v>2</v>
          </cell>
          <cell r="AK15">
            <v>2</v>
          </cell>
          <cell r="AL15" t="str">
            <v>NULL</v>
          </cell>
          <cell r="AM15">
            <v>2</v>
          </cell>
          <cell r="AN15" t="str">
            <v>Yes</v>
          </cell>
          <cell r="AO15" t="str">
            <v>ITS446271</v>
          </cell>
          <cell r="AP15" t="str">
            <v>Independent school standard inspection - aligned with CH</v>
          </cell>
          <cell r="AQ15" t="str">
            <v>Independent Standard Inspection</v>
          </cell>
          <cell r="AR15">
            <v>41933</v>
          </cell>
          <cell r="AS15">
            <v>41935</v>
          </cell>
          <cell r="AT15">
            <v>41970</v>
          </cell>
          <cell r="AU15">
            <v>2</v>
          </cell>
          <cell r="AV15">
            <v>2</v>
          </cell>
          <cell r="AW15">
            <v>2</v>
          </cell>
          <cell r="AX15">
            <v>2</v>
          </cell>
          <cell r="AY15" t="str">
            <v>NULL</v>
          </cell>
          <cell r="AZ15">
            <v>9</v>
          </cell>
          <cell r="BA15">
            <v>2</v>
          </cell>
          <cell r="BB15" t="str">
            <v>NULL</v>
          </cell>
        </row>
        <row r="16">
          <cell r="D16">
            <v>123619</v>
          </cell>
          <cell r="E16">
            <v>8936017</v>
          </cell>
          <cell r="F16" t="str">
            <v>Cruckton Hall School</v>
          </cell>
          <cell r="G16" t="str">
            <v>Other Independent Special School</v>
          </cell>
          <cell r="H16">
            <v>28620</v>
          </cell>
          <cell r="I16">
            <v>37</v>
          </cell>
          <cell r="J16" t="str">
            <v>West Midlands</v>
          </cell>
          <cell r="K16" t="str">
            <v>West Midlands</v>
          </cell>
          <cell r="L16" t="str">
            <v>Shropshire</v>
          </cell>
          <cell r="M16" t="str">
            <v>Shrewsbury and Atcham</v>
          </cell>
          <cell r="N16" t="str">
            <v>SY5 8PR</v>
          </cell>
          <cell r="O16" t="str">
            <v>Has a sixth form</v>
          </cell>
          <cell r="P16">
            <v>8</v>
          </cell>
          <cell r="Q16">
            <v>19</v>
          </cell>
          <cell r="R16" t="str">
            <v>None</v>
          </cell>
          <cell r="S16" t="str">
            <v>Ofsted</v>
          </cell>
          <cell r="T16" t="str">
            <v>NULL</v>
          </cell>
          <cell r="U16" t="str">
            <v>NULL</v>
          </cell>
          <cell r="V16" t="str">
            <v>NULL</v>
          </cell>
          <cell r="W16" t="str">
            <v>NULL</v>
          </cell>
          <cell r="X16" t="str">
            <v>NULL</v>
          </cell>
          <cell r="Y16" t="str">
            <v>NULL</v>
          </cell>
          <cell r="Z16" t="str">
            <v>NULL</v>
          </cell>
          <cell r="AA16">
            <v>10033564</v>
          </cell>
          <cell r="AB16" t="str">
            <v>Independent school standard inspection - aligned with CH</v>
          </cell>
          <cell r="AC16" t="str">
            <v>Independent Standard Inspection</v>
          </cell>
          <cell r="AD16">
            <v>42864</v>
          </cell>
          <cell r="AE16">
            <v>42866</v>
          </cell>
          <cell r="AF16">
            <v>42907</v>
          </cell>
          <cell r="AG16">
            <v>2</v>
          </cell>
          <cell r="AH16">
            <v>2</v>
          </cell>
          <cell r="AI16">
            <v>2</v>
          </cell>
          <cell r="AJ16">
            <v>2</v>
          </cell>
          <cell r="AK16">
            <v>2</v>
          </cell>
          <cell r="AL16" t="str">
            <v>NULL</v>
          </cell>
          <cell r="AM16">
            <v>2</v>
          </cell>
          <cell r="AN16" t="str">
            <v>Yes</v>
          </cell>
          <cell r="AO16" t="str">
            <v>ITS462914</v>
          </cell>
          <cell r="AP16" t="str">
            <v>Independent school standard inspection - aligned with CH</v>
          </cell>
          <cell r="AQ16" t="str">
            <v>Independent Standard Inspection</v>
          </cell>
          <cell r="AR16">
            <v>42164</v>
          </cell>
          <cell r="AS16">
            <v>42166</v>
          </cell>
          <cell r="AT16">
            <v>42256</v>
          </cell>
          <cell r="AU16">
            <v>4</v>
          </cell>
          <cell r="AV16">
            <v>4</v>
          </cell>
          <cell r="AW16">
            <v>4</v>
          </cell>
          <cell r="AX16">
            <v>4</v>
          </cell>
          <cell r="AY16" t="str">
            <v>NULL</v>
          </cell>
          <cell r="AZ16">
            <v>9</v>
          </cell>
          <cell r="BA16">
            <v>9</v>
          </cell>
          <cell r="BB16" t="str">
            <v>NULL</v>
          </cell>
        </row>
        <row r="17">
          <cell r="D17">
            <v>135541</v>
          </cell>
          <cell r="E17">
            <v>8886104</v>
          </cell>
          <cell r="F17" t="str">
            <v>Cumberland School</v>
          </cell>
          <cell r="G17" t="str">
            <v>Other Independent Special School</v>
          </cell>
          <cell r="H17">
            <v>39545</v>
          </cell>
          <cell r="I17">
            <v>52</v>
          </cell>
          <cell r="J17" t="str">
            <v>North West</v>
          </cell>
          <cell r="K17" t="str">
            <v>North West</v>
          </cell>
          <cell r="L17" t="str">
            <v>Lancashire</v>
          </cell>
          <cell r="M17" t="str">
            <v>Ribble Valley</v>
          </cell>
          <cell r="N17" t="str">
            <v>PR5 6EP</v>
          </cell>
          <cell r="O17" t="str">
            <v>Not applicable</v>
          </cell>
          <cell r="P17">
            <v>11</v>
          </cell>
          <cell r="Q17">
            <v>18</v>
          </cell>
          <cell r="R17" t="str">
            <v>None</v>
          </cell>
          <cell r="S17" t="str">
            <v>Ofsted</v>
          </cell>
          <cell r="T17" t="str">
            <v>NULL</v>
          </cell>
          <cell r="U17" t="str">
            <v>NULL</v>
          </cell>
          <cell r="V17" t="str">
            <v>NULL</v>
          </cell>
          <cell r="W17" t="str">
            <v>NULL</v>
          </cell>
          <cell r="X17" t="str">
            <v>NULL</v>
          </cell>
          <cell r="Y17" t="str">
            <v>NULL</v>
          </cell>
          <cell r="Z17" t="str">
            <v>NULL</v>
          </cell>
          <cell r="AA17" t="str">
            <v>ITS463013</v>
          </cell>
          <cell r="AB17" t="str">
            <v>Independent School standard inspection</v>
          </cell>
          <cell r="AC17" t="str">
            <v>Independent Standard Inspection</v>
          </cell>
          <cell r="AD17">
            <v>42171</v>
          </cell>
          <cell r="AE17">
            <v>42173</v>
          </cell>
          <cell r="AF17">
            <v>42194</v>
          </cell>
          <cell r="AG17">
            <v>1</v>
          </cell>
          <cell r="AH17">
            <v>1</v>
          </cell>
          <cell r="AI17">
            <v>1</v>
          </cell>
          <cell r="AJ17">
            <v>1</v>
          </cell>
          <cell r="AK17" t="str">
            <v>NULL</v>
          </cell>
          <cell r="AL17">
            <v>9</v>
          </cell>
          <cell r="AM17">
            <v>9</v>
          </cell>
          <cell r="AN17" t="str">
            <v>NULL</v>
          </cell>
          <cell r="AO17" t="str">
            <v>ITS395778</v>
          </cell>
          <cell r="AP17" t="str">
            <v>Independent School standard inspection</v>
          </cell>
          <cell r="AQ17" t="str">
            <v>Independent Standard Inspection</v>
          </cell>
          <cell r="AR17">
            <v>40974</v>
          </cell>
          <cell r="AS17">
            <v>40975</v>
          </cell>
          <cell r="AT17">
            <v>41004</v>
          </cell>
          <cell r="AU17">
            <v>2</v>
          </cell>
          <cell r="AV17">
            <v>2</v>
          </cell>
          <cell r="AW17">
            <v>2</v>
          </cell>
          <cell r="AX17" t="str">
            <v>NULL</v>
          </cell>
          <cell r="AY17" t="str">
            <v>NULL</v>
          </cell>
          <cell r="AZ17">
            <v>8</v>
          </cell>
          <cell r="BA17" t="str">
            <v>NULL</v>
          </cell>
          <cell r="BB17" t="str">
            <v>NULL</v>
          </cell>
        </row>
        <row r="18">
          <cell r="D18">
            <v>131171</v>
          </cell>
          <cell r="E18">
            <v>8936099</v>
          </cell>
          <cell r="F18" t="str">
            <v>Darwin School</v>
          </cell>
          <cell r="G18" t="str">
            <v>Other Independent Special School</v>
          </cell>
          <cell r="H18">
            <v>38733</v>
          </cell>
          <cell r="I18">
            <v>12</v>
          </cell>
          <cell r="J18" t="str">
            <v>West Midlands</v>
          </cell>
          <cell r="K18" t="str">
            <v>West Midlands</v>
          </cell>
          <cell r="L18" t="str">
            <v>Shropshire</v>
          </cell>
          <cell r="M18" t="str">
            <v>Hammersmith</v>
          </cell>
          <cell r="N18" t="str">
            <v>W6 9RU</v>
          </cell>
          <cell r="O18" t="str">
            <v>Not applicable</v>
          </cell>
          <cell r="P18">
            <v>8</v>
          </cell>
          <cell r="Q18">
            <v>18</v>
          </cell>
          <cell r="R18" t="str">
            <v>None</v>
          </cell>
          <cell r="S18" t="str">
            <v>Ofsted</v>
          </cell>
          <cell r="T18">
            <v>2</v>
          </cell>
          <cell r="U18">
            <v>10026726</v>
          </cell>
          <cell r="V18" t="str">
            <v>Independent school Material Change inspection</v>
          </cell>
          <cell r="W18">
            <v>42761</v>
          </cell>
          <cell r="X18">
            <v>42761</v>
          </cell>
          <cell r="Y18" t="str">
            <v>NULL</v>
          </cell>
          <cell r="Z18" t="str">
            <v>Likely to meet relevant standards</v>
          </cell>
          <cell r="AA18">
            <v>10006078</v>
          </cell>
          <cell r="AB18" t="str">
            <v>Independent School standard inspection</v>
          </cell>
          <cell r="AC18" t="str">
            <v>Independent Standard Inspection</v>
          </cell>
          <cell r="AD18">
            <v>42423</v>
          </cell>
          <cell r="AE18">
            <v>42425</v>
          </cell>
          <cell r="AF18">
            <v>42486</v>
          </cell>
          <cell r="AG18">
            <v>4</v>
          </cell>
          <cell r="AH18">
            <v>4</v>
          </cell>
          <cell r="AI18">
            <v>4</v>
          </cell>
          <cell r="AJ18">
            <v>4</v>
          </cell>
          <cell r="AK18">
            <v>3</v>
          </cell>
          <cell r="AL18" t="str">
            <v>NULL</v>
          </cell>
          <cell r="AM18">
            <v>4</v>
          </cell>
          <cell r="AN18" t="str">
            <v>Yes</v>
          </cell>
          <cell r="AO18" t="str">
            <v>ITS397744</v>
          </cell>
          <cell r="AP18" t="str">
            <v>Independent School standard inspection</v>
          </cell>
          <cell r="AQ18" t="str">
            <v>Independent Standard Inspection</v>
          </cell>
          <cell r="AR18">
            <v>41234</v>
          </cell>
          <cell r="AS18">
            <v>41235</v>
          </cell>
          <cell r="AT18">
            <v>41256</v>
          </cell>
          <cell r="AU18">
            <v>1</v>
          </cell>
          <cell r="AV18">
            <v>1</v>
          </cell>
          <cell r="AW18">
            <v>1</v>
          </cell>
          <cell r="AX18" t="str">
            <v>NULL</v>
          </cell>
          <cell r="AY18" t="str">
            <v>NULL</v>
          </cell>
          <cell r="AZ18">
            <v>8</v>
          </cell>
          <cell r="BA18" t="str">
            <v>NULL</v>
          </cell>
          <cell r="BB18" t="str">
            <v>NULL</v>
          </cell>
        </row>
        <row r="19">
          <cell r="D19">
            <v>106817</v>
          </cell>
          <cell r="E19">
            <v>3716011</v>
          </cell>
          <cell r="F19" t="str">
            <v>Fullerton House School</v>
          </cell>
          <cell r="G19" t="str">
            <v>Other Independent Special School</v>
          </cell>
          <cell r="H19">
            <v>33480</v>
          </cell>
          <cell r="I19">
            <v>25</v>
          </cell>
          <cell r="J19" t="str">
            <v>North East, Yorkshire and the Humber</v>
          </cell>
          <cell r="K19" t="str">
            <v>Yorkshire and the Humber</v>
          </cell>
          <cell r="L19" t="str">
            <v>Doncaster</v>
          </cell>
          <cell r="M19" t="str">
            <v>Don Valley</v>
          </cell>
          <cell r="N19" t="str">
            <v>DN12 4AR</v>
          </cell>
          <cell r="O19" t="str">
            <v>Has a sixth form</v>
          </cell>
          <cell r="P19">
            <v>8</v>
          </cell>
          <cell r="Q19">
            <v>19</v>
          </cell>
          <cell r="R19" t="str">
            <v>None</v>
          </cell>
          <cell r="S19" t="str">
            <v>Ofsted</v>
          </cell>
          <cell r="T19" t="str">
            <v>NULL</v>
          </cell>
          <cell r="U19" t="str">
            <v>NULL</v>
          </cell>
          <cell r="V19" t="str">
            <v>NULL</v>
          </cell>
          <cell r="W19" t="str">
            <v>NULL</v>
          </cell>
          <cell r="X19" t="str">
            <v>NULL</v>
          </cell>
          <cell r="Y19" t="str">
            <v>NULL</v>
          </cell>
          <cell r="Z19" t="str">
            <v>NULL</v>
          </cell>
          <cell r="AA19">
            <v>10006869</v>
          </cell>
          <cell r="AB19" t="str">
            <v>Independent School standard inspection</v>
          </cell>
          <cell r="AC19" t="str">
            <v>Independent Standard Inspection</v>
          </cell>
          <cell r="AD19">
            <v>42325</v>
          </cell>
          <cell r="AE19">
            <v>42327</v>
          </cell>
          <cell r="AF19">
            <v>42381</v>
          </cell>
          <cell r="AG19">
            <v>2</v>
          </cell>
          <cell r="AH19">
            <v>2</v>
          </cell>
          <cell r="AI19">
            <v>2</v>
          </cell>
          <cell r="AJ19">
            <v>2</v>
          </cell>
          <cell r="AK19">
            <v>2</v>
          </cell>
          <cell r="AL19" t="str">
            <v>NULL</v>
          </cell>
          <cell r="AM19" t="str">
            <v>NULL</v>
          </cell>
          <cell r="AN19" t="str">
            <v>Yes</v>
          </cell>
          <cell r="AO19" t="str">
            <v>ITS393283</v>
          </cell>
          <cell r="AP19" t="str">
            <v>Independent School standard inspection</v>
          </cell>
          <cell r="AQ19" t="str">
            <v>Independent Standard Inspection</v>
          </cell>
          <cell r="AR19">
            <v>41087</v>
          </cell>
          <cell r="AS19">
            <v>41088</v>
          </cell>
          <cell r="AT19">
            <v>41109</v>
          </cell>
          <cell r="AU19">
            <v>1</v>
          </cell>
          <cell r="AV19">
            <v>1</v>
          </cell>
          <cell r="AW19">
            <v>1</v>
          </cell>
          <cell r="AX19" t="str">
            <v>NULL</v>
          </cell>
          <cell r="AY19" t="str">
            <v>NULL</v>
          </cell>
          <cell r="AZ19">
            <v>8</v>
          </cell>
          <cell r="BA19" t="str">
            <v>NULL</v>
          </cell>
          <cell r="BB19" t="str">
            <v>NULL</v>
          </cell>
        </row>
        <row r="20">
          <cell r="D20">
            <v>135859</v>
          </cell>
          <cell r="E20">
            <v>9266160</v>
          </cell>
          <cell r="F20" t="str">
            <v>Future Education</v>
          </cell>
          <cell r="G20" t="str">
            <v>Other Independent Special School</v>
          </cell>
          <cell r="H20">
            <v>39967</v>
          </cell>
          <cell r="I20">
            <v>20</v>
          </cell>
          <cell r="J20" t="str">
            <v>East of England</v>
          </cell>
          <cell r="K20" t="str">
            <v>East of England</v>
          </cell>
          <cell r="L20" t="str">
            <v>Norfolk</v>
          </cell>
          <cell r="M20" t="str">
            <v>Norwich South</v>
          </cell>
          <cell r="N20" t="str">
            <v>NR5 8EG</v>
          </cell>
          <cell r="O20" t="str">
            <v>Not applicable</v>
          </cell>
          <cell r="P20">
            <v>13</v>
          </cell>
          <cell r="Q20">
            <v>16</v>
          </cell>
          <cell r="R20" t="str">
            <v>None</v>
          </cell>
          <cell r="S20" t="str">
            <v>Ofsted</v>
          </cell>
          <cell r="T20">
            <v>1</v>
          </cell>
          <cell r="U20">
            <v>10041247</v>
          </cell>
          <cell r="V20" t="str">
            <v>Independent school evaluation of school action plan</v>
          </cell>
          <cell r="W20">
            <v>43017</v>
          </cell>
          <cell r="X20">
            <v>43017</v>
          </cell>
          <cell r="Y20" t="str">
            <v>NULL</v>
          </cell>
          <cell r="Z20" t="str">
            <v>Action plan is acceptable</v>
          </cell>
          <cell r="AA20">
            <v>10020821</v>
          </cell>
          <cell r="AB20" t="str">
            <v>Independent School standard inspection</v>
          </cell>
          <cell r="AC20" t="str">
            <v>Independent Standard Inspection</v>
          </cell>
          <cell r="AD20">
            <v>42892</v>
          </cell>
          <cell r="AE20">
            <v>42894</v>
          </cell>
          <cell r="AF20">
            <v>42929</v>
          </cell>
          <cell r="AG20">
            <v>3</v>
          </cell>
          <cell r="AH20">
            <v>3</v>
          </cell>
          <cell r="AI20">
            <v>3</v>
          </cell>
          <cell r="AJ20">
            <v>3</v>
          </cell>
          <cell r="AK20">
            <v>3</v>
          </cell>
          <cell r="AL20" t="str">
            <v>NULL</v>
          </cell>
          <cell r="AM20" t="str">
            <v>NULL</v>
          </cell>
          <cell r="AN20" t="str">
            <v>Yes</v>
          </cell>
          <cell r="AO20" t="str">
            <v>ITS422801</v>
          </cell>
          <cell r="AP20" t="str">
            <v>Independent School standard inspection</v>
          </cell>
          <cell r="AQ20" t="str">
            <v>Independent Standard Inspection</v>
          </cell>
          <cell r="AR20">
            <v>41597</v>
          </cell>
          <cell r="AS20">
            <v>41599</v>
          </cell>
          <cell r="AT20">
            <v>41618</v>
          </cell>
          <cell r="AU20">
            <v>2</v>
          </cell>
          <cell r="AV20">
            <v>2</v>
          </cell>
          <cell r="AW20">
            <v>2</v>
          </cell>
          <cell r="AX20">
            <v>2</v>
          </cell>
          <cell r="AY20" t="str">
            <v>NULL</v>
          </cell>
          <cell r="AZ20" t="str">
            <v>NULL</v>
          </cell>
          <cell r="BA20" t="str">
            <v>NULL</v>
          </cell>
          <cell r="BB20" t="str">
            <v>NULL</v>
          </cell>
        </row>
        <row r="21">
          <cell r="D21">
            <v>130855</v>
          </cell>
          <cell r="E21">
            <v>9356085</v>
          </cell>
          <cell r="F21" t="str">
            <v>Gable End</v>
          </cell>
          <cell r="G21" t="str">
            <v>Other Independent Special School</v>
          </cell>
          <cell r="H21">
            <v>38617</v>
          </cell>
          <cell r="I21">
            <v>6</v>
          </cell>
          <cell r="J21" t="str">
            <v>East of England</v>
          </cell>
          <cell r="K21" t="str">
            <v>East of England</v>
          </cell>
          <cell r="L21" t="str">
            <v>Suffolk</v>
          </cell>
          <cell r="M21" t="str">
            <v>South Suffolk</v>
          </cell>
          <cell r="N21" t="str">
            <v>IP7 7NL</v>
          </cell>
          <cell r="O21" t="str">
            <v>Not applicable</v>
          </cell>
          <cell r="P21">
            <v>11</v>
          </cell>
          <cell r="Q21">
            <v>16</v>
          </cell>
          <cell r="R21" t="str">
            <v>None</v>
          </cell>
          <cell r="S21" t="str">
            <v>Ofsted</v>
          </cell>
          <cell r="T21">
            <v>3</v>
          </cell>
          <cell r="U21">
            <v>10049087</v>
          </cell>
          <cell r="V21" t="str">
            <v>Independent school evaluation of school action plan</v>
          </cell>
          <cell r="W21">
            <v>43168</v>
          </cell>
          <cell r="X21">
            <v>43168</v>
          </cell>
          <cell r="Y21" t="str">
            <v>NULL</v>
          </cell>
          <cell r="Z21" t="str">
            <v>Action plan is not acceptable</v>
          </cell>
          <cell r="AA21">
            <v>10006121</v>
          </cell>
          <cell r="AB21" t="str">
            <v>Independent School standard inspection</v>
          </cell>
          <cell r="AC21" t="str">
            <v>Independent Standard Inspection</v>
          </cell>
          <cell r="AD21">
            <v>42773</v>
          </cell>
          <cell r="AE21">
            <v>42775</v>
          </cell>
          <cell r="AF21">
            <v>42830</v>
          </cell>
          <cell r="AG21">
            <v>4</v>
          </cell>
          <cell r="AH21">
            <v>2</v>
          </cell>
          <cell r="AI21">
            <v>2</v>
          </cell>
          <cell r="AJ21">
            <v>4</v>
          </cell>
          <cell r="AK21">
            <v>4</v>
          </cell>
          <cell r="AL21" t="str">
            <v>NULL</v>
          </cell>
          <cell r="AM21" t="str">
            <v>NULL</v>
          </cell>
          <cell r="AN21" t="str">
            <v>No</v>
          </cell>
          <cell r="AO21" t="str">
            <v>ITS397573</v>
          </cell>
          <cell r="AP21" t="str">
            <v xml:space="preserve">Independent School standard inspection - integrated </v>
          </cell>
          <cell r="AQ21" t="str">
            <v>Independent Standard Inspection</v>
          </cell>
          <cell r="AR21">
            <v>41051</v>
          </cell>
          <cell r="AS21">
            <v>41052</v>
          </cell>
          <cell r="AT21">
            <v>41079</v>
          </cell>
          <cell r="AU21">
            <v>3</v>
          </cell>
          <cell r="AV21">
            <v>3</v>
          </cell>
          <cell r="AW21">
            <v>2</v>
          </cell>
          <cell r="AX21" t="str">
            <v>NULL</v>
          </cell>
          <cell r="AY21" t="str">
            <v>NULL</v>
          </cell>
          <cell r="AZ21">
            <v>8</v>
          </cell>
          <cell r="BA21" t="str">
            <v>NULL</v>
          </cell>
          <cell r="BB21" t="str">
            <v>NULL</v>
          </cell>
        </row>
        <row r="22">
          <cell r="D22">
            <v>137385</v>
          </cell>
          <cell r="E22">
            <v>9296002</v>
          </cell>
          <cell r="F22" t="str">
            <v>Get U Started Training</v>
          </cell>
          <cell r="G22" t="str">
            <v>Other Independent Special School</v>
          </cell>
          <cell r="H22">
            <v>40787</v>
          </cell>
          <cell r="I22">
            <v>29</v>
          </cell>
          <cell r="J22" t="str">
            <v>North East, Yorkshire and the Humber</v>
          </cell>
          <cell r="K22" t="str">
            <v>North East</v>
          </cell>
          <cell r="L22" t="str">
            <v>Northumberland</v>
          </cell>
          <cell r="M22" t="str">
            <v>Wansbeck</v>
          </cell>
          <cell r="N22" t="str">
            <v>NE63 8SF</v>
          </cell>
          <cell r="O22" t="str">
            <v>Not applicable</v>
          </cell>
          <cell r="P22">
            <v>6</v>
          </cell>
          <cell r="Q22">
            <v>17</v>
          </cell>
          <cell r="R22" t="str">
            <v>None</v>
          </cell>
          <cell r="S22" t="str">
            <v>Ofsted</v>
          </cell>
          <cell r="T22" t="str">
            <v>NULL</v>
          </cell>
          <cell r="U22" t="str">
            <v>NULL</v>
          </cell>
          <cell r="V22" t="str">
            <v>NULL</v>
          </cell>
          <cell r="W22" t="str">
            <v>NULL</v>
          </cell>
          <cell r="X22" t="str">
            <v>NULL</v>
          </cell>
          <cell r="Y22" t="str">
            <v>NULL</v>
          </cell>
          <cell r="Z22" t="str">
            <v>NULL</v>
          </cell>
          <cell r="AA22">
            <v>10008612</v>
          </cell>
          <cell r="AB22" t="str">
            <v>Independent School standard inspection</v>
          </cell>
          <cell r="AC22" t="str">
            <v>Independent Standard Inspection</v>
          </cell>
          <cell r="AD22">
            <v>42388</v>
          </cell>
          <cell r="AE22">
            <v>42390</v>
          </cell>
          <cell r="AF22">
            <v>42415</v>
          </cell>
          <cell r="AG22">
            <v>2</v>
          </cell>
          <cell r="AH22">
            <v>2</v>
          </cell>
          <cell r="AI22">
            <v>2</v>
          </cell>
          <cell r="AJ22">
            <v>2</v>
          </cell>
          <cell r="AK22">
            <v>2</v>
          </cell>
          <cell r="AL22" t="str">
            <v>NULL</v>
          </cell>
          <cell r="AM22" t="str">
            <v>NULL</v>
          </cell>
          <cell r="AN22" t="str">
            <v>Yes</v>
          </cell>
          <cell r="AO22" t="str">
            <v>ITS393353</v>
          </cell>
          <cell r="AP22" t="str">
            <v>Independent school standard inspection - first</v>
          </cell>
          <cell r="AQ22" t="str">
            <v>Independent Standard Inspection</v>
          </cell>
          <cell r="AR22">
            <v>41080</v>
          </cell>
          <cell r="AS22">
            <v>41081</v>
          </cell>
          <cell r="AT22">
            <v>41101</v>
          </cell>
          <cell r="AU22">
            <v>2</v>
          </cell>
          <cell r="AV22">
            <v>2</v>
          </cell>
          <cell r="AW22">
            <v>2</v>
          </cell>
          <cell r="AX22" t="str">
            <v>NULL</v>
          </cell>
          <cell r="AY22" t="str">
            <v>NULL</v>
          </cell>
          <cell r="AZ22">
            <v>8</v>
          </cell>
          <cell r="BA22" t="str">
            <v>NULL</v>
          </cell>
          <cell r="BB22" t="str">
            <v>NULL</v>
          </cell>
        </row>
        <row r="23">
          <cell r="D23">
            <v>136954</v>
          </cell>
          <cell r="E23">
            <v>8306003</v>
          </cell>
          <cell r="F23" t="str">
            <v>High Grange School</v>
          </cell>
          <cell r="G23" t="str">
            <v>Other Independent Special School</v>
          </cell>
          <cell r="H23">
            <v>40751</v>
          </cell>
          <cell r="I23">
            <v>47</v>
          </cell>
          <cell r="J23" t="str">
            <v>East Midlands</v>
          </cell>
          <cell r="K23" t="str">
            <v>East Midlands</v>
          </cell>
          <cell r="L23" t="str">
            <v>Derbyshire</v>
          </cell>
          <cell r="M23" t="str">
            <v>South Derbyshire</v>
          </cell>
          <cell r="N23" t="str">
            <v>DE3 0DR</v>
          </cell>
          <cell r="O23" t="str">
            <v>Not applicable</v>
          </cell>
          <cell r="P23">
            <v>8</v>
          </cell>
          <cell r="Q23">
            <v>19</v>
          </cell>
          <cell r="R23" t="str">
            <v>None</v>
          </cell>
          <cell r="S23" t="str">
            <v>Ofsted</v>
          </cell>
          <cell r="T23" t="str">
            <v>NULL</v>
          </cell>
          <cell r="U23" t="str">
            <v>NULL</v>
          </cell>
          <cell r="V23" t="str">
            <v>NULL</v>
          </cell>
          <cell r="W23" t="str">
            <v>NULL</v>
          </cell>
          <cell r="X23" t="str">
            <v>NULL</v>
          </cell>
          <cell r="Y23" t="str">
            <v>NULL</v>
          </cell>
          <cell r="Z23" t="str">
            <v>NULL</v>
          </cell>
          <cell r="AA23">
            <v>10006549</v>
          </cell>
          <cell r="AB23" t="str">
            <v>Independent School standard inspection</v>
          </cell>
          <cell r="AC23" t="str">
            <v>Independent Standard Inspection</v>
          </cell>
          <cell r="AD23">
            <v>42276</v>
          </cell>
          <cell r="AE23">
            <v>42278</v>
          </cell>
          <cell r="AF23">
            <v>42314</v>
          </cell>
          <cell r="AG23">
            <v>2</v>
          </cell>
          <cell r="AH23">
            <v>2</v>
          </cell>
          <cell r="AI23">
            <v>2</v>
          </cell>
          <cell r="AJ23">
            <v>2</v>
          </cell>
          <cell r="AK23">
            <v>2</v>
          </cell>
          <cell r="AL23" t="str">
            <v>NULL</v>
          </cell>
          <cell r="AM23">
            <v>2</v>
          </cell>
          <cell r="AN23" t="str">
            <v>Yes</v>
          </cell>
          <cell r="AO23" t="str">
            <v>ITS393261</v>
          </cell>
          <cell r="AP23" t="str">
            <v xml:space="preserve">Independent school standard inspection - integrated - first </v>
          </cell>
          <cell r="AQ23" t="str">
            <v>Independent Standard Inspection</v>
          </cell>
          <cell r="AR23">
            <v>41088</v>
          </cell>
          <cell r="AS23">
            <v>41089</v>
          </cell>
          <cell r="AT23">
            <v>41109</v>
          </cell>
          <cell r="AU23">
            <v>2</v>
          </cell>
          <cell r="AV23">
            <v>2</v>
          </cell>
          <cell r="AW23">
            <v>2</v>
          </cell>
          <cell r="AX23" t="str">
            <v>NULL</v>
          </cell>
          <cell r="AY23" t="str">
            <v>NULL</v>
          </cell>
          <cell r="AZ23">
            <v>8</v>
          </cell>
          <cell r="BA23" t="str">
            <v>NULL</v>
          </cell>
          <cell r="BB23" t="str">
            <v>NULL</v>
          </cell>
        </row>
        <row r="24">
          <cell r="D24">
            <v>141502</v>
          </cell>
          <cell r="E24">
            <v>8956001</v>
          </cell>
          <cell r="F24" t="str">
            <v>High Peak School</v>
          </cell>
          <cell r="G24" t="str">
            <v>Other Independent Special School</v>
          </cell>
          <cell r="H24">
            <v>41920</v>
          </cell>
          <cell r="I24">
            <v>33</v>
          </cell>
          <cell r="J24" t="str">
            <v>North West</v>
          </cell>
          <cell r="K24" t="str">
            <v>North West</v>
          </cell>
          <cell r="L24" t="str">
            <v>Cheshire East</v>
          </cell>
          <cell r="M24" t="str">
            <v>Hayes and Harlington</v>
          </cell>
          <cell r="N24" t="str">
            <v>UB7 0AE</v>
          </cell>
          <cell r="O24" t="str">
            <v>Not applicable</v>
          </cell>
          <cell r="P24">
            <v>7</v>
          </cell>
          <cell r="Q24">
            <v>18</v>
          </cell>
          <cell r="R24" t="str">
            <v>None</v>
          </cell>
          <cell r="S24" t="str">
            <v>Ofsted</v>
          </cell>
          <cell r="T24">
            <v>2</v>
          </cell>
          <cell r="U24">
            <v>10030989</v>
          </cell>
          <cell r="V24" t="str">
            <v>Independent school emergency inspection</v>
          </cell>
          <cell r="W24">
            <v>42822</v>
          </cell>
          <cell r="X24">
            <v>42822</v>
          </cell>
          <cell r="Y24">
            <v>42865</v>
          </cell>
          <cell r="Z24" t="str">
            <v>Met all standards that were checked</v>
          </cell>
          <cell r="AA24">
            <v>10006313</v>
          </cell>
          <cell r="AB24" t="str">
            <v>Independent school standard inspection - aligned with CH - first</v>
          </cell>
          <cell r="AC24" t="str">
            <v>Independent Standard Inspection</v>
          </cell>
          <cell r="AD24">
            <v>42451</v>
          </cell>
          <cell r="AE24">
            <v>42453</v>
          </cell>
          <cell r="AF24">
            <v>42499</v>
          </cell>
          <cell r="AG24">
            <v>2</v>
          </cell>
          <cell r="AH24">
            <v>2</v>
          </cell>
          <cell r="AI24">
            <v>2</v>
          </cell>
          <cell r="AJ24">
            <v>2</v>
          </cell>
          <cell r="AK24">
            <v>2</v>
          </cell>
          <cell r="AL24" t="str">
            <v>NULL</v>
          </cell>
          <cell r="AM24" t="str">
            <v>NULL</v>
          </cell>
          <cell r="AN24" t="str">
            <v>Yes</v>
          </cell>
          <cell r="AO24" t="str">
            <v>NULL</v>
          </cell>
          <cell r="AP24" t="str">
            <v>NULL</v>
          </cell>
          <cell r="AQ24" t="str">
            <v>NULL</v>
          </cell>
          <cell r="AR24" t="str">
            <v>NULL</v>
          </cell>
          <cell r="AS24" t="str">
            <v>NULL</v>
          </cell>
          <cell r="AT24" t="str">
            <v>NULL</v>
          </cell>
          <cell r="AU24" t="str">
            <v>NULL</v>
          </cell>
          <cell r="AV24" t="str">
            <v>NULL</v>
          </cell>
          <cell r="AW24" t="str">
            <v>NULL</v>
          </cell>
          <cell r="AX24" t="str">
            <v>NULL</v>
          </cell>
          <cell r="AY24" t="str">
            <v>NULL</v>
          </cell>
          <cell r="AZ24" t="str">
            <v>NULL</v>
          </cell>
          <cell r="BA24" t="str">
            <v>NULL</v>
          </cell>
          <cell r="BB24" t="str">
            <v>NULL</v>
          </cell>
        </row>
        <row r="25">
          <cell r="D25">
            <v>136748</v>
          </cell>
          <cell r="E25">
            <v>8406012</v>
          </cell>
          <cell r="F25" t="str">
            <v>Highcroft School</v>
          </cell>
          <cell r="G25" t="str">
            <v>Other Independent Special School</v>
          </cell>
          <cell r="H25">
            <v>40687</v>
          </cell>
          <cell r="I25">
            <v>11</v>
          </cell>
          <cell r="J25" t="str">
            <v>North East, Yorkshire and the Humber</v>
          </cell>
          <cell r="K25" t="str">
            <v>North East</v>
          </cell>
          <cell r="L25" t="str">
            <v>Durham</v>
          </cell>
          <cell r="M25" t="str">
            <v>Bishop Auckland</v>
          </cell>
          <cell r="N25" t="str">
            <v>DL13 5AG</v>
          </cell>
          <cell r="O25" t="str">
            <v>Not applicable</v>
          </cell>
          <cell r="P25">
            <v>11</v>
          </cell>
          <cell r="Q25">
            <v>18</v>
          </cell>
          <cell r="R25" t="str">
            <v>None</v>
          </cell>
          <cell r="S25" t="str">
            <v>Ofsted</v>
          </cell>
          <cell r="T25" t="str">
            <v>NULL</v>
          </cell>
          <cell r="U25" t="str">
            <v>NULL</v>
          </cell>
          <cell r="V25" t="str">
            <v>NULL</v>
          </cell>
          <cell r="W25" t="str">
            <v>NULL</v>
          </cell>
          <cell r="X25" t="str">
            <v>NULL</v>
          </cell>
          <cell r="Y25" t="str">
            <v>NULL</v>
          </cell>
          <cell r="Z25" t="str">
            <v>NULL</v>
          </cell>
          <cell r="AA25">
            <v>10006328</v>
          </cell>
          <cell r="AB25" t="str">
            <v>Independent School standard inspection</v>
          </cell>
          <cell r="AC25" t="str">
            <v>Independent Standard Inspection</v>
          </cell>
          <cell r="AD25">
            <v>42346</v>
          </cell>
          <cell r="AE25">
            <v>42348</v>
          </cell>
          <cell r="AF25">
            <v>42387</v>
          </cell>
          <cell r="AG25">
            <v>2</v>
          </cell>
          <cell r="AH25">
            <v>2</v>
          </cell>
          <cell r="AI25">
            <v>2</v>
          </cell>
          <cell r="AJ25">
            <v>2</v>
          </cell>
          <cell r="AK25">
            <v>1</v>
          </cell>
          <cell r="AL25" t="str">
            <v>NULL</v>
          </cell>
          <cell r="AM25">
            <v>2</v>
          </cell>
          <cell r="AN25" t="str">
            <v>Yes</v>
          </cell>
          <cell r="AO25" t="str">
            <v>ITS393245</v>
          </cell>
          <cell r="AP25" t="str">
            <v xml:space="preserve">Independent school standard inspection - integrated - first </v>
          </cell>
          <cell r="AQ25" t="str">
            <v>Independent Standard Inspection</v>
          </cell>
          <cell r="AR25">
            <v>41031</v>
          </cell>
          <cell r="AS25">
            <v>41032</v>
          </cell>
          <cell r="AT25">
            <v>41058</v>
          </cell>
          <cell r="AU25">
            <v>2</v>
          </cell>
          <cell r="AV25">
            <v>2</v>
          </cell>
          <cell r="AW25">
            <v>2</v>
          </cell>
          <cell r="AX25" t="str">
            <v>NULL</v>
          </cell>
          <cell r="AY25" t="str">
            <v>NULL</v>
          </cell>
          <cell r="AZ25">
            <v>8</v>
          </cell>
          <cell r="BA25" t="str">
            <v>NULL</v>
          </cell>
          <cell r="BB25" t="str">
            <v>NULL</v>
          </cell>
        </row>
        <row r="26">
          <cell r="D26">
            <v>116565</v>
          </cell>
          <cell r="E26">
            <v>8506031</v>
          </cell>
          <cell r="F26" t="str">
            <v>Hill House School</v>
          </cell>
          <cell r="G26" t="str">
            <v>Other Independent Special School</v>
          </cell>
          <cell r="H26">
            <v>26816</v>
          </cell>
          <cell r="I26">
            <v>26</v>
          </cell>
          <cell r="J26" t="str">
            <v>South East</v>
          </cell>
          <cell r="K26" t="str">
            <v>South East</v>
          </cell>
          <cell r="L26" t="str">
            <v>Hampshire</v>
          </cell>
          <cell r="M26" t="str">
            <v>New Forest East</v>
          </cell>
          <cell r="N26" t="str">
            <v>SO41 8NE</v>
          </cell>
          <cell r="O26" t="str">
            <v>Has a sixth form</v>
          </cell>
          <cell r="P26">
            <v>11</v>
          </cell>
          <cell r="Q26">
            <v>19</v>
          </cell>
          <cell r="R26" t="str">
            <v>None</v>
          </cell>
          <cell r="S26" t="str">
            <v>Ofsted</v>
          </cell>
          <cell r="T26" t="str">
            <v>NULL</v>
          </cell>
          <cell r="U26" t="str">
            <v>NULL</v>
          </cell>
          <cell r="V26" t="str">
            <v>NULL</v>
          </cell>
          <cell r="W26" t="str">
            <v>NULL</v>
          </cell>
          <cell r="X26" t="str">
            <v>NULL</v>
          </cell>
          <cell r="Y26" t="str">
            <v>NULL</v>
          </cell>
          <cell r="Z26" t="str">
            <v>NULL</v>
          </cell>
          <cell r="AA26">
            <v>10008897</v>
          </cell>
          <cell r="AB26" t="str">
            <v>Independent School standard inspection</v>
          </cell>
          <cell r="AC26" t="str">
            <v>Independent Standard Inspection</v>
          </cell>
          <cell r="AD26">
            <v>42906</v>
          </cell>
          <cell r="AE26">
            <v>42908</v>
          </cell>
          <cell r="AF26">
            <v>42947</v>
          </cell>
          <cell r="AG26">
            <v>1</v>
          </cell>
          <cell r="AH26">
            <v>1</v>
          </cell>
          <cell r="AI26">
            <v>1</v>
          </cell>
          <cell r="AJ26">
            <v>1</v>
          </cell>
          <cell r="AK26">
            <v>1</v>
          </cell>
          <cell r="AL26" t="str">
            <v>NULL</v>
          </cell>
          <cell r="AM26">
            <v>1</v>
          </cell>
          <cell r="AN26" t="str">
            <v>Yes</v>
          </cell>
          <cell r="AO26" t="str">
            <v>ITS393342</v>
          </cell>
          <cell r="AP26" t="str">
            <v xml:space="preserve">Independent School standard inspection - integrated </v>
          </cell>
          <cell r="AQ26" t="str">
            <v>Independent Standard Inspection</v>
          </cell>
          <cell r="AR26">
            <v>41094</v>
          </cell>
          <cell r="AS26">
            <v>41095</v>
          </cell>
          <cell r="AT26">
            <v>41159</v>
          </cell>
          <cell r="AU26">
            <v>2</v>
          </cell>
          <cell r="AV26">
            <v>2</v>
          </cell>
          <cell r="AW26">
            <v>2</v>
          </cell>
          <cell r="AX26" t="str">
            <v>NULL</v>
          </cell>
          <cell r="AY26" t="str">
            <v>NULL</v>
          </cell>
          <cell r="AZ26">
            <v>8</v>
          </cell>
          <cell r="BA26" t="str">
            <v>NULL</v>
          </cell>
          <cell r="BB26" t="str">
            <v>NULL</v>
          </cell>
        </row>
        <row r="27">
          <cell r="D27">
            <v>140566</v>
          </cell>
          <cell r="E27">
            <v>3806009</v>
          </cell>
          <cell r="F27" t="str">
            <v>J.A.M.E.S</v>
          </cell>
          <cell r="G27" t="str">
            <v>Other Independent Special School</v>
          </cell>
          <cell r="H27">
            <v>41652</v>
          </cell>
          <cell r="I27">
            <v>33</v>
          </cell>
          <cell r="J27" t="str">
            <v>North East, Yorkshire and the Humber</v>
          </cell>
          <cell r="K27" t="str">
            <v>Yorkshire and the Humber</v>
          </cell>
          <cell r="L27" t="str">
            <v>Bradford</v>
          </cell>
          <cell r="M27" t="str">
            <v>Bradford West</v>
          </cell>
          <cell r="N27" t="str">
            <v>BD9 4JB</v>
          </cell>
          <cell r="O27" t="str">
            <v>Not applicable</v>
          </cell>
          <cell r="P27">
            <v>11</v>
          </cell>
          <cell r="Q27">
            <v>18</v>
          </cell>
          <cell r="R27" t="str">
            <v>None</v>
          </cell>
          <cell r="S27" t="str">
            <v>Ofsted</v>
          </cell>
          <cell r="T27" t="str">
            <v>NULL</v>
          </cell>
          <cell r="U27" t="str">
            <v>NULL</v>
          </cell>
          <cell r="V27" t="str">
            <v>NULL</v>
          </cell>
          <cell r="W27" t="str">
            <v>NULL</v>
          </cell>
          <cell r="X27" t="str">
            <v>NULL</v>
          </cell>
          <cell r="Y27" t="str">
            <v>NULL</v>
          </cell>
          <cell r="Z27" t="str">
            <v>NULL</v>
          </cell>
          <cell r="AA27">
            <v>10043658</v>
          </cell>
          <cell r="AB27" t="str">
            <v>Independent School standard inspection</v>
          </cell>
          <cell r="AC27" t="str">
            <v>Independent Standard Inspection</v>
          </cell>
          <cell r="AD27">
            <v>43130</v>
          </cell>
          <cell r="AE27">
            <v>43132</v>
          </cell>
          <cell r="AF27">
            <v>43161</v>
          </cell>
          <cell r="AG27">
            <v>3</v>
          </cell>
          <cell r="AH27">
            <v>3</v>
          </cell>
          <cell r="AI27">
            <v>3</v>
          </cell>
          <cell r="AJ27">
            <v>3</v>
          </cell>
          <cell r="AK27">
            <v>2</v>
          </cell>
          <cell r="AL27" t="str">
            <v>NULL</v>
          </cell>
          <cell r="AM27" t="str">
            <v>NULL</v>
          </cell>
          <cell r="AN27" t="str">
            <v>Yes</v>
          </cell>
          <cell r="AO27" t="str">
            <v>ITS447291</v>
          </cell>
          <cell r="AP27" t="str">
            <v>Independent school standard inspection - first</v>
          </cell>
          <cell r="AQ27" t="str">
            <v>Independent Standard Inspection</v>
          </cell>
          <cell r="AR27">
            <v>42017</v>
          </cell>
          <cell r="AS27">
            <v>42019</v>
          </cell>
          <cell r="AT27">
            <v>42054</v>
          </cell>
          <cell r="AU27">
            <v>2</v>
          </cell>
          <cell r="AV27">
            <v>2</v>
          </cell>
          <cell r="AW27">
            <v>2</v>
          </cell>
          <cell r="AX27">
            <v>2</v>
          </cell>
          <cell r="AY27" t="str">
            <v>NULL</v>
          </cell>
          <cell r="AZ27">
            <v>9</v>
          </cell>
          <cell r="BA27">
            <v>9</v>
          </cell>
          <cell r="BB27" t="str">
            <v>NULL</v>
          </cell>
        </row>
        <row r="28">
          <cell r="D28">
            <v>135683</v>
          </cell>
          <cell r="E28">
            <v>3096002</v>
          </cell>
          <cell r="F28" t="str">
            <v>Kestrel House School</v>
          </cell>
          <cell r="G28" t="str">
            <v>Other Independent Special School</v>
          </cell>
          <cell r="H28">
            <v>39695</v>
          </cell>
          <cell r="I28">
            <v>27</v>
          </cell>
          <cell r="J28" t="str">
            <v>London</v>
          </cell>
          <cell r="K28" t="str">
            <v>London</v>
          </cell>
          <cell r="L28" t="str">
            <v>Haringey</v>
          </cell>
          <cell r="M28" t="str">
            <v>Hornsey and Wood Green</v>
          </cell>
          <cell r="N28" t="str">
            <v>N8 9EA</v>
          </cell>
          <cell r="O28" t="str">
            <v>Not applicable</v>
          </cell>
          <cell r="P28">
            <v>5</v>
          </cell>
          <cell r="Q28">
            <v>16</v>
          </cell>
          <cell r="R28" t="str">
            <v>None</v>
          </cell>
          <cell r="S28" t="str">
            <v>Ofsted</v>
          </cell>
          <cell r="T28">
            <v>3</v>
          </cell>
          <cell r="U28">
            <v>10030987</v>
          </cell>
          <cell r="V28" t="str">
            <v>Independent school Progress Monitoring inspection</v>
          </cell>
          <cell r="W28">
            <v>42808</v>
          </cell>
          <cell r="X28">
            <v>42808</v>
          </cell>
          <cell r="Y28">
            <v>42865</v>
          </cell>
          <cell r="Z28" t="str">
            <v>Met all standards that were checked</v>
          </cell>
          <cell r="AA28">
            <v>10008529</v>
          </cell>
          <cell r="AB28" t="str">
            <v>Independent School standard inspection</v>
          </cell>
          <cell r="AC28" t="str">
            <v>Independent Standard Inspection</v>
          </cell>
          <cell r="AD28">
            <v>42402</v>
          </cell>
          <cell r="AE28">
            <v>42404</v>
          </cell>
          <cell r="AF28">
            <v>42472</v>
          </cell>
          <cell r="AG28">
            <v>2</v>
          </cell>
          <cell r="AH28">
            <v>2</v>
          </cell>
          <cell r="AI28">
            <v>2</v>
          </cell>
          <cell r="AJ28">
            <v>2</v>
          </cell>
          <cell r="AK28">
            <v>2</v>
          </cell>
          <cell r="AL28">
            <v>2</v>
          </cell>
          <cell r="AM28" t="str">
            <v>NULL</v>
          </cell>
          <cell r="AN28" t="str">
            <v>Yes</v>
          </cell>
          <cell r="AO28" t="str">
            <v>ITS408736</v>
          </cell>
          <cell r="AP28" t="str">
            <v>Independent School standard inspection</v>
          </cell>
          <cell r="AQ28" t="str">
            <v>Independent Standard Inspection</v>
          </cell>
          <cell r="AR28">
            <v>41346</v>
          </cell>
          <cell r="AS28">
            <v>41347</v>
          </cell>
          <cell r="AT28">
            <v>41383</v>
          </cell>
          <cell r="AU28">
            <v>2</v>
          </cell>
          <cell r="AV28">
            <v>2</v>
          </cell>
          <cell r="AW28">
            <v>2</v>
          </cell>
          <cell r="AX28">
            <v>1</v>
          </cell>
          <cell r="AY28" t="str">
            <v>NULL</v>
          </cell>
          <cell r="AZ28" t="str">
            <v>NULL</v>
          </cell>
          <cell r="BA28" t="str">
            <v>NULL</v>
          </cell>
          <cell r="BB28" t="str">
            <v>NULL</v>
          </cell>
        </row>
        <row r="29">
          <cell r="D29">
            <v>135543</v>
          </cell>
          <cell r="E29">
            <v>8886041</v>
          </cell>
          <cell r="F29" t="str">
            <v>Aurora Keyes Barn School</v>
          </cell>
          <cell r="G29" t="str">
            <v>Other Independent Special School</v>
          </cell>
          <cell r="H29">
            <v>39549</v>
          </cell>
          <cell r="I29">
            <v>16</v>
          </cell>
          <cell r="J29" t="str">
            <v>North West</v>
          </cell>
          <cell r="K29" t="str">
            <v>North West</v>
          </cell>
          <cell r="L29" t="str">
            <v>Lancashire</v>
          </cell>
          <cell r="M29" t="str">
            <v>Fylde</v>
          </cell>
          <cell r="N29" t="str">
            <v>PR4 0YH</v>
          </cell>
          <cell r="O29" t="str">
            <v>Not applicable</v>
          </cell>
          <cell r="P29">
            <v>5</v>
          </cell>
          <cell r="Q29">
            <v>12</v>
          </cell>
          <cell r="R29" t="str">
            <v>None</v>
          </cell>
          <cell r="S29" t="str">
            <v>Ofsted</v>
          </cell>
          <cell r="T29">
            <v>1</v>
          </cell>
          <cell r="U29">
            <v>10035746</v>
          </cell>
          <cell r="V29" t="str">
            <v>Independent school Material Change inspection</v>
          </cell>
          <cell r="W29">
            <v>42912</v>
          </cell>
          <cell r="X29">
            <v>42912</v>
          </cell>
          <cell r="Y29" t="str">
            <v>NULL</v>
          </cell>
          <cell r="Z29" t="str">
            <v>Change implemented and meets relevant standards</v>
          </cell>
          <cell r="AA29">
            <v>10006075</v>
          </cell>
          <cell r="AB29" t="str">
            <v>Independent School standard inspection</v>
          </cell>
          <cell r="AC29" t="str">
            <v>Independent Standard Inspection</v>
          </cell>
          <cell r="AD29">
            <v>42409</v>
          </cell>
          <cell r="AE29">
            <v>42411</v>
          </cell>
          <cell r="AF29">
            <v>42436</v>
          </cell>
          <cell r="AG29">
            <v>2</v>
          </cell>
          <cell r="AH29">
            <v>2</v>
          </cell>
          <cell r="AI29">
            <v>2</v>
          </cell>
          <cell r="AJ29">
            <v>2</v>
          </cell>
          <cell r="AK29">
            <v>1</v>
          </cell>
          <cell r="AL29" t="str">
            <v>NULL</v>
          </cell>
          <cell r="AM29" t="str">
            <v>NULL</v>
          </cell>
          <cell r="AN29" t="str">
            <v>Yes</v>
          </cell>
          <cell r="AO29" t="str">
            <v>ITS397628</v>
          </cell>
          <cell r="AP29" t="str">
            <v>Independent School standard inspection</v>
          </cell>
          <cell r="AQ29" t="str">
            <v>Independent Standard Inspection</v>
          </cell>
          <cell r="AR29">
            <v>41227</v>
          </cell>
          <cell r="AS29">
            <v>41228</v>
          </cell>
          <cell r="AT29">
            <v>41249</v>
          </cell>
          <cell r="AU29">
            <v>1</v>
          </cell>
          <cell r="AV29">
            <v>1</v>
          </cell>
          <cell r="AW29">
            <v>1</v>
          </cell>
          <cell r="AX29" t="str">
            <v>NULL</v>
          </cell>
          <cell r="AY29" t="str">
            <v>NULL</v>
          </cell>
          <cell r="AZ29">
            <v>8</v>
          </cell>
          <cell r="BA29" t="str">
            <v>NULL</v>
          </cell>
          <cell r="BB29" t="str">
            <v>NULL</v>
          </cell>
        </row>
        <row r="30">
          <cell r="D30">
            <v>140272</v>
          </cell>
          <cell r="E30">
            <v>8086004</v>
          </cell>
          <cell r="F30" t="str">
            <v>King Edwin School</v>
          </cell>
          <cell r="G30" t="str">
            <v>Other Independent Special School</v>
          </cell>
          <cell r="H30">
            <v>41575</v>
          </cell>
          <cell r="I30">
            <v>36</v>
          </cell>
          <cell r="J30" t="str">
            <v>North East, Yorkshire and the Humber</v>
          </cell>
          <cell r="K30" t="str">
            <v>North East</v>
          </cell>
          <cell r="L30" t="str">
            <v>Stockton-on-Tees</v>
          </cell>
          <cell r="M30" t="str">
            <v>Stockton North</v>
          </cell>
          <cell r="N30" t="str">
            <v>TS20 1LG</v>
          </cell>
          <cell r="O30" t="str">
            <v>Not applicable</v>
          </cell>
          <cell r="P30">
            <v>6</v>
          </cell>
          <cell r="Q30">
            <v>16</v>
          </cell>
          <cell r="R30" t="str">
            <v>None</v>
          </cell>
          <cell r="S30" t="str">
            <v>Ofsted</v>
          </cell>
          <cell r="T30">
            <v>1</v>
          </cell>
          <cell r="U30">
            <v>10048773</v>
          </cell>
          <cell r="V30" t="str">
            <v>Independent school evaluation of school action plan</v>
          </cell>
          <cell r="W30">
            <v>43164</v>
          </cell>
          <cell r="X30">
            <v>43164</v>
          </cell>
          <cell r="Y30" t="str">
            <v>NULL</v>
          </cell>
          <cell r="Z30" t="str">
            <v>Action plan is acceptable with modifications</v>
          </cell>
          <cell r="AA30">
            <v>10040144</v>
          </cell>
          <cell r="AB30" t="str">
            <v>Independent School standard inspection</v>
          </cell>
          <cell r="AC30" t="str">
            <v>Independent Standard Inspection</v>
          </cell>
          <cell r="AD30">
            <v>42997</v>
          </cell>
          <cell r="AE30">
            <v>42999</v>
          </cell>
          <cell r="AF30">
            <v>43025</v>
          </cell>
          <cell r="AG30">
            <v>3</v>
          </cell>
          <cell r="AH30">
            <v>3</v>
          </cell>
          <cell r="AI30">
            <v>3</v>
          </cell>
          <cell r="AJ30">
            <v>3</v>
          </cell>
          <cell r="AK30">
            <v>2</v>
          </cell>
          <cell r="AL30" t="str">
            <v>NULL</v>
          </cell>
          <cell r="AM30" t="str">
            <v>NULL</v>
          </cell>
          <cell r="AN30" t="str">
            <v>Yes</v>
          </cell>
          <cell r="AO30" t="str">
            <v>ITS447248</v>
          </cell>
          <cell r="AP30" t="str">
            <v>Independent school standard inspection - first</v>
          </cell>
          <cell r="AQ30" t="str">
            <v>Independent Standard Inspection</v>
          </cell>
          <cell r="AR30">
            <v>41926</v>
          </cell>
          <cell r="AS30">
            <v>41928</v>
          </cell>
          <cell r="AT30">
            <v>41953</v>
          </cell>
          <cell r="AU30">
            <v>2</v>
          </cell>
          <cell r="AV30">
            <v>2</v>
          </cell>
          <cell r="AW30">
            <v>2</v>
          </cell>
          <cell r="AX30">
            <v>2</v>
          </cell>
          <cell r="AY30" t="str">
            <v>NULL</v>
          </cell>
          <cell r="AZ30">
            <v>9</v>
          </cell>
          <cell r="BA30">
            <v>9</v>
          </cell>
          <cell r="BB30" t="str">
            <v>NULL</v>
          </cell>
        </row>
        <row r="31">
          <cell r="D31">
            <v>123933</v>
          </cell>
          <cell r="E31">
            <v>9336185</v>
          </cell>
          <cell r="F31" t="str">
            <v>Mark College</v>
          </cell>
          <cell r="G31" t="str">
            <v>Other Independent Special School</v>
          </cell>
          <cell r="H31">
            <v>31653</v>
          </cell>
          <cell r="I31">
            <v>77</v>
          </cell>
          <cell r="J31" t="str">
            <v>South West</v>
          </cell>
          <cell r="K31" t="str">
            <v>South West</v>
          </cell>
          <cell r="L31" t="str">
            <v>Somerset</v>
          </cell>
          <cell r="M31" t="str">
            <v>Wells</v>
          </cell>
          <cell r="N31" t="str">
            <v>TA9 4NP</v>
          </cell>
          <cell r="O31" t="str">
            <v>Not applicable</v>
          </cell>
          <cell r="P31">
            <v>10</v>
          </cell>
          <cell r="Q31">
            <v>19</v>
          </cell>
          <cell r="R31" t="str">
            <v>None</v>
          </cell>
          <cell r="S31" t="str">
            <v>Ofsted</v>
          </cell>
          <cell r="T31">
            <v>2</v>
          </cell>
          <cell r="U31">
            <v>10040156</v>
          </cell>
          <cell r="V31" t="str">
            <v xml:space="preserve">Independent school progress monitoring inspection - Integrated </v>
          </cell>
          <cell r="W31">
            <v>43040</v>
          </cell>
          <cell r="X31">
            <v>43040</v>
          </cell>
          <cell r="Y31">
            <v>43076</v>
          </cell>
          <cell r="Z31" t="str">
            <v>Did not meet all standards that were checked</v>
          </cell>
          <cell r="AA31">
            <v>10025565</v>
          </cell>
          <cell r="AB31" t="str">
            <v xml:space="preserve">Independent School standard inspection - integrated </v>
          </cell>
          <cell r="AC31" t="str">
            <v>Independent Standard Inspection</v>
          </cell>
          <cell r="AD31">
            <v>42752</v>
          </cell>
          <cell r="AE31">
            <v>42754</v>
          </cell>
          <cell r="AF31">
            <v>42849</v>
          </cell>
          <cell r="AG31">
            <v>4</v>
          </cell>
          <cell r="AH31">
            <v>3</v>
          </cell>
          <cell r="AI31">
            <v>3</v>
          </cell>
          <cell r="AJ31">
            <v>4</v>
          </cell>
          <cell r="AK31">
            <v>4</v>
          </cell>
          <cell r="AL31" t="str">
            <v>NULL</v>
          </cell>
          <cell r="AM31">
            <v>4</v>
          </cell>
          <cell r="AN31" t="str">
            <v>No</v>
          </cell>
          <cell r="AO31" t="str">
            <v>ITS446389</v>
          </cell>
          <cell r="AP31" t="str">
            <v xml:space="preserve">Independent School standard inspection - integrated </v>
          </cell>
          <cell r="AQ31" t="str">
            <v>Independent Standard Inspection</v>
          </cell>
          <cell r="AR31">
            <v>41905</v>
          </cell>
          <cell r="AS31">
            <v>41907</v>
          </cell>
          <cell r="AT31">
            <v>41953</v>
          </cell>
          <cell r="AU31">
            <v>2</v>
          </cell>
          <cell r="AV31">
            <v>2</v>
          </cell>
          <cell r="AW31">
            <v>2</v>
          </cell>
          <cell r="AX31">
            <v>2</v>
          </cell>
          <cell r="AY31" t="str">
            <v>NULL</v>
          </cell>
          <cell r="AZ31" t="str">
            <v>NULL</v>
          </cell>
          <cell r="BA31" t="str">
            <v>NULL</v>
          </cell>
          <cell r="BB31" t="str">
            <v>NULL</v>
          </cell>
        </row>
        <row r="32">
          <cell r="D32">
            <v>136949</v>
          </cell>
          <cell r="E32">
            <v>8556019</v>
          </cell>
          <cell r="F32" t="str">
            <v>Meadow View Farm School</v>
          </cell>
          <cell r="G32" t="str">
            <v>Other Independent Special School</v>
          </cell>
          <cell r="H32">
            <v>40745</v>
          </cell>
          <cell r="I32">
            <v>32</v>
          </cell>
          <cell r="J32" t="str">
            <v>East Midlands</v>
          </cell>
          <cell r="K32" t="str">
            <v>East Midlands</v>
          </cell>
          <cell r="L32" t="str">
            <v>Leicestershire</v>
          </cell>
          <cell r="M32" t="str">
            <v>Bosworth</v>
          </cell>
          <cell r="N32" t="str">
            <v>LE9 8FT</v>
          </cell>
          <cell r="O32" t="str">
            <v>Not applicable</v>
          </cell>
          <cell r="P32">
            <v>5</v>
          </cell>
          <cell r="Q32">
            <v>11</v>
          </cell>
          <cell r="R32" t="str">
            <v>None</v>
          </cell>
          <cell r="S32" t="str">
            <v>Ofsted</v>
          </cell>
          <cell r="T32">
            <v>1</v>
          </cell>
          <cell r="U32">
            <v>10019025</v>
          </cell>
          <cell r="V32" t="str">
            <v>Independent school Material Change inspection</v>
          </cell>
          <cell r="W32">
            <v>42627</v>
          </cell>
          <cell r="X32">
            <v>42627</v>
          </cell>
          <cell r="Y32" t="str">
            <v>NULL</v>
          </cell>
          <cell r="Z32" t="str">
            <v>Change implemented and meets relevant standards</v>
          </cell>
          <cell r="AA32">
            <v>10006317</v>
          </cell>
          <cell r="AB32" t="str">
            <v>Independent School standard inspection</v>
          </cell>
          <cell r="AC32" t="str">
            <v>Independent Standard Inspection</v>
          </cell>
          <cell r="AD32">
            <v>42353</v>
          </cell>
          <cell r="AE32">
            <v>42355</v>
          </cell>
          <cell r="AF32">
            <v>42390</v>
          </cell>
          <cell r="AG32">
            <v>1</v>
          </cell>
          <cell r="AH32">
            <v>1</v>
          </cell>
          <cell r="AI32">
            <v>1</v>
          </cell>
          <cell r="AJ32">
            <v>1</v>
          </cell>
          <cell r="AK32">
            <v>2</v>
          </cell>
          <cell r="AL32" t="str">
            <v>NULL</v>
          </cell>
          <cell r="AM32" t="str">
            <v>NULL</v>
          </cell>
          <cell r="AN32" t="str">
            <v>Yes</v>
          </cell>
          <cell r="AO32" t="str">
            <v>ITS393258</v>
          </cell>
          <cell r="AP32" t="str">
            <v>Independent school standard inspection - first</v>
          </cell>
          <cell r="AQ32" t="str">
            <v>Independent Standard Inspection</v>
          </cell>
          <cell r="AR32">
            <v>41044</v>
          </cell>
          <cell r="AS32">
            <v>41045</v>
          </cell>
          <cell r="AT32">
            <v>41072</v>
          </cell>
          <cell r="AU32">
            <v>2</v>
          </cell>
          <cell r="AV32">
            <v>2</v>
          </cell>
          <cell r="AW32">
            <v>2</v>
          </cell>
          <cell r="AX32" t="str">
            <v>NULL</v>
          </cell>
          <cell r="AY32" t="str">
            <v>NULL</v>
          </cell>
          <cell r="AZ32">
            <v>8</v>
          </cell>
          <cell r="BA32" t="str">
            <v>NULL</v>
          </cell>
          <cell r="BB32" t="str">
            <v>NULL</v>
          </cell>
        </row>
        <row r="33">
          <cell r="D33">
            <v>138868</v>
          </cell>
          <cell r="E33">
            <v>8886045</v>
          </cell>
          <cell r="F33" t="str">
            <v>Meadow View Learning Centre</v>
          </cell>
          <cell r="G33" t="str">
            <v>Other Independent Special School</v>
          </cell>
          <cell r="H33">
            <v>41184</v>
          </cell>
          <cell r="I33">
            <v>8</v>
          </cell>
          <cell r="J33" t="str">
            <v>North West</v>
          </cell>
          <cell r="K33" t="str">
            <v>North West</v>
          </cell>
          <cell r="L33" t="str">
            <v>Lancashire</v>
          </cell>
          <cell r="M33" t="str">
            <v>Chorley</v>
          </cell>
          <cell r="N33" t="str">
            <v>PR6 8BN</v>
          </cell>
          <cell r="O33" t="str">
            <v>Not applicable</v>
          </cell>
          <cell r="P33">
            <v>8</v>
          </cell>
          <cell r="Q33">
            <v>18</v>
          </cell>
          <cell r="R33" t="str">
            <v>None</v>
          </cell>
          <cell r="S33" t="str">
            <v>Ofsted</v>
          </cell>
          <cell r="T33" t="str">
            <v>NULL</v>
          </cell>
          <cell r="U33" t="str">
            <v>NULL</v>
          </cell>
          <cell r="V33" t="str">
            <v>NULL</v>
          </cell>
          <cell r="W33" t="str">
            <v>NULL</v>
          </cell>
          <cell r="X33" t="str">
            <v>NULL</v>
          </cell>
          <cell r="Y33" t="str">
            <v>NULL</v>
          </cell>
          <cell r="Z33" t="str">
            <v>NULL</v>
          </cell>
          <cell r="AA33">
            <v>10020811</v>
          </cell>
          <cell r="AB33" t="str">
            <v>Independent School standard inspection</v>
          </cell>
          <cell r="AC33" t="str">
            <v>Independent Standard Inspection</v>
          </cell>
          <cell r="AD33">
            <v>42633</v>
          </cell>
          <cell r="AE33">
            <v>42635</v>
          </cell>
          <cell r="AF33">
            <v>42663</v>
          </cell>
          <cell r="AG33">
            <v>2</v>
          </cell>
          <cell r="AH33">
            <v>2</v>
          </cell>
          <cell r="AI33">
            <v>2</v>
          </cell>
          <cell r="AJ33">
            <v>2</v>
          </cell>
          <cell r="AK33">
            <v>2</v>
          </cell>
          <cell r="AL33" t="str">
            <v>NULL</v>
          </cell>
          <cell r="AM33" t="str">
            <v>NULL</v>
          </cell>
          <cell r="AN33" t="str">
            <v>Yes</v>
          </cell>
          <cell r="AO33" t="str">
            <v>ITS422831</v>
          </cell>
          <cell r="AP33" t="str">
            <v>Independent school standard inspection - first</v>
          </cell>
          <cell r="AQ33" t="str">
            <v>Independent Standard Inspection</v>
          </cell>
          <cell r="AR33">
            <v>41541</v>
          </cell>
          <cell r="AS33">
            <v>41543</v>
          </cell>
          <cell r="AT33">
            <v>41564</v>
          </cell>
          <cell r="AU33">
            <v>2</v>
          </cell>
          <cell r="AV33">
            <v>2</v>
          </cell>
          <cell r="AW33">
            <v>2</v>
          </cell>
          <cell r="AX33">
            <v>2</v>
          </cell>
          <cell r="AY33" t="str">
            <v>NULL</v>
          </cell>
          <cell r="AZ33" t="str">
            <v>NULL</v>
          </cell>
          <cell r="BA33" t="str">
            <v>NULL</v>
          </cell>
          <cell r="BB33" t="str">
            <v>NULL</v>
          </cell>
        </row>
        <row r="34">
          <cell r="D34">
            <v>135216</v>
          </cell>
          <cell r="E34">
            <v>3846348</v>
          </cell>
          <cell r="F34" t="str">
            <v>Meadowcroft School</v>
          </cell>
          <cell r="G34" t="str">
            <v>Other Independent Special School</v>
          </cell>
          <cell r="H34">
            <v>39174</v>
          </cell>
          <cell r="I34">
            <v>41</v>
          </cell>
          <cell r="J34" t="str">
            <v>North East, Yorkshire and the Humber</v>
          </cell>
          <cell r="K34" t="str">
            <v>Yorkshire and the Humber</v>
          </cell>
          <cell r="L34" t="str">
            <v>Wakefield</v>
          </cell>
          <cell r="M34" t="str">
            <v>Morley and Outwood</v>
          </cell>
          <cell r="N34" t="str">
            <v>WF1 4AD</v>
          </cell>
          <cell r="O34" t="str">
            <v>Has a sixth form</v>
          </cell>
          <cell r="P34">
            <v>5</v>
          </cell>
          <cell r="Q34">
            <v>19</v>
          </cell>
          <cell r="R34" t="str">
            <v>None</v>
          </cell>
          <cell r="S34" t="str">
            <v>Ofsted</v>
          </cell>
          <cell r="T34" t="str">
            <v>NULL</v>
          </cell>
          <cell r="U34" t="str">
            <v>NULL</v>
          </cell>
          <cell r="V34" t="str">
            <v>NULL</v>
          </cell>
          <cell r="W34" t="str">
            <v>NULL</v>
          </cell>
          <cell r="X34" t="str">
            <v>NULL</v>
          </cell>
          <cell r="Y34" t="str">
            <v>NULL</v>
          </cell>
          <cell r="Z34" t="str">
            <v>NULL</v>
          </cell>
          <cell r="AA34">
            <v>10025959</v>
          </cell>
          <cell r="AB34" t="str">
            <v>Independent School standard inspection</v>
          </cell>
          <cell r="AC34" t="str">
            <v>Independent Standard Inspection</v>
          </cell>
          <cell r="AD34">
            <v>42787</v>
          </cell>
          <cell r="AE34">
            <v>42789</v>
          </cell>
          <cell r="AF34">
            <v>42816</v>
          </cell>
          <cell r="AG34">
            <v>2</v>
          </cell>
          <cell r="AH34">
            <v>2</v>
          </cell>
          <cell r="AI34">
            <v>2</v>
          </cell>
          <cell r="AJ34">
            <v>2</v>
          </cell>
          <cell r="AK34">
            <v>2</v>
          </cell>
          <cell r="AL34" t="str">
            <v>NULL</v>
          </cell>
          <cell r="AM34">
            <v>2</v>
          </cell>
          <cell r="AN34" t="str">
            <v>Yes</v>
          </cell>
          <cell r="AO34" t="str">
            <v>ITS422786</v>
          </cell>
          <cell r="AP34" t="str">
            <v>Independent School standard inspection</v>
          </cell>
          <cell r="AQ34" t="str">
            <v>Independent Standard Inspection</v>
          </cell>
          <cell r="AR34">
            <v>41674</v>
          </cell>
          <cell r="AS34">
            <v>41676</v>
          </cell>
          <cell r="AT34">
            <v>41698</v>
          </cell>
          <cell r="AU34">
            <v>3</v>
          </cell>
          <cell r="AV34">
            <v>3</v>
          </cell>
          <cell r="AW34">
            <v>3</v>
          </cell>
          <cell r="AX34">
            <v>3</v>
          </cell>
          <cell r="AY34" t="str">
            <v>NULL</v>
          </cell>
          <cell r="AZ34" t="str">
            <v>NULL</v>
          </cell>
          <cell r="BA34" t="str">
            <v>NULL</v>
          </cell>
          <cell r="BB34" t="str">
            <v>NULL</v>
          </cell>
        </row>
        <row r="35">
          <cell r="D35">
            <v>140942</v>
          </cell>
          <cell r="E35">
            <v>9086003</v>
          </cell>
          <cell r="F35" t="str">
            <v>Oak Tree School</v>
          </cell>
          <cell r="G35" t="str">
            <v>Other Independent Special School</v>
          </cell>
          <cell r="H35">
            <v>41771</v>
          </cell>
          <cell r="I35">
            <v>36</v>
          </cell>
          <cell r="J35" t="str">
            <v>South West</v>
          </cell>
          <cell r="K35" t="str">
            <v>South West</v>
          </cell>
          <cell r="L35" t="str">
            <v>Cornwall</v>
          </cell>
          <cell r="M35" t="str">
            <v>Truro and Falmouth</v>
          </cell>
          <cell r="N35" t="str">
            <v>TR4 9NH</v>
          </cell>
          <cell r="O35" t="str">
            <v>Not applicable</v>
          </cell>
          <cell r="P35">
            <v>8</v>
          </cell>
          <cell r="Q35">
            <v>16</v>
          </cell>
          <cell r="R35" t="str">
            <v>None</v>
          </cell>
          <cell r="S35" t="str">
            <v>Ofsted</v>
          </cell>
          <cell r="T35" t="str">
            <v>NULL</v>
          </cell>
          <cell r="U35" t="str">
            <v>NULL</v>
          </cell>
          <cell r="V35" t="str">
            <v>NULL</v>
          </cell>
          <cell r="W35" t="str">
            <v>NULL</v>
          </cell>
          <cell r="X35" t="str">
            <v>NULL</v>
          </cell>
          <cell r="Y35" t="str">
            <v>NULL</v>
          </cell>
          <cell r="Z35" t="str">
            <v>NULL</v>
          </cell>
          <cell r="AA35" t="str">
            <v>ITS462740</v>
          </cell>
          <cell r="AB35" t="str">
            <v>Independent school standard inspection - first</v>
          </cell>
          <cell r="AC35" t="str">
            <v>Independent Standard Inspection</v>
          </cell>
          <cell r="AD35">
            <v>42080</v>
          </cell>
          <cell r="AE35">
            <v>42082</v>
          </cell>
          <cell r="AF35">
            <v>42144</v>
          </cell>
          <cell r="AG35">
            <v>2</v>
          </cell>
          <cell r="AH35">
            <v>2</v>
          </cell>
          <cell r="AI35">
            <v>2</v>
          </cell>
          <cell r="AJ35">
            <v>2</v>
          </cell>
          <cell r="AK35" t="str">
            <v>NULL</v>
          </cell>
          <cell r="AL35">
            <v>9</v>
          </cell>
          <cell r="AM35">
            <v>9</v>
          </cell>
          <cell r="AN35" t="str">
            <v>NULL</v>
          </cell>
          <cell r="AO35" t="str">
            <v>NULL</v>
          </cell>
          <cell r="AP35" t="str">
            <v>NULL</v>
          </cell>
          <cell r="AQ35" t="str">
            <v>NULL</v>
          </cell>
          <cell r="AR35" t="str">
            <v>NULL</v>
          </cell>
          <cell r="AS35" t="str">
            <v>NULL</v>
          </cell>
          <cell r="AT35" t="str">
            <v>NULL</v>
          </cell>
          <cell r="AU35" t="str">
            <v>NULL</v>
          </cell>
          <cell r="AV35" t="str">
            <v>NULL</v>
          </cell>
          <cell r="AW35" t="str">
            <v>NULL</v>
          </cell>
          <cell r="AX35" t="str">
            <v>NULL</v>
          </cell>
          <cell r="AY35" t="str">
            <v>NULL</v>
          </cell>
          <cell r="AZ35" t="str">
            <v>NULL</v>
          </cell>
          <cell r="BA35" t="str">
            <v>NULL</v>
          </cell>
          <cell r="BB35" t="str">
            <v>NULL</v>
          </cell>
        </row>
        <row r="36">
          <cell r="D36">
            <v>131666</v>
          </cell>
          <cell r="E36">
            <v>8886037</v>
          </cell>
          <cell r="F36" t="str">
            <v>Oakfield House School</v>
          </cell>
          <cell r="G36" t="str">
            <v>Other Independent Special School</v>
          </cell>
          <cell r="H36">
            <v>36059</v>
          </cell>
          <cell r="I36">
            <v>37</v>
          </cell>
          <cell r="J36" t="str">
            <v>North West</v>
          </cell>
          <cell r="K36" t="str">
            <v>North West</v>
          </cell>
          <cell r="L36" t="str">
            <v>Lancashire</v>
          </cell>
          <cell r="M36" t="str">
            <v>Fylde</v>
          </cell>
          <cell r="N36" t="str">
            <v>PR4 0YH</v>
          </cell>
          <cell r="O36" t="str">
            <v>Not applicable</v>
          </cell>
          <cell r="P36">
            <v>5</v>
          </cell>
          <cell r="Q36">
            <v>12</v>
          </cell>
          <cell r="R36" t="str">
            <v>None</v>
          </cell>
          <cell r="S36" t="str">
            <v>Ofsted</v>
          </cell>
          <cell r="T36" t="str">
            <v>NULL</v>
          </cell>
          <cell r="U36" t="str">
            <v>NULL</v>
          </cell>
          <cell r="V36" t="str">
            <v>NULL</v>
          </cell>
          <cell r="W36" t="str">
            <v>NULL</v>
          </cell>
          <cell r="X36" t="str">
            <v>NULL</v>
          </cell>
          <cell r="Y36" t="str">
            <v>NULL</v>
          </cell>
          <cell r="Z36" t="str">
            <v>NULL</v>
          </cell>
          <cell r="AA36" t="str">
            <v>ITS463004</v>
          </cell>
          <cell r="AB36" t="str">
            <v>Independent School standard inspection</v>
          </cell>
          <cell r="AC36" t="str">
            <v>Independent Standard Inspection</v>
          </cell>
          <cell r="AD36">
            <v>42122</v>
          </cell>
          <cell r="AE36">
            <v>42124</v>
          </cell>
          <cell r="AF36">
            <v>42157</v>
          </cell>
          <cell r="AG36">
            <v>1</v>
          </cell>
          <cell r="AH36">
            <v>1</v>
          </cell>
          <cell r="AI36">
            <v>1</v>
          </cell>
          <cell r="AJ36">
            <v>1</v>
          </cell>
          <cell r="AK36" t="str">
            <v>NULL</v>
          </cell>
          <cell r="AL36">
            <v>9</v>
          </cell>
          <cell r="AM36">
            <v>9</v>
          </cell>
          <cell r="AN36" t="str">
            <v>NULL</v>
          </cell>
          <cell r="AO36" t="str">
            <v>ITS386898</v>
          </cell>
          <cell r="AP36" t="str">
            <v>Independent School standard inspection</v>
          </cell>
          <cell r="AQ36" t="str">
            <v>Independent Standard Inspection</v>
          </cell>
          <cell r="AR36">
            <v>40946</v>
          </cell>
          <cell r="AS36">
            <v>40947</v>
          </cell>
          <cell r="AT36">
            <v>40974</v>
          </cell>
          <cell r="AU36">
            <v>2</v>
          </cell>
          <cell r="AV36">
            <v>2</v>
          </cell>
          <cell r="AW36">
            <v>2</v>
          </cell>
          <cell r="AX36" t="str">
            <v>NULL</v>
          </cell>
          <cell r="AY36" t="str">
            <v>NULL</v>
          </cell>
          <cell r="AZ36">
            <v>8</v>
          </cell>
          <cell r="BA36" t="str">
            <v>NULL</v>
          </cell>
          <cell r="BB36" t="str">
            <v>NULL</v>
          </cell>
        </row>
        <row r="37">
          <cell r="D37">
            <v>131004</v>
          </cell>
          <cell r="E37">
            <v>8606029</v>
          </cell>
          <cell r="F37" t="str">
            <v>Options Trent Acres School</v>
          </cell>
          <cell r="G37" t="str">
            <v>Other Independent Special School</v>
          </cell>
          <cell r="H37">
            <v>38674</v>
          </cell>
          <cell r="I37">
            <v>5</v>
          </cell>
          <cell r="J37" t="str">
            <v>West Midlands</v>
          </cell>
          <cell r="K37" t="str">
            <v>West Midlands</v>
          </cell>
          <cell r="L37" t="str">
            <v>Staffordshire</v>
          </cell>
          <cell r="M37" t="str">
            <v>Lichfield</v>
          </cell>
          <cell r="N37" t="str">
            <v>DE13 7HR</v>
          </cell>
          <cell r="O37" t="str">
            <v>Not applicable</v>
          </cell>
          <cell r="P37">
            <v>8</v>
          </cell>
          <cell r="Q37">
            <v>18</v>
          </cell>
          <cell r="R37" t="str">
            <v>None</v>
          </cell>
          <cell r="S37" t="str">
            <v>Ofsted</v>
          </cell>
          <cell r="T37">
            <v>3</v>
          </cell>
          <cell r="U37">
            <v>10043277</v>
          </cell>
          <cell r="V37" t="str">
            <v>Independent school Material Change inspection</v>
          </cell>
          <cell r="W37">
            <v>43074</v>
          </cell>
          <cell r="X37">
            <v>43074</v>
          </cell>
          <cell r="Y37">
            <v>43118</v>
          </cell>
          <cell r="Z37" t="str">
            <v>Likely to meet relevant standards</v>
          </cell>
          <cell r="AA37">
            <v>10008887</v>
          </cell>
          <cell r="AB37" t="str">
            <v>Independent School standard inspection</v>
          </cell>
          <cell r="AC37" t="str">
            <v>Independent Standard Inspection</v>
          </cell>
          <cell r="AD37">
            <v>42395</v>
          </cell>
          <cell r="AE37">
            <v>42397</v>
          </cell>
          <cell r="AF37">
            <v>42440</v>
          </cell>
          <cell r="AG37">
            <v>3</v>
          </cell>
          <cell r="AH37">
            <v>3</v>
          </cell>
          <cell r="AI37">
            <v>3</v>
          </cell>
          <cell r="AJ37">
            <v>3</v>
          </cell>
          <cell r="AK37">
            <v>2</v>
          </cell>
          <cell r="AL37" t="str">
            <v>NULL</v>
          </cell>
          <cell r="AM37">
            <v>2</v>
          </cell>
          <cell r="AN37" t="str">
            <v>Yes</v>
          </cell>
          <cell r="AO37" t="str">
            <v>ITS397601</v>
          </cell>
          <cell r="AP37" t="str">
            <v>Independent School standard inspection</v>
          </cell>
          <cell r="AQ37" t="str">
            <v>Independent Standard Inspection</v>
          </cell>
          <cell r="AR37">
            <v>41255</v>
          </cell>
          <cell r="AS37">
            <v>41256</v>
          </cell>
          <cell r="AT37">
            <v>41296</v>
          </cell>
          <cell r="AU37">
            <v>3</v>
          </cell>
          <cell r="AV37">
            <v>3</v>
          </cell>
          <cell r="AW37">
            <v>3</v>
          </cell>
          <cell r="AX37" t="str">
            <v>NULL</v>
          </cell>
          <cell r="AY37" t="str">
            <v>NULL</v>
          </cell>
          <cell r="AZ37">
            <v>8</v>
          </cell>
          <cell r="BA37" t="str">
            <v>NULL</v>
          </cell>
          <cell r="BB37" t="str">
            <v>NULL</v>
          </cell>
        </row>
        <row r="38">
          <cell r="D38">
            <v>141697</v>
          </cell>
          <cell r="E38">
            <v>3056013</v>
          </cell>
          <cell r="F38" t="str">
            <v>Kent House Hospital School</v>
          </cell>
          <cell r="G38" t="str">
            <v>Other Independent Special School</v>
          </cell>
          <cell r="H38">
            <v>41979</v>
          </cell>
          <cell r="I38">
            <v>12</v>
          </cell>
          <cell r="J38" t="str">
            <v>London</v>
          </cell>
          <cell r="K38" t="str">
            <v>London</v>
          </cell>
          <cell r="L38" t="str">
            <v>Bromley</v>
          </cell>
          <cell r="M38" t="str">
            <v>Orpington</v>
          </cell>
          <cell r="N38" t="str">
            <v>BR5 4EP</v>
          </cell>
          <cell r="O38" t="str">
            <v>Not applicable</v>
          </cell>
          <cell r="P38">
            <v>12</v>
          </cell>
          <cell r="Q38">
            <v>18</v>
          </cell>
          <cell r="R38" t="str">
            <v>None</v>
          </cell>
          <cell r="S38" t="str">
            <v>Ofsted</v>
          </cell>
          <cell r="T38" t="str">
            <v>NULL</v>
          </cell>
          <cell r="U38" t="str">
            <v>NULL</v>
          </cell>
          <cell r="V38" t="str">
            <v>NULL</v>
          </cell>
          <cell r="W38" t="str">
            <v>NULL</v>
          </cell>
          <cell r="X38" t="str">
            <v>NULL</v>
          </cell>
          <cell r="Y38" t="str">
            <v>NULL</v>
          </cell>
          <cell r="Z38" t="str">
            <v>NULL</v>
          </cell>
          <cell r="AA38">
            <v>10006303</v>
          </cell>
          <cell r="AB38" t="str">
            <v>Independent school standard inspection - first</v>
          </cell>
          <cell r="AC38" t="str">
            <v>Independent Standard Inspection</v>
          </cell>
          <cell r="AD38">
            <v>42486</v>
          </cell>
          <cell r="AE38">
            <v>42488</v>
          </cell>
          <cell r="AF38">
            <v>42557</v>
          </cell>
          <cell r="AG38">
            <v>2</v>
          </cell>
          <cell r="AH38">
            <v>2</v>
          </cell>
          <cell r="AI38">
            <v>2</v>
          </cell>
          <cell r="AJ38">
            <v>2</v>
          </cell>
          <cell r="AK38">
            <v>2</v>
          </cell>
          <cell r="AL38" t="str">
            <v>NULL</v>
          </cell>
          <cell r="AM38">
            <v>2</v>
          </cell>
          <cell r="AN38" t="str">
            <v>Yes</v>
          </cell>
          <cell r="AO38" t="str">
            <v>NULL</v>
          </cell>
          <cell r="AP38" t="str">
            <v>NULL</v>
          </cell>
          <cell r="AQ38" t="str">
            <v>NULL</v>
          </cell>
          <cell r="AR38" t="str">
            <v>NULL</v>
          </cell>
          <cell r="AS38" t="str">
            <v>NULL</v>
          </cell>
          <cell r="AT38" t="str">
            <v>NULL</v>
          </cell>
          <cell r="AU38" t="str">
            <v>NULL</v>
          </cell>
          <cell r="AV38" t="str">
            <v>NULL</v>
          </cell>
          <cell r="AW38" t="str">
            <v>NULL</v>
          </cell>
          <cell r="AX38" t="str">
            <v>NULL</v>
          </cell>
          <cell r="AY38" t="str">
            <v>NULL</v>
          </cell>
          <cell r="AZ38" t="str">
            <v>NULL</v>
          </cell>
          <cell r="BA38" t="str">
            <v>NULL</v>
          </cell>
          <cell r="BB38" t="str">
            <v>NULL</v>
          </cell>
        </row>
        <row r="39">
          <cell r="D39">
            <v>135001</v>
          </cell>
          <cell r="E39">
            <v>3926011</v>
          </cell>
          <cell r="F39" t="str">
            <v>Parkside House School</v>
          </cell>
          <cell r="G39" t="str">
            <v>Other Independent Special School</v>
          </cell>
          <cell r="H39">
            <v>38446</v>
          </cell>
          <cell r="I39">
            <v>25</v>
          </cell>
          <cell r="J39" t="str">
            <v>North East, Yorkshire and the Humber</v>
          </cell>
          <cell r="K39" t="str">
            <v>North East</v>
          </cell>
          <cell r="L39" t="str">
            <v>North Tyneside</v>
          </cell>
          <cell r="M39" t="str">
            <v>Tynemouth</v>
          </cell>
          <cell r="N39" t="str">
            <v>NE27 0AB</v>
          </cell>
          <cell r="O39" t="str">
            <v>Not applicable</v>
          </cell>
          <cell r="P39">
            <v>10</v>
          </cell>
          <cell r="Q39">
            <v>19</v>
          </cell>
          <cell r="R39" t="str">
            <v>None</v>
          </cell>
          <cell r="S39" t="str">
            <v>Ofsted</v>
          </cell>
          <cell r="T39" t="str">
            <v>NULL</v>
          </cell>
          <cell r="U39" t="str">
            <v>NULL</v>
          </cell>
          <cell r="V39" t="str">
            <v>NULL</v>
          </cell>
          <cell r="W39" t="str">
            <v>NULL</v>
          </cell>
          <cell r="X39" t="str">
            <v>NULL</v>
          </cell>
          <cell r="Y39" t="str">
            <v>NULL</v>
          </cell>
          <cell r="Z39" t="str">
            <v>NULL</v>
          </cell>
          <cell r="AA39" t="str">
            <v>ITS463009</v>
          </cell>
          <cell r="AB39" t="str">
            <v>Independent School standard inspection</v>
          </cell>
          <cell r="AC39" t="str">
            <v>Independent Standard Inspection</v>
          </cell>
          <cell r="AD39">
            <v>42122</v>
          </cell>
          <cell r="AE39">
            <v>42124</v>
          </cell>
          <cell r="AF39">
            <v>42151</v>
          </cell>
          <cell r="AG39">
            <v>2</v>
          </cell>
          <cell r="AH39">
            <v>2</v>
          </cell>
          <cell r="AI39">
            <v>2</v>
          </cell>
          <cell r="AJ39">
            <v>2</v>
          </cell>
          <cell r="AK39" t="str">
            <v>NULL</v>
          </cell>
          <cell r="AL39">
            <v>9</v>
          </cell>
          <cell r="AM39">
            <v>2</v>
          </cell>
          <cell r="AN39" t="str">
            <v>NULL</v>
          </cell>
          <cell r="AO39" t="str">
            <v>ITS386866</v>
          </cell>
          <cell r="AP39" t="str">
            <v>Independent School standard inspection</v>
          </cell>
          <cell r="AQ39" t="str">
            <v>Independent Standard Inspection</v>
          </cell>
          <cell r="AR39">
            <v>40981</v>
          </cell>
          <cell r="AS39">
            <v>40982</v>
          </cell>
          <cell r="AT39">
            <v>41018</v>
          </cell>
          <cell r="AU39">
            <v>2</v>
          </cell>
          <cell r="AV39">
            <v>2</v>
          </cell>
          <cell r="AW39">
            <v>2</v>
          </cell>
          <cell r="AX39" t="str">
            <v>NULL</v>
          </cell>
          <cell r="AY39" t="str">
            <v>NULL</v>
          </cell>
          <cell r="AZ39">
            <v>8</v>
          </cell>
          <cell r="BA39" t="str">
            <v>NULL</v>
          </cell>
          <cell r="BB39" t="str">
            <v>NULL</v>
          </cell>
        </row>
        <row r="40">
          <cell r="D40">
            <v>137956</v>
          </cell>
          <cell r="E40">
            <v>8606039</v>
          </cell>
          <cell r="F40" t="str">
            <v>Peak Education</v>
          </cell>
          <cell r="G40" t="str">
            <v>Other Independent Special School</v>
          </cell>
          <cell r="H40">
            <v>40977</v>
          </cell>
          <cell r="I40">
            <v>8</v>
          </cell>
          <cell r="J40" t="str">
            <v>West Midlands</v>
          </cell>
          <cell r="K40" t="str">
            <v>West Midlands</v>
          </cell>
          <cell r="L40" t="str">
            <v>Staffordshire</v>
          </cell>
          <cell r="M40" t="str">
            <v>Stafford</v>
          </cell>
          <cell r="N40" t="str">
            <v>ST19 5PR</v>
          </cell>
          <cell r="O40" t="str">
            <v>Not applicable</v>
          </cell>
          <cell r="P40">
            <v>11</v>
          </cell>
          <cell r="Q40">
            <v>18</v>
          </cell>
          <cell r="R40" t="str">
            <v>None</v>
          </cell>
          <cell r="S40" t="str">
            <v>Ofsted</v>
          </cell>
          <cell r="T40" t="str">
            <v>NULL</v>
          </cell>
          <cell r="U40" t="str">
            <v>NULL</v>
          </cell>
          <cell r="V40" t="str">
            <v>NULL</v>
          </cell>
          <cell r="W40" t="str">
            <v>NULL</v>
          </cell>
          <cell r="X40" t="str">
            <v>NULL</v>
          </cell>
          <cell r="Y40" t="str">
            <v>NULL</v>
          </cell>
          <cell r="Z40" t="str">
            <v>NULL</v>
          </cell>
          <cell r="AA40">
            <v>10041366</v>
          </cell>
          <cell r="AB40" t="str">
            <v>Independent School standard inspection</v>
          </cell>
          <cell r="AC40" t="str">
            <v>Independent Standard Inspection</v>
          </cell>
          <cell r="AD40">
            <v>43116</v>
          </cell>
          <cell r="AE40">
            <v>43118</v>
          </cell>
          <cell r="AF40">
            <v>43139</v>
          </cell>
          <cell r="AG40">
            <v>3</v>
          </cell>
          <cell r="AH40">
            <v>3</v>
          </cell>
          <cell r="AI40">
            <v>3</v>
          </cell>
          <cell r="AJ40">
            <v>3</v>
          </cell>
          <cell r="AK40">
            <v>3</v>
          </cell>
          <cell r="AL40" t="str">
            <v>NULL</v>
          </cell>
          <cell r="AM40">
            <v>3</v>
          </cell>
          <cell r="AN40" t="str">
            <v>Yes</v>
          </cell>
          <cell r="AO40">
            <v>10008530</v>
          </cell>
          <cell r="AP40" t="str">
            <v>Independent School standard inspection</v>
          </cell>
          <cell r="AQ40" t="str">
            <v>Independent Standard Inspection</v>
          </cell>
          <cell r="AR40">
            <v>42430</v>
          </cell>
          <cell r="AS40">
            <v>42432</v>
          </cell>
          <cell r="AT40">
            <v>42473</v>
          </cell>
          <cell r="AU40">
            <v>3</v>
          </cell>
          <cell r="AV40">
            <v>3</v>
          </cell>
          <cell r="AW40">
            <v>3</v>
          </cell>
          <cell r="AX40">
            <v>3</v>
          </cell>
          <cell r="AY40">
            <v>3</v>
          </cell>
          <cell r="AZ40" t="str">
            <v>NULL</v>
          </cell>
          <cell r="BA40">
            <v>3</v>
          </cell>
          <cell r="BB40" t="str">
            <v>Yes</v>
          </cell>
        </row>
        <row r="41">
          <cell r="D41">
            <v>135113</v>
          </cell>
          <cell r="E41">
            <v>8416003</v>
          </cell>
          <cell r="F41" t="str">
            <v>Pear Tree School</v>
          </cell>
          <cell r="G41" t="str">
            <v>Other Independent Special School</v>
          </cell>
          <cell r="H41">
            <v>39041</v>
          </cell>
          <cell r="I41">
            <v>14</v>
          </cell>
          <cell r="J41" t="str">
            <v>North East, Yorkshire and the Humber</v>
          </cell>
          <cell r="K41" t="str">
            <v>North East</v>
          </cell>
          <cell r="L41" t="str">
            <v>Darlington</v>
          </cell>
          <cell r="M41" t="str">
            <v>Sedgefield</v>
          </cell>
          <cell r="N41" t="str">
            <v>DL2 2UQ</v>
          </cell>
          <cell r="O41" t="str">
            <v>Has a sixth form</v>
          </cell>
          <cell r="P41">
            <v>8</v>
          </cell>
          <cell r="Q41">
            <v>18</v>
          </cell>
          <cell r="R41" t="str">
            <v>None</v>
          </cell>
          <cell r="S41" t="str">
            <v>Ofsted</v>
          </cell>
          <cell r="T41" t="str">
            <v>NULL</v>
          </cell>
          <cell r="U41" t="str">
            <v>NULL</v>
          </cell>
          <cell r="V41" t="str">
            <v>NULL</v>
          </cell>
          <cell r="W41" t="str">
            <v>NULL</v>
          </cell>
          <cell r="X41" t="str">
            <v>NULL</v>
          </cell>
          <cell r="Y41" t="str">
            <v>NULL</v>
          </cell>
          <cell r="Z41" t="str">
            <v>NULL</v>
          </cell>
          <cell r="AA41">
            <v>10025958</v>
          </cell>
          <cell r="AB41" t="str">
            <v>Independent School standard inspection</v>
          </cell>
          <cell r="AC41" t="str">
            <v>Independent Standard Inspection</v>
          </cell>
          <cell r="AD41">
            <v>42773</v>
          </cell>
          <cell r="AE41">
            <v>42775</v>
          </cell>
          <cell r="AF41">
            <v>42807</v>
          </cell>
          <cell r="AG41">
            <v>1</v>
          </cell>
          <cell r="AH41">
            <v>1</v>
          </cell>
          <cell r="AI41">
            <v>1</v>
          </cell>
          <cell r="AJ41">
            <v>1</v>
          </cell>
          <cell r="AK41">
            <v>1</v>
          </cell>
          <cell r="AL41" t="str">
            <v>NULL</v>
          </cell>
          <cell r="AM41" t="str">
            <v>NULL</v>
          </cell>
          <cell r="AN41" t="str">
            <v>Yes</v>
          </cell>
          <cell r="AO41" t="str">
            <v>ITS422779</v>
          </cell>
          <cell r="AP41" t="str">
            <v>Independent School standard inspection</v>
          </cell>
          <cell r="AQ41" t="str">
            <v>Independent Standard Inspection</v>
          </cell>
          <cell r="AR41">
            <v>41660</v>
          </cell>
          <cell r="AS41">
            <v>41662</v>
          </cell>
          <cell r="AT41">
            <v>41683</v>
          </cell>
          <cell r="AU41">
            <v>1</v>
          </cell>
          <cell r="AV41">
            <v>1</v>
          </cell>
          <cell r="AW41">
            <v>1</v>
          </cell>
          <cell r="AX41">
            <v>1</v>
          </cell>
          <cell r="AY41" t="str">
            <v>NULL</v>
          </cell>
          <cell r="AZ41" t="str">
            <v>NULL</v>
          </cell>
          <cell r="BA41" t="str">
            <v>NULL</v>
          </cell>
          <cell r="BB41" t="str">
            <v>NULL</v>
          </cell>
        </row>
        <row r="42">
          <cell r="D42">
            <v>132120</v>
          </cell>
          <cell r="E42">
            <v>8306024</v>
          </cell>
          <cell r="F42" t="str">
            <v>Pegasus School</v>
          </cell>
          <cell r="G42" t="str">
            <v>Other Independent Special School</v>
          </cell>
          <cell r="H42">
            <v>36622</v>
          </cell>
          <cell r="I42">
            <v>18</v>
          </cell>
          <cell r="J42" t="str">
            <v>East Midlands</v>
          </cell>
          <cell r="K42" t="str">
            <v>East Midlands</v>
          </cell>
          <cell r="L42" t="str">
            <v>Derbyshire</v>
          </cell>
          <cell r="M42" t="str">
            <v>South Derbyshire</v>
          </cell>
          <cell r="N42" t="str">
            <v>DE12 6RS</v>
          </cell>
          <cell r="O42" t="str">
            <v>Has a sixth form</v>
          </cell>
          <cell r="P42">
            <v>8</v>
          </cell>
          <cell r="Q42">
            <v>19</v>
          </cell>
          <cell r="R42" t="str">
            <v>None</v>
          </cell>
          <cell r="S42" t="str">
            <v>Ofsted</v>
          </cell>
          <cell r="T42" t="str">
            <v>NULL</v>
          </cell>
          <cell r="U42" t="str">
            <v>NULL</v>
          </cell>
          <cell r="V42" t="str">
            <v>NULL</v>
          </cell>
          <cell r="W42" t="str">
            <v>NULL</v>
          </cell>
          <cell r="X42" t="str">
            <v>NULL</v>
          </cell>
          <cell r="Y42" t="str">
            <v>NULL</v>
          </cell>
          <cell r="Z42" t="str">
            <v>NULL</v>
          </cell>
          <cell r="AA42" t="str">
            <v>ITS462921</v>
          </cell>
          <cell r="AB42" t="str">
            <v>Independent school standard inspection - aligned with CH</v>
          </cell>
          <cell r="AC42" t="str">
            <v>Independent Standard Inspection</v>
          </cell>
          <cell r="AD42">
            <v>42165</v>
          </cell>
          <cell r="AE42">
            <v>42167</v>
          </cell>
          <cell r="AF42">
            <v>42193</v>
          </cell>
          <cell r="AG42">
            <v>2</v>
          </cell>
          <cell r="AH42">
            <v>2</v>
          </cell>
          <cell r="AI42">
            <v>2</v>
          </cell>
          <cell r="AJ42">
            <v>2</v>
          </cell>
          <cell r="AK42" t="str">
            <v>NULL</v>
          </cell>
          <cell r="AL42">
            <v>9</v>
          </cell>
          <cell r="AM42">
            <v>2</v>
          </cell>
          <cell r="AN42" t="str">
            <v>NULL</v>
          </cell>
          <cell r="AO42" t="str">
            <v>ITS386883</v>
          </cell>
          <cell r="AP42" t="str">
            <v>Independent School standard inspection</v>
          </cell>
          <cell r="AQ42" t="str">
            <v>Independent Standard Inspection</v>
          </cell>
          <cell r="AR42">
            <v>40968</v>
          </cell>
          <cell r="AS42">
            <v>40969</v>
          </cell>
          <cell r="AT42">
            <v>40994</v>
          </cell>
          <cell r="AU42">
            <v>2</v>
          </cell>
          <cell r="AV42">
            <v>2</v>
          </cell>
          <cell r="AW42">
            <v>2</v>
          </cell>
          <cell r="AX42" t="str">
            <v>NULL</v>
          </cell>
          <cell r="AY42" t="str">
            <v>NULL</v>
          </cell>
          <cell r="AZ42">
            <v>8</v>
          </cell>
          <cell r="BA42" t="str">
            <v>NULL</v>
          </cell>
          <cell r="BB42" t="str">
            <v>NULL</v>
          </cell>
        </row>
        <row r="43">
          <cell r="D43">
            <v>124495</v>
          </cell>
          <cell r="E43">
            <v>8606017</v>
          </cell>
          <cell r="F43" t="str">
            <v>Roaches School</v>
          </cell>
          <cell r="G43" t="str">
            <v>Other Independent Special School</v>
          </cell>
          <cell r="H43">
            <v>35005</v>
          </cell>
          <cell r="I43">
            <v>44</v>
          </cell>
          <cell r="J43" t="str">
            <v>West Midlands</v>
          </cell>
          <cell r="K43" t="str">
            <v>West Midlands</v>
          </cell>
          <cell r="L43" t="str">
            <v>Staffordshire</v>
          </cell>
          <cell r="M43" t="str">
            <v>Staffordshire Moorlands</v>
          </cell>
          <cell r="N43" t="str">
            <v>ST8 7AB</v>
          </cell>
          <cell r="O43" t="str">
            <v>Not applicable</v>
          </cell>
          <cell r="P43">
            <v>7</v>
          </cell>
          <cell r="Q43">
            <v>16</v>
          </cell>
          <cell r="R43" t="str">
            <v>None</v>
          </cell>
          <cell r="S43" t="str">
            <v>Ofsted</v>
          </cell>
          <cell r="T43" t="str">
            <v>NULL</v>
          </cell>
          <cell r="U43" t="str">
            <v>NULL</v>
          </cell>
          <cell r="V43" t="str">
            <v>NULL</v>
          </cell>
          <cell r="W43" t="str">
            <v>NULL</v>
          </cell>
          <cell r="X43" t="str">
            <v>NULL</v>
          </cell>
          <cell r="Y43" t="str">
            <v>NULL</v>
          </cell>
          <cell r="Z43" t="str">
            <v>NULL</v>
          </cell>
          <cell r="AA43" t="str">
            <v>ITS422711</v>
          </cell>
          <cell r="AB43" t="str">
            <v xml:space="preserve">Independent School standard inspection - integrated </v>
          </cell>
          <cell r="AC43" t="str">
            <v>Independent Standard Inspection</v>
          </cell>
          <cell r="AD43">
            <v>41555</v>
          </cell>
          <cell r="AE43">
            <v>41557</v>
          </cell>
          <cell r="AF43">
            <v>41599</v>
          </cell>
          <cell r="AG43">
            <v>1</v>
          </cell>
          <cell r="AH43">
            <v>1</v>
          </cell>
          <cell r="AI43">
            <v>1</v>
          </cell>
          <cell r="AJ43">
            <v>2</v>
          </cell>
          <cell r="AK43" t="str">
            <v>NULL</v>
          </cell>
          <cell r="AL43" t="str">
            <v>NULL</v>
          </cell>
          <cell r="AM43" t="str">
            <v>NULL</v>
          </cell>
          <cell r="AN43" t="str">
            <v>NULL</v>
          </cell>
          <cell r="AO43" t="str">
            <v>ITS361356</v>
          </cell>
          <cell r="AP43" t="str">
            <v xml:space="preserve">Independent School standard inspection - integrated </v>
          </cell>
          <cell r="AQ43" t="str">
            <v>Independent Standard Inspection</v>
          </cell>
          <cell r="AR43">
            <v>40485</v>
          </cell>
          <cell r="AS43">
            <v>40486</v>
          </cell>
          <cell r="AT43">
            <v>40511</v>
          </cell>
          <cell r="AU43">
            <v>1</v>
          </cell>
          <cell r="AV43">
            <v>1</v>
          </cell>
          <cell r="AW43">
            <v>1</v>
          </cell>
          <cell r="AX43" t="str">
            <v>NULL</v>
          </cell>
          <cell r="AY43" t="str">
            <v>NULL</v>
          </cell>
          <cell r="AZ43">
            <v>8</v>
          </cell>
          <cell r="BA43" t="str">
            <v>NULL</v>
          </cell>
          <cell r="BB43" t="str">
            <v>NULL</v>
          </cell>
        </row>
        <row r="44">
          <cell r="D44">
            <v>135092</v>
          </cell>
          <cell r="E44">
            <v>8886095</v>
          </cell>
          <cell r="F44" t="str">
            <v>Roselyn House School</v>
          </cell>
          <cell r="G44" t="str">
            <v>Other Independent Special School</v>
          </cell>
          <cell r="H44">
            <v>39015</v>
          </cell>
          <cell r="I44">
            <v>24</v>
          </cell>
          <cell r="J44" t="str">
            <v>North West</v>
          </cell>
          <cell r="K44" t="str">
            <v>North West</v>
          </cell>
          <cell r="L44" t="str">
            <v>Lancashire</v>
          </cell>
          <cell r="M44" t="str">
            <v>Chorley</v>
          </cell>
          <cell r="N44" t="str">
            <v>PR25 4SE</v>
          </cell>
          <cell r="O44" t="str">
            <v>Not applicable</v>
          </cell>
          <cell r="P44">
            <v>10</v>
          </cell>
          <cell r="Q44">
            <v>19</v>
          </cell>
          <cell r="R44" t="str">
            <v>None</v>
          </cell>
          <cell r="S44" t="str">
            <v>Ofsted</v>
          </cell>
          <cell r="T44" t="str">
            <v>NULL</v>
          </cell>
          <cell r="U44" t="str">
            <v>NULL</v>
          </cell>
          <cell r="V44" t="str">
            <v>NULL</v>
          </cell>
          <cell r="W44" t="str">
            <v>NULL</v>
          </cell>
          <cell r="X44" t="str">
            <v>NULL</v>
          </cell>
          <cell r="Y44" t="str">
            <v>NULL</v>
          </cell>
          <cell r="Z44" t="str">
            <v>NULL</v>
          </cell>
          <cell r="AA44">
            <v>10020813</v>
          </cell>
          <cell r="AB44" t="str">
            <v>Independent School standard inspection</v>
          </cell>
          <cell r="AC44" t="str">
            <v>Independent Standard Inspection</v>
          </cell>
          <cell r="AD44">
            <v>42710</v>
          </cell>
          <cell r="AE44">
            <v>42712</v>
          </cell>
          <cell r="AF44">
            <v>42746</v>
          </cell>
          <cell r="AG44">
            <v>2</v>
          </cell>
          <cell r="AH44">
            <v>2</v>
          </cell>
          <cell r="AI44">
            <v>2</v>
          </cell>
          <cell r="AJ44">
            <v>2</v>
          </cell>
          <cell r="AK44">
            <v>1</v>
          </cell>
          <cell r="AL44" t="str">
            <v>NULL</v>
          </cell>
          <cell r="AM44">
            <v>2</v>
          </cell>
          <cell r="AN44" t="str">
            <v>Yes</v>
          </cell>
          <cell r="AO44" t="str">
            <v>ITS422774</v>
          </cell>
          <cell r="AP44" t="str">
            <v>Independent School standard inspection</v>
          </cell>
          <cell r="AQ44" t="str">
            <v>Independent Standard Inspection</v>
          </cell>
          <cell r="AR44">
            <v>41562</v>
          </cell>
          <cell r="AS44">
            <v>41564</v>
          </cell>
          <cell r="AT44">
            <v>41586</v>
          </cell>
          <cell r="AU44">
            <v>2</v>
          </cell>
          <cell r="AV44">
            <v>2</v>
          </cell>
          <cell r="AW44">
            <v>2</v>
          </cell>
          <cell r="AX44">
            <v>2</v>
          </cell>
          <cell r="AY44" t="str">
            <v>NULL</v>
          </cell>
          <cell r="AZ44" t="str">
            <v>NULL</v>
          </cell>
          <cell r="BA44" t="str">
            <v>NULL</v>
          </cell>
          <cell r="BB44" t="str">
            <v>NULL</v>
          </cell>
        </row>
        <row r="45">
          <cell r="D45">
            <v>119845</v>
          </cell>
          <cell r="E45">
            <v>8886020</v>
          </cell>
          <cell r="F45" t="str">
            <v>Rossendale School</v>
          </cell>
          <cell r="G45" t="str">
            <v>Other Independent Special School</v>
          </cell>
          <cell r="H45">
            <v>32694</v>
          </cell>
          <cell r="I45">
            <v>70</v>
          </cell>
          <cell r="J45" t="str">
            <v>North West</v>
          </cell>
          <cell r="K45" t="str">
            <v>North West</v>
          </cell>
          <cell r="L45" t="str">
            <v>Lancashire</v>
          </cell>
          <cell r="M45" t="str">
            <v>Rossendale and Darwen</v>
          </cell>
          <cell r="N45" t="str">
            <v>BL0 0RT</v>
          </cell>
          <cell r="O45" t="str">
            <v>Not applicable</v>
          </cell>
          <cell r="P45">
            <v>7</v>
          </cell>
          <cell r="Q45">
            <v>18</v>
          </cell>
          <cell r="R45" t="str">
            <v>None</v>
          </cell>
          <cell r="S45" t="str">
            <v>Ofsted</v>
          </cell>
          <cell r="T45" t="str">
            <v>NULL</v>
          </cell>
          <cell r="U45" t="str">
            <v>NULL</v>
          </cell>
          <cell r="V45" t="str">
            <v>NULL</v>
          </cell>
          <cell r="W45" t="str">
            <v>NULL</v>
          </cell>
          <cell r="X45" t="str">
            <v>NULL</v>
          </cell>
          <cell r="Y45" t="str">
            <v>NULL</v>
          </cell>
          <cell r="Z45" t="str">
            <v>NULL</v>
          </cell>
          <cell r="AA45">
            <v>10038838</v>
          </cell>
          <cell r="AB45" t="str">
            <v xml:space="preserve">Independent School standard inspection - integrated </v>
          </cell>
          <cell r="AC45" t="str">
            <v>Independent Standard Inspection</v>
          </cell>
          <cell r="AD45">
            <v>43018</v>
          </cell>
          <cell r="AE45">
            <v>43020</v>
          </cell>
          <cell r="AF45">
            <v>43068</v>
          </cell>
          <cell r="AG45">
            <v>1</v>
          </cell>
          <cell r="AH45">
            <v>1</v>
          </cell>
          <cell r="AI45">
            <v>1</v>
          </cell>
          <cell r="AJ45">
            <v>1</v>
          </cell>
          <cell r="AK45">
            <v>1</v>
          </cell>
          <cell r="AL45" t="str">
            <v>NULL</v>
          </cell>
          <cell r="AM45">
            <v>1</v>
          </cell>
          <cell r="AN45" t="str">
            <v>Yes</v>
          </cell>
          <cell r="AO45" t="str">
            <v>ITS446386</v>
          </cell>
          <cell r="AP45" t="str">
            <v xml:space="preserve">Independent School standard inspection - integrated </v>
          </cell>
          <cell r="AQ45" t="str">
            <v>Independent Standard Inspection</v>
          </cell>
          <cell r="AR45">
            <v>41912</v>
          </cell>
          <cell r="AS45">
            <v>41914</v>
          </cell>
          <cell r="AT45">
            <v>41963</v>
          </cell>
          <cell r="AU45">
            <v>2</v>
          </cell>
          <cell r="AV45">
            <v>2</v>
          </cell>
          <cell r="AW45">
            <v>2</v>
          </cell>
          <cell r="AX45">
            <v>1</v>
          </cell>
          <cell r="AY45" t="str">
            <v>NULL</v>
          </cell>
          <cell r="AZ45">
            <v>9</v>
          </cell>
          <cell r="BA45">
            <v>2</v>
          </cell>
          <cell r="BB45" t="str">
            <v>NULL</v>
          </cell>
        </row>
        <row r="46">
          <cell r="D46">
            <v>117042</v>
          </cell>
          <cell r="E46">
            <v>8846006</v>
          </cell>
          <cell r="F46" t="str">
            <v>Rowden House School</v>
          </cell>
          <cell r="G46" t="str">
            <v>Other Independent Special School</v>
          </cell>
          <cell r="H46">
            <v>31474</v>
          </cell>
          <cell r="I46">
            <v>16</v>
          </cell>
          <cell r="J46" t="str">
            <v>West Midlands</v>
          </cell>
          <cell r="K46" t="str">
            <v>West Midlands</v>
          </cell>
          <cell r="L46" t="str">
            <v>Herefordshire</v>
          </cell>
          <cell r="M46" t="str">
            <v>North Herefordshire</v>
          </cell>
          <cell r="N46" t="str">
            <v>HR7 4LS</v>
          </cell>
          <cell r="O46" t="str">
            <v>Has a sixth form</v>
          </cell>
          <cell r="P46">
            <v>11</v>
          </cell>
          <cell r="Q46">
            <v>19</v>
          </cell>
          <cell r="R46" t="str">
            <v>None</v>
          </cell>
          <cell r="S46" t="str">
            <v>Ofsted</v>
          </cell>
          <cell r="T46" t="str">
            <v>NULL</v>
          </cell>
          <cell r="U46" t="str">
            <v>NULL</v>
          </cell>
          <cell r="V46" t="str">
            <v>NULL</v>
          </cell>
          <cell r="W46" t="str">
            <v>NULL</v>
          </cell>
          <cell r="X46" t="str">
            <v>NULL</v>
          </cell>
          <cell r="Y46" t="str">
            <v>NULL</v>
          </cell>
          <cell r="Z46" t="str">
            <v>NULL</v>
          </cell>
          <cell r="AA46">
            <v>10038828</v>
          </cell>
          <cell r="AB46" t="str">
            <v>Independent School standard inspection</v>
          </cell>
          <cell r="AC46" t="str">
            <v>Independent Standard Inspection</v>
          </cell>
          <cell r="AD46">
            <v>43067</v>
          </cell>
          <cell r="AE46">
            <v>43069</v>
          </cell>
          <cell r="AF46">
            <v>43103</v>
          </cell>
          <cell r="AG46">
            <v>2</v>
          </cell>
          <cell r="AH46">
            <v>2</v>
          </cell>
          <cell r="AI46">
            <v>2</v>
          </cell>
          <cell r="AJ46">
            <v>2</v>
          </cell>
          <cell r="AK46">
            <v>2</v>
          </cell>
          <cell r="AL46" t="str">
            <v>NULL</v>
          </cell>
          <cell r="AM46">
            <v>2</v>
          </cell>
          <cell r="AN46" t="str">
            <v>Yes</v>
          </cell>
          <cell r="AO46" t="str">
            <v>ITS446280</v>
          </cell>
          <cell r="AP46" t="str">
            <v>Independent school standard inspection - aligned with CH</v>
          </cell>
          <cell r="AQ46" t="str">
            <v>Independent Standard Inspection</v>
          </cell>
          <cell r="AR46">
            <v>41919</v>
          </cell>
          <cell r="AS46">
            <v>41921</v>
          </cell>
          <cell r="AT46">
            <v>41955</v>
          </cell>
          <cell r="AU46">
            <v>2</v>
          </cell>
          <cell r="AV46">
            <v>2</v>
          </cell>
          <cell r="AW46">
            <v>2</v>
          </cell>
          <cell r="AX46">
            <v>2</v>
          </cell>
          <cell r="AY46" t="str">
            <v>NULL</v>
          </cell>
          <cell r="AZ46">
            <v>9</v>
          </cell>
          <cell r="BA46">
            <v>2</v>
          </cell>
          <cell r="BB46" t="str">
            <v>NULL</v>
          </cell>
        </row>
        <row r="47">
          <cell r="D47">
            <v>135373</v>
          </cell>
          <cell r="E47">
            <v>3046121</v>
          </cell>
          <cell r="F47" t="str">
            <v>Southover Partnership School</v>
          </cell>
          <cell r="G47" t="str">
            <v>Other Independent Special School</v>
          </cell>
          <cell r="H47">
            <v>39303</v>
          </cell>
          <cell r="I47">
            <v>34</v>
          </cell>
          <cell r="J47" t="str">
            <v>London</v>
          </cell>
          <cell r="K47" t="str">
            <v>London</v>
          </cell>
          <cell r="L47" t="str">
            <v>Brent</v>
          </cell>
          <cell r="M47" t="str">
            <v>Brent North</v>
          </cell>
          <cell r="N47" t="str">
            <v>NW9 9HA</v>
          </cell>
          <cell r="O47" t="str">
            <v>Not applicable</v>
          </cell>
          <cell r="P47">
            <v>8</v>
          </cell>
          <cell r="Q47">
            <v>19</v>
          </cell>
          <cell r="R47" t="str">
            <v>None</v>
          </cell>
          <cell r="S47" t="str">
            <v>Ofsted</v>
          </cell>
          <cell r="T47" t="str">
            <v>NULL</v>
          </cell>
          <cell r="U47" t="str">
            <v>NULL</v>
          </cell>
          <cell r="V47" t="str">
            <v>NULL</v>
          </cell>
          <cell r="W47" t="str">
            <v>NULL</v>
          </cell>
          <cell r="X47" t="str">
            <v>NULL</v>
          </cell>
          <cell r="Y47" t="str">
            <v>NULL</v>
          </cell>
          <cell r="Z47" t="str">
            <v>NULL</v>
          </cell>
          <cell r="AA47">
            <v>10041399</v>
          </cell>
          <cell r="AB47" t="str">
            <v>Independent School standard inspection</v>
          </cell>
          <cell r="AC47" t="str">
            <v>Independent Standard Inspection</v>
          </cell>
          <cell r="AD47">
            <v>43137</v>
          </cell>
          <cell r="AE47">
            <v>43139</v>
          </cell>
          <cell r="AF47">
            <v>43166</v>
          </cell>
          <cell r="AG47">
            <v>2</v>
          </cell>
          <cell r="AH47">
            <v>1</v>
          </cell>
          <cell r="AI47">
            <v>1</v>
          </cell>
          <cell r="AJ47">
            <v>2</v>
          </cell>
          <cell r="AK47">
            <v>1</v>
          </cell>
          <cell r="AL47" t="str">
            <v>NULL</v>
          </cell>
          <cell r="AM47" t="str">
            <v>NULL</v>
          </cell>
          <cell r="AN47" t="str">
            <v>Yes</v>
          </cell>
          <cell r="AO47" t="str">
            <v>ITS454280</v>
          </cell>
          <cell r="AP47" t="str">
            <v>Independent School standard inspection</v>
          </cell>
          <cell r="AQ47" t="str">
            <v>Independent Standard Inspection</v>
          </cell>
          <cell r="AR47">
            <v>42032</v>
          </cell>
          <cell r="AS47">
            <v>42034</v>
          </cell>
          <cell r="AT47">
            <v>42069</v>
          </cell>
          <cell r="AU47">
            <v>2</v>
          </cell>
          <cell r="AV47">
            <v>2</v>
          </cell>
          <cell r="AW47">
            <v>2</v>
          </cell>
          <cell r="AX47">
            <v>2</v>
          </cell>
          <cell r="AY47" t="str">
            <v>NULL</v>
          </cell>
          <cell r="AZ47">
            <v>9</v>
          </cell>
          <cell r="BA47">
            <v>2</v>
          </cell>
          <cell r="BB47" t="str">
            <v>NULL</v>
          </cell>
        </row>
        <row r="48">
          <cell r="D48">
            <v>134982</v>
          </cell>
          <cell r="E48">
            <v>3306112</v>
          </cell>
          <cell r="F48" t="str">
            <v>Spring Hill High School</v>
          </cell>
          <cell r="G48" t="str">
            <v>Other Independent Special School</v>
          </cell>
          <cell r="H48">
            <v>38433</v>
          </cell>
          <cell r="I48">
            <v>38</v>
          </cell>
          <cell r="J48" t="str">
            <v>West Midlands</v>
          </cell>
          <cell r="K48" t="str">
            <v>West Midlands</v>
          </cell>
          <cell r="L48" t="str">
            <v>Birmingham</v>
          </cell>
          <cell r="M48" t="str">
            <v>Birmingham, Erdington</v>
          </cell>
          <cell r="N48" t="str">
            <v>B23 7PG</v>
          </cell>
          <cell r="O48" t="str">
            <v>Has a sixth form</v>
          </cell>
          <cell r="P48">
            <v>11</v>
          </cell>
          <cell r="Q48">
            <v>19</v>
          </cell>
          <cell r="R48" t="str">
            <v>None</v>
          </cell>
          <cell r="S48" t="str">
            <v>Ofsted</v>
          </cell>
          <cell r="T48">
            <v>1</v>
          </cell>
          <cell r="U48">
            <v>10030985</v>
          </cell>
          <cell r="V48" t="str">
            <v>Independent school emergency inspection</v>
          </cell>
          <cell r="W48">
            <v>42768</v>
          </cell>
          <cell r="X48">
            <v>42768</v>
          </cell>
          <cell r="Y48" t="str">
            <v>NULL</v>
          </cell>
          <cell r="Z48" t="str">
            <v>Met all standards that were checked</v>
          </cell>
          <cell r="AA48" t="str">
            <v>ITS455443</v>
          </cell>
          <cell r="AB48" t="str">
            <v>Independent School standard inspection</v>
          </cell>
          <cell r="AC48" t="str">
            <v>Independent Standard Inspection</v>
          </cell>
          <cell r="AD48">
            <v>42045</v>
          </cell>
          <cell r="AE48">
            <v>42047</v>
          </cell>
          <cell r="AF48">
            <v>42080</v>
          </cell>
          <cell r="AG48">
            <v>2</v>
          </cell>
          <cell r="AH48">
            <v>2</v>
          </cell>
          <cell r="AI48">
            <v>2</v>
          </cell>
          <cell r="AJ48">
            <v>2</v>
          </cell>
          <cell r="AK48" t="str">
            <v>NULL</v>
          </cell>
          <cell r="AL48">
            <v>9</v>
          </cell>
          <cell r="AM48">
            <v>2</v>
          </cell>
          <cell r="AN48" t="str">
            <v>NULL</v>
          </cell>
          <cell r="AO48" t="str">
            <v>ITS393301</v>
          </cell>
          <cell r="AP48" t="str">
            <v xml:space="preserve">Independent School standard inspection - integrated </v>
          </cell>
          <cell r="AQ48" t="str">
            <v>Independent Standard Inspection</v>
          </cell>
          <cell r="AR48">
            <v>41059</v>
          </cell>
          <cell r="AS48">
            <v>41060</v>
          </cell>
          <cell r="AT48">
            <v>41082</v>
          </cell>
          <cell r="AU48">
            <v>2</v>
          </cell>
          <cell r="AV48">
            <v>2</v>
          </cell>
          <cell r="AW48">
            <v>1</v>
          </cell>
          <cell r="AX48" t="str">
            <v>NULL</v>
          </cell>
          <cell r="AY48" t="str">
            <v>NULL</v>
          </cell>
          <cell r="AZ48">
            <v>8</v>
          </cell>
          <cell r="BA48" t="str">
            <v>NULL</v>
          </cell>
          <cell r="BB48" t="str">
            <v>NULL</v>
          </cell>
        </row>
        <row r="49">
          <cell r="D49">
            <v>135180</v>
          </cell>
          <cell r="E49">
            <v>9386050</v>
          </cell>
          <cell r="F49" t="str">
            <v>Springboard Education</v>
          </cell>
          <cell r="G49" t="str">
            <v>Other Independent Special School</v>
          </cell>
          <cell r="H49">
            <v>39128</v>
          </cell>
          <cell r="I49">
            <v>18</v>
          </cell>
          <cell r="J49" t="str">
            <v>South East</v>
          </cell>
          <cell r="K49" t="str">
            <v>South East</v>
          </cell>
          <cell r="L49" t="str">
            <v>West Sussex</v>
          </cell>
          <cell r="M49" t="str">
            <v>East Worthing and Shoreham</v>
          </cell>
          <cell r="N49" t="str">
            <v>BN15 8AN</v>
          </cell>
          <cell r="O49" t="str">
            <v>Not applicable</v>
          </cell>
          <cell r="P49">
            <v>5</v>
          </cell>
          <cell r="Q49">
            <v>18</v>
          </cell>
          <cell r="R49" t="str">
            <v>None</v>
          </cell>
          <cell r="S49" t="str">
            <v>Ofsted</v>
          </cell>
          <cell r="T49" t="str">
            <v>NULL</v>
          </cell>
          <cell r="U49" t="str">
            <v>NULL</v>
          </cell>
          <cell r="V49" t="str">
            <v>NULL</v>
          </cell>
          <cell r="W49" t="str">
            <v>NULL</v>
          </cell>
          <cell r="X49" t="str">
            <v>NULL</v>
          </cell>
          <cell r="Y49" t="str">
            <v>NULL</v>
          </cell>
          <cell r="Z49" t="str">
            <v>NULL</v>
          </cell>
          <cell r="AA49">
            <v>10020930</v>
          </cell>
          <cell r="AB49" t="str">
            <v>Independent School standard inspection</v>
          </cell>
          <cell r="AC49" t="str">
            <v>Independent Standard Inspection</v>
          </cell>
          <cell r="AD49">
            <v>43060</v>
          </cell>
          <cell r="AE49">
            <v>43062</v>
          </cell>
          <cell r="AF49">
            <v>43080</v>
          </cell>
          <cell r="AG49">
            <v>3</v>
          </cell>
          <cell r="AH49">
            <v>3</v>
          </cell>
          <cell r="AI49">
            <v>3</v>
          </cell>
          <cell r="AJ49">
            <v>3</v>
          </cell>
          <cell r="AK49">
            <v>1</v>
          </cell>
          <cell r="AL49" t="str">
            <v>NULL</v>
          </cell>
          <cell r="AM49" t="str">
            <v>NULL</v>
          </cell>
          <cell r="AN49" t="str">
            <v>Yes</v>
          </cell>
          <cell r="AO49" t="str">
            <v>ITS422783</v>
          </cell>
          <cell r="AP49" t="str">
            <v>Independent School standard inspection</v>
          </cell>
          <cell r="AQ49" t="str">
            <v>Independent Standard Inspection</v>
          </cell>
          <cell r="AR49">
            <v>41528</v>
          </cell>
          <cell r="AS49">
            <v>41530</v>
          </cell>
          <cell r="AT49">
            <v>41550</v>
          </cell>
          <cell r="AU49">
            <v>2</v>
          </cell>
          <cell r="AV49">
            <v>2</v>
          </cell>
          <cell r="AW49">
            <v>2</v>
          </cell>
          <cell r="AX49">
            <v>2</v>
          </cell>
          <cell r="AY49" t="str">
            <v>NULL</v>
          </cell>
          <cell r="AZ49" t="str">
            <v>NULL</v>
          </cell>
          <cell r="BA49" t="str">
            <v>NULL</v>
          </cell>
          <cell r="BB49" t="str">
            <v>NULL</v>
          </cell>
        </row>
        <row r="50">
          <cell r="D50">
            <v>121252</v>
          </cell>
          <cell r="E50">
            <v>9266145</v>
          </cell>
          <cell r="F50" t="str">
            <v>St Andrew's School</v>
          </cell>
          <cell r="G50" t="str">
            <v>Other Independent Special School</v>
          </cell>
          <cell r="H50">
            <v>32899</v>
          </cell>
          <cell r="I50">
            <v>34</v>
          </cell>
          <cell r="J50" t="str">
            <v>East of England</v>
          </cell>
          <cell r="K50" t="str">
            <v>East of England</v>
          </cell>
          <cell r="L50" t="str">
            <v>Norfolk</v>
          </cell>
          <cell r="M50" t="str">
            <v>North Norfolk</v>
          </cell>
          <cell r="N50" t="str">
            <v>NR11 8QA</v>
          </cell>
          <cell r="O50" t="str">
            <v>Not applicable</v>
          </cell>
          <cell r="P50">
            <v>6</v>
          </cell>
          <cell r="Q50">
            <v>19</v>
          </cell>
          <cell r="R50" t="str">
            <v>Quaker</v>
          </cell>
          <cell r="S50" t="str">
            <v>Ofsted</v>
          </cell>
          <cell r="T50" t="str">
            <v>NULL</v>
          </cell>
          <cell r="U50" t="str">
            <v>NULL</v>
          </cell>
          <cell r="V50" t="str">
            <v>NULL</v>
          </cell>
          <cell r="W50" t="str">
            <v>NULL</v>
          </cell>
          <cell r="X50" t="str">
            <v>NULL</v>
          </cell>
          <cell r="Y50" t="str">
            <v>NULL</v>
          </cell>
          <cell r="Z50" t="str">
            <v>NULL</v>
          </cell>
          <cell r="AA50">
            <v>10006010</v>
          </cell>
          <cell r="AB50" t="str">
            <v>Independent School standard inspection</v>
          </cell>
          <cell r="AC50" t="str">
            <v>Independent Standard Inspection</v>
          </cell>
          <cell r="AD50">
            <v>42318</v>
          </cell>
          <cell r="AE50">
            <v>42320</v>
          </cell>
          <cell r="AF50">
            <v>42353</v>
          </cell>
          <cell r="AG50">
            <v>2</v>
          </cell>
          <cell r="AH50">
            <v>2</v>
          </cell>
          <cell r="AI50">
            <v>2</v>
          </cell>
          <cell r="AJ50">
            <v>2</v>
          </cell>
          <cell r="AK50">
            <v>2</v>
          </cell>
          <cell r="AL50" t="str">
            <v>NULL</v>
          </cell>
          <cell r="AM50">
            <v>3</v>
          </cell>
          <cell r="AN50" t="str">
            <v>Yes</v>
          </cell>
          <cell r="AO50" t="str">
            <v>ITS386894</v>
          </cell>
          <cell r="AP50" t="str">
            <v>Independent School standard inspection</v>
          </cell>
          <cell r="AQ50" t="str">
            <v>Independent Standard Inspection</v>
          </cell>
          <cell r="AR50">
            <v>40988</v>
          </cell>
          <cell r="AS50">
            <v>40989</v>
          </cell>
          <cell r="AT50">
            <v>41087</v>
          </cell>
          <cell r="AU50">
            <v>2</v>
          </cell>
          <cell r="AV50">
            <v>2</v>
          </cell>
          <cell r="AW50">
            <v>2</v>
          </cell>
          <cell r="AX50" t="str">
            <v>NULL</v>
          </cell>
          <cell r="AY50" t="str">
            <v>NULL</v>
          </cell>
          <cell r="AZ50">
            <v>8</v>
          </cell>
          <cell r="BA50" t="str">
            <v>NULL</v>
          </cell>
          <cell r="BB50" t="str">
            <v>NULL</v>
          </cell>
        </row>
        <row r="51">
          <cell r="D51">
            <v>101077</v>
          </cell>
          <cell r="E51">
            <v>2126368</v>
          </cell>
          <cell r="F51" t="str">
            <v>The Dominie School Limited</v>
          </cell>
          <cell r="G51" t="str">
            <v>Other Independent Special School</v>
          </cell>
          <cell r="H51">
            <v>32413</v>
          </cell>
          <cell r="I51">
            <v>29</v>
          </cell>
          <cell r="J51" t="str">
            <v>London</v>
          </cell>
          <cell r="K51" t="str">
            <v>London</v>
          </cell>
          <cell r="L51" t="str">
            <v>Wandsworth</v>
          </cell>
          <cell r="M51" t="str">
            <v>Battersea</v>
          </cell>
          <cell r="N51" t="str">
            <v>SW11 4DX</v>
          </cell>
          <cell r="O51" t="str">
            <v>Not applicable</v>
          </cell>
          <cell r="P51">
            <v>6</v>
          </cell>
          <cell r="Q51">
            <v>13</v>
          </cell>
          <cell r="R51" t="str">
            <v>None</v>
          </cell>
          <cell r="S51" t="str">
            <v>Ofsted</v>
          </cell>
          <cell r="T51" t="str">
            <v>NULL</v>
          </cell>
          <cell r="U51" t="str">
            <v>NULL</v>
          </cell>
          <cell r="V51" t="str">
            <v>NULL</v>
          </cell>
          <cell r="W51" t="str">
            <v>NULL</v>
          </cell>
          <cell r="X51" t="str">
            <v>NULL</v>
          </cell>
          <cell r="Y51" t="str">
            <v>NULL</v>
          </cell>
          <cell r="Z51" t="str">
            <v>NULL</v>
          </cell>
          <cell r="AA51">
            <v>10041395</v>
          </cell>
          <cell r="AB51" t="str">
            <v>Independent School standard inspection</v>
          </cell>
          <cell r="AC51" t="str">
            <v>Independent Standard Inspection</v>
          </cell>
          <cell r="AD51">
            <v>43109</v>
          </cell>
          <cell r="AE51">
            <v>43111</v>
          </cell>
          <cell r="AF51">
            <v>43157</v>
          </cell>
          <cell r="AG51">
            <v>2</v>
          </cell>
          <cell r="AH51">
            <v>2</v>
          </cell>
          <cell r="AI51">
            <v>2</v>
          </cell>
          <cell r="AJ51">
            <v>2</v>
          </cell>
          <cell r="AK51">
            <v>1</v>
          </cell>
          <cell r="AL51" t="str">
            <v>NULL</v>
          </cell>
          <cell r="AM51" t="str">
            <v>NULL</v>
          </cell>
          <cell r="AN51" t="str">
            <v>Yes</v>
          </cell>
          <cell r="AO51" t="str">
            <v>ITS454241</v>
          </cell>
          <cell r="AP51" t="str">
            <v>Independent School standard inspection</v>
          </cell>
          <cell r="AQ51" t="str">
            <v>Independent Standard Inspection</v>
          </cell>
          <cell r="AR51">
            <v>42045</v>
          </cell>
          <cell r="AS51">
            <v>42047</v>
          </cell>
          <cell r="AT51">
            <v>42082</v>
          </cell>
          <cell r="AU51">
            <v>1</v>
          </cell>
          <cell r="AV51">
            <v>1</v>
          </cell>
          <cell r="AW51">
            <v>1</v>
          </cell>
          <cell r="AX51">
            <v>1</v>
          </cell>
          <cell r="AY51" t="str">
            <v>NULL</v>
          </cell>
          <cell r="AZ51">
            <v>9</v>
          </cell>
          <cell r="BA51">
            <v>9</v>
          </cell>
          <cell r="BB51" t="str">
            <v>NULL</v>
          </cell>
        </row>
        <row r="52">
          <cell r="D52">
            <v>126149</v>
          </cell>
          <cell r="E52">
            <v>9386249</v>
          </cell>
          <cell r="F52" t="str">
            <v>The Education Centre</v>
          </cell>
          <cell r="G52" t="str">
            <v>Other Independent Special School</v>
          </cell>
          <cell r="H52">
            <v>33504</v>
          </cell>
          <cell r="I52">
            <v>28</v>
          </cell>
          <cell r="J52" t="str">
            <v>South East</v>
          </cell>
          <cell r="K52" t="str">
            <v>South East</v>
          </cell>
          <cell r="L52" t="str">
            <v>West Sussex</v>
          </cell>
          <cell r="M52" t="str">
            <v>Mid Sussex</v>
          </cell>
          <cell r="N52" t="str">
            <v>RH16 1DB</v>
          </cell>
          <cell r="O52" t="str">
            <v>Not applicable</v>
          </cell>
          <cell r="P52">
            <v>11</v>
          </cell>
          <cell r="Q52">
            <v>16</v>
          </cell>
          <cell r="R52" t="str">
            <v>None</v>
          </cell>
          <cell r="S52" t="str">
            <v>Ofsted</v>
          </cell>
          <cell r="T52">
            <v>3</v>
          </cell>
          <cell r="U52">
            <v>10049092</v>
          </cell>
          <cell r="V52" t="str">
            <v>Independent school evaluation of school action plan</v>
          </cell>
          <cell r="W52">
            <v>43186</v>
          </cell>
          <cell r="X52">
            <v>43186</v>
          </cell>
          <cell r="Y52" t="str">
            <v>NULL</v>
          </cell>
          <cell r="Z52" t="str">
            <v>Action plan is not acceptable</v>
          </cell>
          <cell r="AA52">
            <v>10025979</v>
          </cell>
          <cell r="AB52" t="str">
            <v>Independent School standard inspection</v>
          </cell>
          <cell r="AC52" t="str">
            <v>Independent Standard Inspection</v>
          </cell>
          <cell r="AD52">
            <v>42913</v>
          </cell>
          <cell r="AE52">
            <v>42915</v>
          </cell>
          <cell r="AF52">
            <v>42990</v>
          </cell>
          <cell r="AG52">
            <v>4</v>
          </cell>
          <cell r="AH52">
            <v>4</v>
          </cell>
          <cell r="AI52">
            <v>4</v>
          </cell>
          <cell r="AJ52">
            <v>4</v>
          </cell>
          <cell r="AK52">
            <v>4</v>
          </cell>
          <cell r="AL52" t="str">
            <v>NULL</v>
          </cell>
          <cell r="AM52" t="str">
            <v>NULL</v>
          </cell>
          <cell r="AN52" t="str">
            <v>No</v>
          </cell>
          <cell r="AO52" t="str">
            <v>ITS454256</v>
          </cell>
          <cell r="AP52" t="str">
            <v>Independent School standard inspection</v>
          </cell>
          <cell r="AQ52" t="str">
            <v>Independent Standard Inspection</v>
          </cell>
          <cell r="AR52">
            <v>42080</v>
          </cell>
          <cell r="AS52">
            <v>42082</v>
          </cell>
          <cell r="AT52">
            <v>42121</v>
          </cell>
          <cell r="AU52">
            <v>3</v>
          </cell>
          <cell r="AV52">
            <v>2</v>
          </cell>
          <cell r="AW52">
            <v>2</v>
          </cell>
          <cell r="AX52">
            <v>3</v>
          </cell>
          <cell r="AY52" t="str">
            <v>NULL</v>
          </cell>
          <cell r="AZ52">
            <v>9</v>
          </cell>
          <cell r="BA52">
            <v>9</v>
          </cell>
          <cell r="BB52" t="str">
            <v>NULL</v>
          </cell>
        </row>
        <row r="53">
          <cell r="D53">
            <v>135292</v>
          </cell>
          <cell r="E53">
            <v>8886098</v>
          </cell>
          <cell r="F53" t="str">
            <v>Stonegate School</v>
          </cell>
          <cell r="G53" t="str">
            <v>Other Independent Special School</v>
          </cell>
          <cell r="H53">
            <v>39253</v>
          </cell>
          <cell r="I53">
            <v>3</v>
          </cell>
          <cell r="J53" t="str">
            <v>North West</v>
          </cell>
          <cell r="K53" t="str">
            <v>North West</v>
          </cell>
          <cell r="L53" t="str">
            <v>Lancashire</v>
          </cell>
          <cell r="M53" t="str">
            <v>Skipton and Ripon</v>
          </cell>
          <cell r="N53" t="str">
            <v>LA2 7BX</v>
          </cell>
          <cell r="O53" t="str">
            <v>Not applicable</v>
          </cell>
          <cell r="P53">
            <v>11</v>
          </cell>
          <cell r="Q53">
            <v>16</v>
          </cell>
          <cell r="R53" t="str">
            <v>None</v>
          </cell>
          <cell r="S53" t="str">
            <v>Ofsted</v>
          </cell>
          <cell r="T53" t="str">
            <v>NULL</v>
          </cell>
          <cell r="U53" t="str">
            <v>NULL</v>
          </cell>
          <cell r="V53" t="str">
            <v>NULL</v>
          </cell>
          <cell r="W53" t="str">
            <v>NULL</v>
          </cell>
          <cell r="X53" t="str">
            <v>NULL</v>
          </cell>
          <cell r="Y53" t="str">
            <v>NULL</v>
          </cell>
          <cell r="Z53" t="str">
            <v>NULL</v>
          </cell>
          <cell r="AA53">
            <v>10038844</v>
          </cell>
          <cell r="AB53" t="str">
            <v>Independent School standard inspection</v>
          </cell>
          <cell r="AC53" t="str">
            <v>Independent Standard Inspection</v>
          </cell>
          <cell r="AD53">
            <v>43109</v>
          </cell>
          <cell r="AE53">
            <v>43110</v>
          </cell>
          <cell r="AF53">
            <v>43130</v>
          </cell>
          <cell r="AG53">
            <v>2</v>
          </cell>
          <cell r="AH53">
            <v>2</v>
          </cell>
          <cell r="AI53">
            <v>2</v>
          </cell>
          <cell r="AJ53">
            <v>2</v>
          </cell>
          <cell r="AK53">
            <v>1</v>
          </cell>
          <cell r="AL53" t="str">
            <v>NULL</v>
          </cell>
          <cell r="AM53" t="str">
            <v>NULL</v>
          </cell>
          <cell r="AN53" t="str">
            <v>Yes</v>
          </cell>
          <cell r="AO53" t="str">
            <v>ITS446261</v>
          </cell>
          <cell r="AP53" t="str">
            <v>Independent school standard inspection - aligned with CH</v>
          </cell>
          <cell r="AQ53" t="str">
            <v>Independent Standard Inspection</v>
          </cell>
          <cell r="AR53">
            <v>41912</v>
          </cell>
          <cell r="AS53">
            <v>41913</v>
          </cell>
          <cell r="AT53">
            <v>41956</v>
          </cell>
          <cell r="AU53">
            <v>3</v>
          </cell>
          <cell r="AV53">
            <v>3</v>
          </cell>
          <cell r="AW53">
            <v>3</v>
          </cell>
          <cell r="AX53">
            <v>3</v>
          </cell>
          <cell r="AY53" t="str">
            <v>NULL</v>
          </cell>
          <cell r="AZ53">
            <v>9</v>
          </cell>
          <cell r="BA53">
            <v>9</v>
          </cell>
          <cell r="BB53" t="str">
            <v>NULL</v>
          </cell>
        </row>
        <row r="54">
          <cell r="D54">
            <v>135511</v>
          </cell>
          <cell r="E54">
            <v>8936107</v>
          </cell>
          <cell r="F54" t="str">
            <v>The Evolution Centre</v>
          </cell>
          <cell r="G54" t="str">
            <v>Other Independent Special School</v>
          </cell>
          <cell r="H54">
            <v>39510</v>
          </cell>
          <cell r="I54">
            <v>17</v>
          </cell>
          <cell r="J54" t="str">
            <v>West Midlands</v>
          </cell>
          <cell r="K54" t="str">
            <v>West Midlands</v>
          </cell>
          <cell r="L54" t="str">
            <v>Shropshire</v>
          </cell>
          <cell r="M54" t="str">
            <v>Shrewsbury and Atcham</v>
          </cell>
          <cell r="N54" t="str">
            <v>SY3 8EQ</v>
          </cell>
          <cell r="O54" t="str">
            <v>Has a sixth form</v>
          </cell>
          <cell r="P54">
            <v>11</v>
          </cell>
          <cell r="Q54">
            <v>18</v>
          </cell>
          <cell r="R54" t="str">
            <v>None</v>
          </cell>
          <cell r="S54" t="str">
            <v>Ofsted</v>
          </cell>
          <cell r="T54" t="str">
            <v>NULL</v>
          </cell>
          <cell r="U54" t="str">
            <v>NULL</v>
          </cell>
          <cell r="V54" t="str">
            <v>NULL</v>
          </cell>
          <cell r="W54" t="str">
            <v>NULL</v>
          </cell>
          <cell r="X54" t="str">
            <v>NULL</v>
          </cell>
          <cell r="Y54" t="str">
            <v>NULL</v>
          </cell>
          <cell r="Z54" t="str">
            <v>NULL</v>
          </cell>
          <cell r="AA54">
            <v>10006045</v>
          </cell>
          <cell r="AB54" t="str">
            <v>Independent School standard inspection</v>
          </cell>
          <cell r="AC54" t="str">
            <v>Independent Standard Inspection</v>
          </cell>
          <cell r="AD54">
            <v>42486</v>
          </cell>
          <cell r="AE54">
            <v>42488</v>
          </cell>
          <cell r="AF54">
            <v>42542</v>
          </cell>
          <cell r="AG54">
            <v>1</v>
          </cell>
          <cell r="AH54">
            <v>1</v>
          </cell>
          <cell r="AI54">
            <v>1</v>
          </cell>
          <cell r="AJ54">
            <v>1</v>
          </cell>
          <cell r="AK54">
            <v>1</v>
          </cell>
          <cell r="AL54" t="str">
            <v>NULL</v>
          </cell>
          <cell r="AM54">
            <v>0</v>
          </cell>
          <cell r="AN54" t="str">
            <v>Yes</v>
          </cell>
          <cell r="AO54" t="str">
            <v>ITS397742</v>
          </cell>
          <cell r="AP54" t="str">
            <v>Independent School standard inspection</v>
          </cell>
          <cell r="AQ54" t="str">
            <v>Independent Standard Inspection</v>
          </cell>
          <cell r="AR54">
            <v>41227</v>
          </cell>
          <cell r="AS54">
            <v>41228</v>
          </cell>
          <cell r="AT54">
            <v>41249</v>
          </cell>
          <cell r="AU54">
            <v>2</v>
          </cell>
          <cell r="AV54">
            <v>3</v>
          </cell>
          <cell r="AW54">
            <v>2</v>
          </cell>
          <cell r="AX54" t="str">
            <v>NULL</v>
          </cell>
          <cell r="AY54" t="str">
            <v>NULL</v>
          </cell>
          <cell r="AZ54">
            <v>8</v>
          </cell>
          <cell r="BA54" t="str">
            <v>NULL</v>
          </cell>
          <cell r="BB54" t="str">
            <v>NULL</v>
          </cell>
        </row>
        <row r="55">
          <cell r="D55">
            <v>131556</v>
          </cell>
          <cell r="E55">
            <v>8526009</v>
          </cell>
          <cell r="F55" t="str">
            <v>The Serendipity School</v>
          </cell>
          <cell r="G55" t="str">
            <v>Other Independent Special School</v>
          </cell>
          <cell r="H55">
            <v>38817</v>
          </cell>
          <cell r="I55">
            <v>11</v>
          </cell>
          <cell r="J55" t="str">
            <v>South East</v>
          </cell>
          <cell r="K55" t="str">
            <v>South East</v>
          </cell>
          <cell r="L55" t="str">
            <v>Southampton</v>
          </cell>
          <cell r="M55" t="str">
            <v>Southampton, Itchen</v>
          </cell>
          <cell r="N55" t="str">
            <v>SO19 6DS</v>
          </cell>
          <cell r="O55" t="str">
            <v>Not applicable</v>
          </cell>
          <cell r="P55">
            <v>9</v>
          </cell>
          <cell r="Q55">
            <v>19</v>
          </cell>
          <cell r="R55" t="str">
            <v>None</v>
          </cell>
          <cell r="S55" t="str">
            <v>Ofsted</v>
          </cell>
          <cell r="T55" t="str">
            <v>NULL</v>
          </cell>
          <cell r="U55" t="str">
            <v>NULL</v>
          </cell>
          <cell r="V55" t="str">
            <v>NULL</v>
          </cell>
          <cell r="W55" t="str">
            <v>NULL</v>
          </cell>
          <cell r="X55" t="str">
            <v>NULL</v>
          </cell>
          <cell r="Y55" t="str">
            <v>NULL</v>
          </cell>
          <cell r="Z55" t="str">
            <v>NULL</v>
          </cell>
          <cell r="AA55">
            <v>10008862</v>
          </cell>
          <cell r="AB55" t="str">
            <v>Independent School standard inspection</v>
          </cell>
          <cell r="AC55" t="str">
            <v>Independent Standard Inspection</v>
          </cell>
          <cell r="AD55">
            <v>42696</v>
          </cell>
          <cell r="AE55">
            <v>42698</v>
          </cell>
          <cell r="AF55">
            <v>42745</v>
          </cell>
          <cell r="AG55">
            <v>1</v>
          </cell>
          <cell r="AH55">
            <v>1</v>
          </cell>
          <cell r="AI55">
            <v>1</v>
          </cell>
          <cell r="AJ55">
            <v>1</v>
          </cell>
          <cell r="AK55">
            <v>1</v>
          </cell>
          <cell r="AL55" t="str">
            <v>NULL</v>
          </cell>
          <cell r="AM55" t="str">
            <v>NULL</v>
          </cell>
          <cell r="AN55" t="str">
            <v>Yes</v>
          </cell>
          <cell r="AO55" t="str">
            <v>ITS397745</v>
          </cell>
          <cell r="AP55" t="str">
            <v>Independent School standard inspection</v>
          </cell>
          <cell r="AQ55" t="str">
            <v>Independent Standard Inspection</v>
          </cell>
          <cell r="AR55">
            <v>41318</v>
          </cell>
          <cell r="AS55">
            <v>41319</v>
          </cell>
          <cell r="AT55">
            <v>41339</v>
          </cell>
          <cell r="AU55">
            <v>1</v>
          </cell>
          <cell r="AV55">
            <v>1</v>
          </cell>
          <cell r="AW55">
            <v>1</v>
          </cell>
          <cell r="AX55">
            <v>1</v>
          </cell>
          <cell r="AY55" t="str">
            <v>NULL</v>
          </cell>
          <cell r="AZ55" t="str">
            <v>NULL</v>
          </cell>
          <cell r="BA55" t="str">
            <v>NULL</v>
          </cell>
          <cell r="BB55" t="str">
            <v>NULL</v>
          </cell>
        </row>
        <row r="56">
          <cell r="D56">
            <v>131018</v>
          </cell>
          <cell r="E56">
            <v>8576004</v>
          </cell>
          <cell r="F56" t="str">
            <v>The Shires</v>
          </cell>
          <cell r="G56" t="str">
            <v>Other Independent Special School</v>
          </cell>
          <cell r="H56">
            <v>38692</v>
          </cell>
          <cell r="I56">
            <v>17</v>
          </cell>
          <cell r="J56" t="str">
            <v>East Midlands</v>
          </cell>
          <cell r="K56" t="str">
            <v>East Midlands</v>
          </cell>
          <cell r="L56" t="str">
            <v>Rutland</v>
          </cell>
          <cell r="M56" t="str">
            <v>Rutland and Melton</v>
          </cell>
          <cell r="N56" t="str">
            <v>LE15 7GT</v>
          </cell>
          <cell r="O56" t="str">
            <v>Has a sixth form</v>
          </cell>
          <cell r="P56">
            <v>11</v>
          </cell>
          <cell r="Q56">
            <v>19</v>
          </cell>
          <cell r="R56" t="str">
            <v>None</v>
          </cell>
          <cell r="S56" t="str">
            <v>Ofsted</v>
          </cell>
          <cell r="T56">
            <v>2</v>
          </cell>
          <cell r="U56">
            <v>10044890</v>
          </cell>
          <cell r="V56" t="str">
            <v xml:space="preserve">Independent school emergency inspection -integrated </v>
          </cell>
          <cell r="W56">
            <v>43081</v>
          </cell>
          <cell r="X56">
            <v>43081</v>
          </cell>
          <cell r="Y56">
            <v>43164</v>
          </cell>
          <cell r="Z56" t="str">
            <v xml:space="preserve">Did not meet all standards that were checked </v>
          </cell>
          <cell r="AA56">
            <v>10008935</v>
          </cell>
          <cell r="AB56" t="str">
            <v>Independent School standard inspection</v>
          </cell>
          <cell r="AC56" t="str">
            <v>Independent Standard Inspection</v>
          </cell>
          <cell r="AD56">
            <v>42423</v>
          </cell>
          <cell r="AE56">
            <v>42425</v>
          </cell>
          <cell r="AF56">
            <v>42474</v>
          </cell>
          <cell r="AG56">
            <v>1</v>
          </cell>
          <cell r="AH56">
            <v>1</v>
          </cell>
          <cell r="AI56">
            <v>1</v>
          </cell>
          <cell r="AJ56">
            <v>1</v>
          </cell>
          <cell r="AK56">
            <v>1</v>
          </cell>
          <cell r="AL56" t="str">
            <v>NULL</v>
          </cell>
          <cell r="AM56">
            <v>1</v>
          </cell>
          <cell r="AN56" t="str">
            <v>Yes</v>
          </cell>
          <cell r="AO56" t="str">
            <v>ITS393280</v>
          </cell>
          <cell r="AP56" t="str">
            <v xml:space="preserve">Independent School standard inspection - integrated </v>
          </cell>
          <cell r="AQ56" t="str">
            <v>Independent Standard Inspection</v>
          </cell>
          <cell r="AR56">
            <v>41093</v>
          </cell>
          <cell r="AS56">
            <v>41094</v>
          </cell>
          <cell r="AT56">
            <v>41115</v>
          </cell>
          <cell r="AU56">
            <v>1</v>
          </cell>
          <cell r="AV56">
            <v>1</v>
          </cell>
          <cell r="AW56">
            <v>1</v>
          </cell>
          <cell r="AX56" t="str">
            <v>NULL</v>
          </cell>
          <cell r="AY56" t="str">
            <v>NULL</v>
          </cell>
          <cell r="AZ56">
            <v>8</v>
          </cell>
          <cell r="BA56" t="str">
            <v>NULL</v>
          </cell>
          <cell r="BB56" t="str">
            <v>NULL</v>
          </cell>
        </row>
        <row r="57">
          <cell r="D57">
            <v>101953</v>
          </cell>
          <cell r="E57">
            <v>3076064</v>
          </cell>
          <cell r="F57" t="str">
            <v>The Sybil Elgar School</v>
          </cell>
          <cell r="G57" t="str">
            <v>Other Independent Special School</v>
          </cell>
          <cell r="H57">
            <v>24033</v>
          </cell>
          <cell r="I57">
            <v>74</v>
          </cell>
          <cell r="J57" t="str">
            <v>London</v>
          </cell>
          <cell r="K57" t="str">
            <v>London</v>
          </cell>
          <cell r="L57" t="str">
            <v>Ealing</v>
          </cell>
          <cell r="M57" t="str">
            <v>Ealing, Southall</v>
          </cell>
          <cell r="N57" t="str">
            <v>UB2 4NY</v>
          </cell>
          <cell r="O57" t="str">
            <v>Not applicable</v>
          </cell>
          <cell r="P57">
            <v>4</v>
          </cell>
          <cell r="Q57">
            <v>22</v>
          </cell>
          <cell r="R57" t="str">
            <v>None</v>
          </cell>
          <cell r="S57" t="str">
            <v>Ofsted</v>
          </cell>
          <cell r="T57" t="str">
            <v>NULL</v>
          </cell>
          <cell r="U57" t="str">
            <v>NULL</v>
          </cell>
          <cell r="V57" t="str">
            <v>NULL</v>
          </cell>
          <cell r="W57" t="str">
            <v>NULL</v>
          </cell>
          <cell r="X57" t="str">
            <v>NULL</v>
          </cell>
          <cell r="Y57" t="str">
            <v>NULL</v>
          </cell>
          <cell r="Z57" t="str">
            <v>NULL</v>
          </cell>
          <cell r="AA57">
            <v>10038156</v>
          </cell>
          <cell r="AB57" t="str">
            <v>Independent School standard inspection</v>
          </cell>
          <cell r="AC57" t="str">
            <v>Independent Standard Inspection</v>
          </cell>
          <cell r="AD57">
            <v>43068</v>
          </cell>
          <cell r="AE57">
            <v>43070</v>
          </cell>
          <cell r="AF57">
            <v>43115</v>
          </cell>
          <cell r="AG57">
            <v>1</v>
          </cell>
          <cell r="AH57">
            <v>1</v>
          </cell>
          <cell r="AI57">
            <v>1</v>
          </cell>
          <cell r="AJ57">
            <v>1</v>
          </cell>
          <cell r="AK57">
            <v>1</v>
          </cell>
          <cell r="AL57" t="str">
            <v>NULL</v>
          </cell>
          <cell r="AM57">
            <v>1</v>
          </cell>
          <cell r="AN57" t="str">
            <v>Yes</v>
          </cell>
          <cell r="AO57" t="str">
            <v>ITS446376</v>
          </cell>
          <cell r="AP57" t="str">
            <v xml:space="preserve">Independent School standard inspection - integrated </v>
          </cell>
          <cell r="AQ57" t="str">
            <v>Independent Standard Inspection</v>
          </cell>
          <cell r="AR57">
            <v>41919</v>
          </cell>
          <cell r="AS57">
            <v>41921</v>
          </cell>
          <cell r="AT57">
            <v>41974</v>
          </cell>
          <cell r="AU57">
            <v>2</v>
          </cell>
          <cell r="AV57">
            <v>2</v>
          </cell>
          <cell r="AW57">
            <v>2</v>
          </cell>
          <cell r="AX57">
            <v>2</v>
          </cell>
          <cell r="AY57" t="str">
            <v>NULL</v>
          </cell>
          <cell r="AZ57">
            <v>9</v>
          </cell>
          <cell r="BA57">
            <v>2</v>
          </cell>
          <cell r="BB57" t="str">
            <v>NULL</v>
          </cell>
        </row>
        <row r="58">
          <cell r="D58">
            <v>135670</v>
          </cell>
          <cell r="E58">
            <v>3056080</v>
          </cell>
          <cell r="F58" t="str">
            <v>The Tutorial Foundation</v>
          </cell>
          <cell r="G58" t="str">
            <v>Other Independent Special School</v>
          </cell>
          <cell r="H58">
            <v>39674</v>
          </cell>
          <cell r="I58">
            <v>23</v>
          </cell>
          <cell r="J58" t="str">
            <v>London</v>
          </cell>
          <cell r="K58" t="str">
            <v>London</v>
          </cell>
          <cell r="L58" t="str">
            <v>Bromley</v>
          </cell>
          <cell r="M58" t="str">
            <v>Bromley and Chislehurst</v>
          </cell>
          <cell r="N58" t="str">
            <v>BR1 3HY</v>
          </cell>
          <cell r="O58" t="str">
            <v>Has a sixth form</v>
          </cell>
          <cell r="P58">
            <v>5</v>
          </cell>
          <cell r="Q58">
            <v>19</v>
          </cell>
          <cell r="R58" t="str">
            <v>None</v>
          </cell>
          <cell r="S58" t="str">
            <v>Ofsted</v>
          </cell>
          <cell r="T58" t="str">
            <v>NULL</v>
          </cell>
          <cell r="U58" t="str">
            <v>NULL</v>
          </cell>
          <cell r="V58" t="str">
            <v>NULL</v>
          </cell>
          <cell r="W58" t="str">
            <v>NULL</v>
          </cell>
          <cell r="X58" t="str">
            <v>NULL</v>
          </cell>
          <cell r="Y58" t="str">
            <v>NULL</v>
          </cell>
          <cell r="Z58" t="str">
            <v>NULL</v>
          </cell>
          <cell r="AA58">
            <v>10012823</v>
          </cell>
          <cell r="AB58" t="str">
            <v>Independent School standard inspection</v>
          </cell>
          <cell r="AC58" t="str">
            <v>Independent Standard Inspection</v>
          </cell>
          <cell r="AD58">
            <v>43081</v>
          </cell>
          <cell r="AE58">
            <v>43083</v>
          </cell>
          <cell r="AF58">
            <v>43126</v>
          </cell>
          <cell r="AG58">
            <v>2</v>
          </cell>
          <cell r="AH58">
            <v>2</v>
          </cell>
          <cell r="AI58">
            <v>2</v>
          </cell>
          <cell r="AJ58">
            <v>2</v>
          </cell>
          <cell r="AK58">
            <v>2</v>
          </cell>
          <cell r="AL58" t="str">
            <v>NULL</v>
          </cell>
          <cell r="AM58" t="str">
            <v>NULL</v>
          </cell>
          <cell r="AN58" t="str">
            <v>Yes</v>
          </cell>
          <cell r="AO58" t="str">
            <v>ITS408734</v>
          </cell>
          <cell r="AP58" t="str">
            <v>Independent School standard inspection</v>
          </cell>
          <cell r="AQ58" t="str">
            <v>Independent Standard Inspection</v>
          </cell>
          <cell r="AR58">
            <v>41394</v>
          </cell>
          <cell r="AS58">
            <v>41396</v>
          </cell>
          <cell r="AT58">
            <v>41421</v>
          </cell>
          <cell r="AU58">
            <v>2</v>
          </cell>
          <cell r="AV58">
            <v>2</v>
          </cell>
          <cell r="AW58">
            <v>2</v>
          </cell>
          <cell r="AX58">
            <v>2</v>
          </cell>
          <cell r="AY58" t="str">
            <v>NULL</v>
          </cell>
          <cell r="AZ58" t="str">
            <v>NULL</v>
          </cell>
          <cell r="BA58" t="str">
            <v>NULL</v>
          </cell>
          <cell r="BB58" t="str">
            <v>NULL</v>
          </cell>
        </row>
        <row r="59">
          <cell r="D59">
            <v>113571</v>
          </cell>
          <cell r="E59">
            <v>8786007</v>
          </cell>
          <cell r="F59" t="str">
            <v>Vranch House School</v>
          </cell>
          <cell r="G59" t="str">
            <v>Other Independent Special School</v>
          </cell>
          <cell r="H59">
            <v>25416</v>
          </cell>
          <cell r="I59">
            <v>24</v>
          </cell>
          <cell r="J59" t="str">
            <v>South West</v>
          </cell>
          <cell r="K59" t="str">
            <v>South West</v>
          </cell>
          <cell r="L59" t="str">
            <v>Devon</v>
          </cell>
          <cell r="M59" t="str">
            <v>Exeter</v>
          </cell>
          <cell r="N59" t="str">
            <v>EX4 8AD</v>
          </cell>
          <cell r="O59" t="str">
            <v>Not applicable</v>
          </cell>
          <cell r="P59">
            <v>2</v>
          </cell>
          <cell r="Q59">
            <v>18</v>
          </cell>
          <cell r="R59" t="str">
            <v>None</v>
          </cell>
          <cell r="S59" t="str">
            <v>Ofsted</v>
          </cell>
          <cell r="T59">
            <v>1</v>
          </cell>
          <cell r="U59">
            <v>10039162</v>
          </cell>
          <cell r="V59" t="str">
            <v>Independent school Material Change inspection</v>
          </cell>
          <cell r="W59">
            <v>42933</v>
          </cell>
          <cell r="X59">
            <v>42933</v>
          </cell>
          <cell r="Y59">
            <v>42996</v>
          </cell>
          <cell r="Z59" t="str">
            <v>Likely to meet relevant standards</v>
          </cell>
          <cell r="AA59" t="str">
            <v>ITS465376</v>
          </cell>
          <cell r="AB59" t="str">
            <v>Independent School standard inspection</v>
          </cell>
          <cell r="AC59" t="str">
            <v>Independent Standard Inspection</v>
          </cell>
          <cell r="AD59">
            <v>42192</v>
          </cell>
          <cell r="AE59">
            <v>42194</v>
          </cell>
          <cell r="AF59">
            <v>42221</v>
          </cell>
          <cell r="AG59">
            <v>2</v>
          </cell>
          <cell r="AH59">
            <v>2</v>
          </cell>
          <cell r="AI59">
            <v>2</v>
          </cell>
          <cell r="AJ59">
            <v>2</v>
          </cell>
          <cell r="AK59" t="str">
            <v>NULL</v>
          </cell>
          <cell r="AL59">
            <v>1</v>
          </cell>
          <cell r="AM59">
            <v>9</v>
          </cell>
          <cell r="AN59" t="str">
            <v>NULL</v>
          </cell>
          <cell r="AO59" t="str">
            <v>ITS397618</v>
          </cell>
          <cell r="AP59" t="str">
            <v>Independent School standard inspection</v>
          </cell>
          <cell r="AQ59" t="str">
            <v>Independent Standard Inspection</v>
          </cell>
          <cell r="AR59">
            <v>41052</v>
          </cell>
          <cell r="AS59">
            <v>41053</v>
          </cell>
          <cell r="AT59">
            <v>41078</v>
          </cell>
          <cell r="AU59">
            <v>2</v>
          </cell>
          <cell r="AV59">
            <v>2</v>
          </cell>
          <cell r="AW59">
            <v>2</v>
          </cell>
          <cell r="AX59" t="str">
            <v>NULL</v>
          </cell>
          <cell r="AY59" t="str">
            <v>NULL</v>
          </cell>
          <cell r="AZ59">
            <v>8</v>
          </cell>
          <cell r="BA59" t="str">
            <v>NULL</v>
          </cell>
          <cell r="BB59" t="str">
            <v>NULL</v>
          </cell>
        </row>
        <row r="60">
          <cell r="D60">
            <v>133309</v>
          </cell>
          <cell r="E60">
            <v>3416047</v>
          </cell>
          <cell r="F60" t="str">
            <v>Liverpool Progressive School</v>
          </cell>
          <cell r="G60" t="str">
            <v>Other Independent Special School</v>
          </cell>
          <cell r="H60">
            <v>36992</v>
          </cell>
          <cell r="I60">
            <v>14</v>
          </cell>
          <cell r="J60" t="str">
            <v>North West</v>
          </cell>
          <cell r="K60" t="str">
            <v>North West</v>
          </cell>
          <cell r="L60" t="str">
            <v>Liverpool</v>
          </cell>
          <cell r="M60" t="str">
            <v>Liverpool, Walton</v>
          </cell>
          <cell r="N60" t="str">
            <v>L9 1NR</v>
          </cell>
          <cell r="O60" t="str">
            <v>Has a sixth form</v>
          </cell>
          <cell r="P60">
            <v>8</v>
          </cell>
          <cell r="Q60">
            <v>19</v>
          </cell>
          <cell r="R60" t="str">
            <v>None</v>
          </cell>
          <cell r="S60" t="str">
            <v>Ofsted</v>
          </cell>
          <cell r="T60" t="str">
            <v>NULL</v>
          </cell>
          <cell r="U60" t="str">
            <v>NULL</v>
          </cell>
          <cell r="V60" t="str">
            <v>NULL</v>
          </cell>
          <cell r="W60" t="str">
            <v>NULL</v>
          </cell>
          <cell r="X60" t="str">
            <v>NULL</v>
          </cell>
          <cell r="Y60" t="str">
            <v>NULL</v>
          </cell>
          <cell r="Z60" t="str">
            <v>NULL</v>
          </cell>
          <cell r="AA60" t="str">
            <v>ITS454265</v>
          </cell>
          <cell r="AB60" t="str">
            <v>Independent School standard inspection</v>
          </cell>
          <cell r="AC60" t="str">
            <v>Independent Standard Inspection</v>
          </cell>
          <cell r="AD60">
            <v>42087</v>
          </cell>
          <cell r="AE60">
            <v>42089</v>
          </cell>
          <cell r="AF60">
            <v>42123</v>
          </cell>
          <cell r="AG60">
            <v>1</v>
          </cell>
          <cell r="AH60">
            <v>1</v>
          </cell>
          <cell r="AI60">
            <v>1</v>
          </cell>
          <cell r="AJ60">
            <v>1</v>
          </cell>
          <cell r="AK60" t="str">
            <v>NULL</v>
          </cell>
          <cell r="AL60">
            <v>9</v>
          </cell>
          <cell r="AM60">
            <v>1</v>
          </cell>
          <cell r="AN60" t="str">
            <v>NULL</v>
          </cell>
          <cell r="AO60" t="str">
            <v>ITS385164</v>
          </cell>
          <cell r="AP60" t="str">
            <v>Independent School standard inspection</v>
          </cell>
          <cell r="AQ60" t="str">
            <v>Independent Standard Inspection</v>
          </cell>
          <cell r="AR60">
            <v>40835</v>
          </cell>
          <cell r="AS60">
            <v>40836</v>
          </cell>
          <cell r="AT60">
            <v>40861</v>
          </cell>
          <cell r="AU60">
            <v>2</v>
          </cell>
          <cell r="AV60">
            <v>2</v>
          </cell>
          <cell r="AW60">
            <v>2</v>
          </cell>
          <cell r="AX60" t="str">
            <v>NULL</v>
          </cell>
          <cell r="AY60" t="str">
            <v>NULL</v>
          </cell>
          <cell r="AZ60">
            <v>8</v>
          </cell>
          <cell r="BA60" t="str">
            <v>NULL</v>
          </cell>
          <cell r="BB60" t="str">
            <v>NULL</v>
          </cell>
        </row>
        <row r="61">
          <cell r="D61">
            <v>119853</v>
          </cell>
          <cell r="E61">
            <v>8886026</v>
          </cell>
          <cell r="F61" t="str">
            <v>Waterloo Lodge School</v>
          </cell>
          <cell r="G61" t="str">
            <v>Other Independent Special School</v>
          </cell>
          <cell r="H61">
            <v>34890</v>
          </cell>
          <cell r="I61">
            <v>51</v>
          </cell>
          <cell r="J61" t="str">
            <v>North West</v>
          </cell>
          <cell r="K61" t="str">
            <v>North West</v>
          </cell>
          <cell r="L61" t="str">
            <v>Lancashire</v>
          </cell>
          <cell r="M61" t="str">
            <v>Chorley</v>
          </cell>
          <cell r="N61" t="str">
            <v>PR6 7AX</v>
          </cell>
          <cell r="O61" t="str">
            <v>Not applicable</v>
          </cell>
          <cell r="P61">
            <v>11</v>
          </cell>
          <cell r="Q61">
            <v>18</v>
          </cell>
          <cell r="R61" t="str">
            <v>None</v>
          </cell>
          <cell r="S61" t="str">
            <v>Ofsted</v>
          </cell>
          <cell r="T61" t="str">
            <v>NULL</v>
          </cell>
          <cell r="U61" t="str">
            <v>NULL</v>
          </cell>
          <cell r="V61" t="str">
            <v>NULL</v>
          </cell>
          <cell r="W61" t="str">
            <v>NULL</v>
          </cell>
          <cell r="X61" t="str">
            <v>NULL</v>
          </cell>
          <cell r="Y61" t="str">
            <v>NULL</v>
          </cell>
          <cell r="Z61" t="str">
            <v>NULL</v>
          </cell>
          <cell r="AA61" t="str">
            <v>ITS454250</v>
          </cell>
          <cell r="AB61" t="str">
            <v>Independent School standard inspection</v>
          </cell>
          <cell r="AC61" t="str">
            <v>Independent Standard Inspection</v>
          </cell>
          <cell r="AD61">
            <v>42017</v>
          </cell>
          <cell r="AE61">
            <v>42019</v>
          </cell>
          <cell r="AF61">
            <v>42054</v>
          </cell>
          <cell r="AG61">
            <v>1</v>
          </cell>
          <cell r="AH61">
            <v>1</v>
          </cell>
          <cell r="AI61">
            <v>1</v>
          </cell>
          <cell r="AJ61">
            <v>1</v>
          </cell>
          <cell r="AK61" t="str">
            <v>NULL</v>
          </cell>
          <cell r="AL61">
            <v>9</v>
          </cell>
          <cell r="AM61">
            <v>9</v>
          </cell>
          <cell r="AN61" t="str">
            <v>NULL</v>
          </cell>
          <cell r="AO61" t="str">
            <v>ITS385157</v>
          </cell>
          <cell r="AP61" t="str">
            <v>Independent School standard inspection</v>
          </cell>
          <cell r="AQ61" t="str">
            <v>Independent Standard Inspection</v>
          </cell>
          <cell r="AR61">
            <v>40835</v>
          </cell>
          <cell r="AS61">
            <v>40836</v>
          </cell>
          <cell r="AT61">
            <v>40861</v>
          </cell>
          <cell r="AU61">
            <v>1</v>
          </cell>
          <cell r="AV61">
            <v>2</v>
          </cell>
          <cell r="AW61">
            <v>1</v>
          </cell>
          <cell r="AX61" t="str">
            <v>NULL</v>
          </cell>
          <cell r="AY61" t="str">
            <v>NULL</v>
          </cell>
          <cell r="AZ61">
            <v>8</v>
          </cell>
          <cell r="BA61" t="str">
            <v>NULL</v>
          </cell>
          <cell r="BB61" t="str">
            <v>NULL</v>
          </cell>
        </row>
        <row r="62">
          <cell r="D62">
            <v>134614</v>
          </cell>
          <cell r="E62">
            <v>9376104</v>
          </cell>
          <cell r="F62" t="str">
            <v xml:space="preserve">Wathen Grange School </v>
          </cell>
          <cell r="G62" t="str">
            <v>Other Independent Special School</v>
          </cell>
          <cell r="H62">
            <v>38007</v>
          </cell>
          <cell r="I62">
            <v>6</v>
          </cell>
          <cell r="J62" t="str">
            <v>West Midlands</v>
          </cell>
          <cell r="K62" t="str">
            <v>West Midlands</v>
          </cell>
          <cell r="L62" t="str">
            <v>Warwickshire</v>
          </cell>
          <cell r="M62" t="str">
            <v>North Warwickshire</v>
          </cell>
          <cell r="N62" t="str">
            <v>CV9 1PZ</v>
          </cell>
          <cell r="O62" t="str">
            <v>Not applicable</v>
          </cell>
          <cell r="P62">
            <v>11</v>
          </cell>
          <cell r="Q62">
            <v>16</v>
          </cell>
          <cell r="R62" t="str">
            <v>None</v>
          </cell>
          <cell r="S62" t="str">
            <v>Ofsted</v>
          </cell>
          <cell r="T62">
            <v>2</v>
          </cell>
          <cell r="U62">
            <v>10025555</v>
          </cell>
          <cell r="V62" t="str">
            <v>Independent school Progress Monitoring inspection</v>
          </cell>
          <cell r="W62">
            <v>42761</v>
          </cell>
          <cell r="X62">
            <v>42761</v>
          </cell>
          <cell r="Y62">
            <v>42794</v>
          </cell>
          <cell r="Z62" t="str">
            <v>Met all standards that were checked</v>
          </cell>
          <cell r="AA62">
            <v>10006016</v>
          </cell>
          <cell r="AB62" t="str">
            <v>Independent School standard inspection</v>
          </cell>
          <cell r="AC62" t="str">
            <v>Independent Standard Inspection</v>
          </cell>
          <cell r="AD62">
            <v>42486</v>
          </cell>
          <cell r="AE62">
            <v>42488</v>
          </cell>
          <cell r="AF62">
            <v>42549</v>
          </cell>
          <cell r="AG62">
            <v>4</v>
          </cell>
          <cell r="AH62">
            <v>3</v>
          </cell>
          <cell r="AI62">
            <v>3</v>
          </cell>
          <cell r="AJ62">
            <v>4</v>
          </cell>
          <cell r="AK62">
            <v>4</v>
          </cell>
          <cell r="AL62" t="str">
            <v>NULL</v>
          </cell>
          <cell r="AM62" t="str">
            <v>NULL</v>
          </cell>
          <cell r="AN62" t="str">
            <v>Yes</v>
          </cell>
          <cell r="AO62" t="str">
            <v>ITS385173</v>
          </cell>
          <cell r="AP62" t="str">
            <v>Independent School standard inspection</v>
          </cell>
          <cell r="AQ62" t="str">
            <v>Independent Standard Inspection</v>
          </cell>
          <cell r="AR62">
            <v>40988</v>
          </cell>
          <cell r="AS62">
            <v>40989</v>
          </cell>
          <cell r="AT62">
            <v>41022</v>
          </cell>
          <cell r="AU62">
            <v>2</v>
          </cell>
          <cell r="AV62">
            <v>2</v>
          </cell>
          <cell r="AW62">
            <v>2</v>
          </cell>
          <cell r="AX62" t="str">
            <v>NULL</v>
          </cell>
          <cell r="AY62" t="str">
            <v>NULL</v>
          </cell>
          <cell r="AZ62">
            <v>8</v>
          </cell>
          <cell r="BA62" t="str">
            <v>NULL</v>
          </cell>
          <cell r="BB62" t="str">
            <v>NULL</v>
          </cell>
        </row>
        <row r="63">
          <cell r="D63">
            <v>136083</v>
          </cell>
          <cell r="E63">
            <v>8736049</v>
          </cell>
          <cell r="F63" t="str">
            <v>Abbey College Cambridge</v>
          </cell>
          <cell r="G63" t="str">
            <v>Other Independent School</v>
          </cell>
          <cell r="H63">
            <v>40239</v>
          </cell>
          <cell r="I63">
            <v>363</v>
          </cell>
          <cell r="J63" t="str">
            <v>East of England</v>
          </cell>
          <cell r="K63" t="str">
            <v>East of England</v>
          </cell>
          <cell r="L63" t="str">
            <v>Cambridgeshire</v>
          </cell>
          <cell r="M63" t="str">
            <v>South Cambridgeshire</v>
          </cell>
          <cell r="N63" t="str">
            <v>CB2 8EB</v>
          </cell>
          <cell r="O63" t="str">
            <v>Has a sixth form</v>
          </cell>
          <cell r="P63">
            <v>13</v>
          </cell>
          <cell r="Q63">
            <v>21</v>
          </cell>
          <cell r="R63" t="str">
            <v>None</v>
          </cell>
          <cell r="S63" t="str">
            <v>Ofsted</v>
          </cell>
          <cell r="T63" t="str">
            <v>NULL</v>
          </cell>
          <cell r="U63" t="str">
            <v>NULL</v>
          </cell>
          <cell r="V63" t="str">
            <v>NULL</v>
          </cell>
          <cell r="W63" t="str">
            <v>NULL</v>
          </cell>
          <cell r="X63" t="str">
            <v>NULL</v>
          </cell>
          <cell r="Y63" t="str">
            <v>NULL</v>
          </cell>
          <cell r="Z63" t="str">
            <v>NULL</v>
          </cell>
          <cell r="AA63">
            <v>10026072</v>
          </cell>
          <cell r="AB63" t="str">
            <v>Independent School standard inspection</v>
          </cell>
          <cell r="AC63" t="str">
            <v>Independent Standard Inspection</v>
          </cell>
          <cell r="AD63">
            <v>42794</v>
          </cell>
          <cell r="AE63">
            <v>42796</v>
          </cell>
          <cell r="AF63">
            <v>42850</v>
          </cell>
          <cell r="AG63">
            <v>2</v>
          </cell>
          <cell r="AH63">
            <v>2</v>
          </cell>
          <cell r="AI63">
            <v>2</v>
          </cell>
          <cell r="AJ63">
            <v>2</v>
          </cell>
          <cell r="AK63">
            <v>1</v>
          </cell>
          <cell r="AL63" t="str">
            <v>NULL</v>
          </cell>
          <cell r="AM63">
            <v>2</v>
          </cell>
          <cell r="AN63" t="str">
            <v>Yes</v>
          </cell>
          <cell r="AO63" t="str">
            <v>ITS422829</v>
          </cell>
          <cell r="AP63" t="str">
            <v>Independent School standard inspection</v>
          </cell>
          <cell r="AQ63" t="str">
            <v>Independent Standard Inspection</v>
          </cell>
          <cell r="AR63">
            <v>41667</v>
          </cell>
          <cell r="AS63">
            <v>41669</v>
          </cell>
          <cell r="AT63">
            <v>41696</v>
          </cell>
          <cell r="AU63">
            <v>1</v>
          </cell>
          <cell r="AV63">
            <v>1</v>
          </cell>
          <cell r="AW63">
            <v>1</v>
          </cell>
          <cell r="AX63">
            <v>1</v>
          </cell>
          <cell r="AY63" t="str">
            <v>NULL</v>
          </cell>
          <cell r="AZ63" t="str">
            <v>NULL</v>
          </cell>
          <cell r="BA63" t="str">
            <v>NULL</v>
          </cell>
          <cell r="BB63" t="str">
            <v>NULL</v>
          </cell>
        </row>
        <row r="64">
          <cell r="D64">
            <v>117035</v>
          </cell>
          <cell r="E64">
            <v>8856026</v>
          </cell>
          <cell r="F64" t="str">
            <v>Abbey College in Malvern</v>
          </cell>
          <cell r="G64" t="str">
            <v>Other Independent School</v>
          </cell>
          <cell r="H64">
            <v>29199</v>
          </cell>
          <cell r="I64">
            <v>52</v>
          </cell>
          <cell r="J64" t="str">
            <v>West Midlands</v>
          </cell>
          <cell r="K64" t="str">
            <v>West Midlands</v>
          </cell>
          <cell r="L64" t="str">
            <v>Worcestershire</v>
          </cell>
          <cell r="M64" t="str">
            <v>West Worcestershire</v>
          </cell>
          <cell r="N64" t="str">
            <v>WR14 4JF</v>
          </cell>
          <cell r="O64" t="str">
            <v>Has a sixth form</v>
          </cell>
          <cell r="P64">
            <v>14</v>
          </cell>
          <cell r="Q64">
            <v>19</v>
          </cell>
          <cell r="R64" t="str">
            <v>None</v>
          </cell>
          <cell r="S64" t="str">
            <v>Ofsted</v>
          </cell>
          <cell r="T64" t="str">
            <v>NULL</v>
          </cell>
          <cell r="U64" t="str">
            <v>NULL</v>
          </cell>
          <cell r="V64" t="str">
            <v>NULL</v>
          </cell>
          <cell r="W64" t="str">
            <v>NULL</v>
          </cell>
          <cell r="X64" t="str">
            <v>NULL</v>
          </cell>
          <cell r="Y64" t="str">
            <v>NULL</v>
          </cell>
          <cell r="Z64" t="str">
            <v>NULL</v>
          </cell>
          <cell r="AA64">
            <v>10012929</v>
          </cell>
          <cell r="AB64" t="str">
            <v xml:space="preserve">Independent School standard inspection - integrated </v>
          </cell>
          <cell r="AC64" t="str">
            <v>Independent Standard Inspection</v>
          </cell>
          <cell r="AD64">
            <v>43053</v>
          </cell>
          <cell r="AE64">
            <v>43055</v>
          </cell>
          <cell r="AF64">
            <v>43143</v>
          </cell>
          <cell r="AG64">
            <v>4</v>
          </cell>
          <cell r="AH64">
            <v>2</v>
          </cell>
          <cell r="AI64">
            <v>2</v>
          </cell>
          <cell r="AJ64">
            <v>4</v>
          </cell>
          <cell r="AK64">
            <v>4</v>
          </cell>
          <cell r="AL64" t="str">
            <v>NULL</v>
          </cell>
          <cell r="AM64">
            <v>2</v>
          </cell>
          <cell r="AN64" t="str">
            <v>No</v>
          </cell>
          <cell r="AO64" t="str">
            <v>ITS410856</v>
          </cell>
          <cell r="AP64" t="str">
            <v xml:space="preserve">Independent School standard inspection - integrated </v>
          </cell>
          <cell r="AQ64" t="str">
            <v>Independent Standard Inspection</v>
          </cell>
          <cell r="AR64">
            <v>41241</v>
          </cell>
          <cell r="AS64">
            <v>41242</v>
          </cell>
          <cell r="AT64">
            <v>41297</v>
          </cell>
          <cell r="AU64">
            <v>2</v>
          </cell>
          <cell r="AV64">
            <v>2</v>
          </cell>
          <cell r="AW64">
            <v>2</v>
          </cell>
          <cell r="AX64" t="str">
            <v>NULL</v>
          </cell>
          <cell r="AY64" t="str">
            <v>NULL</v>
          </cell>
          <cell r="AZ64">
            <v>8</v>
          </cell>
          <cell r="BA64" t="str">
            <v>NULL</v>
          </cell>
          <cell r="BB64" t="str">
            <v>NULL</v>
          </cell>
        </row>
        <row r="65">
          <cell r="D65">
            <v>106386</v>
          </cell>
          <cell r="E65">
            <v>3586012</v>
          </cell>
          <cell r="F65" t="str">
            <v>Abbotsford Preparatory School</v>
          </cell>
          <cell r="G65" t="str">
            <v>Other Independent School</v>
          </cell>
          <cell r="H65">
            <v>21185</v>
          </cell>
          <cell r="I65">
            <v>202</v>
          </cell>
          <cell r="J65" t="str">
            <v>North West</v>
          </cell>
          <cell r="K65" t="str">
            <v>North West</v>
          </cell>
          <cell r="L65" t="str">
            <v>Trafford</v>
          </cell>
          <cell r="M65" t="str">
            <v>Stretford and Urmston</v>
          </cell>
          <cell r="N65" t="str">
            <v>M41 5PR</v>
          </cell>
          <cell r="O65" t="str">
            <v>Does not have a sixth form</v>
          </cell>
          <cell r="P65">
            <v>0</v>
          </cell>
          <cell r="Q65">
            <v>11</v>
          </cell>
          <cell r="R65" t="str">
            <v>None</v>
          </cell>
          <cell r="S65" t="str">
            <v>Ofsted</v>
          </cell>
          <cell r="T65" t="str">
            <v>NULL</v>
          </cell>
          <cell r="U65" t="str">
            <v>NULL</v>
          </cell>
          <cell r="V65" t="str">
            <v>NULL</v>
          </cell>
          <cell r="W65" t="str">
            <v>NULL</v>
          </cell>
          <cell r="X65" t="str">
            <v>NULL</v>
          </cell>
          <cell r="Y65" t="str">
            <v>NULL</v>
          </cell>
          <cell r="Z65" t="str">
            <v>NULL</v>
          </cell>
          <cell r="AA65">
            <v>10034023</v>
          </cell>
          <cell r="AB65" t="str">
            <v>Independent School standard inspection</v>
          </cell>
          <cell r="AC65" t="str">
            <v>Independent Standard Inspection</v>
          </cell>
          <cell r="AD65">
            <v>42893</v>
          </cell>
          <cell r="AE65">
            <v>42895</v>
          </cell>
          <cell r="AF65">
            <v>42936</v>
          </cell>
          <cell r="AG65">
            <v>1</v>
          </cell>
          <cell r="AH65">
            <v>1</v>
          </cell>
          <cell r="AI65">
            <v>1</v>
          </cell>
          <cell r="AJ65">
            <v>1</v>
          </cell>
          <cell r="AK65">
            <v>1</v>
          </cell>
          <cell r="AL65">
            <v>1</v>
          </cell>
          <cell r="AM65" t="str">
            <v>NULL</v>
          </cell>
          <cell r="AN65" t="str">
            <v>Yes</v>
          </cell>
          <cell r="AO65" t="str">
            <v>NULL</v>
          </cell>
          <cell r="AP65" t="str">
            <v>NULL</v>
          </cell>
          <cell r="AQ65" t="str">
            <v>NULL</v>
          </cell>
          <cell r="AR65" t="str">
            <v>NULL</v>
          </cell>
          <cell r="AS65" t="str">
            <v>NULL</v>
          </cell>
          <cell r="AT65" t="str">
            <v>NULL</v>
          </cell>
          <cell r="AU65" t="str">
            <v>NULL</v>
          </cell>
          <cell r="AV65" t="str">
            <v>NULL</v>
          </cell>
          <cell r="AW65" t="str">
            <v>NULL</v>
          </cell>
          <cell r="AX65" t="str">
            <v>NULL</v>
          </cell>
          <cell r="AY65" t="str">
            <v>NULL</v>
          </cell>
          <cell r="AZ65" t="str">
            <v>NULL</v>
          </cell>
          <cell r="BA65" t="str">
            <v>NULL</v>
          </cell>
          <cell r="BB65" t="str">
            <v>NULL</v>
          </cell>
        </row>
        <row r="66">
          <cell r="D66">
            <v>135483</v>
          </cell>
          <cell r="E66">
            <v>3356013</v>
          </cell>
          <cell r="F66" t="str">
            <v>Abu Bakr Boys School</v>
          </cell>
          <cell r="G66" t="str">
            <v>Other Independent School</v>
          </cell>
          <cell r="H66">
            <v>39448</v>
          </cell>
          <cell r="I66">
            <v>209</v>
          </cell>
          <cell r="J66" t="str">
            <v>West Midlands</v>
          </cell>
          <cell r="K66" t="str">
            <v>West Midlands</v>
          </cell>
          <cell r="L66" t="str">
            <v>Walsall</v>
          </cell>
          <cell r="M66" t="str">
            <v>Walsall North</v>
          </cell>
          <cell r="N66" t="str">
            <v>WS2 7AN</v>
          </cell>
          <cell r="O66" t="str">
            <v>Does not have a sixth form</v>
          </cell>
          <cell r="P66">
            <v>11</v>
          </cell>
          <cell r="Q66">
            <v>16</v>
          </cell>
          <cell r="R66" t="str">
            <v>None</v>
          </cell>
          <cell r="S66" t="str">
            <v>Ofsted</v>
          </cell>
          <cell r="T66">
            <v>3</v>
          </cell>
          <cell r="U66">
            <v>10035825</v>
          </cell>
          <cell r="V66" t="str">
            <v>Independent school Progress Monitoring inspection</v>
          </cell>
          <cell r="W66">
            <v>42920</v>
          </cell>
          <cell r="X66">
            <v>42920</v>
          </cell>
          <cell r="Y66">
            <v>42983</v>
          </cell>
          <cell r="Z66" t="str">
            <v>Met all standards that were checked</v>
          </cell>
          <cell r="AA66" t="str">
            <v>ITS442989</v>
          </cell>
          <cell r="AB66" t="str">
            <v>Independent School standard inspection</v>
          </cell>
          <cell r="AC66" t="str">
            <v>Independent Standard Inspection</v>
          </cell>
          <cell r="AD66">
            <v>41947</v>
          </cell>
          <cell r="AE66">
            <v>41949</v>
          </cell>
          <cell r="AF66">
            <v>41978</v>
          </cell>
          <cell r="AG66">
            <v>2</v>
          </cell>
          <cell r="AH66">
            <v>2</v>
          </cell>
          <cell r="AI66">
            <v>2</v>
          </cell>
          <cell r="AJ66">
            <v>2</v>
          </cell>
          <cell r="AK66" t="str">
            <v>NULL</v>
          </cell>
          <cell r="AL66">
            <v>9</v>
          </cell>
          <cell r="AM66">
            <v>9</v>
          </cell>
          <cell r="AN66" t="str">
            <v>NULL</v>
          </cell>
          <cell r="AO66" t="str">
            <v>NULL</v>
          </cell>
          <cell r="AP66" t="str">
            <v>NULL</v>
          </cell>
          <cell r="AQ66" t="str">
            <v>NULL</v>
          </cell>
          <cell r="AR66" t="str">
            <v>NULL</v>
          </cell>
          <cell r="AS66" t="str">
            <v>NULL</v>
          </cell>
          <cell r="AT66" t="str">
            <v>NULL</v>
          </cell>
          <cell r="AU66" t="str">
            <v>NULL</v>
          </cell>
          <cell r="AV66" t="str">
            <v>NULL</v>
          </cell>
          <cell r="AW66" t="str">
            <v>NULL</v>
          </cell>
          <cell r="AX66" t="str">
            <v>NULL</v>
          </cell>
          <cell r="AY66" t="str">
            <v>NULL</v>
          </cell>
          <cell r="AZ66" t="str">
            <v>NULL</v>
          </cell>
          <cell r="BA66" t="str">
            <v>NULL</v>
          </cell>
          <cell r="BB66" t="str">
            <v>NULL</v>
          </cell>
        </row>
        <row r="67">
          <cell r="D67">
            <v>134585</v>
          </cell>
          <cell r="E67">
            <v>3066096</v>
          </cell>
          <cell r="F67" t="str">
            <v>Al-Khair School</v>
          </cell>
          <cell r="G67" t="str">
            <v>Other Independent School</v>
          </cell>
          <cell r="H67">
            <v>37851</v>
          </cell>
          <cell r="I67">
            <v>421</v>
          </cell>
          <cell r="J67" t="str">
            <v>London</v>
          </cell>
          <cell r="K67" t="str">
            <v>London</v>
          </cell>
          <cell r="L67" t="str">
            <v>Croydon</v>
          </cell>
          <cell r="M67" t="str">
            <v>Croydon Central</v>
          </cell>
          <cell r="N67" t="str">
            <v>CR0 6BE</v>
          </cell>
          <cell r="O67" t="str">
            <v>Does not have a sixth form</v>
          </cell>
          <cell r="P67">
            <v>4</v>
          </cell>
          <cell r="Q67">
            <v>16</v>
          </cell>
          <cell r="R67" t="str">
            <v>None</v>
          </cell>
          <cell r="S67" t="str">
            <v>Ofsted</v>
          </cell>
          <cell r="T67" t="str">
            <v>NULL</v>
          </cell>
          <cell r="U67" t="str">
            <v>NULL</v>
          </cell>
          <cell r="V67" t="str">
            <v>NULL</v>
          </cell>
          <cell r="W67" t="str">
            <v>NULL</v>
          </cell>
          <cell r="X67" t="str">
            <v>NULL</v>
          </cell>
          <cell r="Y67" t="str">
            <v>NULL</v>
          </cell>
          <cell r="Z67" t="str">
            <v>NULL</v>
          </cell>
          <cell r="AA67">
            <v>10007698</v>
          </cell>
          <cell r="AB67" t="str">
            <v>Independent School standard inspection</v>
          </cell>
          <cell r="AC67" t="str">
            <v>Independent Standard Inspection</v>
          </cell>
          <cell r="AD67">
            <v>42277</v>
          </cell>
          <cell r="AE67">
            <v>42278</v>
          </cell>
          <cell r="AF67">
            <v>42331</v>
          </cell>
          <cell r="AG67">
            <v>2</v>
          </cell>
          <cell r="AH67">
            <v>2</v>
          </cell>
          <cell r="AI67">
            <v>2</v>
          </cell>
          <cell r="AJ67">
            <v>2</v>
          </cell>
          <cell r="AK67">
            <v>1</v>
          </cell>
          <cell r="AL67">
            <v>2</v>
          </cell>
          <cell r="AM67" t="str">
            <v>NULL</v>
          </cell>
          <cell r="AN67" t="str">
            <v>Yes</v>
          </cell>
          <cell r="AO67" t="str">
            <v>ITS361421</v>
          </cell>
          <cell r="AP67" t="str">
            <v>S162a - LTI Inspection Historic</v>
          </cell>
          <cell r="AQ67" t="str">
            <v>Independent Standard Inspection</v>
          </cell>
          <cell r="AR67">
            <v>40632</v>
          </cell>
          <cell r="AS67">
            <v>40632</v>
          </cell>
          <cell r="AT67">
            <v>40673</v>
          </cell>
          <cell r="AU67">
            <v>3</v>
          </cell>
          <cell r="AV67">
            <v>2</v>
          </cell>
          <cell r="AW67">
            <v>2</v>
          </cell>
          <cell r="AX67" t="str">
            <v>NULL</v>
          </cell>
          <cell r="AY67" t="str">
            <v>NULL</v>
          </cell>
          <cell r="AZ67">
            <v>3</v>
          </cell>
          <cell r="BA67" t="str">
            <v>NULL</v>
          </cell>
          <cell r="BB67" t="str">
            <v>NULL</v>
          </cell>
        </row>
        <row r="68">
          <cell r="D68">
            <v>131122</v>
          </cell>
          <cell r="E68">
            <v>3736028</v>
          </cell>
          <cell r="F68" t="str">
            <v>Al-Mahad-Al-Islami</v>
          </cell>
          <cell r="G68" t="str">
            <v>Other Independent School</v>
          </cell>
          <cell r="H68">
            <v>35396</v>
          </cell>
          <cell r="I68">
            <v>56</v>
          </cell>
          <cell r="J68" t="str">
            <v>North East, Yorkshire and the Humber</v>
          </cell>
          <cell r="K68" t="str">
            <v>Yorkshire and the Humber</v>
          </cell>
          <cell r="L68" t="str">
            <v>Sheffield</v>
          </cell>
          <cell r="M68" t="str">
            <v>Sheffield South East</v>
          </cell>
          <cell r="N68" t="str">
            <v>S9 5FP</v>
          </cell>
          <cell r="O68" t="str">
            <v>Has a sixth form</v>
          </cell>
          <cell r="P68">
            <v>11</v>
          </cell>
          <cell r="Q68">
            <v>17</v>
          </cell>
          <cell r="R68" t="str">
            <v>Muslim</v>
          </cell>
          <cell r="S68" t="str">
            <v>Ofsted</v>
          </cell>
          <cell r="T68" t="str">
            <v>NULL</v>
          </cell>
          <cell r="U68" t="str">
            <v>NULL</v>
          </cell>
          <cell r="V68" t="str">
            <v>NULL</v>
          </cell>
          <cell r="W68" t="str">
            <v>NULL</v>
          </cell>
          <cell r="X68" t="str">
            <v>NULL</v>
          </cell>
          <cell r="Y68" t="str">
            <v>NULL</v>
          </cell>
          <cell r="Z68" t="str">
            <v>NULL</v>
          </cell>
          <cell r="AA68">
            <v>10033916</v>
          </cell>
          <cell r="AB68" t="str">
            <v>Independent School standard inspection</v>
          </cell>
          <cell r="AC68" t="str">
            <v>Independent Standard Inspection</v>
          </cell>
          <cell r="AD68">
            <v>42913</v>
          </cell>
          <cell r="AE68">
            <v>42915</v>
          </cell>
          <cell r="AF68">
            <v>42940</v>
          </cell>
          <cell r="AG68">
            <v>3</v>
          </cell>
          <cell r="AH68">
            <v>3</v>
          </cell>
          <cell r="AI68">
            <v>3</v>
          </cell>
          <cell r="AJ68">
            <v>3</v>
          </cell>
          <cell r="AK68">
            <v>3</v>
          </cell>
          <cell r="AL68" t="str">
            <v>NULL</v>
          </cell>
          <cell r="AM68" t="str">
            <v>NULL</v>
          </cell>
          <cell r="AN68" t="str">
            <v>Yes</v>
          </cell>
          <cell r="AO68" t="str">
            <v>ITS316827</v>
          </cell>
          <cell r="AP68" t="str">
            <v>Independent School standard inspection</v>
          </cell>
          <cell r="AQ68" t="str">
            <v>Independent Standard Inspection</v>
          </cell>
          <cell r="AR68">
            <v>39510</v>
          </cell>
          <cell r="AS68">
            <v>39511</v>
          </cell>
          <cell r="AT68">
            <v>39542</v>
          </cell>
          <cell r="AU68">
            <v>3</v>
          </cell>
          <cell r="AV68">
            <v>3</v>
          </cell>
          <cell r="AW68">
            <v>3</v>
          </cell>
          <cell r="AX68" t="str">
            <v>NULL</v>
          </cell>
          <cell r="AY68" t="str">
            <v>NULL</v>
          </cell>
          <cell r="AZ68" t="str">
            <v>NULL</v>
          </cell>
          <cell r="BA68" t="str">
            <v>NULL</v>
          </cell>
          <cell r="BB68" t="str">
            <v>NULL</v>
          </cell>
        </row>
        <row r="69">
          <cell r="D69">
            <v>141316</v>
          </cell>
          <cell r="E69">
            <v>3806010</v>
          </cell>
          <cell r="F69" t="str">
            <v>Al-Markaz Academy</v>
          </cell>
          <cell r="G69" t="str">
            <v>Other Independent School</v>
          </cell>
          <cell r="H69">
            <v>41853</v>
          </cell>
          <cell r="I69">
            <v>11</v>
          </cell>
          <cell r="J69" t="str">
            <v>North East, Yorkshire and the Humber</v>
          </cell>
          <cell r="K69" t="str">
            <v>Yorkshire and the Humber</v>
          </cell>
          <cell r="L69" t="str">
            <v>Bradford</v>
          </cell>
          <cell r="M69" t="str">
            <v>Bradford South</v>
          </cell>
          <cell r="N69" t="str">
            <v>BD7 2JX</v>
          </cell>
          <cell r="O69" t="str">
            <v>Does not have a sixth form</v>
          </cell>
          <cell r="P69">
            <v>11</v>
          </cell>
          <cell r="Q69">
            <v>14</v>
          </cell>
          <cell r="R69" t="str">
            <v>None</v>
          </cell>
          <cell r="S69" t="str">
            <v>Ofsted</v>
          </cell>
          <cell r="T69">
            <v>1</v>
          </cell>
          <cell r="U69">
            <v>10048775</v>
          </cell>
          <cell r="V69" t="str">
            <v>Independent school evaluation of school action plan</v>
          </cell>
          <cell r="W69">
            <v>43171</v>
          </cell>
          <cell r="X69">
            <v>43171</v>
          </cell>
          <cell r="Y69" t="str">
            <v>NULL</v>
          </cell>
          <cell r="Z69" t="str">
            <v>Action plan is not acceptable</v>
          </cell>
          <cell r="AA69">
            <v>10040147</v>
          </cell>
          <cell r="AB69" t="str">
            <v>Independent School standard inspection</v>
          </cell>
          <cell r="AC69" t="str">
            <v>Independent Standard Inspection</v>
          </cell>
          <cell r="AD69">
            <v>42997</v>
          </cell>
          <cell r="AE69">
            <v>42999</v>
          </cell>
          <cell r="AF69">
            <v>43024</v>
          </cell>
          <cell r="AG69">
            <v>3</v>
          </cell>
          <cell r="AH69">
            <v>3</v>
          </cell>
          <cell r="AI69">
            <v>3</v>
          </cell>
          <cell r="AJ69">
            <v>3</v>
          </cell>
          <cell r="AK69">
            <v>2</v>
          </cell>
          <cell r="AL69" t="str">
            <v>NULL</v>
          </cell>
          <cell r="AM69" t="str">
            <v>NULL</v>
          </cell>
          <cell r="AN69" t="str">
            <v>Yes</v>
          </cell>
          <cell r="AO69">
            <v>10006031</v>
          </cell>
          <cell r="AP69" t="str">
            <v>Independent school standard inspection - first</v>
          </cell>
          <cell r="AQ69" t="str">
            <v>Independent Standard Inspection</v>
          </cell>
          <cell r="AR69">
            <v>42318</v>
          </cell>
          <cell r="AS69">
            <v>42320</v>
          </cell>
          <cell r="AT69">
            <v>42376</v>
          </cell>
          <cell r="AU69">
            <v>3</v>
          </cell>
          <cell r="AV69">
            <v>3</v>
          </cell>
          <cell r="AW69">
            <v>3</v>
          </cell>
          <cell r="AX69">
            <v>3</v>
          </cell>
          <cell r="AY69">
            <v>2</v>
          </cell>
          <cell r="AZ69" t="str">
            <v>NULL</v>
          </cell>
          <cell r="BA69" t="str">
            <v>NULL</v>
          </cell>
          <cell r="BB69" t="str">
            <v>Yes</v>
          </cell>
        </row>
        <row r="70">
          <cell r="D70">
            <v>133646</v>
          </cell>
          <cell r="E70">
            <v>2116392</v>
          </cell>
          <cell r="F70" t="str">
            <v>Al-Mizan School</v>
          </cell>
          <cell r="G70" t="str">
            <v>Other Independent School</v>
          </cell>
          <cell r="H70">
            <v>37348</v>
          </cell>
          <cell r="I70">
            <v>66</v>
          </cell>
          <cell r="J70" t="str">
            <v>London</v>
          </cell>
          <cell r="K70" t="str">
            <v>London</v>
          </cell>
          <cell r="L70" t="str">
            <v>Tower Hamlets</v>
          </cell>
          <cell r="M70" t="str">
            <v>Bethnal Green and Bow</v>
          </cell>
          <cell r="N70" t="str">
            <v>E1 1JX</v>
          </cell>
          <cell r="O70" t="str">
            <v>Does not have a sixth form</v>
          </cell>
          <cell r="P70">
            <v>7</v>
          </cell>
          <cell r="Q70">
            <v>11</v>
          </cell>
          <cell r="R70" t="str">
            <v>None</v>
          </cell>
          <cell r="S70" t="str">
            <v>Ofsted</v>
          </cell>
          <cell r="T70">
            <v>8</v>
          </cell>
          <cell r="U70">
            <v>10034071</v>
          </cell>
          <cell r="V70" t="str">
            <v>Independent school Material Change inspection</v>
          </cell>
          <cell r="W70">
            <v>42823</v>
          </cell>
          <cell r="X70">
            <v>42823</v>
          </cell>
          <cell r="Y70">
            <v>42865</v>
          </cell>
          <cell r="Z70" t="str">
            <v>Likely to meet relevant standards</v>
          </cell>
          <cell r="AA70" t="str">
            <v>ITS446127</v>
          </cell>
          <cell r="AB70" t="str">
            <v>Independent School standard inspection</v>
          </cell>
          <cell r="AC70" t="str">
            <v>Independent Standard Inspection</v>
          </cell>
          <cell r="AD70">
            <v>41920</v>
          </cell>
          <cell r="AE70">
            <v>41922</v>
          </cell>
          <cell r="AF70">
            <v>42039</v>
          </cell>
          <cell r="AG70">
            <v>4</v>
          </cell>
          <cell r="AH70">
            <v>4</v>
          </cell>
          <cell r="AI70">
            <v>4</v>
          </cell>
          <cell r="AJ70">
            <v>4</v>
          </cell>
          <cell r="AK70" t="str">
            <v>NULL</v>
          </cell>
          <cell r="AL70">
            <v>9</v>
          </cell>
          <cell r="AM70">
            <v>9</v>
          </cell>
          <cell r="AN70" t="str">
            <v>NULL</v>
          </cell>
          <cell r="AO70" t="str">
            <v>ITS361405</v>
          </cell>
          <cell r="AP70" t="str">
            <v>Independent School standard inspection</v>
          </cell>
          <cell r="AQ70" t="str">
            <v>Independent Standard Inspection</v>
          </cell>
          <cell r="AR70">
            <v>40638</v>
          </cell>
          <cell r="AS70">
            <v>40639</v>
          </cell>
          <cell r="AT70">
            <v>40722</v>
          </cell>
          <cell r="AU70">
            <v>2</v>
          </cell>
          <cell r="AV70">
            <v>2</v>
          </cell>
          <cell r="AW70">
            <v>2</v>
          </cell>
          <cell r="AX70" t="str">
            <v>NULL</v>
          </cell>
          <cell r="AY70" t="str">
            <v>NULL</v>
          </cell>
          <cell r="AZ70">
            <v>8</v>
          </cell>
          <cell r="BA70" t="str">
            <v>NULL</v>
          </cell>
          <cell r="BB70" t="str">
            <v>NULL</v>
          </cell>
        </row>
        <row r="71">
          <cell r="D71">
            <v>131181</v>
          </cell>
          <cell r="E71">
            <v>8866073</v>
          </cell>
          <cell r="F71" t="str">
            <v>Beech Grove School</v>
          </cell>
          <cell r="G71" t="str">
            <v>Other Independent School</v>
          </cell>
          <cell r="H71">
            <v>35482</v>
          </cell>
          <cell r="I71">
            <v>87</v>
          </cell>
          <cell r="J71" t="str">
            <v>South East</v>
          </cell>
          <cell r="K71" t="str">
            <v>South East</v>
          </cell>
          <cell r="L71" t="str">
            <v>Kent</v>
          </cell>
          <cell r="M71" t="str">
            <v>Dover</v>
          </cell>
          <cell r="N71" t="str">
            <v>CT15 4FB</v>
          </cell>
          <cell r="O71" t="str">
            <v>Has a sixth form</v>
          </cell>
          <cell r="P71">
            <v>4</v>
          </cell>
          <cell r="Q71">
            <v>19</v>
          </cell>
          <cell r="R71" t="str">
            <v>None</v>
          </cell>
          <cell r="S71" t="str">
            <v>Ofsted</v>
          </cell>
          <cell r="T71" t="str">
            <v>NULL</v>
          </cell>
          <cell r="U71" t="str">
            <v>NULL</v>
          </cell>
          <cell r="V71" t="str">
            <v>NULL</v>
          </cell>
          <cell r="W71" t="str">
            <v>NULL</v>
          </cell>
          <cell r="X71" t="str">
            <v>NULL</v>
          </cell>
          <cell r="Y71" t="str">
            <v>NULL</v>
          </cell>
          <cell r="Z71" t="str">
            <v>NULL</v>
          </cell>
          <cell r="AA71">
            <v>10018926</v>
          </cell>
          <cell r="AB71" t="str">
            <v>Independent School standard inspection</v>
          </cell>
          <cell r="AC71" t="str">
            <v>Independent Standard Inspection</v>
          </cell>
          <cell r="AD71">
            <v>42640</v>
          </cell>
          <cell r="AE71">
            <v>42642</v>
          </cell>
          <cell r="AF71">
            <v>42660</v>
          </cell>
          <cell r="AG71">
            <v>2</v>
          </cell>
          <cell r="AH71">
            <v>2</v>
          </cell>
          <cell r="AI71">
            <v>2</v>
          </cell>
          <cell r="AJ71">
            <v>2</v>
          </cell>
          <cell r="AK71">
            <v>1</v>
          </cell>
          <cell r="AL71">
            <v>2</v>
          </cell>
          <cell r="AM71">
            <v>2</v>
          </cell>
          <cell r="AN71" t="str">
            <v>Yes</v>
          </cell>
          <cell r="AO71" t="str">
            <v>ITS408719</v>
          </cell>
          <cell r="AP71" t="str">
            <v>Independent School standard inspection</v>
          </cell>
          <cell r="AQ71" t="str">
            <v>Independent Standard Inspection</v>
          </cell>
          <cell r="AR71">
            <v>41247</v>
          </cell>
          <cell r="AS71">
            <v>41248</v>
          </cell>
          <cell r="AT71">
            <v>41269</v>
          </cell>
          <cell r="AU71">
            <v>2</v>
          </cell>
          <cell r="AV71">
            <v>2</v>
          </cell>
          <cell r="AW71">
            <v>2</v>
          </cell>
          <cell r="AX71" t="str">
            <v>NULL</v>
          </cell>
          <cell r="AY71" t="str">
            <v>NULL</v>
          </cell>
          <cell r="AZ71">
            <v>8</v>
          </cell>
          <cell r="BA71" t="str">
            <v>NULL</v>
          </cell>
          <cell r="BB71" t="str">
            <v>NULL</v>
          </cell>
        </row>
        <row r="72">
          <cell r="D72">
            <v>131170</v>
          </cell>
          <cell r="E72">
            <v>2046398</v>
          </cell>
          <cell r="F72" t="str">
            <v>Beis Aharon School</v>
          </cell>
          <cell r="G72" t="str">
            <v>Other Independent School</v>
          </cell>
          <cell r="H72">
            <v>35464</v>
          </cell>
          <cell r="I72">
            <v>323</v>
          </cell>
          <cell r="J72" t="str">
            <v>London</v>
          </cell>
          <cell r="K72" t="str">
            <v>London</v>
          </cell>
          <cell r="L72" t="str">
            <v>Hackney</v>
          </cell>
          <cell r="M72" t="str">
            <v>Hackney North and Stoke Newington</v>
          </cell>
          <cell r="N72" t="str">
            <v>N16 5ED</v>
          </cell>
          <cell r="O72" t="str">
            <v>Does not have a sixth form</v>
          </cell>
          <cell r="P72">
            <v>3</v>
          </cell>
          <cell r="Q72">
            <v>13</v>
          </cell>
          <cell r="R72" t="str">
            <v>None</v>
          </cell>
          <cell r="S72" t="str">
            <v>Ofsted</v>
          </cell>
          <cell r="T72">
            <v>7</v>
          </cell>
          <cell r="U72">
            <v>10039496</v>
          </cell>
          <cell r="V72" t="str">
            <v>Independent school Progress Monitoring inspection</v>
          </cell>
          <cell r="W72">
            <v>42935</v>
          </cell>
          <cell r="X72">
            <v>42935</v>
          </cell>
          <cell r="Y72">
            <v>43017</v>
          </cell>
          <cell r="Z72" t="str">
            <v>Did not meet all standards that were checked</v>
          </cell>
          <cell r="AA72" t="str">
            <v>ITS422718</v>
          </cell>
          <cell r="AB72" t="str">
            <v>Independent School standard inspection</v>
          </cell>
          <cell r="AC72" t="str">
            <v>Independent Standard Inspection</v>
          </cell>
          <cell r="AD72">
            <v>41961</v>
          </cell>
          <cell r="AE72">
            <v>41963</v>
          </cell>
          <cell r="AF72">
            <v>42046</v>
          </cell>
          <cell r="AG72">
            <v>4</v>
          </cell>
          <cell r="AH72">
            <v>4</v>
          </cell>
          <cell r="AI72">
            <v>4</v>
          </cell>
          <cell r="AJ72">
            <v>4</v>
          </cell>
          <cell r="AK72" t="str">
            <v>NULL</v>
          </cell>
          <cell r="AL72">
            <v>4</v>
          </cell>
          <cell r="AM72">
            <v>9</v>
          </cell>
          <cell r="AN72" t="str">
            <v>NULL</v>
          </cell>
          <cell r="AO72" t="str">
            <v>ITS361371</v>
          </cell>
          <cell r="AP72" t="str">
            <v>Independent School standard inspection</v>
          </cell>
          <cell r="AQ72" t="str">
            <v>Independent Standard Inspection</v>
          </cell>
          <cell r="AR72">
            <v>40490</v>
          </cell>
          <cell r="AS72">
            <v>40491</v>
          </cell>
          <cell r="AT72">
            <v>40515</v>
          </cell>
          <cell r="AU72">
            <v>3</v>
          </cell>
          <cell r="AV72">
            <v>2</v>
          </cell>
          <cell r="AW72">
            <v>3</v>
          </cell>
          <cell r="AX72" t="str">
            <v>NULL</v>
          </cell>
          <cell r="AY72" t="str">
            <v>NULL</v>
          </cell>
          <cell r="AZ72">
            <v>3</v>
          </cell>
          <cell r="BA72" t="str">
            <v>NULL</v>
          </cell>
          <cell r="BB72" t="str">
            <v>NULL</v>
          </cell>
        </row>
        <row r="73">
          <cell r="D73">
            <v>102171</v>
          </cell>
          <cell r="E73">
            <v>2046399</v>
          </cell>
          <cell r="F73" t="str">
            <v>Beis Chinuch Lebonos Girls School</v>
          </cell>
          <cell r="G73" t="str">
            <v>Other Independent School</v>
          </cell>
          <cell r="H73">
            <v>33458</v>
          </cell>
          <cell r="I73">
            <v>716</v>
          </cell>
          <cell r="J73" t="str">
            <v>London</v>
          </cell>
          <cell r="K73" t="str">
            <v>London</v>
          </cell>
          <cell r="L73" t="str">
            <v>Hackney</v>
          </cell>
          <cell r="M73" t="str">
            <v>Hackney North and Stoke Newington</v>
          </cell>
          <cell r="N73" t="str">
            <v>N4 2SH</v>
          </cell>
          <cell r="O73" t="str">
            <v>Does not have a sixth form</v>
          </cell>
          <cell r="P73">
            <v>2</v>
          </cell>
          <cell r="Q73">
            <v>16</v>
          </cell>
          <cell r="R73" t="str">
            <v>None</v>
          </cell>
          <cell r="S73" t="str">
            <v>Ofsted</v>
          </cell>
          <cell r="T73">
            <v>1</v>
          </cell>
          <cell r="U73">
            <v>10007304</v>
          </cell>
          <cell r="V73" t="str">
            <v>Independent school emergency inspection</v>
          </cell>
          <cell r="W73">
            <v>42257</v>
          </cell>
          <cell r="X73">
            <v>42257</v>
          </cell>
          <cell r="Y73" t="str">
            <v>NULL</v>
          </cell>
          <cell r="Z73" t="str">
            <v>Unmet standards</v>
          </cell>
          <cell r="AA73" t="str">
            <v>ITS364224</v>
          </cell>
          <cell r="AB73" t="str">
            <v>S162a - LTI Inspection Historic</v>
          </cell>
          <cell r="AC73" t="str">
            <v>Independent Standard Inspection</v>
          </cell>
          <cell r="AD73">
            <v>40605</v>
          </cell>
          <cell r="AE73">
            <v>40605</v>
          </cell>
          <cell r="AF73">
            <v>40634</v>
          </cell>
          <cell r="AG73">
            <v>1</v>
          </cell>
          <cell r="AH73">
            <v>1</v>
          </cell>
          <cell r="AI73">
            <v>2</v>
          </cell>
          <cell r="AJ73" t="str">
            <v>NULL</v>
          </cell>
          <cell r="AK73" t="str">
            <v>NULL</v>
          </cell>
          <cell r="AL73">
            <v>2</v>
          </cell>
          <cell r="AM73" t="str">
            <v>NULL</v>
          </cell>
          <cell r="AN73" t="str">
            <v>NULL</v>
          </cell>
          <cell r="AO73" t="str">
            <v>ITS320344</v>
          </cell>
          <cell r="AP73" t="str">
            <v>Independent School standard inspection</v>
          </cell>
          <cell r="AQ73" t="str">
            <v>Independent Standard Inspection</v>
          </cell>
          <cell r="AR73">
            <v>39471</v>
          </cell>
          <cell r="AS73">
            <v>39472</v>
          </cell>
          <cell r="AT73">
            <v>39496</v>
          </cell>
          <cell r="AU73">
            <v>2</v>
          </cell>
          <cell r="AV73">
            <v>2</v>
          </cell>
          <cell r="AW73">
            <v>2</v>
          </cell>
          <cell r="AX73" t="str">
            <v>NULL</v>
          </cell>
          <cell r="AY73" t="str">
            <v>NULL</v>
          </cell>
          <cell r="AZ73" t="str">
            <v>NULL</v>
          </cell>
          <cell r="BA73" t="str">
            <v>NULL</v>
          </cell>
          <cell r="BB73" t="str">
            <v>NULL</v>
          </cell>
        </row>
        <row r="74">
          <cell r="D74">
            <v>135168</v>
          </cell>
          <cell r="E74">
            <v>3556054</v>
          </cell>
          <cell r="F74" t="str">
            <v>Beis Hatalmud School</v>
          </cell>
          <cell r="G74" t="str">
            <v>Other Independent School</v>
          </cell>
          <cell r="H74">
            <v>39111</v>
          </cell>
          <cell r="I74">
            <v>81</v>
          </cell>
          <cell r="J74" t="str">
            <v>North West</v>
          </cell>
          <cell r="K74" t="str">
            <v>North West</v>
          </cell>
          <cell r="L74" t="str">
            <v>Salford</v>
          </cell>
          <cell r="M74" t="str">
            <v>Blackley and Broughton</v>
          </cell>
          <cell r="N74" t="str">
            <v>M7 2FD</v>
          </cell>
          <cell r="O74" t="str">
            <v>Does not have a sixth form</v>
          </cell>
          <cell r="P74">
            <v>11</v>
          </cell>
          <cell r="Q74">
            <v>16</v>
          </cell>
          <cell r="R74" t="str">
            <v>None</v>
          </cell>
          <cell r="S74" t="str">
            <v>Ofsted</v>
          </cell>
          <cell r="T74" t="str">
            <v>NULL</v>
          </cell>
          <cell r="U74" t="str">
            <v>NULL</v>
          </cell>
          <cell r="V74" t="str">
            <v>NULL</v>
          </cell>
          <cell r="W74" t="str">
            <v>NULL</v>
          </cell>
          <cell r="X74" t="str">
            <v>NULL</v>
          </cell>
          <cell r="Y74" t="str">
            <v>NULL</v>
          </cell>
          <cell r="Z74" t="str">
            <v>NULL</v>
          </cell>
          <cell r="AA74">
            <v>10034027</v>
          </cell>
          <cell r="AB74" t="str">
            <v>Independent School standard inspection</v>
          </cell>
          <cell r="AC74" t="str">
            <v>Independent Standard Inspection</v>
          </cell>
          <cell r="AD74">
            <v>42892</v>
          </cell>
          <cell r="AE74">
            <v>42894</v>
          </cell>
          <cell r="AF74">
            <v>42920</v>
          </cell>
          <cell r="AG74">
            <v>2</v>
          </cell>
          <cell r="AH74">
            <v>2</v>
          </cell>
          <cell r="AI74">
            <v>2</v>
          </cell>
          <cell r="AJ74">
            <v>2</v>
          </cell>
          <cell r="AK74">
            <v>2</v>
          </cell>
          <cell r="AL74" t="str">
            <v>NULL</v>
          </cell>
          <cell r="AM74" t="str">
            <v>NULL</v>
          </cell>
          <cell r="AN74" t="str">
            <v>Yes</v>
          </cell>
          <cell r="AO74" t="str">
            <v>ITS464058</v>
          </cell>
          <cell r="AP74" t="str">
            <v>Independent School standard inspection</v>
          </cell>
          <cell r="AQ74" t="str">
            <v>Independent Standard Inspection</v>
          </cell>
          <cell r="AR74">
            <v>42171</v>
          </cell>
          <cell r="AS74">
            <v>42173</v>
          </cell>
          <cell r="AT74">
            <v>42200</v>
          </cell>
          <cell r="AU74">
            <v>3</v>
          </cell>
          <cell r="AV74">
            <v>3</v>
          </cell>
          <cell r="AW74">
            <v>3</v>
          </cell>
          <cell r="AX74">
            <v>3</v>
          </cell>
          <cell r="AY74" t="str">
            <v>NULL</v>
          </cell>
          <cell r="AZ74">
            <v>9</v>
          </cell>
          <cell r="BA74">
            <v>9</v>
          </cell>
          <cell r="BB74" t="str">
            <v>NULL</v>
          </cell>
        </row>
        <row r="75">
          <cell r="D75">
            <v>137318</v>
          </cell>
          <cell r="E75">
            <v>2046001</v>
          </cell>
          <cell r="F75" t="str">
            <v>Bnei Zion Community School</v>
          </cell>
          <cell r="G75" t="str">
            <v>Other Independent School</v>
          </cell>
          <cell r="H75">
            <v>40772</v>
          </cell>
          <cell r="I75">
            <v>137</v>
          </cell>
          <cell r="J75" t="str">
            <v>London</v>
          </cell>
          <cell r="K75" t="str">
            <v>London</v>
          </cell>
          <cell r="L75" t="str">
            <v>Hackney</v>
          </cell>
          <cell r="M75" t="str">
            <v>Hackney North and Stoke Newington</v>
          </cell>
          <cell r="N75" t="str">
            <v>N16 6TJ</v>
          </cell>
          <cell r="O75" t="str">
            <v>Does not have a sixth form</v>
          </cell>
          <cell r="P75">
            <v>3</v>
          </cell>
          <cell r="Q75">
            <v>5</v>
          </cell>
          <cell r="R75" t="str">
            <v>None</v>
          </cell>
          <cell r="S75" t="str">
            <v>Ofsted</v>
          </cell>
          <cell r="T75">
            <v>2</v>
          </cell>
          <cell r="U75">
            <v>10045010</v>
          </cell>
          <cell r="V75" t="str">
            <v>Independent school Progress Monitoring inspection</v>
          </cell>
          <cell r="W75">
            <v>43130</v>
          </cell>
          <cell r="X75">
            <v>43130</v>
          </cell>
          <cell r="Y75">
            <v>43186</v>
          </cell>
          <cell r="Z75" t="str">
            <v>Did not meet all standards that were checked</v>
          </cell>
          <cell r="AA75">
            <v>10012792</v>
          </cell>
          <cell r="AB75" t="str">
            <v>Independent School standard inspection</v>
          </cell>
          <cell r="AC75" t="str">
            <v>Independent Standard Inspection</v>
          </cell>
          <cell r="AD75">
            <v>42710</v>
          </cell>
          <cell r="AE75">
            <v>42712</v>
          </cell>
          <cell r="AF75">
            <v>42809</v>
          </cell>
          <cell r="AG75">
            <v>4</v>
          </cell>
          <cell r="AH75">
            <v>4</v>
          </cell>
          <cell r="AI75">
            <v>4</v>
          </cell>
          <cell r="AJ75">
            <v>4</v>
          </cell>
          <cell r="AK75">
            <v>4</v>
          </cell>
          <cell r="AL75">
            <v>4</v>
          </cell>
          <cell r="AM75" t="str">
            <v>NULL</v>
          </cell>
          <cell r="AN75" t="str">
            <v>Yes</v>
          </cell>
          <cell r="AO75" t="str">
            <v>ITS393271</v>
          </cell>
          <cell r="AP75" t="str">
            <v>Independent school standard inspection - first</v>
          </cell>
          <cell r="AQ75" t="str">
            <v>Independent Standard Inspection</v>
          </cell>
          <cell r="AR75">
            <v>41094</v>
          </cell>
          <cell r="AS75">
            <v>41095</v>
          </cell>
          <cell r="AT75">
            <v>41162</v>
          </cell>
          <cell r="AU75">
            <v>2</v>
          </cell>
          <cell r="AV75">
            <v>2</v>
          </cell>
          <cell r="AW75">
            <v>2</v>
          </cell>
          <cell r="AX75" t="str">
            <v>NULL</v>
          </cell>
          <cell r="AY75" t="str">
            <v>NULL</v>
          </cell>
          <cell r="AZ75">
            <v>8</v>
          </cell>
          <cell r="BA75" t="str">
            <v>NULL</v>
          </cell>
          <cell r="BB75" t="str">
            <v>NULL</v>
          </cell>
        </row>
        <row r="76">
          <cell r="D76">
            <v>100291</v>
          </cell>
          <cell r="E76">
            <v>2046242</v>
          </cell>
          <cell r="F76" t="str">
            <v>Bnois Jerusalem Girls School</v>
          </cell>
          <cell r="G76" t="str">
            <v>Other Independent School</v>
          </cell>
          <cell r="H76">
            <v>22777</v>
          </cell>
          <cell r="I76">
            <v>820</v>
          </cell>
          <cell r="J76" t="str">
            <v>London</v>
          </cell>
          <cell r="K76" t="str">
            <v>London</v>
          </cell>
          <cell r="L76" t="str">
            <v>Hackney</v>
          </cell>
          <cell r="M76" t="str">
            <v>Hackney North and Stoke Newington</v>
          </cell>
          <cell r="N76" t="str">
            <v>N16 5DL</v>
          </cell>
          <cell r="O76" t="str">
            <v>Does not have a sixth form</v>
          </cell>
          <cell r="P76">
            <v>2</v>
          </cell>
          <cell r="Q76">
            <v>16</v>
          </cell>
          <cell r="R76" t="str">
            <v>None</v>
          </cell>
          <cell r="S76" t="str">
            <v>Ofsted</v>
          </cell>
          <cell r="T76">
            <v>7</v>
          </cell>
          <cell r="U76">
            <v>10034462</v>
          </cell>
          <cell r="V76" t="str">
            <v>Independent school Progress Monitoring inspection</v>
          </cell>
          <cell r="W76">
            <v>42849</v>
          </cell>
          <cell r="X76">
            <v>42849</v>
          </cell>
          <cell r="Y76">
            <v>42872</v>
          </cell>
          <cell r="Z76" t="str">
            <v>Met all standards that were checked</v>
          </cell>
          <cell r="AA76" t="str">
            <v>ITS386844</v>
          </cell>
          <cell r="AB76" t="str">
            <v>Independent School standard inspection</v>
          </cell>
          <cell r="AC76" t="str">
            <v>Independent Standard Inspection</v>
          </cell>
          <cell r="AD76">
            <v>40946</v>
          </cell>
          <cell r="AE76">
            <v>40947</v>
          </cell>
          <cell r="AF76">
            <v>41241</v>
          </cell>
          <cell r="AG76">
            <v>2</v>
          </cell>
          <cell r="AH76">
            <v>2</v>
          </cell>
          <cell r="AI76">
            <v>2</v>
          </cell>
          <cell r="AJ76" t="str">
            <v>NULL</v>
          </cell>
          <cell r="AK76" t="str">
            <v>NULL</v>
          </cell>
          <cell r="AL76">
            <v>8</v>
          </cell>
          <cell r="AM76" t="str">
            <v>NULL</v>
          </cell>
          <cell r="AN76" t="str">
            <v>NULL</v>
          </cell>
          <cell r="AO76" t="str">
            <v>ITS329737</v>
          </cell>
          <cell r="AP76" t="str">
            <v>Independent School standard inspection</v>
          </cell>
          <cell r="AQ76" t="str">
            <v>Independent Standard Inspection</v>
          </cell>
          <cell r="AR76">
            <v>39707</v>
          </cell>
          <cell r="AS76">
            <v>39708</v>
          </cell>
          <cell r="AT76">
            <v>39742</v>
          </cell>
          <cell r="AU76">
            <v>3</v>
          </cell>
          <cell r="AV76">
            <v>3</v>
          </cell>
          <cell r="AW76">
            <v>3</v>
          </cell>
          <cell r="AX76" t="str">
            <v>NULL</v>
          </cell>
          <cell r="AY76" t="str">
            <v>NULL</v>
          </cell>
          <cell r="AZ76">
            <v>3</v>
          </cell>
          <cell r="BA76" t="str">
            <v>NULL</v>
          </cell>
          <cell r="BB76" t="str">
            <v>NULL</v>
          </cell>
        </row>
        <row r="77">
          <cell r="D77">
            <v>136231</v>
          </cell>
          <cell r="E77">
            <v>3046114</v>
          </cell>
          <cell r="F77" t="str">
            <v>Bnos Beis Yaakov Primary School</v>
          </cell>
          <cell r="G77" t="str">
            <v>Other Independent School</v>
          </cell>
          <cell r="H77">
            <v>40434</v>
          </cell>
          <cell r="I77">
            <v>102</v>
          </cell>
          <cell r="J77" t="str">
            <v>London</v>
          </cell>
          <cell r="K77" t="str">
            <v>London</v>
          </cell>
          <cell r="L77" t="str">
            <v>Brent</v>
          </cell>
          <cell r="M77" t="str">
            <v>Brent North</v>
          </cell>
          <cell r="N77" t="str">
            <v>NW9 8XR</v>
          </cell>
          <cell r="O77" t="str">
            <v>Does not have a sixth form</v>
          </cell>
          <cell r="P77">
            <v>3</v>
          </cell>
          <cell r="Q77">
            <v>11</v>
          </cell>
          <cell r="R77" t="str">
            <v>None</v>
          </cell>
          <cell r="S77" t="str">
            <v>Ofsted</v>
          </cell>
          <cell r="T77">
            <v>1</v>
          </cell>
          <cell r="U77">
            <v>10025512</v>
          </cell>
          <cell r="V77" t="str">
            <v>Independent school Material Change inspection</v>
          </cell>
          <cell r="W77">
            <v>42684</v>
          </cell>
          <cell r="X77">
            <v>42684</v>
          </cell>
          <cell r="Y77">
            <v>42725</v>
          </cell>
          <cell r="Z77" t="str">
            <v>Likely to meet relevant standards</v>
          </cell>
          <cell r="AA77" t="str">
            <v>ITS447183</v>
          </cell>
          <cell r="AB77" t="str">
            <v>Independent School standard inspection</v>
          </cell>
          <cell r="AC77" t="str">
            <v>Independent Standard Inspection</v>
          </cell>
          <cell r="AD77">
            <v>41933</v>
          </cell>
          <cell r="AE77">
            <v>41935</v>
          </cell>
          <cell r="AF77">
            <v>42039</v>
          </cell>
          <cell r="AG77">
            <v>3</v>
          </cell>
          <cell r="AH77">
            <v>3</v>
          </cell>
          <cell r="AI77">
            <v>3</v>
          </cell>
          <cell r="AJ77">
            <v>3</v>
          </cell>
          <cell r="AK77" t="str">
            <v>NULL</v>
          </cell>
          <cell r="AL77">
            <v>3</v>
          </cell>
          <cell r="AM77">
            <v>9</v>
          </cell>
          <cell r="AN77" t="str">
            <v>NULL</v>
          </cell>
          <cell r="AO77" t="str">
            <v>ITS366899</v>
          </cell>
          <cell r="AP77" t="str">
            <v>Independent School standard inspection</v>
          </cell>
          <cell r="AQ77" t="str">
            <v>Independent Standard Inspection</v>
          </cell>
          <cell r="AR77">
            <v>40687</v>
          </cell>
          <cell r="AS77">
            <v>40688</v>
          </cell>
          <cell r="AT77">
            <v>40710</v>
          </cell>
          <cell r="AU77">
            <v>2</v>
          </cell>
          <cell r="AV77">
            <v>2</v>
          </cell>
          <cell r="AW77">
            <v>2</v>
          </cell>
          <cell r="AX77" t="str">
            <v>NULL</v>
          </cell>
          <cell r="AY77" t="str">
            <v>NULL</v>
          </cell>
          <cell r="AZ77">
            <v>2</v>
          </cell>
          <cell r="BA77" t="str">
            <v>NULL</v>
          </cell>
          <cell r="BB77" t="str">
            <v>NULL</v>
          </cell>
        </row>
        <row r="78">
          <cell r="D78">
            <v>105996</v>
          </cell>
          <cell r="E78">
            <v>3556011</v>
          </cell>
          <cell r="F78" t="str">
            <v>Bnos Yisroel School Manchester</v>
          </cell>
          <cell r="G78" t="str">
            <v>Other Independent School</v>
          </cell>
          <cell r="H78">
            <v>24883</v>
          </cell>
          <cell r="I78">
            <v>617</v>
          </cell>
          <cell r="J78" t="str">
            <v>North West</v>
          </cell>
          <cell r="K78" t="str">
            <v>North West</v>
          </cell>
          <cell r="L78" t="str">
            <v>Salford</v>
          </cell>
          <cell r="M78" t="str">
            <v>Blackley and Broughton</v>
          </cell>
          <cell r="N78" t="str">
            <v>M7 4DA</v>
          </cell>
          <cell r="O78" t="str">
            <v>Does not have a sixth form</v>
          </cell>
          <cell r="P78">
            <v>3</v>
          </cell>
          <cell r="Q78">
            <v>16</v>
          </cell>
          <cell r="R78" t="str">
            <v>None</v>
          </cell>
          <cell r="S78" t="str">
            <v>Ofsted</v>
          </cell>
          <cell r="T78" t="str">
            <v>NULL</v>
          </cell>
          <cell r="U78" t="str">
            <v>NULL</v>
          </cell>
          <cell r="V78" t="str">
            <v>NULL</v>
          </cell>
          <cell r="W78" t="str">
            <v>NULL</v>
          </cell>
          <cell r="X78" t="str">
            <v>NULL</v>
          </cell>
          <cell r="Y78" t="str">
            <v>NULL</v>
          </cell>
          <cell r="Z78" t="str">
            <v>NULL</v>
          </cell>
          <cell r="AA78">
            <v>10034022</v>
          </cell>
          <cell r="AB78" t="str">
            <v>Independent School standard inspection</v>
          </cell>
          <cell r="AC78" t="str">
            <v>Independent Standard Inspection</v>
          </cell>
          <cell r="AD78">
            <v>42920</v>
          </cell>
          <cell r="AE78">
            <v>42922</v>
          </cell>
          <cell r="AF78">
            <v>43042</v>
          </cell>
          <cell r="AG78">
            <v>2</v>
          </cell>
          <cell r="AH78">
            <v>2</v>
          </cell>
          <cell r="AI78">
            <v>2</v>
          </cell>
          <cell r="AJ78">
            <v>2</v>
          </cell>
          <cell r="AK78">
            <v>2</v>
          </cell>
          <cell r="AL78">
            <v>2</v>
          </cell>
          <cell r="AM78" t="str">
            <v>NULL</v>
          </cell>
          <cell r="AN78" t="str">
            <v>Yes</v>
          </cell>
          <cell r="AO78" t="str">
            <v>ITS443502</v>
          </cell>
          <cell r="AP78" t="str">
            <v>Independent School standard inspection</v>
          </cell>
          <cell r="AQ78" t="str">
            <v>Independent Standard Inspection</v>
          </cell>
          <cell r="AR78">
            <v>41821</v>
          </cell>
          <cell r="AS78">
            <v>41823</v>
          </cell>
          <cell r="AT78">
            <v>41844</v>
          </cell>
          <cell r="AU78">
            <v>2</v>
          </cell>
          <cell r="AV78">
            <v>2</v>
          </cell>
          <cell r="AW78">
            <v>2</v>
          </cell>
          <cell r="AX78">
            <v>2</v>
          </cell>
          <cell r="AY78" t="str">
            <v>NULL</v>
          </cell>
          <cell r="AZ78" t="str">
            <v>NULL</v>
          </cell>
          <cell r="BA78" t="str">
            <v>NULL</v>
          </cell>
          <cell r="BB78" t="str">
            <v>NULL</v>
          </cell>
        </row>
        <row r="79">
          <cell r="D79">
            <v>104730</v>
          </cell>
          <cell r="E79">
            <v>3416040</v>
          </cell>
          <cell r="F79" t="str">
            <v>Christian Fellowship School</v>
          </cell>
          <cell r="G79" t="str">
            <v>Other Independent School</v>
          </cell>
          <cell r="H79">
            <v>29644</v>
          </cell>
          <cell r="I79">
            <v>134</v>
          </cell>
          <cell r="J79" t="str">
            <v>North West</v>
          </cell>
          <cell r="K79" t="str">
            <v>North West</v>
          </cell>
          <cell r="L79" t="str">
            <v>Liverpool</v>
          </cell>
          <cell r="M79" t="str">
            <v>Liverpool, Wavertree</v>
          </cell>
          <cell r="N79" t="str">
            <v>L7 3HL</v>
          </cell>
          <cell r="O79" t="str">
            <v>Does not have a sixth form</v>
          </cell>
          <cell r="P79">
            <v>4</v>
          </cell>
          <cell r="Q79">
            <v>16</v>
          </cell>
          <cell r="R79" t="str">
            <v>Christian</v>
          </cell>
          <cell r="S79" t="str">
            <v>Ofsted</v>
          </cell>
          <cell r="T79" t="str">
            <v>NULL</v>
          </cell>
          <cell r="U79" t="str">
            <v>NULL</v>
          </cell>
          <cell r="V79" t="str">
            <v>NULL</v>
          </cell>
          <cell r="W79" t="str">
            <v>NULL</v>
          </cell>
          <cell r="X79" t="str">
            <v>NULL</v>
          </cell>
          <cell r="Y79" t="str">
            <v>NULL</v>
          </cell>
          <cell r="Z79" t="str">
            <v>NULL</v>
          </cell>
          <cell r="AA79">
            <v>10020913</v>
          </cell>
          <cell r="AB79" t="str">
            <v>Independent School standard inspection</v>
          </cell>
          <cell r="AC79" t="str">
            <v>Independent Standard Inspection</v>
          </cell>
          <cell r="AD79">
            <v>42780</v>
          </cell>
          <cell r="AE79">
            <v>42782</v>
          </cell>
          <cell r="AF79">
            <v>42880</v>
          </cell>
          <cell r="AG79">
            <v>2</v>
          </cell>
          <cell r="AH79">
            <v>2</v>
          </cell>
          <cell r="AI79">
            <v>2</v>
          </cell>
          <cell r="AJ79">
            <v>2</v>
          </cell>
          <cell r="AK79">
            <v>1</v>
          </cell>
          <cell r="AL79">
            <v>2</v>
          </cell>
          <cell r="AM79" t="str">
            <v>NULL</v>
          </cell>
          <cell r="AN79" t="str">
            <v>Yes</v>
          </cell>
          <cell r="AO79" t="str">
            <v>ITS422694</v>
          </cell>
          <cell r="AP79" t="str">
            <v>Independent School standard inspection</v>
          </cell>
          <cell r="AQ79" t="str">
            <v>Independent Standard Inspection</v>
          </cell>
          <cell r="AR79">
            <v>41597</v>
          </cell>
          <cell r="AS79">
            <v>41599</v>
          </cell>
          <cell r="AT79">
            <v>41620</v>
          </cell>
          <cell r="AU79">
            <v>2</v>
          </cell>
          <cell r="AV79">
            <v>2</v>
          </cell>
          <cell r="AW79">
            <v>2</v>
          </cell>
          <cell r="AX79">
            <v>2</v>
          </cell>
          <cell r="AY79" t="str">
            <v>NULL</v>
          </cell>
          <cell r="AZ79" t="str">
            <v>NULL</v>
          </cell>
          <cell r="BA79" t="str">
            <v>NULL</v>
          </cell>
          <cell r="BB79" t="str">
            <v>NULL</v>
          </cell>
        </row>
        <row r="80">
          <cell r="D80">
            <v>114640</v>
          </cell>
          <cell r="E80">
            <v>8456010</v>
          </cell>
          <cell r="F80" t="str">
            <v>Claremont School</v>
          </cell>
          <cell r="G80" t="str">
            <v>Other Independent School</v>
          </cell>
          <cell r="H80">
            <v>15342</v>
          </cell>
          <cell r="I80">
            <v>637</v>
          </cell>
          <cell r="J80" t="str">
            <v>South East</v>
          </cell>
          <cell r="K80" t="str">
            <v>South East</v>
          </cell>
          <cell r="L80" t="str">
            <v>East Sussex</v>
          </cell>
          <cell r="M80" t="str">
            <v>Hastings and Rye</v>
          </cell>
          <cell r="N80" t="str">
            <v>TN37 7PW</v>
          </cell>
          <cell r="O80" t="str">
            <v>Has a sixth form</v>
          </cell>
          <cell r="P80">
            <v>1</v>
          </cell>
          <cell r="Q80">
            <v>19</v>
          </cell>
          <cell r="R80" t="str">
            <v>None</v>
          </cell>
          <cell r="S80" t="str">
            <v>Ofsted</v>
          </cell>
          <cell r="T80">
            <v>1</v>
          </cell>
          <cell r="U80">
            <v>10039947</v>
          </cell>
          <cell r="V80" t="str">
            <v>Independent school Material Change inspection</v>
          </cell>
          <cell r="W80">
            <v>43026</v>
          </cell>
          <cell r="X80">
            <v>43026</v>
          </cell>
          <cell r="Y80">
            <v>43059</v>
          </cell>
          <cell r="Z80" t="str">
            <v>Likely to meet relevant standards</v>
          </cell>
          <cell r="AA80">
            <v>10017315</v>
          </cell>
          <cell r="AB80" t="str">
            <v>Independent School standard inspection</v>
          </cell>
          <cell r="AC80" t="str">
            <v>Independent Standard Inspection</v>
          </cell>
          <cell r="AD80">
            <v>42486</v>
          </cell>
          <cell r="AE80">
            <v>42488</v>
          </cell>
          <cell r="AF80">
            <v>42517</v>
          </cell>
          <cell r="AG80">
            <v>1</v>
          </cell>
          <cell r="AH80">
            <v>1</v>
          </cell>
          <cell r="AI80">
            <v>1</v>
          </cell>
          <cell r="AJ80">
            <v>1</v>
          </cell>
          <cell r="AK80">
            <v>1</v>
          </cell>
          <cell r="AL80">
            <v>1</v>
          </cell>
          <cell r="AM80">
            <v>1</v>
          </cell>
          <cell r="AN80" t="str">
            <v>Yes</v>
          </cell>
          <cell r="AO80" t="str">
            <v>ITS386835</v>
          </cell>
          <cell r="AP80" t="str">
            <v>Independent School standard inspection</v>
          </cell>
          <cell r="AQ80" t="str">
            <v>Independent Standard Inspection</v>
          </cell>
          <cell r="AR80">
            <v>40982</v>
          </cell>
          <cell r="AS80">
            <v>40983</v>
          </cell>
          <cell r="AT80">
            <v>41236</v>
          </cell>
          <cell r="AU80">
            <v>1</v>
          </cell>
          <cell r="AV80">
            <v>1</v>
          </cell>
          <cell r="AW80">
            <v>1</v>
          </cell>
          <cell r="AX80" t="str">
            <v>NULL</v>
          </cell>
          <cell r="AY80" t="str">
            <v>NULL</v>
          </cell>
          <cell r="AZ80">
            <v>1</v>
          </cell>
          <cell r="BA80" t="str">
            <v>NULL</v>
          </cell>
          <cell r="BB80" t="str">
            <v>NULL</v>
          </cell>
        </row>
        <row r="81">
          <cell r="D81">
            <v>100082</v>
          </cell>
          <cell r="E81">
            <v>2026385</v>
          </cell>
          <cell r="F81" t="str">
            <v>College Francais Bilingue De Londres</v>
          </cell>
          <cell r="G81" t="str">
            <v>Other Independent School</v>
          </cell>
          <cell r="H81">
            <v>33652</v>
          </cell>
          <cell r="I81">
            <v>694</v>
          </cell>
          <cell r="J81" t="str">
            <v>London</v>
          </cell>
          <cell r="K81" t="str">
            <v>London</v>
          </cell>
          <cell r="L81" t="str">
            <v>Camden</v>
          </cell>
          <cell r="M81" t="str">
            <v>Holborn and St Pancras</v>
          </cell>
          <cell r="N81" t="str">
            <v>NW5 3AX</v>
          </cell>
          <cell r="O81" t="str">
            <v>Does not have a sixth form</v>
          </cell>
          <cell r="P81">
            <v>5</v>
          </cell>
          <cell r="Q81">
            <v>16</v>
          </cell>
          <cell r="R81" t="str">
            <v>None</v>
          </cell>
          <cell r="S81" t="str">
            <v>Ofsted</v>
          </cell>
          <cell r="T81" t="str">
            <v>NULL</v>
          </cell>
          <cell r="U81" t="str">
            <v>NULL</v>
          </cell>
          <cell r="V81" t="str">
            <v>NULL</v>
          </cell>
          <cell r="W81" t="str">
            <v>NULL</v>
          </cell>
          <cell r="X81" t="str">
            <v>NULL</v>
          </cell>
          <cell r="Y81" t="str">
            <v>NULL</v>
          </cell>
          <cell r="Z81" t="str">
            <v>NULL</v>
          </cell>
          <cell r="AA81" t="str">
            <v>ITS454239</v>
          </cell>
          <cell r="AB81" t="str">
            <v>Independent School standard inspection</v>
          </cell>
          <cell r="AC81" t="str">
            <v>Independent Standard Inspection</v>
          </cell>
          <cell r="AD81">
            <v>42073</v>
          </cell>
          <cell r="AE81">
            <v>42075</v>
          </cell>
          <cell r="AF81">
            <v>42125</v>
          </cell>
          <cell r="AG81">
            <v>2</v>
          </cell>
          <cell r="AH81">
            <v>1</v>
          </cell>
          <cell r="AI81">
            <v>2</v>
          </cell>
          <cell r="AJ81">
            <v>2</v>
          </cell>
          <cell r="AK81" t="str">
            <v>NULL</v>
          </cell>
          <cell r="AL81">
            <v>9</v>
          </cell>
          <cell r="AM81">
            <v>9</v>
          </cell>
          <cell r="AN81" t="str">
            <v>NULL</v>
          </cell>
          <cell r="AO81" t="str">
            <v>ITS385063</v>
          </cell>
          <cell r="AP81" t="str">
            <v>Independent School standard inspection</v>
          </cell>
          <cell r="AQ81" t="str">
            <v>Independent Standard Inspection</v>
          </cell>
          <cell r="AR81">
            <v>40884</v>
          </cell>
          <cell r="AS81">
            <v>40885</v>
          </cell>
          <cell r="AT81">
            <v>40976</v>
          </cell>
          <cell r="AU81">
            <v>3</v>
          </cell>
          <cell r="AV81">
            <v>3</v>
          </cell>
          <cell r="AW81">
            <v>3</v>
          </cell>
          <cell r="AX81" t="str">
            <v>NULL</v>
          </cell>
          <cell r="AY81" t="str">
            <v>NULL</v>
          </cell>
          <cell r="AZ81">
            <v>8</v>
          </cell>
          <cell r="BA81" t="str">
            <v>NULL</v>
          </cell>
          <cell r="BB81" t="str">
            <v>NULL</v>
          </cell>
        </row>
        <row r="82">
          <cell r="D82">
            <v>135366</v>
          </cell>
          <cell r="E82">
            <v>8916031</v>
          </cell>
          <cell r="F82" t="str">
            <v>Colston Bassett School Limited</v>
          </cell>
          <cell r="G82" t="str">
            <v>Other Independent School</v>
          </cell>
          <cell r="H82">
            <v>39300</v>
          </cell>
          <cell r="I82">
            <v>34</v>
          </cell>
          <cell r="J82" t="str">
            <v>East Midlands</v>
          </cell>
          <cell r="K82" t="str">
            <v>East Midlands</v>
          </cell>
          <cell r="L82" t="str">
            <v>Nottinghamshire</v>
          </cell>
          <cell r="M82" t="str">
            <v>Rushcliffe</v>
          </cell>
          <cell r="N82" t="str">
            <v>NG12 3FD</v>
          </cell>
          <cell r="O82" t="str">
            <v>Does not have a sixth form</v>
          </cell>
          <cell r="P82">
            <v>4</v>
          </cell>
          <cell r="Q82">
            <v>11</v>
          </cell>
          <cell r="R82" t="str">
            <v>None</v>
          </cell>
          <cell r="S82" t="str">
            <v>Ofsted</v>
          </cell>
          <cell r="T82" t="str">
            <v>NULL</v>
          </cell>
          <cell r="U82" t="str">
            <v>NULL</v>
          </cell>
          <cell r="V82" t="str">
            <v>NULL</v>
          </cell>
          <cell r="W82" t="str">
            <v>NULL</v>
          </cell>
          <cell r="X82" t="str">
            <v>NULL</v>
          </cell>
          <cell r="Y82" t="str">
            <v>NULL</v>
          </cell>
          <cell r="Z82" t="str">
            <v>NULL</v>
          </cell>
          <cell r="AA82">
            <v>10020945</v>
          </cell>
          <cell r="AB82" t="str">
            <v>Independent School standard inspection</v>
          </cell>
          <cell r="AC82" t="str">
            <v>Independent Standard Inspection</v>
          </cell>
          <cell r="AD82">
            <v>42808</v>
          </cell>
          <cell r="AE82">
            <v>42810</v>
          </cell>
          <cell r="AF82">
            <v>42852</v>
          </cell>
          <cell r="AG82">
            <v>2</v>
          </cell>
          <cell r="AH82">
            <v>2</v>
          </cell>
          <cell r="AI82">
            <v>2</v>
          </cell>
          <cell r="AJ82">
            <v>2</v>
          </cell>
          <cell r="AK82">
            <v>1</v>
          </cell>
          <cell r="AL82">
            <v>2</v>
          </cell>
          <cell r="AM82" t="str">
            <v>NULL</v>
          </cell>
          <cell r="AN82" t="str">
            <v>Yes</v>
          </cell>
          <cell r="AO82" t="str">
            <v>ITS385124</v>
          </cell>
          <cell r="AP82" t="str">
            <v>Independent School standard inspection</v>
          </cell>
          <cell r="AQ82" t="str">
            <v>Independent Standard Inspection</v>
          </cell>
          <cell r="AR82">
            <v>40939</v>
          </cell>
          <cell r="AS82">
            <v>40940</v>
          </cell>
          <cell r="AT82">
            <v>40966</v>
          </cell>
          <cell r="AU82">
            <v>2</v>
          </cell>
          <cell r="AV82">
            <v>2</v>
          </cell>
          <cell r="AW82">
            <v>2</v>
          </cell>
          <cell r="AX82" t="str">
            <v>NULL</v>
          </cell>
          <cell r="AY82" t="str">
            <v>NULL</v>
          </cell>
          <cell r="AZ82">
            <v>8</v>
          </cell>
          <cell r="BA82" t="str">
            <v>NULL</v>
          </cell>
          <cell r="BB82" t="str">
            <v>NULL</v>
          </cell>
        </row>
        <row r="83">
          <cell r="D83">
            <v>131127</v>
          </cell>
          <cell r="E83">
            <v>8466020</v>
          </cell>
          <cell r="F83" t="str">
            <v>Drive Preparatory School</v>
          </cell>
          <cell r="G83" t="str">
            <v>Other Independent School</v>
          </cell>
          <cell r="H83">
            <v>35403</v>
          </cell>
          <cell r="I83">
            <v>50</v>
          </cell>
          <cell r="J83" t="str">
            <v>South East</v>
          </cell>
          <cell r="K83" t="str">
            <v>South East</v>
          </cell>
          <cell r="L83" t="str">
            <v>Brighton and Hove</v>
          </cell>
          <cell r="M83" t="str">
            <v>Hove</v>
          </cell>
          <cell r="N83" t="str">
            <v>BN3 6GE</v>
          </cell>
          <cell r="O83" t="str">
            <v>Does not have a sixth form</v>
          </cell>
          <cell r="P83">
            <v>7</v>
          </cell>
          <cell r="Q83">
            <v>16</v>
          </cell>
          <cell r="R83" t="str">
            <v>None</v>
          </cell>
          <cell r="S83" t="str">
            <v>Ofsted</v>
          </cell>
          <cell r="T83" t="str">
            <v>NULL</v>
          </cell>
          <cell r="U83" t="str">
            <v>NULL</v>
          </cell>
          <cell r="V83" t="str">
            <v>NULL</v>
          </cell>
          <cell r="W83" t="str">
            <v>NULL</v>
          </cell>
          <cell r="X83" t="str">
            <v>NULL</v>
          </cell>
          <cell r="Y83" t="str">
            <v>NULL</v>
          </cell>
          <cell r="Z83" t="str">
            <v>NULL</v>
          </cell>
          <cell r="AA83">
            <v>10025980</v>
          </cell>
          <cell r="AB83" t="str">
            <v>Independent School standard inspection</v>
          </cell>
          <cell r="AC83" t="str">
            <v>Independent Standard Inspection</v>
          </cell>
          <cell r="AD83">
            <v>42914</v>
          </cell>
          <cell r="AE83">
            <v>42916</v>
          </cell>
          <cell r="AF83">
            <v>42990</v>
          </cell>
          <cell r="AG83">
            <v>3</v>
          </cell>
          <cell r="AH83">
            <v>3</v>
          </cell>
          <cell r="AI83">
            <v>3</v>
          </cell>
          <cell r="AJ83">
            <v>3</v>
          </cell>
          <cell r="AK83">
            <v>2</v>
          </cell>
          <cell r="AL83" t="str">
            <v>NULL</v>
          </cell>
          <cell r="AM83" t="str">
            <v>NULL</v>
          </cell>
          <cell r="AN83" t="str">
            <v>Yes</v>
          </cell>
          <cell r="AO83" t="str">
            <v>ITS361370</v>
          </cell>
          <cell r="AP83" t="str">
            <v>Independent School standard inspection</v>
          </cell>
          <cell r="AQ83" t="str">
            <v>Independent Standard Inspection</v>
          </cell>
          <cell r="AR83">
            <v>40583</v>
          </cell>
          <cell r="AS83">
            <v>40584</v>
          </cell>
          <cell r="AT83">
            <v>40634</v>
          </cell>
          <cell r="AU83">
            <v>2</v>
          </cell>
          <cell r="AV83">
            <v>2</v>
          </cell>
          <cell r="AW83">
            <v>2</v>
          </cell>
          <cell r="AX83" t="str">
            <v>NULL</v>
          </cell>
          <cell r="AY83" t="str">
            <v>NULL</v>
          </cell>
          <cell r="AZ83">
            <v>8</v>
          </cell>
          <cell r="BA83" t="str">
            <v>NULL</v>
          </cell>
          <cell r="BB83" t="str">
            <v>NULL</v>
          </cell>
        </row>
        <row r="84">
          <cell r="D84">
            <v>120728</v>
          </cell>
          <cell r="E84">
            <v>9256016</v>
          </cell>
          <cell r="F84" t="str">
            <v>Dudley House School</v>
          </cell>
          <cell r="G84" t="str">
            <v>Other Independent School</v>
          </cell>
          <cell r="H84">
            <v>24377</v>
          </cell>
          <cell r="I84">
            <v>24</v>
          </cell>
          <cell r="J84" t="str">
            <v>East Midlands</v>
          </cell>
          <cell r="K84" t="str">
            <v>East Midlands</v>
          </cell>
          <cell r="L84" t="str">
            <v>Lincolnshire</v>
          </cell>
          <cell r="M84" t="str">
            <v>Grantham and Stamford</v>
          </cell>
          <cell r="N84" t="str">
            <v>NG31 9AA</v>
          </cell>
          <cell r="O84" t="str">
            <v>Does not have a sixth form</v>
          </cell>
          <cell r="P84">
            <v>3</v>
          </cell>
          <cell r="Q84">
            <v>11</v>
          </cell>
          <cell r="R84" t="str">
            <v>None</v>
          </cell>
          <cell r="S84" t="str">
            <v>Ofsted</v>
          </cell>
          <cell r="T84" t="str">
            <v>NULL</v>
          </cell>
          <cell r="U84" t="str">
            <v>NULL</v>
          </cell>
          <cell r="V84" t="str">
            <v>NULL</v>
          </cell>
          <cell r="W84" t="str">
            <v>NULL</v>
          </cell>
          <cell r="X84" t="str">
            <v>NULL</v>
          </cell>
          <cell r="Y84" t="str">
            <v>NULL</v>
          </cell>
          <cell r="Z84" t="str">
            <v>NULL</v>
          </cell>
          <cell r="AA84">
            <v>10008570</v>
          </cell>
          <cell r="AB84" t="str">
            <v>Independent School standard inspection</v>
          </cell>
          <cell r="AC84" t="str">
            <v>Independent Standard Inspection</v>
          </cell>
          <cell r="AD84">
            <v>42402</v>
          </cell>
          <cell r="AE84">
            <v>42404</v>
          </cell>
          <cell r="AF84">
            <v>42436</v>
          </cell>
          <cell r="AG84">
            <v>2</v>
          </cell>
          <cell r="AH84">
            <v>2</v>
          </cell>
          <cell r="AI84">
            <v>2</v>
          </cell>
          <cell r="AJ84">
            <v>2</v>
          </cell>
          <cell r="AK84">
            <v>2</v>
          </cell>
          <cell r="AL84">
            <v>1</v>
          </cell>
          <cell r="AM84" t="str">
            <v>NULL</v>
          </cell>
          <cell r="AN84" t="str">
            <v>Yes</v>
          </cell>
          <cell r="AO84" t="str">
            <v>ITS344413</v>
          </cell>
          <cell r="AP84" t="str">
            <v>S162a - LTI Inspection Historic</v>
          </cell>
          <cell r="AQ84" t="str">
            <v>Independent Standard Inspection</v>
          </cell>
          <cell r="AR84">
            <v>40198</v>
          </cell>
          <cell r="AS84">
            <v>40198</v>
          </cell>
          <cell r="AT84">
            <v>40277</v>
          </cell>
          <cell r="AU84">
            <v>2</v>
          </cell>
          <cell r="AV84">
            <v>2</v>
          </cell>
          <cell r="AW84">
            <v>2</v>
          </cell>
          <cell r="AX84" t="str">
            <v>NULL</v>
          </cell>
          <cell r="AY84" t="str">
            <v>NULL</v>
          </cell>
          <cell r="AZ84">
            <v>2</v>
          </cell>
          <cell r="BA84" t="str">
            <v>NULL</v>
          </cell>
          <cell r="BB84" t="str">
            <v>NULL</v>
          </cell>
        </row>
        <row r="85">
          <cell r="D85">
            <v>100526</v>
          </cell>
          <cell r="E85">
            <v>2076262</v>
          </cell>
          <cell r="F85" t="str">
            <v>Kensington Park School</v>
          </cell>
          <cell r="G85" t="str">
            <v>Other Independent School</v>
          </cell>
          <cell r="H85">
            <v>25575</v>
          </cell>
          <cell r="I85">
            <v>224</v>
          </cell>
          <cell r="J85" t="str">
            <v>London</v>
          </cell>
          <cell r="K85" t="str">
            <v>London</v>
          </cell>
          <cell r="L85" t="str">
            <v>Kensington and Chelsea</v>
          </cell>
          <cell r="M85" t="str">
            <v>Kensington</v>
          </cell>
          <cell r="N85" t="str">
            <v>SW7 5JP</v>
          </cell>
          <cell r="O85" t="str">
            <v>Has a sixth form</v>
          </cell>
          <cell r="P85">
            <v>13</v>
          </cell>
          <cell r="Q85">
            <v>20</v>
          </cell>
          <cell r="R85" t="str">
            <v>None</v>
          </cell>
          <cell r="S85" t="str">
            <v>Ofsted</v>
          </cell>
          <cell r="T85">
            <v>2</v>
          </cell>
          <cell r="U85">
            <v>10049084</v>
          </cell>
          <cell r="V85" t="str">
            <v>Independent school Progress Monitoring inspection</v>
          </cell>
          <cell r="W85">
            <v>43172</v>
          </cell>
          <cell r="X85">
            <v>43172</v>
          </cell>
          <cell r="Y85" t="str">
            <v>NULL</v>
          </cell>
          <cell r="Z85" t="str">
            <v>Did not meet all standards that were checked</v>
          </cell>
          <cell r="AA85">
            <v>10034187</v>
          </cell>
          <cell r="AB85" t="str">
            <v xml:space="preserve">Independent School standard inspection - integrated </v>
          </cell>
          <cell r="AC85" t="str">
            <v>Independent Standard Inspection</v>
          </cell>
          <cell r="AD85">
            <v>43004</v>
          </cell>
          <cell r="AE85">
            <v>43006</v>
          </cell>
          <cell r="AF85">
            <v>43076</v>
          </cell>
          <cell r="AG85">
            <v>4</v>
          </cell>
          <cell r="AH85">
            <v>2</v>
          </cell>
          <cell r="AI85">
            <v>2</v>
          </cell>
          <cell r="AJ85">
            <v>4</v>
          </cell>
          <cell r="AK85">
            <v>4</v>
          </cell>
          <cell r="AL85" t="str">
            <v>NULL</v>
          </cell>
          <cell r="AM85">
            <v>4</v>
          </cell>
          <cell r="AN85" t="str">
            <v>No</v>
          </cell>
          <cell r="AO85" t="str">
            <v>ITS385067</v>
          </cell>
          <cell r="AP85" t="str">
            <v>Independent School standard inspection</v>
          </cell>
          <cell r="AQ85" t="str">
            <v>Independent Standard Inspection</v>
          </cell>
          <cell r="AR85">
            <v>40974</v>
          </cell>
          <cell r="AS85">
            <v>40975</v>
          </cell>
          <cell r="AT85">
            <v>41241</v>
          </cell>
          <cell r="AU85">
            <v>1</v>
          </cell>
          <cell r="AV85">
            <v>1</v>
          </cell>
          <cell r="AW85">
            <v>1</v>
          </cell>
          <cell r="AX85" t="str">
            <v>NULL</v>
          </cell>
          <cell r="AY85" t="str">
            <v>NULL</v>
          </cell>
          <cell r="AZ85">
            <v>8</v>
          </cell>
          <cell r="BA85" t="str">
            <v>NULL</v>
          </cell>
          <cell r="BB85" t="str">
            <v>NULL</v>
          </cell>
        </row>
        <row r="86">
          <cell r="D86">
            <v>138405</v>
          </cell>
          <cell r="E86">
            <v>8866138</v>
          </cell>
          <cell r="F86" t="str">
            <v>Earlscliffe (Sussex Summer Schools Ltd)</v>
          </cell>
          <cell r="G86" t="str">
            <v>Other Independent School</v>
          </cell>
          <cell r="H86">
            <v>41107</v>
          </cell>
          <cell r="I86">
            <v>78</v>
          </cell>
          <cell r="J86" t="str">
            <v>South East</v>
          </cell>
          <cell r="K86" t="str">
            <v>South East</v>
          </cell>
          <cell r="L86" t="str">
            <v>Kent</v>
          </cell>
          <cell r="M86" t="str">
            <v>Folkestone and Hythe</v>
          </cell>
          <cell r="N86" t="str">
            <v>CT20 2NB</v>
          </cell>
          <cell r="O86" t="str">
            <v>Has a sixth form</v>
          </cell>
          <cell r="P86">
            <v>14</v>
          </cell>
          <cell r="Q86">
            <v>19</v>
          </cell>
          <cell r="R86" t="str">
            <v>None</v>
          </cell>
          <cell r="S86" t="str">
            <v>Ofsted</v>
          </cell>
          <cell r="T86" t="str">
            <v>NULL</v>
          </cell>
          <cell r="U86" t="str">
            <v>NULL</v>
          </cell>
          <cell r="V86" t="str">
            <v>NULL</v>
          </cell>
          <cell r="W86" t="str">
            <v>NULL</v>
          </cell>
          <cell r="X86" t="str">
            <v>NULL</v>
          </cell>
          <cell r="Y86" t="str">
            <v>NULL</v>
          </cell>
          <cell r="Z86" t="str">
            <v>NULL</v>
          </cell>
          <cell r="AA86">
            <v>10033679</v>
          </cell>
          <cell r="AB86" t="str">
            <v xml:space="preserve">Independent School standard inspection - integrated </v>
          </cell>
          <cell r="AC86" t="str">
            <v>Independent Standard Inspection</v>
          </cell>
          <cell r="AD86">
            <v>42871</v>
          </cell>
          <cell r="AE86">
            <v>42873</v>
          </cell>
          <cell r="AF86">
            <v>42913</v>
          </cell>
          <cell r="AG86">
            <v>1</v>
          </cell>
          <cell r="AH86">
            <v>1</v>
          </cell>
          <cell r="AI86">
            <v>1</v>
          </cell>
          <cell r="AJ86">
            <v>1</v>
          </cell>
          <cell r="AK86">
            <v>1</v>
          </cell>
          <cell r="AL86" t="str">
            <v>NULL</v>
          </cell>
          <cell r="AM86">
            <v>1</v>
          </cell>
          <cell r="AN86" t="str">
            <v>Yes</v>
          </cell>
          <cell r="AO86" t="str">
            <v>ITS420252</v>
          </cell>
          <cell r="AP86" t="str">
            <v>Independent school standard inspection - first</v>
          </cell>
          <cell r="AQ86" t="str">
            <v>Independent Standard Inspection</v>
          </cell>
          <cell r="AR86">
            <v>41437</v>
          </cell>
          <cell r="AS86">
            <v>41439</v>
          </cell>
          <cell r="AT86">
            <v>41459</v>
          </cell>
          <cell r="AU86">
            <v>2</v>
          </cell>
          <cell r="AV86">
            <v>2</v>
          </cell>
          <cell r="AW86">
            <v>2</v>
          </cell>
          <cell r="AX86">
            <v>2</v>
          </cell>
          <cell r="AY86" t="str">
            <v>NULL</v>
          </cell>
          <cell r="AZ86" t="str">
            <v>NULL</v>
          </cell>
          <cell r="BA86" t="str">
            <v>NULL</v>
          </cell>
          <cell r="BB86" t="str">
            <v>NULL</v>
          </cell>
        </row>
        <row r="87">
          <cell r="D87">
            <v>135240</v>
          </cell>
          <cell r="E87">
            <v>8506088</v>
          </cell>
          <cell r="F87" t="str">
            <v>Fair Ways School</v>
          </cell>
          <cell r="G87" t="str">
            <v>Other Independent School</v>
          </cell>
          <cell r="H87">
            <v>39190</v>
          </cell>
          <cell r="I87">
            <v>32</v>
          </cell>
          <cell r="J87" t="str">
            <v>South East</v>
          </cell>
          <cell r="K87" t="str">
            <v>South East</v>
          </cell>
          <cell r="L87" t="str">
            <v>Hampshire</v>
          </cell>
          <cell r="M87" t="str">
            <v>Fareham</v>
          </cell>
          <cell r="N87" t="str">
            <v>SO31 7HE</v>
          </cell>
          <cell r="O87" t="str">
            <v>Has a sixth form</v>
          </cell>
          <cell r="P87">
            <v>11</v>
          </cell>
          <cell r="Q87">
            <v>19</v>
          </cell>
          <cell r="R87" t="str">
            <v>None</v>
          </cell>
          <cell r="S87" t="str">
            <v>Ofsted</v>
          </cell>
          <cell r="T87" t="str">
            <v>NULL</v>
          </cell>
          <cell r="U87" t="str">
            <v>NULL</v>
          </cell>
          <cell r="V87" t="str">
            <v>NULL</v>
          </cell>
          <cell r="W87" t="str">
            <v>NULL</v>
          </cell>
          <cell r="X87" t="str">
            <v>NULL</v>
          </cell>
          <cell r="Y87" t="str">
            <v>NULL</v>
          </cell>
          <cell r="Z87" t="str">
            <v>NULL</v>
          </cell>
          <cell r="AA87">
            <v>10033952</v>
          </cell>
          <cell r="AB87" t="str">
            <v>Independent School standard inspection</v>
          </cell>
          <cell r="AC87" t="str">
            <v>Independent Standard Inspection</v>
          </cell>
          <cell r="AD87">
            <v>43123</v>
          </cell>
          <cell r="AE87">
            <v>43125</v>
          </cell>
          <cell r="AF87">
            <v>43166</v>
          </cell>
          <cell r="AG87">
            <v>1</v>
          </cell>
          <cell r="AH87">
            <v>1</v>
          </cell>
          <cell r="AI87">
            <v>1</v>
          </cell>
          <cell r="AJ87">
            <v>1</v>
          </cell>
          <cell r="AK87">
            <v>1</v>
          </cell>
          <cell r="AL87" t="str">
            <v>NULL</v>
          </cell>
          <cell r="AM87">
            <v>1</v>
          </cell>
          <cell r="AN87" t="str">
            <v>Yes</v>
          </cell>
          <cell r="AO87" t="str">
            <v>ITS422789</v>
          </cell>
          <cell r="AP87" t="str">
            <v>Independent School standard inspection</v>
          </cell>
          <cell r="AQ87" t="str">
            <v>Independent Standard Inspection</v>
          </cell>
          <cell r="AR87">
            <v>41710</v>
          </cell>
          <cell r="AS87">
            <v>41712</v>
          </cell>
          <cell r="AT87">
            <v>41732</v>
          </cell>
          <cell r="AU87">
            <v>2</v>
          </cell>
          <cell r="AV87">
            <v>2</v>
          </cell>
          <cell r="AW87">
            <v>2</v>
          </cell>
          <cell r="AX87">
            <v>1</v>
          </cell>
          <cell r="AY87" t="str">
            <v>NULL</v>
          </cell>
          <cell r="AZ87" t="str">
            <v>NULL</v>
          </cell>
          <cell r="BA87" t="str">
            <v>NULL</v>
          </cell>
          <cell r="BB87" t="str">
            <v>NULL</v>
          </cell>
        </row>
        <row r="88">
          <cell r="D88">
            <v>105747</v>
          </cell>
          <cell r="E88">
            <v>3536014</v>
          </cell>
          <cell r="F88" t="str">
            <v>Farrowdale House School</v>
          </cell>
          <cell r="G88" t="str">
            <v>Other Independent School</v>
          </cell>
          <cell r="H88">
            <v>30630</v>
          </cell>
          <cell r="I88">
            <v>59</v>
          </cell>
          <cell r="J88" t="str">
            <v>North West</v>
          </cell>
          <cell r="K88" t="str">
            <v>North West</v>
          </cell>
          <cell r="L88" t="str">
            <v>Oldham</v>
          </cell>
          <cell r="M88" t="str">
            <v>Oldham East and Saddleworth</v>
          </cell>
          <cell r="N88" t="str">
            <v>OL2 7AD</v>
          </cell>
          <cell r="O88" t="str">
            <v>Does not have a sixth form</v>
          </cell>
          <cell r="P88">
            <v>3</v>
          </cell>
          <cell r="Q88">
            <v>11</v>
          </cell>
          <cell r="R88" t="str">
            <v>None</v>
          </cell>
          <cell r="S88" t="str">
            <v>Ofsted</v>
          </cell>
          <cell r="T88" t="str">
            <v>NULL</v>
          </cell>
          <cell r="U88" t="str">
            <v>NULL</v>
          </cell>
          <cell r="V88" t="str">
            <v>NULL</v>
          </cell>
          <cell r="W88" t="str">
            <v>NULL</v>
          </cell>
          <cell r="X88" t="str">
            <v>NULL</v>
          </cell>
          <cell r="Y88" t="str">
            <v>NULL</v>
          </cell>
          <cell r="Z88" t="str">
            <v>NULL</v>
          </cell>
          <cell r="AA88">
            <v>10034020</v>
          </cell>
          <cell r="AB88" t="str">
            <v>Independent School standard inspection</v>
          </cell>
          <cell r="AC88" t="str">
            <v>Independent Standard Inspection</v>
          </cell>
          <cell r="AD88">
            <v>43004</v>
          </cell>
          <cell r="AE88">
            <v>43006</v>
          </cell>
          <cell r="AF88">
            <v>43025</v>
          </cell>
          <cell r="AG88">
            <v>2</v>
          </cell>
          <cell r="AH88">
            <v>2</v>
          </cell>
          <cell r="AI88">
            <v>2</v>
          </cell>
          <cell r="AJ88">
            <v>2</v>
          </cell>
          <cell r="AK88">
            <v>1</v>
          </cell>
          <cell r="AL88">
            <v>3</v>
          </cell>
          <cell r="AM88" t="str">
            <v>NULL</v>
          </cell>
          <cell r="AN88" t="str">
            <v>Yes</v>
          </cell>
          <cell r="AO88" t="str">
            <v>ITS443500</v>
          </cell>
          <cell r="AP88" t="str">
            <v>Independent School standard inspection</v>
          </cell>
          <cell r="AQ88" t="str">
            <v>Independent Standard Inspection</v>
          </cell>
          <cell r="AR88">
            <v>41779</v>
          </cell>
          <cell r="AS88">
            <v>41781</v>
          </cell>
          <cell r="AT88">
            <v>41809</v>
          </cell>
          <cell r="AU88">
            <v>2</v>
          </cell>
          <cell r="AV88">
            <v>2</v>
          </cell>
          <cell r="AW88">
            <v>2</v>
          </cell>
          <cell r="AX88">
            <v>2</v>
          </cell>
          <cell r="AY88" t="str">
            <v>NULL</v>
          </cell>
          <cell r="AZ88" t="str">
            <v>NULL</v>
          </cell>
          <cell r="BA88" t="str">
            <v>NULL</v>
          </cell>
          <cell r="BB88" t="str">
            <v>NULL</v>
          </cell>
        </row>
        <row r="89">
          <cell r="D89">
            <v>124899</v>
          </cell>
          <cell r="E89">
            <v>9356076</v>
          </cell>
          <cell r="F89" t="str">
            <v>Felixstowe International College</v>
          </cell>
          <cell r="G89" t="str">
            <v>Other Independent School</v>
          </cell>
          <cell r="H89">
            <v>34960</v>
          </cell>
          <cell r="I89">
            <v>43</v>
          </cell>
          <cell r="J89" t="str">
            <v>East of England</v>
          </cell>
          <cell r="K89" t="str">
            <v>East of England</v>
          </cell>
          <cell r="L89" t="str">
            <v>Suffolk</v>
          </cell>
          <cell r="M89" t="str">
            <v>Suffolk Coastal</v>
          </cell>
          <cell r="N89" t="str">
            <v>IP11 7RE</v>
          </cell>
          <cell r="O89" t="str">
            <v>Has a sixth form</v>
          </cell>
          <cell r="P89">
            <v>9</v>
          </cell>
          <cell r="Q89">
            <v>19</v>
          </cell>
          <cell r="R89" t="str">
            <v>None</v>
          </cell>
          <cell r="S89" t="str">
            <v>Ofsted</v>
          </cell>
          <cell r="T89">
            <v>1</v>
          </cell>
          <cell r="U89">
            <v>10045235</v>
          </cell>
          <cell r="V89" t="str">
            <v>Independent School Evaluation of school action plan - integrated</v>
          </cell>
          <cell r="W89">
            <v>43105</v>
          </cell>
          <cell r="X89">
            <v>43105</v>
          </cell>
          <cell r="Y89" t="str">
            <v>NULL</v>
          </cell>
          <cell r="Z89" t="str">
            <v>Action plan is not acceptable</v>
          </cell>
          <cell r="AA89">
            <v>10026063</v>
          </cell>
          <cell r="AB89" t="str">
            <v>Independent School standard inspection</v>
          </cell>
          <cell r="AC89" t="str">
            <v>Independent Standard Inspection</v>
          </cell>
          <cell r="AD89">
            <v>43011</v>
          </cell>
          <cell r="AE89">
            <v>43013</v>
          </cell>
          <cell r="AF89">
            <v>43052</v>
          </cell>
          <cell r="AG89">
            <v>3</v>
          </cell>
          <cell r="AH89">
            <v>3</v>
          </cell>
          <cell r="AI89">
            <v>3</v>
          </cell>
          <cell r="AJ89">
            <v>3</v>
          </cell>
          <cell r="AK89">
            <v>2</v>
          </cell>
          <cell r="AL89" t="str">
            <v>NULL</v>
          </cell>
          <cell r="AM89">
            <v>3</v>
          </cell>
          <cell r="AN89" t="str">
            <v>Yes</v>
          </cell>
          <cell r="AO89" t="str">
            <v>ITS454253</v>
          </cell>
          <cell r="AP89" t="str">
            <v>Independent School standard inspection</v>
          </cell>
          <cell r="AQ89" t="str">
            <v>Independent Standard Inspection</v>
          </cell>
          <cell r="AR89">
            <v>42066</v>
          </cell>
          <cell r="AS89">
            <v>42068</v>
          </cell>
          <cell r="AT89">
            <v>42121</v>
          </cell>
          <cell r="AU89">
            <v>4</v>
          </cell>
          <cell r="AV89">
            <v>2</v>
          </cell>
          <cell r="AW89">
            <v>2</v>
          </cell>
          <cell r="AX89">
            <v>4</v>
          </cell>
          <cell r="AY89" t="str">
            <v>NULL</v>
          </cell>
          <cell r="AZ89">
            <v>9</v>
          </cell>
          <cell r="BA89">
            <v>4</v>
          </cell>
          <cell r="BB89" t="str">
            <v>NULL</v>
          </cell>
        </row>
        <row r="90">
          <cell r="D90">
            <v>132190</v>
          </cell>
          <cell r="E90">
            <v>8926013</v>
          </cell>
          <cell r="F90" t="str">
            <v>Fig Tree Primary School</v>
          </cell>
          <cell r="G90" t="str">
            <v>Other Independent School</v>
          </cell>
          <cell r="H90">
            <v>36720</v>
          </cell>
          <cell r="I90">
            <v>50</v>
          </cell>
          <cell r="J90" t="str">
            <v>East Midlands</v>
          </cell>
          <cell r="K90" t="str">
            <v>East Midlands</v>
          </cell>
          <cell r="L90" t="str">
            <v>Nottingham</v>
          </cell>
          <cell r="M90" t="str">
            <v>Nottingham East</v>
          </cell>
          <cell r="N90" t="str">
            <v>NG7 4AF</v>
          </cell>
          <cell r="O90" t="str">
            <v>Does not have a sixth form</v>
          </cell>
          <cell r="P90">
            <v>5</v>
          </cell>
          <cell r="Q90">
            <v>11</v>
          </cell>
          <cell r="R90" t="str">
            <v>None</v>
          </cell>
          <cell r="S90" t="str">
            <v>Ofsted</v>
          </cell>
          <cell r="T90">
            <v>1</v>
          </cell>
          <cell r="U90">
            <v>10048607</v>
          </cell>
          <cell r="V90" t="str">
            <v>Independent school evaluation of school action plan</v>
          </cell>
          <cell r="W90">
            <v>43147</v>
          </cell>
          <cell r="X90">
            <v>43147</v>
          </cell>
          <cell r="Y90" t="str">
            <v>NULL</v>
          </cell>
          <cell r="Z90" t="str">
            <v>Action plan is not acceptable</v>
          </cell>
          <cell r="AA90">
            <v>10033530</v>
          </cell>
          <cell r="AB90" t="str">
            <v>Independent School standard inspection</v>
          </cell>
          <cell r="AC90" t="str">
            <v>Independent Standard Inspection</v>
          </cell>
          <cell r="AD90">
            <v>42920</v>
          </cell>
          <cell r="AE90">
            <v>42922</v>
          </cell>
          <cell r="AF90">
            <v>43041</v>
          </cell>
          <cell r="AG90">
            <v>4</v>
          </cell>
          <cell r="AH90">
            <v>3</v>
          </cell>
          <cell r="AI90">
            <v>3</v>
          </cell>
          <cell r="AJ90">
            <v>4</v>
          </cell>
          <cell r="AK90">
            <v>4</v>
          </cell>
          <cell r="AL90" t="str">
            <v>NULL</v>
          </cell>
          <cell r="AM90" t="str">
            <v>NULL</v>
          </cell>
          <cell r="AN90" t="str">
            <v>No</v>
          </cell>
          <cell r="AO90" t="str">
            <v>ITS301581</v>
          </cell>
          <cell r="AP90" t="str">
            <v>Independent School standard inspection</v>
          </cell>
          <cell r="AQ90" t="str">
            <v>Independent Standard Inspection</v>
          </cell>
          <cell r="AR90">
            <v>39211</v>
          </cell>
          <cell r="AS90">
            <v>39212</v>
          </cell>
          <cell r="AT90">
            <v>39234</v>
          </cell>
          <cell r="AU90">
            <v>2</v>
          </cell>
          <cell r="AV90">
            <v>2</v>
          </cell>
          <cell r="AW90">
            <v>2</v>
          </cell>
          <cell r="AX90" t="str">
            <v>NULL</v>
          </cell>
          <cell r="AY90" t="str">
            <v>NULL</v>
          </cell>
          <cell r="AZ90" t="str">
            <v>NULL</v>
          </cell>
          <cell r="BA90" t="str">
            <v>NULL</v>
          </cell>
          <cell r="BB90" t="str">
            <v>NULL</v>
          </cell>
        </row>
        <row r="91">
          <cell r="D91">
            <v>120743</v>
          </cell>
          <cell r="E91">
            <v>9256038</v>
          </cell>
          <cell r="F91" t="str">
            <v>Greenwich House School</v>
          </cell>
          <cell r="G91" t="str">
            <v>Other Independent School</v>
          </cell>
          <cell r="H91">
            <v>33177</v>
          </cell>
          <cell r="I91">
            <v>108</v>
          </cell>
          <cell r="J91" t="str">
            <v>East Midlands</v>
          </cell>
          <cell r="K91" t="str">
            <v>East Midlands</v>
          </cell>
          <cell r="L91" t="str">
            <v>Lincolnshire</v>
          </cell>
          <cell r="M91" t="str">
            <v>Louth and Horncastle</v>
          </cell>
          <cell r="N91" t="str">
            <v>LN11 0HE</v>
          </cell>
          <cell r="O91" t="str">
            <v>Does not have a sixth form</v>
          </cell>
          <cell r="P91">
            <v>3</v>
          </cell>
          <cell r="Q91">
            <v>11</v>
          </cell>
          <cell r="R91" t="str">
            <v>None</v>
          </cell>
          <cell r="S91" t="str">
            <v>Ofsted</v>
          </cell>
          <cell r="T91" t="str">
            <v>NULL</v>
          </cell>
          <cell r="U91" t="str">
            <v>NULL</v>
          </cell>
          <cell r="V91" t="str">
            <v>NULL</v>
          </cell>
          <cell r="W91" t="str">
            <v>NULL</v>
          </cell>
          <cell r="X91" t="str">
            <v>NULL</v>
          </cell>
          <cell r="Y91" t="str">
            <v>NULL</v>
          </cell>
          <cell r="Z91" t="str">
            <v>NULL</v>
          </cell>
          <cell r="AA91">
            <v>10012974</v>
          </cell>
          <cell r="AB91" t="str">
            <v>Independent School standard inspection</v>
          </cell>
          <cell r="AC91" t="str">
            <v>Independent Standard Inspection</v>
          </cell>
          <cell r="AD91">
            <v>42529</v>
          </cell>
          <cell r="AE91">
            <v>42531</v>
          </cell>
          <cell r="AF91">
            <v>42566</v>
          </cell>
          <cell r="AG91">
            <v>2</v>
          </cell>
          <cell r="AH91">
            <v>2</v>
          </cell>
          <cell r="AI91">
            <v>2</v>
          </cell>
          <cell r="AJ91">
            <v>2</v>
          </cell>
          <cell r="AK91">
            <v>1</v>
          </cell>
          <cell r="AL91">
            <v>2</v>
          </cell>
          <cell r="AM91" t="str">
            <v>NULL</v>
          </cell>
          <cell r="AN91" t="str">
            <v>Yes</v>
          </cell>
          <cell r="AO91" t="str">
            <v>ITS397622</v>
          </cell>
          <cell r="AP91" t="str">
            <v>Independent School standard inspection</v>
          </cell>
          <cell r="AQ91" t="str">
            <v>Independent Standard Inspection</v>
          </cell>
          <cell r="AR91">
            <v>41227</v>
          </cell>
          <cell r="AS91">
            <v>41228</v>
          </cell>
          <cell r="AT91">
            <v>41249</v>
          </cell>
          <cell r="AU91">
            <v>2</v>
          </cell>
          <cell r="AV91">
            <v>2</v>
          </cell>
          <cell r="AW91">
            <v>2</v>
          </cell>
          <cell r="AX91" t="str">
            <v>NULL</v>
          </cell>
          <cell r="AY91" t="str">
            <v>NULL</v>
          </cell>
          <cell r="AZ91">
            <v>8</v>
          </cell>
          <cell r="BA91" t="str">
            <v>NULL</v>
          </cell>
          <cell r="BB91" t="str">
            <v>NULL</v>
          </cell>
        </row>
        <row r="92">
          <cell r="D92">
            <v>116546</v>
          </cell>
          <cell r="E92">
            <v>8506029</v>
          </cell>
          <cell r="F92" t="str">
            <v>Grey House Preparatory School</v>
          </cell>
          <cell r="G92" t="str">
            <v>Other Independent School</v>
          </cell>
          <cell r="H92">
            <v>21109</v>
          </cell>
          <cell r="I92">
            <v>112</v>
          </cell>
          <cell r="J92" t="str">
            <v>South East</v>
          </cell>
          <cell r="K92" t="str">
            <v>South East</v>
          </cell>
          <cell r="L92" t="str">
            <v>Hampshire</v>
          </cell>
          <cell r="M92" t="str">
            <v>North East Hampshire</v>
          </cell>
          <cell r="N92" t="str">
            <v>RG27 8PW</v>
          </cell>
          <cell r="O92" t="str">
            <v>Does not have a sixth form</v>
          </cell>
          <cell r="P92">
            <v>2</v>
          </cell>
          <cell r="Q92">
            <v>11</v>
          </cell>
          <cell r="R92" t="str">
            <v>None</v>
          </cell>
          <cell r="S92" t="str">
            <v>Ofsted</v>
          </cell>
          <cell r="T92" t="str">
            <v>NULL</v>
          </cell>
          <cell r="U92" t="str">
            <v>NULL</v>
          </cell>
          <cell r="V92" t="str">
            <v>NULL</v>
          </cell>
          <cell r="W92" t="str">
            <v>NULL</v>
          </cell>
          <cell r="X92" t="str">
            <v>NULL</v>
          </cell>
          <cell r="Y92" t="str">
            <v>NULL</v>
          </cell>
          <cell r="Z92" t="str">
            <v>NULL</v>
          </cell>
          <cell r="AA92">
            <v>10025976</v>
          </cell>
          <cell r="AB92" t="str">
            <v>Independent School standard inspection</v>
          </cell>
          <cell r="AC92" t="str">
            <v>Independent Standard Inspection</v>
          </cell>
          <cell r="AD92">
            <v>43039</v>
          </cell>
          <cell r="AE92">
            <v>43041</v>
          </cell>
          <cell r="AF92">
            <v>43061</v>
          </cell>
          <cell r="AG92">
            <v>2</v>
          </cell>
          <cell r="AH92">
            <v>2</v>
          </cell>
          <cell r="AI92">
            <v>2</v>
          </cell>
          <cell r="AJ92">
            <v>2</v>
          </cell>
          <cell r="AK92">
            <v>2</v>
          </cell>
          <cell r="AL92">
            <v>2</v>
          </cell>
          <cell r="AM92" t="str">
            <v>NULL</v>
          </cell>
          <cell r="AN92" t="str">
            <v>Yes</v>
          </cell>
          <cell r="AO92" t="str">
            <v>ITS393361</v>
          </cell>
          <cell r="AP92" t="str">
            <v>Independent School standard inspection</v>
          </cell>
          <cell r="AQ92" t="str">
            <v>Independent Standard Inspection</v>
          </cell>
          <cell r="AR92">
            <v>40988</v>
          </cell>
          <cell r="AS92">
            <v>40989</v>
          </cell>
          <cell r="AT92">
            <v>41241</v>
          </cell>
          <cell r="AU92">
            <v>2</v>
          </cell>
          <cell r="AV92">
            <v>2</v>
          </cell>
          <cell r="AW92">
            <v>2</v>
          </cell>
          <cell r="AX92" t="str">
            <v>NULL</v>
          </cell>
          <cell r="AY92" t="str">
            <v>NULL</v>
          </cell>
          <cell r="AZ92">
            <v>8</v>
          </cell>
          <cell r="BA92" t="str">
            <v>NULL</v>
          </cell>
          <cell r="BB92" t="str">
            <v>NULL</v>
          </cell>
        </row>
        <row r="93">
          <cell r="D93">
            <v>115437</v>
          </cell>
          <cell r="E93">
            <v>8816042</v>
          </cell>
          <cell r="F93" t="str">
            <v>Guru Gobind Singh Khalsa College</v>
          </cell>
          <cell r="G93" t="str">
            <v>Other Independent School</v>
          </cell>
          <cell r="H93">
            <v>34249</v>
          </cell>
          <cell r="I93">
            <v>370</v>
          </cell>
          <cell r="J93" t="str">
            <v>East of England</v>
          </cell>
          <cell r="K93" t="str">
            <v>East of England</v>
          </cell>
          <cell r="L93" t="str">
            <v>Essex</v>
          </cell>
          <cell r="M93" t="str">
            <v>Epping Forest</v>
          </cell>
          <cell r="N93" t="str">
            <v>IG7 6BQ</v>
          </cell>
          <cell r="O93" t="str">
            <v>Has a sixth form</v>
          </cell>
          <cell r="P93">
            <v>3</v>
          </cell>
          <cell r="Q93">
            <v>19</v>
          </cell>
          <cell r="R93" t="str">
            <v>None</v>
          </cell>
          <cell r="S93" t="str">
            <v>Ofsted</v>
          </cell>
          <cell r="T93">
            <v>1</v>
          </cell>
          <cell r="U93">
            <v>10051840</v>
          </cell>
          <cell r="V93" t="str">
            <v>Independent school evaluation of school action plan</v>
          </cell>
          <cell r="W93">
            <v>43186</v>
          </cell>
          <cell r="X93">
            <v>43186</v>
          </cell>
          <cell r="Y93" t="str">
            <v>NULL</v>
          </cell>
          <cell r="Z93" t="str">
            <v>Action plan is acceptable</v>
          </cell>
          <cell r="AA93">
            <v>10033601</v>
          </cell>
          <cell r="AB93" t="str">
            <v>Independent School standard inspection</v>
          </cell>
          <cell r="AC93" t="str">
            <v>Independent Standard Inspection</v>
          </cell>
          <cell r="AD93">
            <v>43004</v>
          </cell>
          <cell r="AE93">
            <v>43006</v>
          </cell>
          <cell r="AF93">
            <v>43109</v>
          </cell>
          <cell r="AG93">
            <v>4</v>
          </cell>
          <cell r="AH93">
            <v>2</v>
          </cell>
          <cell r="AI93">
            <v>2</v>
          </cell>
          <cell r="AJ93">
            <v>4</v>
          </cell>
          <cell r="AK93">
            <v>4</v>
          </cell>
          <cell r="AL93">
            <v>4</v>
          </cell>
          <cell r="AM93">
            <v>4</v>
          </cell>
          <cell r="AN93" t="str">
            <v>No</v>
          </cell>
          <cell r="AO93" t="str">
            <v>ITS388421</v>
          </cell>
          <cell r="AP93" t="str">
            <v>Independent School standard inspection</v>
          </cell>
          <cell r="AQ93" t="str">
            <v>Independent Standard Inspection</v>
          </cell>
          <cell r="AR93">
            <v>40962</v>
          </cell>
          <cell r="AS93">
            <v>40963</v>
          </cell>
          <cell r="AT93">
            <v>40988</v>
          </cell>
          <cell r="AU93">
            <v>1</v>
          </cell>
          <cell r="AV93">
            <v>1</v>
          </cell>
          <cell r="AW93">
            <v>1</v>
          </cell>
          <cell r="AX93" t="str">
            <v>NULL</v>
          </cell>
          <cell r="AY93" t="str">
            <v>NULL</v>
          </cell>
          <cell r="AZ93">
            <v>8</v>
          </cell>
          <cell r="BA93" t="str">
            <v>NULL</v>
          </cell>
          <cell r="BB93" t="str">
            <v>NULL</v>
          </cell>
        </row>
        <row r="94">
          <cell r="D94">
            <v>141737</v>
          </cell>
          <cell r="E94">
            <v>2046011</v>
          </cell>
          <cell r="F94" t="str">
            <v>Hackney City Farm</v>
          </cell>
          <cell r="G94" t="str">
            <v>Other Independent School</v>
          </cell>
          <cell r="H94">
            <v>42038</v>
          </cell>
          <cell r="I94">
            <v>5</v>
          </cell>
          <cell r="J94" t="str">
            <v>London</v>
          </cell>
          <cell r="K94" t="str">
            <v>London</v>
          </cell>
          <cell r="L94" t="str">
            <v>Hackney</v>
          </cell>
          <cell r="M94" t="str">
            <v>Hackney South and Shoreditch</v>
          </cell>
          <cell r="N94" t="str">
            <v>E2 8QA</v>
          </cell>
          <cell r="O94" t="str">
            <v>Has a sixth form</v>
          </cell>
          <cell r="P94">
            <v>13</v>
          </cell>
          <cell r="Q94">
            <v>17</v>
          </cell>
          <cell r="R94" t="str">
            <v>None</v>
          </cell>
          <cell r="S94" t="str">
            <v>Ofsted</v>
          </cell>
          <cell r="T94">
            <v>2</v>
          </cell>
          <cell r="U94">
            <v>10022109</v>
          </cell>
          <cell r="V94" t="str">
            <v>Independent school Progress Monitoring inspection</v>
          </cell>
          <cell r="W94">
            <v>42663</v>
          </cell>
          <cell r="X94">
            <v>42663</v>
          </cell>
          <cell r="Y94">
            <v>43014</v>
          </cell>
          <cell r="Z94" t="str">
            <v>Met all standards that were checked</v>
          </cell>
          <cell r="AA94">
            <v>10008634</v>
          </cell>
          <cell r="AB94" t="str">
            <v>Independent school standard inspection - first</v>
          </cell>
          <cell r="AC94" t="str">
            <v>Independent Standard Inspection</v>
          </cell>
          <cell r="AD94">
            <v>42395</v>
          </cell>
          <cell r="AE94">
            <v>42397</v>
          </cell>
          <cell r="AF94">
            <v>42478</v>
          </cell>
          <cell r="AG94">
            <v>4</v>
          </cell>
          <cell r="AH94">
            <v>3</v>
          </cell>
          <cell r="AI94">
            <v>3</v>
          </cell>
          <cell r="AJ94">
            <v>4</v>
          </cell>
          <cell r="AK94">
            <v>4</v>
          </cell>
          <cell r="AL94" t="str">
            <v>NULL</v>
          </cell>
          <cell r="AM94">
            <v>4</v>
          </cell>
          <cell r="AN94" t="str">
            <v>No</v>
          </cell>
          <cell r="AO94" t="str">
            <v>NULL</v>
          </cell>
          <cell r="AP94" t="str">
            <v>NULL</v>
          </cell>
          <cell r="AQ94" t="str">
            <v>NULL</v>
          </cell>
          <cell r="AR94" t="str">
            <v>NULL</v>
          </cell>
          <cell r="AS94" t="str">
            <v>NULL</v>
          </cell>
          <cell r="AT94" t="str">
            <v>NULL</v>
          </cell>
          <cell r="AU94" t="str">
            <v>NULL</v>
          </cell>
          <cell r="AV94" t="str">
            <v>NULL</v>
          </cell>
          <cell r="AW94" t="str">
            <v>NULL</v>
          </cell>
          <cell r="AX94" t="str">
            <v>NULL</v>
          </cell>
          <cell r="AY94" t="str">
            <v>NULL</v>
          </cell>
          <cell r="AZ94" t="str">
            <v>NULL</v>
          </cell>
          <cell r="BA94" t="str">
            <v>NULL</v>
          </cell>
          <cell r="BB94" t="str">
            <v>NULL</v>
          </cell>
        </row>
        <row r="95">
          <cell r="D95">
            <v>132738</v>
          </cell>
          <cell r="E95">
            <v>8886047</v>
          </cell>
          <cell r="F95" t="str">
            <v>Imam Muhammad Zakariya School</v>
          </cell>
          <cell r="G95" t="str">
            <v>Other Independent School</v>
          </cell>
          <cell r="H95">
            <v>36810</v>
          </cell>
          <cell r="I95">
            <v>89</v>
          </cell>
          <cell r="J95" t="str">
            <v>North West</v>
          </cell>
          <cell r="K95" t="str">
            <v>North West</v>
          </cell>
          <cell r="L95" t="str">
            <v>Lancashire</v>
          </cell>
          <cell r="M95" t="str">
            <v>Preston</v>
          </cell>
          <cell r="N95" t="str">
            <v>PR1 3TN</v>
          </cell>
          <cell r="O95" t="str">
            <v>Does not have a sixth form</v>
          </cell>
          <cell r="P95">
            <v>4</v>
          </cell>
          <cell r="Q95">
            <v>11</v>
          </cell>
          <cell r="R95" t="str">
            <v>Islam</v>
          </cell>
          <cell r="S95" t="str">
            <v>Ofsted</v>
          </cell>
          <cell r="T95" t="str">
            <v>NULL</v>
          </cell>
          <cell r="U95" t="str">
            <v>NULL</v>
          </cell>
          <cell r="V95" t="str">
            <v>NULL</v>
          </cell>
          <cell r="W95" t="str">
            <v>NULL</v>
          </cell>
          <cell r="X95" t="str">
            <v>NULL</v>
          </cell>
          <cell r="Y95" t="str">
            <v>NULL</v>
          </cell>
          <cell r="Z95" t="str">
            <v>NULL</v>
          </cell>
          <cell r="AA95">
            <v>10007709</v>
          </cell>
          <cell r="AB95" t="str">
            <v>Independent School standard inspection</v>
          </cell>
          <cell r="AC95" t="str">
            <v>Independent Standard Inspection</v>
          </cell>
          <cell r="AD95">
            <v>42745</v>
          </cell>
          <cell r="AE95">
            <v>42747</v>
          </cell>
          <cell r="AF95">
            <v>42768</v>
          </cell>
          <cell r="AG95">
            <v>2</v>
          </cell>
          <cell r="AH95">
            <v>2</v>
          </cell>
          <cell r="AI95">
            <v>2</v>
          </cell>
          <cell r="AJ95">
            <v>2</v>
          </cell>
          <cell r="AK95">
            <v>1</v>
          </cell>
          <cell r="AL95">
            <v>2</v>
          </cell>
          <cell r="AM95" t="str">
            <v>NULL</v>
          </cell>
          <cell r="AN95" t="str">
            <v>Yes</v>
          </cell>
          <cell r="AO95" t="str">
            <v>ITS361392</v>
          </cell>
          <cell r="AP95" t="str">
            <v>S162a - LTI Inspection Historic</v>
          </cell>
          <cell r="AQ95" t="str">
            <v>Independent Standard Inspection</v>
          </cell>
          <cell r="AR95">
            <v>40456</v>
          </cell>
          <cell r="AS95">
            <v>40456</v>
          </cell>
          <cell r="AT95">
            <v>40485</v>
          </cell>
          <cell r="AU95">
            <v>2</v>
          </cell>
          <cell r="AV95">
            <v>2</v>
          </cell>
          <cell r="AW95">
            <v>2</v>
          </cell>
          <cell r="AX95" t="str">
            <v>NULL</v>
          </cell>
          <cell r="AY95" t="str">
            <v>NULL</v>
          </cell>
          <cell r="AZ95">
            <v>2</v>
          </cell>
          <cell r="BA95" t="str">
            <v>NULL</v>
          </cell>
          <cell r="BB95" t="str">
            <v>NULL</v>
          </cell>
        </row>
        <row r="96">
          <cell r="D96">
            <v>134577</v>
          </cell>
          <cell r="E96">
            <v>3166063</v>
          </cell>
          <cell r="F96" t="str">
            <v>Imam Zakariya Academy</v>
          </cell>
          <cell r="G96" t="str">
            <v>Other Independent School</v>
          </cell>
          <cell r="H96">
            <v>37852</v>
          </cell>
          <cell r="I96">
            <v>94</v>
          </cell>
          <cell r="J96" t="str">
            <v>London</v>
          </cell>
          <cell r="K96" t="str">
            <v>London</v>
          </cell>
          <cell r="L96" t="str">
            <v>Newham</v>
          </cell>
          <cell r="M96" t="str">
            <v>West Ham</v>
          </cell>
          <cell r="N96" t="str">
            <v>E7 8AB</v>
          </cell>
          <cell r="O96" t="str">
            <v>Does not have a sixth form</v>
          </cell>
          <cell r="P96">
            <v>5</v>
          </cell>
          <cell r="Q96">
            <v>11</v>
          </cell>
          <cell r="R96" t="str">
            <v>Muslim</v>
          </cell>
          <cell r="S96" t="str">
            <v>Ofsted</v>
          </cell>
          <cell r="T96">
            <v>2</v>
          </cell>
          <cell r="U96">
            <v>10045184</v>
          </cell>
          <cell r="V96" t="str">
            <v>Independent school Progress Monitoring inspection</v>
          </cell>
          <cell r="W96">
            <v>43180</v>
          </cell>
          <cell r="X96">
            <v>43180</v>
          </cell>
          <cell r="Y96" t="str">
            <v>NULL</v>
          </cell>
          <cell r="Z96" t="str">
            <v>Did not meet all standards that were checked</v>
          </cell>
          <cell r="AA96">
            <v>10034448</v>
          </cell>
          <cell r="AB96" t="str">
            <v>Independent School standard inspection</v>
          </cell>
          <cell r="AC96" t="str">
            <v>Independent Standard Inspection</v>
          </cell>
          <cell r="AD96">
            <v>42920</v>
          </cell>
          <cell r="AE96">
            <v>42922</v>
          </cell>
          <cell r="AF96">
            <v>43018</v>
          </cell>
          <cell r="AG96">
            <v>4</v>
          </cell>
          <cell r="AH96">
            <v>3</v>
          </cell>
          <cell r="AI96">
            <v>3</v>
          </cell>
          <cell r="AJ96">
            <v>4</v>
          </cell>
          <cell r="AK96">
            <v>4</v>
          </cell>
          <cell r="AL96" t="str">
            <v>NULL</v>
          </cell>
          <cell r="AM96" t="str">
            <v>NULL</v>
          </cell>
          <cell r="AN96" t="str">
            <v>No</v>
          </cell>
          <cell r="AO96" t="str">
            <v>ITS330406</v>
          </cell>
          <cell r="AP96" t="str">
            <v>S162a - LTI Inspection Historic</v>
          </cell>
          <cell r="AQ96" t="str">
            <v>Independent Standard Inspection</v>
          </cell>
          <cell r="AR96">
            <v>39833</v>
          </cell>
          <cell r="AS96">
            <v>39833</v>
          </cell>
          <cell r="AT96">
            <v>39860</v>
          </cell>
          <cell r="AU96">
            <v>3</v>
          </cell>
          <cell r="AV96">
            <v>3</v>
          </cell>
          <cell r="AW96">
            <v>3</v>
          </cell>
          <cell r="AX96" t="str">
            <v>NULL</v>
          </cell>
          <cell r="AY96" t="str">
            <v>NULL</v>
          </cell>
          <cell r="AZ96">
            <v>0</v>
          </cell>
          <cell r="BA96" t="str">
            <v>NULL</v>
          </cell>
          <cell r="BB96" t="str">
            <v>NULL</v>
          </cell>
        </row>
        <row r="97">
          <cell r="D97">
            <v>141560</v>
          </cell>
          <cell r="E97">
            <v>3336008</v>
          </cell>
          <cell r="F97" t="str">
            <v>Impact Independent School</v>
          </cell>
          <cell r="G97" t="str">
            <v>Other Independent School</v>
          </cell>
          <cell r="H97">
            <v>41955</v>
          </cell>
          <cell r="I97">
            <v>0</v>
          </cell>
          <cell r="J97" t="str">
            <v>West Midlands</v>
          </cell>
          <cell r="K97" t="str">
            <v>West Midlands</v>
          </cell>
          <cell r="L97" t="str">
            <v>Sandwell</v>
          </cell>
          <cell r="M97" t="str">
            <v>West Bromwich East</v>
          </cell>
          <cell r="N97" t="str">
            <v>WS10 0JS</v>
          </cell>
          <cell r="O97" t="str">
            <v>Does not have a sixth form</v>
          </cell>
          <cell r="P97">
            <v>11</v>
          </cell>
          <cell r="Q97">
            <v>16</v>
          </cell>
          <cell r="R97" t="str">
            <v>None</v>
          </cell>
          <cell r="S97" t="str">
            <v>Ofsted</v>
          </cell>
          <cell r="T97" t="str">
            <v>NULL</v>
          </cell>
          <cell r="U97" t="str">
            <v>NULL</v>
          </cell>
          <cell r="V97" t="str">
            <v>NULL</v>
          </cell>
          <cell r="W97" t="str">
            <v>NULL</v>
          </cell>
          <cell r="X97" t="str">
            <v>NULL</v>
          </cell>
          <cell r="Y97" t="str">
            <v>NULL</v>
          </cell>
          <cell r="Z97" t="str">
            <v>NULL</v>
          </cell>
          <cell r="AA97">
            <v>10006308</v>
          </cell>
          <cell r="AB97" t="str">
            <v>Independent school standard inspection - first</v>
          </cell>
          <cell r="AC97" t="str">
            <v>Independent Standard Inspection</v>
          </cell>
          <cell r="AD97">
            <v>42858</v>
          </cell>
          <cell r="AE97">
            <v>42860</v>
          </cell>
          <cell r="AF97">
            <v>42902</v>
          </cell>
          <cell r="AG97">
            <v>3</v>
          </cell>
          <cell r="AH97">
            <v>3</v>
          </cell>
          <cell r="AI97">
            <v>3</v>
          </cell>
          <cell r="AJ97">
            <v>3</v>
          </cell>
          <cell r="AK97">
            <v>2</v>
          </cell>
          <cell r="AL97" t="str">
            <v>NULL</v>
          </cell>
          <cell r="AM97" t="str">
            <v>NULL</v>
          </cell>
          <cell r="AN97" t="str">
            <v>Yes</v>
          </cell>
          <cell r="AO97" t="str">
            <v>NULL</v>
          </cell>
          <cell r="AP97" t="str">
            <v>NULL</v>
          </cell>
          <cell r="AQ97" t="str">
            <v>NULL</v>
          </cell>
          <cell r="AR97" t="str">
            <v>NULL</v>
          </cell>
          <cell r="AS97" t="str">
            <v>NULL</v>
          </cell>
          <cell r="AT97" t="str">
            <v>NULL</v>
          </cell>
          <cell r="AU97" t="str">
            <v>NULL</v>
          </cell>
          <cell r="AV97" t="str">
            <v>NULL</v>
          </cell>
          <cell r="AW97" t="str">
            <v>NULL</v>
          </cell>
          <cell r="AX97" t="str">
            <v>NULL</v>
          </cell>
          <cell r="AY97" t="str">
            <v>NULL</v>
          </cell>
          <cell r="AZ97" t="str">
            <v>NULL</v>
          </cell>
          <cell r="BA97" t="str">
            <v>NULL</v>
          </cell>
          <cell r="BB97" t="str">
            <v>NULL</v>
          </cell>
        </row>
        <row r="98">
          <cell r="D98">
            <v>138119</v>
          </cell>
          <cell r="E98">
            <v>9316006</v>
          </cell>
          <cell r="F98" t="str">
            <v>Include - Oxfordshire</v>
          </cell>
          <cell r="G98" t="str">
            <v>Other Independent School</v>
          </cell>
          <cell r="H98">
            <v>41029</v>
          </cell>
          <cell r="I98">
            <v>8</v>
          </cell>
          <cell r="J98" t="str">
            <v>South East</v>
          </cell>
          <cell r="K98" t="str">
            <v>South East</v>
          </cell>
          <cell r="L98" t="str">
            <v>Oxfordshire</v>
          </cell>
          <cell r="M98" t="str">
            <v>Oxford East</v>
          </cell>
          <cell r="N98" t="str">
            <v>OX4 1DD</v>
          </cell>
          <cell r="O98" t="str">
            <v>Not applicable</v>
          </cell>
          <cell r="P98">
            <v>13</v>
          </cell>
          <cell r="Q98">
            <v>16</v>
          </cell>
          <cell r="R98" t="str">
            <v>None</v>
          </cell>
          <cell r="S98" t="str">
            <v>Ofsted</v>
          </cell>
          <cell r="T98" t="str">
            <v>NULL</v>
          </cell>
          <cell r="U98" t="str">
            <v>NULL</v>
          </cell>
          <cell r="V98" t="str">
            <v>NULL</v>
          </cell>
          <cell r="W98" t="str">
            <v>NULL</v>
          </cell>
          <cell r="X98" t="str">
            <v>NULL</v>
          </cell>
          <cell r="Y98" t="str">
            <v>NULL</v>
          </cell>
          <cell r="Z98" t="str">
            <v>NULL</v>
          </cell>
          <cell r="AA98">
            <v>10033956</v>
          </cell>
          <cell r="AB98" t="str">
            <v>Independent School standard inspection</v>
          </cell>
          <cell r="AC98" t="str">
            <v>Independent Standard Inspection</v>
          </cell>
          <cell r="AD98">
            <v>42997</v>
          </cell>
          <cell r="AE98">
            <v>42999</v>
          </cell>
          <cell r="AF98">
            <v>43026</v>
          </cell>
          <cell r="AG98">
            <v>3</v>
          </cell>
          <cell r="AH98">
            <v>3</v>
          </cell>
          <cell r="AI98">
            <v>3</v>
          </cell>
          <cell r="AJ98">
            <v>2</v>
          </cell>
          <cell r="AK98">
            <v>2</v>
          </cell>
          <cell r="AL98" t="str">
            <v>NULL</v>
          </cell>
          <cell r="AM98" t="str">
            <v>NULL</v>
          </cell>
          <cell r="AN98" t="str">
            <v>Yes</v>
          </cell>
          <cell r="AO98" t="str">
            <v>ITS408691</v>
          </cell>
          <cell r="AP98" t="str">
            <v>Independent school standard inspection - first</v>
          </cell>
          <cell r="AQ98" t="str">
            <v>Independent Standard Inspection</v>
          </cell>
          <cell r="AR98">
            <v>41325</v>
          </cell>
          <cell r="AS98">
            <v>41326</v>
          </cell>
          <cell r="AT98">
            <v>41346</v>
          </cell>
          <cell r="AU98">
            <v>2</v>
          </cell>
          <cell r="AV98">
            <v>2</v>
          </cell>
          <cell r="AW98">
            <v>2</v>
          </cell>
          <cell r="AX98">
            <v>2</v>
          </cell>
          <cell r="AY98" t="str">
            <v>NULL</v>
          </cell>
          <cell r="AZ98" t="str">
            <v>NULL</v>
          </cell>
          <cell r="BA98" t="str">
            <v>NULL</v>
          </cell>
          <cell r="BB98" t="str">
            <v>NULL</v>
          </cell>
        </row>
        <row r="99">
          <cell r="D99">
            <v>135792</v>
          </cell>
          <cell r="E99">
            <v>3336005</v>
          </cell>
          <cell r="F99" t="str">
            <v>The British Muslim School</v>
          </cell>
          <cell r="G99" t="str">
            <v>Other Independent School</v>
          </cell>
          <cell r="H99">
            <v>39848</v>
          </cell>
          <cell r="I99">
            <v>23</v>
          </cell>
          <cell r="J99" t="str">
            <v>West Midlands</v>
          </cell>
          <cell r="K99" t="str">
            <v>West Midlands</v>
          </cell>
          <cell r="L99" t="str">
            <v>Sandwell</v>
          </cell>
          <cell r="M99" t="str">
            <v>West Bromwich East</v>
          </cell>
          <cell r="N99" t="str">
            <v>B70 8NX</v>
          </cell>
          <cell r="O99" t="str">
            <v>Does not have a sixth form</v>
          </cell>
          <cell r="P99">
            <v>11</v>
          </cell>
          <cell r="Q99">
            <v>16</v>
          </cell>
          <cell r="R99" t="str">
            <v>None</v>
          </cell>
          <cell r="S99" t="str">
            <v>Ofsted</v>
          </cell>
          <cell r="T99" t="str">
            <v>NULL</v>
          </cell>
          <cell r="U99" t="str">
            <v>NULL</v>
          </cell>
          <cell r="V99" t="str">
            <v>NULL</v>
          </cell>
          <cell r="W99" t="str">
            <v>NULL</v>
          </cell>
          <cell r="X99" t="str">
            <v>NULL</v>
          </cell>
          <cell r="Y99" t="str">
            <v>NULL</v>
          </cell>
          <cell r="Z99" t="str">
            <v>NULL</v>
          </cell>
          <cell r="AA99">
            <v>10026107</v>
          </cell>
          <cell r="AB99" t="str">
            <v>Independent School standard inspection</v>
          </cell>
          <cell r="AC99" t="str">
            <v>Independent Standard Inspection</v>
          </cell>
          <cell r="AD99">
            <v>43018</v>
          </cell>
          <cell r="AE99">
            <v>43020</v>
          </cell>
          <cell r="AF99">
            <v>43056</v>
          </cell>
          <cell r="AG99">
            <v>2</v>
          </cell>
          <cell r="AH99">
            <v>2</v>
          </cell>
          <cell r="AI99">
            <v>2</v>
          </cell>
          <cell r="AJ99">
            <v>2</v>
          </cell>
          <cell r="AK99">
            <v>2</v>
          </cell>
          <cell r="AL99" t="str">
            <v>NULL</v>
          </cell>
          <cell r="AM99" t="str">
            <v>NULL</v>
          </cell>
          <cell r="AN99" t="str">
            <v>Yes</v>
          </cell>
          <cell r="AO99" t="str">
            <v>ITS447301</v>
          </cell>
          <cell r="AP99" t="str">
            <v>Independent School standard inspection</v>
          </cell>
          <cell r="AQ99" t="str">
            <v>Independent Standard Inspection</v>
          </cell>
          <cell r="AR99">
            <v>42080</v>
          </cell>
          <cell r="AS99">
            <v>42082</v>
          </cell>
          <cell r="AT99">
            <v>42126</v>
          </cell>
          <cell r="AU99">
            <v>3</v>
          </cell>
          <cell r="AV99">
            <v>2</v>
          </cell>
          <cell r="AW99">
            <v>2</v>
          </cell>
          <cell r="AX99">
            <v>3</v>
          </cell>
          <cell r="AY99" t="str">
            <v>NULL</v>
          </cell>
          <cell r="AZ99">
            <v>9</v>
          </cell>
          <cell r="BA99">
            <v>9</v>
          </cell>
          <cell r="BB99" t="str">
            <v>NULL</v>
          </cell>
        </row>
        <row r="100">
          <cell r="D100">
            <v>131355</v>
          </cell>
          <cell r="E100">
            <v>8886034</v>
          </cell>
          <cell r="F100" t="str">
            <v>Jamea Al Kauthar</v>
          </cell>
          <cell r="G100" t="str">
            <v>Other Independent School</v>
          </cell>
          <cell r="H100">
            <v>35699</v>
          </cell>
          <cell r="I100">
            <v>381</v>
          </cell>
          <cell r="J100" t="str">
            <v>North West</v>
          </cell>
          <cell r="K100" t="str">
            <v>North West</v>
          </cell>
          <cell r="L100" t="str">
            <v>Lancashire</v>
          </cell>
          <cell r="M100" t="str">
            <v>Lancaster and Fleetwood</v>
          </cell>
          <cell r="N100" t="str">
            <v>LA1 5AJ</v>
          </cell>
          <cell r="O100" t="str">
            <v>Has a sixth form</v>
          </cell>
          <cell r="P100">
            <v>11</v>
          </cell>
          <cell r="Q100">
            <v>20</v>
          </cell>
          <cell r="R100" t="str">
            <v>None</v>
          </cell>
          <cell r="S100" t="str">
            <v>Ofsted</v>
          </cell>
          <cell r="T100" t="str">
            <v>NULL</v>
          </cell>
          <cell r="U100" t="str">
            <v>NULL</v>
          </cell>
          <cell r="V100" t="str">
            <v>NULL</v>
          </cell>
          <cell r="W100" t="str">
            <v>NULL</v>
          </cell>
          <cell r="X100" t="str">
            <v>NULL</v>
          </cell>
          <cell r="Y100" t="str">
            <v>NULL</v>
          </cell>
          <cell r="Z100" t="str">
            <v>NULL</v>
          </cell>
          <cell r="AA100">
            <v>10034044</v>
          </cell>
          <cell r="AB100" t="str">
            <v xml:space="preserve">Independent School standard inspection - integrated </v>
          </cell>
          <cell r="AC100" t="str">
            <v>Independent Standard Inspection</v>
          </cell>
          <cell r="AD100">
            <v>42850</v>
          </cell>
          <cell r="AE100">
            <v>42852</v>
          </cell>
          <cell r="AF100">
            <v>42886</v>
          </cell>
          <cell r="AG100">
            <v>3</v>
          </cell>
          <cell r="AH100">
            <v>3</v>
          </cell>
          <cell r="AI100">
            <v>3</v>
          </cell>
          <cell r="AJ100">
            <v>3</v>
          </cell>
          <cell r="AK100">
            <v>2</v>
          </cell>
          <cell r="AL100" t="str">
            <v>NULL</v>
          </cell>
          <cell r="AM100">
            <v>3</v>
          </cell>
          <cell r="AN100" t="str">
            <v>Yes</v>
          </cell>
          <cell r="AO100" t="str">
            <v>ITS463526</v>
          </cell>
          <cell r="AP100" t="str">
            <v xml:space="preserve">Independent School standard inspection - integrated </v>
          </cell>
          <cell r="AQ100" t="str">
            <v>Independent Standard Inspection</v>
          </cell>
          <cell r="AR100">
            <v>42157</v>
          </cell>
          <cell r="AS100">
            <v>42159</v>
          </cell>
          <cell r="AT100">
            <v>42233</v>
          </cell>
          <cell r="AU100">
            <v>3</v>
          </cell>
          <cell r="AV100">
            <v>2</v>
          </cell>
          <cell r="AW100">
            <v>2</v>
          </cell>
          <cell r="AX100">
            <v>3</v>
          </cell>
          <cell r="AY100" t="str">
            <v>NULL</v>
          </cell>
          <cell r="AZ100">
            <v>9</v>
          </cell>
          <cell r="BA100">
            <v>3</v>
          </cell>
          <cell r="BB100" t="str">
            <v>NULL</v>
          </cell>
        </row>
        <row r="101">
          <cell r="D101">
            <v>133349</v>
          </cell>
          <cell r="E101">
            <v>8566015</v>
          </cell>
          <cell r="F101" t="str">
            <v>Jameah Academy</v>
          </cell>
          <cell r="G101" t="str">
            <v>Other Independent School</v>
          </cell>
          <cell r="H101">
            <v>37041</v>
          </cell>
          <cell r="I101">
            <v>168</v>
          </cell>
          <cell r="J101" t="str">
            <v>East Midlands</v>
          </cell>
          <cell r="K101" t="str">
            <v>East Midlands</v>
          </cell>
          <cell r="L101" t="str">
            <v>Leicester</v>
          </cell>
          <cell r="M101" t="str">
            <v>Leicester East</v>
          </cell>
          <cell r="N101" t="str">
            <v>LE5 3SD</v>
          </cell>
          <cell r="O101" t="str">
            <v>Does not have a sixth form</v>
          </cell>
          <cell r="P101">
            <v>7</v>
          </cell>
          <cell r="Q101">
            <v>16</v>
          </cell>
          <cell r="R101" t="str">
            <v>Muslim</v>
          </cell>
          <cell r="S101" t="str">
            <v>Ofsted</v>
          </cell>
          <cell r="T101" t="str">
            <v>NULL</v>
          </cell>
          <cell r="U101" t="str">
            <v>NULL</v>
          </cell>
          <cell r="V101" t="str">
            <v>NULL</v>
          </cell>
          <cell r="W101" t="str">
            <v>NULL</v>
          </cell>
          <cell r="X101" t="str">
            <v>NULL</v>
          </cell>
          <cell r="Y101" t="str">
            <v>NULL</v>
          </cell>
          <cell r="Z101" t="str">
            <v>NULL</v>
          </cell>
          <cell r="AA101">
            <v>10039184</v>
          </cell>
          <cell r="AB101" t="str">
            <v>Independent School standard inspection</v>
          </cell>
          <cell r="AC101" t="str">
            <v>Independent Standard Inspection</v>
          </cell>
          <cell r="AD101">
            <v>43018</v>
          </cell>
          <cell r="AE101">
            <v>43020</v>
          </cell>
          <cell r="AF101">
            <v>43052</v>
          </cell>
          <cell r="AG101">
            <v>2</v>
          </cell>
          <cell r="AH101">
            <v>2</v>
          </cell>
          <cell r="AI101">
            <v>2</v>
          </cell>
          <cell r="AJ101">
            <v>2</v>
          </cell>
          <cell r="AK101">
            <v>1</v>
          </cell>
          <cell r="AL101" t="str">
            <v>NULL</v>
          </cell>
          <cell r="AM101" t="str">
            <v>NULL</v>
          </cell>
          <cell r="AN101" t="str">
            <v>Yes</v>
          </cell>
          <cell r="AO101">
            <v>10007696</v>
          </cell>
          <cell r="AP101" t="str">
            <v>Independent School standard inspection</v>
          </cell>
          <cell r="AQ101" t="str">
            <v>Independent Standard Inspection</v>
          </cell>
          <cell r="AR101">
            <v>42283</v>
          </cell>
          <cell r="AS101">
            <v>42285</v>
          </cell>
          <cell r="AT101">
            <v>42325</v>
          </cell>
          <cell r="AU101">
            <v>3</v>
          </cell>
          <cell r="AV101">
            <v>2</v>
          </cell>
          <cell r="AW101">
            <v>2</v>
          </cell>
          <cell r="AX101">
            <v>3</v>
          </cell>
          <cell r="AY101">
            <v>3</v>
          </cell>
          <cell r="AZ101" t="str">
            <v>NULL</v>
          </cell>
          <cell r="BA101" t="str">
            <v>NULL</v>
          </cell>
          <cell r="BB101" t="str">
            <v>Yes</v>
          </cell>
        </row>
        <row r="102">
          <cell r="D102">
            <v>134574</v>
          </cell>
          <cell r="E102">
            <v>3736030</v>
          </cell>
          <cell r="F102" t="str">
            <v>Al Huda Academy (Jamia Al-Hudaa)</v>
          </cell>
          <cell r="G102" t="str">
            <v>Other Independent School</v>
          </cell>
          <cell r="H102">
            <v>37862</v>
          </cell>
          <cell r="I102">
            <v>28</v>
          </cell>
          <cell r="J102" t="str">
            <v>North East, Yorkshire and the Humber</v>
          </cell>
          <cell r="K102" t="str">
            <v>Yorkshire and the Humber</v>
          </cell>
          <cell r="L102" t="str">
            <v>Sheffield</v>
          </cell>
          <cell r="M102" t="str">
            <v>Sheffield South East</v>
          </cell>
          <cell r="N102" t="str">
            <v>S9 3FY</v>
          </cell>
          <cell r="O102" t="str">
            <v>Has a sixth form</v>
          </cell>
          <cell r="P102">
            <v>11</v>
          </cell>
          <cell r="Q102">
            <v>18</v>
          </cell>
          <cell r="R102" t="str">
            <v>Muslim</v>
          </cell>
          <cell r="S102" t="str">
            <v>Ofsted</v>
          </cell>
          <cell r="T102" t="str">
            <v>NULL</v>
          </cell>
          <cell r="U102" t="str">
            <v>NULL</v>
          </cell>
          <cell r="V102" t="str">
            <v>NULL</v>
          </cell>
          <cell r="W102" t="str">
            <v>NULL</v>
          </cell>
          <cell r="X102" t="str">
            <v>NULL</v>
          </cell>
          <cell r="Y102" t="str">
            <v>NULL</v>
          </cell>
          <cell r="Z102" t="str">
            <v>NULL</v>
          </cell>
          <cell r="AA102">
            <v>10033918</v>
          </cell>
          <cell r="AB102" t="str">
            <v>Independent School standard inspection</v>
          </cell>
          <cell r="AC102" t="str">
            <v>Independent Standard Inspection</v>
          </cell>
          <cell r="AD102">
            <v>43081</v>
          </cell>
          <cell r="AE102">
            <v>43083</v>
          </cell>
          <cell r="AF102">
            <v>43129</v>
          </cell>
          <cell r="AG102">
            <v>2</v>
          </cell>
          <cell r="AH102">
            <v>2</v>
          </cell>
          <cell r="AI102">
            <v>2</v>
          </cell>
          <cell r="AJ102">
            <v>2</v>
          </cell>
          <cell r="AK102">
            <v>2</v>
          </cell>
          <cell r="AL102" t="str">
            <v>NULL</v>
          </cell>
          <cell r="AM102" t="str">
            <v>NULL</v>
          </cell>
          <cell r="AN102" t="str">
            <v>Yes</v>
          </cell>
          <cell r="AO102" t="str">
            <v>ITS464148</v>
          </cell>
          <cell r="AP102" t="str">
            <v xml:space="preserve">Independent School standard inspection - integrated </v>
          </cell>
          <cell r="AQ102" t="str">
            <v>Independent Standard Inspection</v>
          </cell>
          <cell r="AR102">
            <v>42123</v>
          </cell>
          <cell r="AS102">
            <v>42125</v>
          </cell>
          <cell r="AT102">
            <v>42208</v>
          </cell>
          <cell r="AU102">
            <v>4</v>
          </cell>
          <cell r="AV102">
            <v>3</v>
          </cell>
          <cell r="AW102">
            <v>3</v>
          </cell>
          <cell r="AX102">
            <v>4</v>
          </cell>
          <cell r="AY102" t="str">
            <v>NULL</v>
          </cell>
          <cell r="AZ102">
            <v>9</v>
          </cell>
          <cell r="BA102">
            <v>3</v>
          </cell>
          <cell r="BB102" t="str">
            <v>NULL</v>
          </cell>
        </row>
        <row r="103">
          <cell r="D103">
            <v>134192</v>
          </cell>
          <cell r="E103">
            <v>2136393</v>
          </cell>
          <cell r="F103" t="str">
            <v>L'Ecole Bilingue Elementaire</v>
          </cell>
          <cell r="G103" t="str">
            <v>Other Independent School</v>
          </cell>
          <cell r="H103">
            <v>38947</v>
          </cell>
          <cell r="I103">
            <v>120</v>
          </cell>
          <cell r="J103" t="str">
            <v>London</v>
          </cell>
          <cell r="K103" t="str">
            <v>London</v>
          </cell>
          <cell r="L103" t="str">
            <v>Westminster</v>
          </cell>
          <cell r="M103" t="str">
            <v>Westminster North</v>
          </cell>
          <cell r="N103" t="str">
            <v>W2 1SJ</v>
          </cell>
          <cell r="O103" t="str">
            <v>Does not have a sixth form</v>
          </cell>
          <cell r="P103">
            <v>3</v>
          </cell>
          <cell r="Q103">
            <v>11</v>
          </cell>
          <cell r="R103" t="str">
            <v>None</v>
          </cell>
          <cell r="S103" t="str">
            <v>Ofsted</v>
          </cell>
          <cell r="T103" t="str">
            <v>NULL</v>
          </cell>
          <cell r="U103" t="str">
            <v>NULL</v>
          </cell>
          <cell r="V103" t="str">
            <v>NULL</v>
          </cell>
          <cell r="W103" t="str">
            <v>NULL</v>
          </cell>
          <cell r="X103" t="str">
            <v>NULL</v>
          </cell>
          <cell r="Y103" t="str">
            <v>NULL</v>
          </cell>
          <cell r="Z103" t="str">
            <v>NULL</v>
          </cell>
          <cell r="AA103">
            <v>10008540</v>
          </cell>
          <cell r="AB103" t="str">
            <v>Independent School standard inspection</v>
          </cell>
          <cell r="AC103" t="str">
            <v>Independent Standard Inspection</v>
          </cell>
          <cell r="AD103">
            <v>42444</v>
          </cell>
          <cell r="AE103">
            <v>42446</v>
          </cell>
          <cell r="AF103">
            <v>42493</v>
          </cell>
          <cell r="AG103">
            <v>1</v>
          </cell>
          <cell r="AH103">
            <v>1</v>
          </cell>
          <cell r="AI103">
            <v>1</v>
          </cell>
          <cell r="AJ103">
            <v>1</v>
          </cell>
          <cell r="AK103">
            <v>1</v>
          </cell>
          <cell r="AL103">
            <v>1</v>
          </cell>
          <cell r="AM103" t="str">
            <v>NULL</v>
          </cell>
          <cell r="AN103" t="str">
            <v>Yes</v>
          </cell>
          <cell r="AO103" t="str">
            <v>ITS345364</v>
          </cell>
          <cell r="AP103" t="str">
            <v>S162a - LTI Inspection Historic</v>
          </cell>
          <cell r="AQ103" t="str">
            <v>Independent Standard Inspection</v>
          </cell>
          <cell r="AR103">
            <v>40220</v>
          </cell>
          <cell r="AS103">
            <v>40220</v>
          </cell>
          <cell r="AT103">
            <v>40246</v>
          </cell>
          <cell r="AU103">
            <v>1</v>
          </cell>
          <cell r="AV103">
            <v>1</v>
          </cell>
          <cell r="AW103">
            <v>1</v>
          </cell>
          <cell r="AX103" t="str">
            <v>NULL</v>
          </cell>
          <cell r="AY103" t="str">
            <v>NULL</v>
          </cell>
          <cell r="AZ103">
            <v>2</v>
          </cell>
          <cell r="BA103" t="str">
            <v>NULL</v>
          </cell>
          <cell r="BB103" t="str">
            <v>NULL</v>
          </cell>
        </row>
        <row r="104">
          <cell r="D104">
            <v>135277</v>
          </cell>
          <cell r="E104">
            <v>2126411</v>
          </cell>
          <cell r="F104" t="str">
            <v>L'Ecole de Battersea</v>
          </cell>
          <cell r="G104" t="str">
            <v>Other Independent School</v>
          </cell>
          <cell r="H104">
            <v>39233</v>
          </cell>
          <cell r="I104">
            <v>258</v>
          </cell>
          <cell r="J104" t="str">
            <v>London</v>
          </cell>
          <cell r="K104" t="str">
            <v>London</v>
          </cell>
          <cell r="L104" t="str">
            <v>Wandsworth</v>
          </cell>
          <cell r="M104" t="str">
            <v>Battersea</v>
          </cell>
          <cell r="N104" t="str">
            <v>SW11 3DS</v>
          </cell>
          <cell r="O104" t="str">
            <v>Does not have a sixth form</v>
          </cell>
          <cell r="P104">
            <v>3</v>
          </cell>
          <cell r="Q104">
            <v>11</v>
          </cell>
          <cell r="R104" t="str">
            <v>None</v>
          </cell>
          <cell r="S104" t="str">
            <v>Ofsted</v>
          </cell>
          <cell r="T104" t="str">
            <v>NULL</v>
          </cell>
          <cell r="U104" t="str">
            <v>NULL</v>
          </cell>
          <cell r="V104" t="str">
            <v>NULL</v>
          </cell>
          <cell r="W104" t="str">
            <v>NULL</v>
          </cell>
          <cell r="X104" t="str">
            <v>NULL</v>
          </cell>
          <cell r="Y104" t="str">
            <v>NULL</v>
          </cell>
          <cell r="Z104" t="str">
            <v>NULL</v>
          </cell>
          <cell r="AA104" t="str">
            <v>ITS463316</v>
          </cell>
          <cell r="AB104" t="str">
            <v>Independent School standard inspection</v>
          </cell>
          <cell r="AC104" t="str">
            <v>Independent Standard Inspection</v>
          </cell>
          <cell r="AD104">
            <v>42130</v>
          </cell>
          <cell r="AE104">
            <v>42132</v>
          </cell>
          <cell r="AF104">
            <v>42185</v>
          </cell>
          <cell r="AG104">
            <v>1</v>
          </cell>
          <cell r="AH104">
            <v>1</v>
          </cell>
          <cell r="AI104">
            <v>1</v>
          </cell>
          <cell r="AJ104">
            <v>1</v>
          </cell>
          <cell r="AK104" t="str">
            <v>NULL</v>
          </cell>
          <cell r="AL104">
            <v>1</v>
          </cell>
          <cell r="AM104">
            <v>9</v>
          </cell>
          <cell r="AN104" t="str">
            <v>NULL</v>
          </cell>
          <cell r="AO104" t="str">
            <v>ITS385152</v>
          </cell>
          <cell r="AP104" t="str">
            <v>Independent School standard inspection</v>
          </cell>
          <cell r="AQ104" t="str">
            <v>Independent Standard Inspection</v>
          </cell>
          <cell r="AR104">
            <v>40871</v>
          </cell>
          <cell r="AS104">
            <v>40872</v>
          </cell>
          <cell r="AT104">
            <v>40893</v>
          </cell>
          <cell r="AU104">
            <v>1</v>
          </cell>
          <cell r="AV104">
            <v>1</v>
          </cell>
          <cell r="AW104">
            <v>1</v>
          </cell>
          <cell r="AX104" t="str">
            <v>NULL</v>
          </cell>
          <cell r="AY104" t="str">
            <v>NULL</v>
          </cell>
          <cell r="AZ104">
            <v>1</v>
          </cell>
          <cell r="BA104" t="str">
            <v>NULL</v>
          </cell>
          <cell r="BB104" t="str">
            <v>NULL</v>
          </cell>
        </row>
        <row r="105">
          <cell r="D105">
            <v>100375</v>
          </cell>
          <cell r="E105">
            <v>2056386</v>
          </cell>
          <cell r="F105" t="str">
            <v>L'Ecole des Petits School</v>
          </cell>
          <cell r="G105" t="str">
            <v>Other Independent School</v>
          </cell>
          <cell r="H105">
            <v>33148</v>
          </cell>
          <cell r="I105">
            <v>130</v>
          </cell>
          <cell r="J105" t="str">
            <v>London</v>
          </cell>
          <cell r="K105" t="str">
            <v>London</v>
          </cell>
          <cell r="L105" t="str">
            <v>Hammersmith and Fulham</v>
          </cell>
          <cell r="M105" t="str">
            <v>Chelsea and Fulham</v>
          </cell>
          <cell r="N105" t="str">
            <v>SW6 2NB</v>
          </cell>
          <cell r="O105" t="str">
            <v>Does not have a sixth form</v>
          </cell>
          <cell r="P105">
            <v>3</v>
          </cell>
          <cell r="Q105">
            <v>6</v>
          </cell>
          <cell r="R105" t="str">
            <v>None</v>
          </cell>
          <cell r="S105" t="str">
            <v>Ofsted</v>
          </cell>
          <cell r="T105" t="str">
            <v>NULL</v>
          </cell>
          <cell r="U105" t="str">
            <v>NULL</v>
          </cell>
          <cell r="V105" t="str">
            <v>NULL</v>
          </cell>
          <cell r="W105" t="str">
            <v>NULL</v>
          </cell>
          <cell r="X105" t="str">
            <v>NULL</v>
          </cell>
          <cell r="Y105" t="str">
            <v>NULL</v>
          </cell>
          <cell r="Z105" t="str">
            <v>NULL</v>
          </cell>
          <cell r="AA105">
            <v>10008534</v>
          </cell>
          <cell r="AB105" t="str">
            <v>Independent School standard inspection</v>
          </cell>
          <cell r="AC105" t="str">
            <v>Independent Standard Inspection</v>
          </cell>
          <cell r="AD105">
            <v>43060</v>
          </cell>
          <cell r="AE105">
            <v>43062</v>
          </cell>
          <cell r="AF105">
            <v>43096</v>
          </cell>
          <cell r="AG105">
            <v>1</v>
          </cell>
          <cell r="AH105">
            <v>1</v>
          </cell>
          <cell r="AI105">
            <v>1</v>
          </cell>
          <cell r="AJ105">
            <v>1</v>
          </cell>
          <cell r="AK105">
            <v>1</v>
          </cell>
          <cell r="AL105">
            <v>1</v>
          </cell>
          <cell r="AM105" t="str">
            <v>NULL</v>
          </cell>
          <cell r="AN105" t="str">
            <v>Yes</v>
          </cell>
          <cell r="AO105" t="str">
            <v>ITS341939</v>
          </cell>
          <cell r="AP105" t="str">
            <v>S162a - LTI Inspection Historic</v>
          </cell>
          <cell r="AQ105" t="str">
            <v>Independent Standard Inspection</v>
          </cell>
          <cell r="AR105">
            <v>40108</v>
          </cell>
          <cell r="AS105">
            <v>40108</v>
          </cell>
          <cell r="AT105">
            <v>40194</v>
          </cell>
          <cell r="AU105">
            <v>1</v>
          </cell>
          <cell r="AV105">
            <v>1</v>
          </cell>
          <cell r="AW105">
            <v>2</v>
          </cell>
          <cell r="AX105" t="str">
            <v>NULL</v>
          </cell>
          <cell r="AY105" t="str">
            <v>NULL</v>
          </cell>
          <cell r="AZ105">
            <v>2</v>
          </cell>
          <cell r="BA105" t="str">
            <v>NULL</v>
          </cell>
          <cell r="BB105" t="str">
            <v>NULL</v>
          </cell>
        </row>
        <row r="106">
          <cell r="D106">
            <v>139239</v>
          </cell>
          <cell r="E106">
            <v>2136000</v>
          </cell>
          <cell r="F106" t="str">
            <v>L'Ecole Internationale Franco-Anglaise Ltd</v>
          </cell>
          <cell r="G106" t="str">
            <v>Other Independent School</v>
          </cell>
          <cell r="H106">
            <v>41284</v>
          </cell>
          <cell r="I106">
            <v>237</v>
          </cell>
          <cell r="J106" t="str">
            <v>London</v>
          </cell>
          <cell r="K106" t="str">
            <v>London</v>
          </cell>
          <cell r="L106" t="str">
            <v>Westminster</v>
          </cell>
          <cell r="M106" t="str">
            <v>Cities of London and Westminster</v>
          </cell>
          <cell r="N106" t="str">
            <v>W1B 1LS</v>
          </cell>
          <cell r="O106" t="str">
            <v>Has a sixth form</v>
          </cell>
          <cell r="P106">
            <v>2</v>
          </cell>
          <cell r="Q106">
            <v>18</v>
          </cell>
          <cell r="R106" t="str">
            <v>None</v>
          </cell>
          <cell r="S106" t="str">
            <v>Ofsted</v>
          </cell>
          <cell r="T106">
            <v>2</v>
          </cell>
          <cell r="U106">
            <v>10017781</v>
          </cell>
          <cell r="V106" t="str">
            <v>Independent school Material Change inspection</v>
          </cell>
          <cell r="W106">
            <v>42503</v>
          </cell>
          <cell r="X106">
            <v>42503</v>
          </cell>
          <cell r="Y106" t="str">
            <v>NULL</v>
          </cell>
          <cell r="Z106" t="str">
            <v>Likely to meet relevant standards</v>
          </cell>
          <cell r="AA106" t="str">
            <v>ITS422857</v>
          </cell>
          <cell r="AB106" t="str">
            <v>Independent school standard inspection - first</v>
          </cell>
          <cell r="AC106" t="str">
            <v>Independent Standard Inspection</v>
          </cell>
          <cell r="AD106">
            <v>41548</v>
          </cell>
          <cell r="AE106">
            <v>41550</v>
          </cell>
          <cell r="AF106">
            <v>41570</v>
          </cell>
          <cell r="AG106">
            <v>2</v>
          </cell>
          <cell r="AH106">
            <v>2</v>
          </cell>
          <cell r="AI106">
            <v>2</v>
          </cell>
          <cell r="AJ106">
            <v>2</v>
          </cell>
          <cell r="AK106" t="str">
            <v>NULL</v>
          </cell>
          <cell r="AL106" t="str">
            <v>NULL</v>
          </cell>
          <cell r="AM106" t="str">
            <v>NULL</v>
          </cell>
          <cell r="AN106" t="str">
            <v>NULL</v>
          </cell>
          <cell r="AO106" t="str">
            <v>NULL</v>
          </cell>
          <cell r="AP106" t="str">
            <v>NULL</v>
          </cell>
          <cell r="AQ106" t="str">
            <v>NULL</v>
          </cell>
          <cell r="AR106" t="str">
            <v>NULL</v>
          </cell>
          <cell r="AS106" t="str">
            <v>NULL</v>
          </cell>
          <cell r="AT106" t="str">
            <v>NULL</v>
          </cell>
          <cell r="AU106" t="str">
            <v>NULL</v>
          </cell>
          <cell r="AV106" t="str">
            <v>NULL</v>
          </cell>
          <cell r="AW106" t="str">
            <v>NULL</v>
          </cell>
          <cell r="AX106" t="str">
            <v>NULL</v>
          </cell>
          <cell r="AY106" t="str">
            <v>NULL</v>
          </cell>
          <cell r="AZ106" t="str">
            <v>NULL</v>
          </cell>
          <cell r="BA106" t="str">
            <v>NULL</v>
          </cell>
          <cell r="BB106" t="str">
            <v>NULL</v>
          </cell>
        </row>
        <row r="107">
          <cell r="D107">
            <v>137802</v>
          </cell>
          <cell r="E107">
            <v>3076004</v>
          </cell>
          <cell r="F107" t="str">
            <v>La Chouette School</v>
          </cell>
          <cell r="G107" t="str">
            <v>Other Independent School</v>
          </cell>
          <cell r="H107">
            <v>40896</v>
          </cell>
          <cell r="I107">
            <v>29</v>
          </cell>
          <cell r="J107" t="str">
            <v>London</v>
          </cell>
          <cell r="K107" t="str">
            <v>London</v>
          </cell>
          <cell r="L107" t="str">
            <v>Ealing</v>
          </cell>
          <cell r="M107" t="str">
            <v>Ealing Central and Acton</v>
          </cell>
          <cell r="N107" t="str">
            <v>W5 2PJ</v>
          </cell>
          <cell r="O107" t="str">
            <v>Does not have a sixth form</v>
          </cell>
          <cell r="P107">
            <v>2</v>
          </cell>
          <cell r="Q107">
            <v>6</v>
          </cell>
          <cell r="R107" t="str">
            <v>None</v>
          </cell>
          <cell r="S107" t="str">
            <v>Ofsted</v>
          </cell>
          <cell r="T107" t="str">
            <v>NULL</v>
          </cell>
          <cell r="U107" t="str">
            <v>NULL</v>
          </cell>
          <cell r="V107" t="str">
            <v>NULL</v>
          </cell>
          <cell r="W107" t="str">
            <v>NULL</v>
          </cell>
          <cell r="X107" t="str">
            <v>NULL</v>
          </cell>
          <cell r="Y107" t="str">
            <v>NULL</v>
          </cell>
          <cell r="Z107" t="str">
            <v>NULL</v>
          </cell>
          <cell r="AA107" t="str">
            <v>ITS397703</v>
          </cell>
          <cell r="AB107" t="str">
            <v>Independent school standard inspection - first</v>
          </cell>
          <cell r="AC107" t="str">
            <v>Independent Standard Inspection</v>
          </cell>
          <cell r="AD107">
            <v>41253</v>
          </cell>
          <cell r="AE107">
            <v>41254</v>
          </cell>
          <cell r="AF107">
            <v>41306</v>
          </cell>
          <cell r="AG107">
            <v>2</v>
          </cell>
          <cell r="AH107">
            <v>2</v>
          </cell>
          <cell r="AI107">
            <v>2</v>
          </cell>
          <cell r="AJ107" t="str">
            <v>NULL</v>
          </cell>
          <cell r="AK107" t="str">
            <v>NULL</v>
          </cell>
          <cell r="AL107">
            <v>2</v>
          </cell>
          <cell r="AM107" t="str">
            <v>NULL</v>
          </cell>
          <cell r="AN107" t="str">
            <v>NULL</v>
          </cell>
          <cell r="AO107" t="str">
            <v>NULL</v>
          </cell>
          <cell r="AP107" t="str">
            <v>NULL</v>
          </cell>
          <cell r="AQ107" t="str">
            <v>NULL</v>
          </cell>
          <cell r="AR107" t="str">
            <v>NULL</v>
          </cell>
          <cell r="AS107" t="str">
            <v>NULL</v>
          </cell>
          <cell r="AT107" t="str">
            <v>NULL</v>
          </cell>
          <cell r="AU107" t="str">
            <v>NULL</v>
          </cell>
          <cell r="AV107" t="str">
            <v>NULL</v>
          </cell>
          <cell r="AW107" t="str">
            <v>NULL</v>
          </cell>
          <cell r="AX107" t="str">
            <v>NULL</v>
          </cell>
          <cell r="AY107" t="str">
            <v>NULL</v>
          </cell>
          <cell r="AZ107" t="str">
            <v>NULL</v>
          </cell>
          <cell r="BA107" t="str">
            <v>NULL</v>
          </cell>
          <cell r="BB107" t="str">
            <v>NULL</v>
          </cell>
        </row>
        <row r="108">
          <cell r="D108">
            <v>131755</v>
          </cell>
          <cell r="E108">
            <v>3076079</v>
          </cell>
          <cell r="F108" t="str">
            <v>London Bunka Yochien School</v>
          </cell>
          <cell r="G108" t="str">
            <v>Other Independent School</v>
          </cell>
          <cell r="H108">
            <v>36195</v>
          </cell>
          <cell r="I108">
            <v>20</v>
          </cell>
          <cell r="J108" t="str">
            <v>London</v>
          </cell>
          <cell r="K108" t="str">
            <v>London</v>
          </cell>
          <cell r="L108" t="str">
            <v>Ealing</v>
          </cell>
          <cell r="M108" t="str">
            <v>Ealing Central and Acton</v>
          </cell>
          <cell r="N108" t="str">
            <v>W3 0BP</v>
          </cell>
          <cell r="O108" t="str">
            <v>Does not have a sixth form</v>
          </cell>
          <cell r="P108">
            <v>2</v>
          </cell>
          <cell r="Q108">
            <v>6</v>
          </cell>
          <cell r="R108" t="str">
            <v>None</v>
          </cell>
          <cell r="S108" t="str">
            <v>Ofsted</v>
          </cell>
          <cell r="T108" t="str">
            <v>NULL</v>
          </cell>
          <cell r="U108" t="str">
            <v>NULL</v>
          </cell>
          <cell r="V108" t="str">
            <v>NULL</v>
          </cell>
          <cell r="W108" t="str">
            <v>NULL</v>
          </cell>
          <cell r="X108" t="str">
            <v>NULL</v>
          </cell>
          <cell r="Y108" t="str">
            <v>NULL</v>
          </cell>
          <cell r="Z108" t="str">
            <v>NULL</v>
          </cell>
          <cell r="AA108">
            <v>10026286</v>
          </cell>
          <cell r="AB108" t="str">
            <v>Independent School standard inspection</v>
          </cell>
          <cell r="AC108" t="str">
            <v>Independent Standard Inspection</v>
          </cell>
          <cell r="AD108">
            <v>43130</v>
          </cell>
          <cell r="AE108">
            <v>43132</v>
          </cell>
          <cell r="AF108">
            <v>43159</v>
          </cell>
          <cell r="AG108">
            <v>2</v>
          </cell>
          <cell r="AH108">
            <v>2</v>
          </cell>
          <cell r="AI108">
            <v>2</v>
          </cell>
          <cell r="AJ108">
            <v>2</v>
          </cell>
          <cell r="AK108">
            <v>1</v>
          </cell>
          <cell r="AL108" t="str">
            <v>NULL</v>
          </cell>
          <cell r="AM108" t="str">
            <v>NULL</v>
          </cell>
          <cell r="AN108" t="str">
            <v>Yes</v>
          </cell>
          <cell r="AO108" t="str">
            <v>ITS422733</v>
          </cell>
          <cell r="AP108" t="str">
            <v>Independent School standard inspection</v>
          </cell>
          <cell r="AQ108" t="str">
            <v>Independent Standard Inspection</v>
          </cell>
          <cell r="AR108">
            <v>41653</v>
          </cell>
          <cell r="AS108">
            <v>41655</v>
          </cell>
          <cell r="AT108">
            <v>41697</v>
          </cell>
          <cell r="AU108">
            <v>4</v>
          </cell>
          <cell r="AV108">
            <v>2</v>
          </cell>
          <cell r="AW108">
            <v>2</v>
          </cell>
          <cell r="AX108">
            <v>4</v>
          </cell>
          <cell r="AY108" t="str">
            <v>NULL</v>
          </cell>
          <cell r="AZ108" t="str">
            <v>NULL</v>
          </cell>
          <cell r="BA108" t="str">
            <v>NULL</v>
          </cell>
          <cell r="BB108" t="str">
            <v>NULL</v>
          </cell>
        </row>
        <row r="109">
          <cell r="D109">
            <v>135091</v>
          </cell>
          <cell r="E109">
            <v>3166067</v>
          </cell>
          <cell r="F109" t="str">
            <v>London Christian Learning Centre</v>
          </cell>
          <cell r="G109" t="str">
            <v>Other Independent School</v>
          </cell>
          <cell r="H109">
            <v>38421</v>
          </cell>
          <cell r="I109">
            <v>65</v>
          </cell>
          <cell r="J109" t="str">
            <v>London</v>
          </cell>
          <cell r="K109" t="str">
            <v>London</v>
          </cell>
          <cell r="L109" t="str">
            <v>Newham</v>
          </cell>
          <cell r="M109" t="str">
            <v>East Ham</v>
          </cell>
          <cell r="N109" t="str">
            <v>E12 5AD</v>
          </cell>
          <cell r="O109" t="str">
            <v>Has a sixth form</v>
          </cell>
          <cell r="P109">
            <v>3</v>
          </cell>
          <cell r="Q109">
            <v>18</v>
          </cell>
          <cell r="R109" t="str">
            <v>Christian</v>
          </cell>
          <cell r="S109" t="str">
            <v>Ofsted</v>
          </cell>
          <cell r="T109">
            <v>2</v>
          </cell>
          <cell r="U109">
            <v>10044654</v>
          </cell>
          <cell r="V109" t="str">
            <v>Independent school Progress Monitoring inspection</v>
          </cell>
          <cell r="W109">
            <v>43133</v>
          </cell>
          <cell r="X109">
            <v>43133</v>
          </cell>
          <cell r="Y109">
            <v>43165</v>
          </cell>
          <cell r="Z109" t="str">
            <v>Did not meet all standards that were checked</v>
          </cell>
          <cell r="AA109">
            <v>10012829</v>
          </cell>
          <cell r="AB109" t="str">
            <v>Independent School standard inspection</v>
          </cell>
          <cell r="AC109" t="str">
            <v>Independent Standard Inspection</v>
          </cell>
          <cell r="AD109">
            <v>42661</v>
          </cell>
          <cell r="AE109">
            <v>42663</v>
          </cell>
          <cell r="AF109">
            <v>42723</v>
          </cell>
          <cell r="AG109">
            <v>4</v>
          </cell>
          <cell r="AH109">
            <v>3</v>
          </cell>
          <cell r="AI109">
            <v>3</v>
          </cell>
          <cell r="AJ109">
            <v>4</v>
          </cell>
          <cell r="AK109">
            <v>4</v>
          </cell>
          <cell r="AL109">
            <v>4</v>
          </cell>
          <cell r="AM109" t="str">
            <v>NULL</v>
          </cell>
          <cell r="AN109" t="str">
            <v>No</v>
          </cell>
          <cell r="AO109" t="str">
            <v>ITS397667</v>
          </cell>
          <cell r="AP109" t="str">
            <v>Independent School standard inspection</v>
          </cell>
          <cell r="AQ109" t="str">
            <v>Independent Standard Inspection</v>
          </cell>
          <cell r="AR109">
            <v>41086</v>
          </cell>
          <cell r="AS109">
            <v>41087</v>
          </cell>
          <cell r="AT109">
            <v>41108</v>
          </cell>
          <cell r="AU109">
            <v>2</v>
          </cell>
          <cell r="AV109">
            <v>2</v>
          </cell>
          <cell r="AW109">
            <v>2</v>
          </cell>
          <cell r="AX109" t="str">
            <v>NULL</v>
          </cell>
          <cell r="AY109" t="str">
            <v>NULL</v>
          </cell>
          <cell r="AZ109">
            <v>8</v>
          </cell>
          <cell r="BA109" t="str">
            <v>NULL</v>
          </cell>
          <cell r="BB109" t="str">
            <v>NULL</v>
          </cell>
        </row>
        <row r="110">
          <cell r="D110">
            <v>134810</v>
          </cell>
          <cell r="E110">
            <v>2116394</v>
          </cell>
          <cell r="F110" t="str">
            <v>London East Academy</v>
          </cell>
          <cell r="G110" t="str">
            <v>Other Independent School</v>
          </cell>
          <cell r="H110">
            <v>38224</v>
          </cell>
          <cell r="I110">
            <v>137</v>
          </cell>
          <cell r="J110" t="str">
            <v>London</v>
          </cell>
          <cell r="K110" t="str">
            <v>London</v>
          </cell>
          <cell r="L110" t="str">
            <v>Tower Hamlets</v>
          </cell>
          <cell r="M110" t="str">
            <v>Bethnal Green and Bow</v>
          </cell>
          <cell r="N110" t="str">
            <v>E1 1JX</v>
          </cell>
          <cell r="O110" t="str">
            <v>Does not have a sixth form</v>
          </cell>
          <cell r="P110">
            <v>11</v>
          </cell>
          <cell r="Q110">
            <v>16</v>
          </cell>
          <cell r="R110" t="str">
            <v>None</v>
          </cell>
          <cell r="S110" t="str">
            <v>Ofsted</v>
          </cell>
          <cell r="T110" t="str">
            <v>NULL</v>
          </cell>
          <cell r="U110" t="str">
            <v>NULL</v>
          </cell>
          <cell r="V110" t="str">
            <v>NULL</v>
          </cell>
          <cell r="W110" t="str">
            <v>NULL</v>
          </cell>
          <cell r="X110" t="str">
            <v>NULL</v>
          </cell>
          <cell r="Y110" t="str">
            <v>NULL</v>
          </cell>
          <cell r="Z110" t="str">
            <v>NULL</v>
          </cell>
          <cell r="AA110">
            <v>10033689</v>
          </cell>
          <cell r="AB110" t="str">
            <v>Independent School standard inspection</v>
          </cell>
          <cell r="AC110" t="str">
            <v>Independent Standard Inspection</v>
          </cell>
          <cell r="AD110">
            <v>42927</v>
          </cell>
          <cell r="AE110">
            <v>42929</v>
          </cell>
          <cell r="AF110">
            <v>42992</v>
          </cell>
          <cell r="AG110">
            <v>2</v>
          </cell>
          <cell r="AH110">
            <v>2</v>
          </cell>
          <cell r="AI110">
            <v>2</v>
          </cell>
          <cell r="AJ110">
            <v>2</v>
          </cell>
          <cell r="AK110">
            <v>2</v>
          </cell>
          <cell r="AL110" t="str">
            <v>NULL</v>
          </cell>
          <cell r="AM110" t="str">
            <v>NULL</v>
          </cell>
          <cell r="AN110" t="str">
            <v>Yes</v>
          </cell>
          <cell r="AO110" t="str">
            <v>ITS442970</v>
          </cell>
          <cell r="AP110" t="str">
            <v>Independent School standard inspection</v>
          </cell>
          <cell r="AQ110" t="str">
            <v>Independent Standard Inspection</v>
          </cell>
          <cell r="AR110">
            <v>41920</v>
          </cell>
          <cell r="AS110">
            <v>41922</v>
          </cell>
          <cell r="AT110">
            <v>42039</v>
          </cell>
          <cell r="AU110">
            <v>4</v>
          </cell>
          <cell r="AV110">
            <v>4</v>
          </cell>
          <cell r="AW110">
            <v>4</v>
          </cell>
          <cell r="AX110">
            <v>4</v>
          </cell>
          <cell r="AY110" t="str">
            <v>NULL</v>
          </cell>
          <cell r="AZ110">
            <v>9</v>
          </cell>
          <cell r="BA110">
            <v>9</v>
          </cell>
          <cell r="BB110" t="str">
            <v>NULL</v>
          </cell>
        </row>
        <row r="111">
          <cell r="D111">
            <v>132797</v>
          </cell>
          <cell r="E111">
            <v>2116390</v>
          </cell>
          <cell r="F111" t="str">
            <v>London Islamic School</v>
          </cell>
          <cell r="G111" t="str">
            <v>Other Independent School</v>
          </cell>
          <cell r="H111">
            <v>36867</v>
          </cell>
          <cell r="I111">
            <v>135</v>
          </cell>
          <cell r="J111" t="str">
            <v>London</v>
          </cell>
          <cell r="K111" t="str">
            <v>London</v>
          </cell>
          <cell r="L111" t="str">
            <v>Tower Hamlets</v>
          </cell>
          <cell r="M111" t="str">
            <v>Bethnal Green and Bow</v>
          </cell>
          <cell r="N111" t="str">
            <v>E1 2HX</v>
          </cell>
          <cell r="O111" t="str">
            <v>Does not have a sixth form</v>
          </cell>
          <cell r="P111">
            <v>11</v>
          </cell>
          <cell r="Q111">
            <v>16</v>
          </cell>
          <cell r="R111" t="str">
            <v>None</v>
          </cell>
          <cell r="S111" t="str">
            <v>Ofsted</v>
          </cell>
          <cell r="T111">
            <v>1</v>
          </cell>
          <cell r="U111" t="str">
            <v>ITS455822</v>
          </cell>
          <cell r="V111" t="str">
            <v>Independent school emergency inspection</v>
          </cell>
          <cell r="W111">
            <v>42018</v>
          </cell>
          <cell r="X111">
            <v>42019</v>
          </cell>
          <cell r="Y111" t="str">
            <v>NULL</v>
          </cell>
          <cell r="Z111" t="str">
            <v>No unmet standards</v>
          </cell>
          <cell r="AA111" t="str">
            <v>ITS442987</v>
          </cell>
          <cell r="AB111" t="str">
            <v>Independent School standard inspection</v>
          </cell>
          <cell r="AC111" t="str">
            <v>Independent Standard Inspection</v>
          </cell>
          <cell r="AD111">
            <v>41723</v>
          </cell>
          <cell r="AE111">
            <v>41725</v>
          </cell>
          <cell r="AF111">
            <v>41754</v>
          </cell>
          <cell r="AG111">
            <v>2</v>
          </cell>
          <cell r="AH111">
            <v>2</v>
          </cell>
          <cell r="AI111">
            <v>2</v>
          </cell>
          <cell r="AJ111">
            <v>2</v>
          </cell>
          <cell r="AK111" t="str">
            <v>NULL</v>
          </cell>
          <cell r="AL111" t="str">
            <v>NULL</v>
          </cell>
          <cell r="AM111" t="str">
            <v>NULL</v>
          </cell>
          <cell r="AN111" t="str">
            <v>NULL</v>
          </cell>
          <cell r="AO111" t="str">
            <v>ITS320363</v>
          </cell>
          <cell r="AP111" t="str">
            <v>Independent School standard inspection</v>
          </cell>
          <cell r="AQ111" t="str">
            <v>Independent Standard Inspection</v>
          </cell>
          <cell r="AR111">
            <v>39504</v>
          </cell>
          <cell r="AS111">
            <v>39505</v>
          </cell>
          <cell r="AT111">
            <v>39524</v>
          </cell>
          <cell r="AU111">
            <v>2</v>
          </cell>
          <cell r="AV111">
            <v>2</v>
          </cell>
          <cell r="AW111">
            <v>2</v>
          </cell>
          <cell r="AX111" t="str">
            <v>NULL</v>
          </cell>
          <cell r="AY111" t="str">
            <v>NULL</v>
          </cell>
          <cell r="AZ111" t="str">
            <v>NULL</v>
          </cell>
          <cell r="BA111" t="str">
            <v>NULL</v>
          </cell>
          <cell r="BB111" t="str">
            <v>NULL</v>
          </cell>
        </row>
        <row r="112">
          <cell r="D112">
            <v>131978</v>
          </cell>
          <cell r="E112">
            <v>2026399</v>
          </cell>
          <cell r="F112" t="str">
            <v>Maria Montessori School</v>
          </cell>
          <cell r="G112" t="str">
            <v>Other Independent School</v>
          </cell>
          <cell r="H112">
            <v>36448</v>
          </cell>
          <cell r="I112">
            <v>192</v>
          </cell>
          <cell r="J112" t="str">
            <v>London</v>
          </cell>
          <cell r="K112" t="str">
            <v>London</v>
          </cell>
          <cell r="L112" t="str">
            <v>Camden</v>
          </cell>
          <cell r="M112" t="str">
            <v>Hampstead and Kilburn</v>
          </cell>
          <cell r="N112" t="str">
            <v>NW3 5NW</v>
          </cell>
          <cell r="O112" t="str">
            <v>Does not have a sixth form</v>
          </cell>
          <cell r="P112">
            <v>3</v>
          </cell>
          <cell r="Q112">
            <v>12</v>
          </cell>
          <cell r="R112" t="str">
            <v>None</v>
          </cell>
          <cell r="S112" t="str">
            <v>Ofsted</v>
          </cell>
          <cell r="T112" t="str">
            <v>NULL</v>
          </cell>
          <cell r="U112" t="str">
            <v>NULL</v>
          </cell>
          <cell r="V112" t="str">
            <v>NULL</v>
          </cell>
          <cell r="W112" t="str">
            <v>NULL</v>
          </cell>
          <cell r="X112" t="str">
            <v>NULL</v>
          </cell>
          <cell r="Y112" t="str">
            <v>NULL</v>
          </cell>
          <cell r="Z112" t="str">
            <v>NULL</v>
          </cell>
          <cell r="AA112">
            <v>10035794</v>
          </cell>
          <cell r="AB112" t="str">
            <v>Independent School standard inspection</v>
          </cell>
          <cell r="AC112" t="str">
            <v>Independent Standard Inspection</v>
          </cell>
          <cell r="AD112">
            <v>43081</v>
          </cell>
          <cell r="AE112">
            <v>43083</v>
          </cell>
          <cell r="AF112">
            <v>43122</v>
          </cell>
          <cell r="AG112">
            <v>2</v>
          </cell>
          <cell r="AH112">
            <v>2</v>
          </cell>
          <cell r="AI112">
            <v>2</v>
          </cell>
          <cell r="AJ112">
            <v>2</v>
          </cell>
          <cell r="AK112">
            <v>1</v>
          </cell>
          <cell r="AL112">
            <v>2</v>
          </cell>
          <cell r="AM112" t="str">
            <v>NULL</v>
          </cell>
          <cell r="AN112" t="str">
            <v>Yes</v>
          </cell>
          <cell r="AO112" t="str">
            <v>ITS441435</v>
          </cell>
          <cell r="AP112" t="str">
            <v>Independent School standard inspection</v>
          </cell>
          <cell r="AQ112" t="str">
            <v>Independent Standard Inspection</v>
          </cell>
          <cell r="AR112">
            <v>41710</v>
          </cell>
          <cell r="AS112">
            <v>41712</v>
          </cell>
          <cell r="AT112">
            <v>41754</v>
          </cell>
          <cell r="AU112">
            <v>2</v>
          </cell>
          <cell r="AV112">
            <v>2</v>
          </cell>
          <cell r="AW112">
            <v>2</v>
          </cell>
          <cell r="AX112">
            <v>2</v>
          </cell>
          <cell r="AY112" t="str">
            <v>NULL</v>
          </cell>
          <cell r="AZ112" t="str">
            <v>NULL</v>
          </cell>
          <cell r="BA112" t="str">
            <v>NULL</v>
          </cell>
          <cell r="BB112" t="str">
            <v>NULL</v>
          </cell>
        </row>
        <row r="113">
          <cell r="D113">
            <v>133541</v>
          </cell>
          <cell r="E113">
            <v>8896009</v>
          </cell>
          <cell r="F113" t="str">
            <v>Markazul Uloom</v>
          </cell>
          <cell r="G113" t="str">
            <v>Other Independent School</v>
          </cell>
          <cell r="H113">
            <v>37225</v>
          </cell>
          <cell r="I113">
            <v>163</v>
          </cell>
          <cell r="J113" t="str">
            <v>North West</v>
          </cell>
          <cell r="K113" t="str">
            <v>North West</v>
          </cell>
          <cell r="L113" t="str">
            <v>Blackburn with Darwen</v>
          </cell>
          <cell r="M113" t="str">
            <v>Blackburn</v>
          </cell>
          <cell r="N113" t="str">
            <v>BB2 3NY</v>
          </cell>
          <cell r="O113" t="str">
            <v>Has a sixth form</v>
          </cell>
          <cell r="P113">
            <v>11</v>
          </cell>
          <cell r="Q113">
            <v>19</v>
          </cell>
          <cell r="R113" t="str">
            <v>Islam</v>
          </cell>
          <cell r="S113" t="str">
            <v>Ofsted</v>
          </cell>
          <cell r="T113" t="str">
            <v>NULL</v>
          </cell>
          <cell r="U113" t="str">
            <v>NULL</v>
          </cell>
          <cell r="V113" t="str">
            <v>NULL</v>
          </cell>
          <cell r="W113" t="str">
            <v>NULL</v>
          </cell>
          <cell r="X113" t="str">
            <v>NULL</v>
          </cell>
          <cell r="Y113" t="str">
            <v>NULL</v>
          </cell>
          <cell r="Z113" t="str">
            <v>NULL</v>
          </cell>
          <cell r="AA113">
            <v>10026008</v>
          </cell>
          <cell r="AB113" t="str">
            <v>Independent School standard inspection</v>
          </cell>
          <cell r="AC113" t="str">
            <v>Independent Standard Inspection</v>
          </cell>
          <cell r="AD113">
            <v>42920</v>
          </cell>
          <cell r="AE113">
            <v>42922</v>
          </cell>
          <cell r="AF113">
            <v>42944</v>
          </cell>
          <cell r="AG113">
            <v>2</v>
          </cell>
          <cell r="AH113">
            <v>2</v>
          </cell>
          <cell r="AI113">
            <v>2</v>
          </cell>
          <cell r="AJ113">
            <v>2</v>
          </cell>
          <cell r="AK113">
            <v>1</v>
          </cell>
          <cell r="AL113" t="str">
            <v>NULL</v>
          </cell>
          <cell r="AM113" t="str">
            <v>NULL</v>
          </cell>
          <cell r="AN113" t="str">
            <v>Yes</v>
          </cell>
          <cell r="AO113" t="str">
            <v>ITS422755</v>
          </cell>
          <cell r="AP113" t="str">
            <v>Independent School standard inspection</v>
          </cell>
          <cell r="AQ113" t="str">
            <v>Independent Standard Inspection</v>
          </cell>
          <cell r="AR113">
            <v>41667</v>
          </cell>
          <cell r="AS113">
            <v>41669</v>
          </cell>
          <cell r="AT113">
            <v>41697</v>
          </cell>
          <cell r="AU113">
            <v>2</v>
          </cell>
          <cell r="AV113">
            <v>2</v>
          </cell>
          <cell r="AW113">
            <v>2</v>
          </cell>
          <cell r="AX113">
            <v>2</v>
          </cell>
          <cell r="AY113" t="str">
            <v>NULL</v>
          </cell>
          <cell r="AZ113" t="str">
            <v>NULL</v>
          </cell>
          <cell r="BA113" t="str">
            <v>NULL</v>
          </cell>
          <cell r="BB113" t="str">
            <v>NULL</v>
          </cell>
        </row>
        <row r="114">
          <cell r="D114">
            <v>136685</v>
          </cell>
          <cell r="E114">
            <v>8606444</v>
          </cell>
          <cell r="F114" t="str">
            <v>Martec Training</v>
          </cell>
          <cell r="G114" t="str">
            <v>Other Independent School</v>
          </cell>
          <cell r="H114">
            <v>40639</v>
          </cell>
          <cell r="I114">
            <v>59</v>
          </cell>
          <cell r="J114" t="str">
            <v>West Midlands</v>
          </cell>
          <cell r="K114" t="str">
            <v>West Midlands</v>
          </cell>
          <cell r="L114" t="str">
            <v>Staffordshire</v>
          </cell>
          <cell r="M114" t="str">
            <v>Newcastle-under-Lyme</v>
          </cell>
          <cell r="N114" t="str">
            <v>ST5 1LZ</v>
          </cell>
          <cell r="O114" t="str">
            <v>Has a sixth form</v>
          </cell>
          <cell r="P114">
            <v>14</v>
          </cell>
          <cell r="Q114">
            <v>19</v>
          </cell>
          <cell r="R114" t="str">
            <v>None</v>
          </cell>
          <cell r="S114" t="str">
            <v>Ofsted</v>
          </cell>
          <cell r="T114" t="str">
            <v>NULL</v>
          </cell>
          <cell r="U114" t="str">
            <v>NULL</v>
          </cell>
          <cell r="V114" t="str">
            <v>NULL</v>
          </cell>
          <cell r="W114" t="str">
            <v>NULL</v>
          </cell>
          <cell r="X114" t="str">
            <v>NULL</v>
          </cell>
          <cell r="Y114" t="str">
            <v>NULL</v>
          </cell>
          <cell r="Z114" t="str">
            <v>NULL</v>
          </cell>
          <cell r="AA114" t="str">
            <v>ITS386858</v>
          </cell>
          <cell r="AB114" t="str">
            <v>Independent School standard inspection</v>
          </cell>
          <cell r="AC114" t="str">
            <v>Independent Standard Inspection</v>
          </cell>
          <cell r="AD114">
            <v>40946</v>
          </cell>
          <cell r="AE114">
            <v>40947</v>
          </cell>
          <cell r="AF114">
            <v>40968</v>
          </cell>
          <cell r="AG114">
            <v>2</v>
          </cell>
          <cell r="AH114">
            <v>2</v>
          </cell>
          <cell r="AI114">
            <v>2</v>
          </cell>
          <cell r="AJ114" t="str">
            <v>NULL</v>
          </cell>
          <cell r="AK114" t="str">
            <v>NULL</v>
          </cell>
          <cell r="AL114">
            <v>8</v>
          </cell>
          <cell r="AM114" t="str">
            <v>NULL</v>
          </cell>
          <cell r="AN114" t="str">
            <v>NULL</v>
          </cell>
          <cell r="AO114" t="str">
            <v>NULL</v>
          </cell>
          <cell r="AP114" t="str">
            <v>NULL</v>
          </cell>
          <cell r="AQ114" t="str">
            <v>NULL</v>
          </cell>
          <cell r="AR114" t="str">
            <v>NULL</v>
          </cell>
          <cell r="AS114" t="str">
            <v>NULL</v>
          </cell>
          <cell r="AT114" t="str">
            <v>NULL</v>
          </cell>
          <cell r="AU114" t="str">
            <v>NULL</v>
          </cell>
          <cell r="AV114" t="str">
            <v>NULL</v>
          </cell>
          <cell r="AW114" t="str">
            <v>NULL</v>
          </cell>
          <cell r="AX114" t="str">
            <v>NULL</v>
          </cell>
          <cell r="AY114" t="str">
            <v>NULL</v>
          </cell>
          <cell r="AZ114" t="str">
            <v>NULL</v>
          </cell>
          <cell r="BA114" t="str">
            <v>NULL</v>
          </cell>
          <cell r="BB114" t="str">
            <v>NULL</v>
          </cell>
        </row>
        <row r="115">
          <cell r="D115">
            <v>133307</v>
          </cell>
          <cell r="E115">
            <v>2116391</v>
          </cell>
          <cell r="F115" t="str">
            <v>Mazahirul Uloom London School</v>
          </cell>
          <cell r="G115" t="str">
            <v>Other Independent School</v>
          </cell>
          <cell r="H115">
            <v>36906</v>
          </cell>
          <cell r="I115">
            <v>97</v>
          </cell>
          <cell r="J115" t="str">
            <v>London</v>
          </cell>
          <cell r="K115" t="str">
            <v>London</v>
          </cell>
          <cell r="L115" t="str">
            <v>Tower Hamlets</v>
          </cell>
          <cell r="M115" t="str">
            <v>Bethnal Green and Bow</v>
          </cell>
          <cell r="N115" t="str">
            <v>E1 4AA</v>
          </cell>
          <cell r="O115" t="str">
            <v>Does not have a sixth form</v>
          </cell>
          <cell r="P115">
            <v>11</v>
          </cell>
          <cell r="Q115">
            <v>16</v>
          </cell>
          <cell r="R115" t="str">
            <v>None</v>
          </cell>
          <cell r="S115" t="str">
            <v>Ofsted</v>
          </cell>
          <cell r="T115">
            <v>1</v>
          </cell>
          <cell r="U115">
            <v>10048847</v>
          </cell>
          <cell r="V115" t="str">
            <v>Independent school evaluation of school action plan</v>
          </cell>
          <cell r="W115">
            <v>43154</v>
          </cell>
          <cell r="X115">
            <v>43154</v>
          </cell>
          <cell r="Y115" t="str">
            <v>NULL</v>
          </cell>
          <cell r="Z115" t="str">
            <v>Action plan is acceptable</v>
          </cell>
          <cell r="AA115">
            <v>10026290</v>
          </cell>
          <cell r="AB115" t="str">
            <v>Independent School standard inspection</v>
          </cell>
          <cell r="AC115" t="str">
            <v>Independent Standard Inspection</v>
          </cell>
          <cell r="AD115">
            <v>43011</v>
          </cell>
          <cell r="AE115">
            <v>43013</v>
          </cell>
          <cell r="AF115">
            <v>43077</v>
          </cell>
          <cell r="AG115">
            <v>4</v>
          </cell>
          <cell r="AH115">
            <v>3</v>
          </cell>
          <cell r="AI115">
            <v>3</v>
          </cell>
          <cell r="AJ115">
            <v>4</v>
          </cell>
          <cell r="AK115">
            <v>4</v>
          </cell>
          <cell r="AL115" t="str">
            <v>NULL</v>
          </cell>
          <cell r="AM115" t="str">
            <v>NULL</v>
          </cell>
          <cell r="AN115" t="str">
            <v>No</v>
          </cell>
          <cell r="AO115" t="str">
            <v>NULL</v>
          </cell>
          <cell r="AP115" t="str">
            <v>NULL</v>
          </cell>
          <cell r="AQ115" t="str">
            <v>NULL</v>
          </cell>
          <cell r="AR115" t="str">
            <v>NULL</v>
          </cell>
          <cell r="AS115" t="str">
            <v>NULL</v>
          </cell>
          <cell r="AT115" t="str">
            <v>NULL</v>
          </cell>
          <cell r="AU115" t="str">
            <v>NULL</v>
          </cell>
          <cell r="AV115" t="str">
            <v>NULL</v>
          </cell>
          <cell r="AW115" t="str">
            <v>NULL</v>
          </cell>
          <cell r="AX115" t="str">
            <v>NULL</v>
          </cell>
          <cell r="AY115" t="str">
            <v>NULL</v>
          </cell>
          <cell r="AZ115" t="str">
            <v>NULL</v>
          </cell>
          <cell r="BA115" t="str">
            <v>NULL</v>
          </cell>
          <cell r="BB115" t="str">
            <v>NULL</v>
          </cell>
        </row>
        <row r="116">
          <cell r="D116">
            <v>130321</v>
          </cell>
          <cell r="E116">
            <v>8656027</v>
          </cell>
          <cell r="F116" t="str">
            <v>Meadowpark School</v>
          </cell>
          <cell r="G116" t="str">
            <v>Other Independent School</v>
          </cell>
          <cell r="H116">
            <v>35115</v>
          </cell>
          <cell r="I116">
            <v>65</v>
          </cell>
          <cell r="J116" t="str">
            <v>South West</v>
          </cell>
          <cell r="K116" t="str">
            <v>South West</v>
          </cell>
          <cell r="L116" t="str">
            <v>Wiltshire</v>
          </cell>
          <cell r="M116" t="str">
            <v>North Wiltshire</v>
          </cell>
          <cell r="N116" t="str">
            <v>SN6 6DD</v>
          </cell>
          <cell r="O116" t="str">
            <v>Does not have a sixth form</v>
          </cell>
          <cell r="P116">
            <v>4</v>
          </cell>
          <cell r="Q116">
            <v>11</v>
          </cell>
          <cell r="R116" t="str">
            <v>None</v>
          </cell>
          <cell r="S116" t="str">
            <v>Ofsted</v>
          </cell>
          <cell r="T116" t="str">
            <v>NULL</v>
          </cell>
          <cell r="U116" t="str">
            <v>NULL</v>
          </cell>
          <cell r="V116" t="str">
            <v>NULL</v>
          </cell>
          <cell r="W116" t="str">
            <v>NULL</v>
          </cell>
          <cell r="X116" t="str">
            <v>NULL</v>
          </cell>
          <cell r="Y116" t="str">
            <v>NULL</v>
          </cell>
          <cell r="Z116" t="str">
            <v>NULL</v>
          </cell>
          <cell r="AA116">
            <v>10033888</v>
          </cell>
          <cell r="AB116" t="str">
            <v>Independent School standard inspection</v>
          </cell>
          <cell r="AC116" t="str">
            <v>Independent Standard Inspection</v>
          </cell>
          <cell r="AD116">
            <v>42990</v>
          </cell>
          <cell r="AE116">
            <v>42992</v>
          </cell>
          <cell r="AF116">
            <v>43027</v>
          </cell>
          <cell r="AG116">
            <v>2</v>
          </cell>
          <cell r="AH116">
            <v>2</v>
          </cell>
          <cell r="AI116">
            <v>2</v>
          </cell>
          <cell r="AJ116">
            <v>2</v>
          </cell>
          <cell r="AK116">
            <v>2</v>
          </cell>
          <cell r="AL116">
            <v>2</v>
          </cell>
          <cell r="AM116" t="str">
            <v>NULL</v>
          </cell>
          <cell r="AN116" t="str">
            <v>Yes</v>
          </cell>
          <cell r="AO116" t="str">
            <v>ITS422717</v>
          </cell>
          <cell r="AP116" t="str">
            <v>Independent School standard inspection</v>
          </cell>
          <cell r="AQ116" t="str">
            <v>Independent Standard Inspection</v>
          </cell>
          <cell r="AR116">
            <v>41702</v>
          </cell>
          <cell r="AS116">
            <v>41704</v>
          </cell>
          <cell r="AT116">
            <v>41724</v>
          </cell>
          <cell r="AU116">
            <v>1</v>
          </cell>
          <cell r="AV116">
            <v>1</v>
          </cell>
          <cell r="AW116">
            <v>1</v>
          </cell>
          <cell r="AX116">
            <v>1</v>
          </cell>
          <cell r="AY116" t="str">
            <v>NULL</v>
          </cell>
          <cell r="AZ116" t="str">
            <v>NULL</v>
          </cell>
          <cell r="BA116" t="str">
            <v>NULL</v>
          </cell>
          <cell r="BB116" t="str">
            <v>NULL</v>
          </cell>
        </row>
        <row r="117">
          <cell r="D117">
            <v>130245</v>
          </cell>
          <cell r="E117">
            <v>3806119</v>
          </cell>
          <cell r="F117" t="str">
            <v>Olive Secondary Boys</v>
          </cell>
          <cell r="G117" t="str">
            <v>Other Independent School</v>
          </cell>
          <cell r="H117">
            <v>38610</v>
          </cell>
          <cell r="I117">
            <v>192</v>
          </cell>
          <cell r="J117" t="str">
            <v>North East, Yorkshire and the Humber</v>
          </cell>
          <cell r="K117" t="str">
            <v>Yorkshire and the Humber</v>
          </cell>
          <cell r="L117" t="str">
            <v>Bradford</v>
          </cell>
          <cell r="M117" t="str">
            <v>Bradford East</v>
          </cell>
          <cell r="N117" t="str">
            <v>BD3 0AD</v>
          </cell>
          <cell r="O117" t="str">
            <v>Has a sixth form</v>
          </cell>
          <cell r="P117">
            <v>11</v>
          </cell>
          <cell r="Q117">
            <v>18</v>
          </cell>
          <cell r="R117" t="str">
            <v>Islam</v>
          </cell>
          <cell r="S117" t="str">
            <v>Ofsted</v>
          </cell>
          <cell r="T117" t="str">
            <v>NULL</v>
          </cell>
          <cell r="U117" t="str">
            <v>NULL</v>
          </cell>
          <cell r="V117" t="str">
            <v>NULL</v>
          </cell>
          <cell r="W117" t="str">
            <v>NULL</v>
          </cell>
          <cell r="X117" t="str">
            <v>NULL</v>
          </cell>
          <cell r="Y117" t="str">
            <v>NULL</v>
          </cell>
          <cell r="Z117" t="str">
            <v>NULL</v>
          </cell>
          <cell r="AA117">
            <v>10033915</v>
          </cell>
          <cell r="AB117" t="str">
            <v>Independent School standard inspection</v>
          </cell>
          <cell r="AC117" t="str">
            <v>Independent Standard Inspection</v>
          </cell>
          <cell r="AD117">
            <v>42927</v>
          </cell>
          <cell r="AE117">
            <v>42929</v>
          </cell>
          <cell r="AF117">
            <v>43039</v>
          </cell>
          <cell r="AG117">
            <v>4</v>
          </cell>
          <cell r="AH117">
            <v>3</v>
          </cell>
          <cell r="AI117">
            <v>3</v>
          </cell>
          <cell r="AJ117">
            <v>4</v>
          </cell>
          <cell r="AK117">
            <v>4</v>
          </cell>
          <cell r="AL117" t="str">
            <v>NULL</v>
          </cell>
          <cell r="AM117" t="str">
            <v>NULL</v>
          </cell>
          <cell r="AN117" t="str">
            <v>Yes</v>
          </cell>
          <cell r="AO117" t="str">
            <v>ITS447238</v>
          </cell>
          <cell r="AP117" t="str">
            <v>Independent School standard inspection</v>
          </cell>
          <cell r="AQ117" t="str">
            <v>Independent Standard Inspection</v>
          </cell>
          <cell r="AR117">
            <v>41800</v>
          </cell>
          <cell r="AS117">
            <v>41802</v>
          </cell>
          <cell r="AT117">
            <v>41824</v>
          </cell>
          <cell r="AU117">
            <v>2</v>
          </cell>
          <cell r="AV117">
            <v>2</v>
          </cell>
          <cell r="AW117">
            <v>2</v>
          </cell>
          <cell r="AX117">
            <v>2</v>
          </cell>
          <cell r="AY117" t="str">
            <v>NULL</v>
          </cell>
          <cell r="AZ117" t="str">
            <v>NULL</v>
          </cell>
          <cell r="BA117" t="str">
            <v>NULL</v>
          </cell>
          <cell r="BB117" t="str">
            <v>NULL</v>
          </cell>
        </row>
        <row r="118">
          <cell r="D118">
            <v>131825</v>
          </cell>
          <cell r="E118">
            <v>8216004</v>
          </cell>
          <cell r="F118" t="str">
            <v>Olive Tree Primary School</v>
          </cell>
          <cell r="G118" t="str">
            <v>Other Independent School</v>
          </cell>
          <cell r="H118">
            <v>36307</v>
          </cell>
          <cell r="I118">
            <v>76</v>
          </cell>
          <cell r="J118" t="str">
            <v>East of England</v>
          </cell>
          <cell r="K118" t="str">
            <v>East of England</v>
          </cell>
          <cell r="L118" t="str">
            <v>Luton</v>
          </cell>
          <cell r="M118" t="str">
            <v>Luton South</v>
          </cell>
          <cell r="N118" t="str">
            <v>LU1 1HE</v>
          </cell>
          <cell r="O118" t="str">
            <v>Does not have a sixth form</v>
          </cell>
          <cell r="P118">
            <v>5</v>
          </cell>
          <cell r="Q118">
            <v>11</v>
          </cell>
          <cell r="R118" t="str">
            <v>None</v>
          </cell>
          <cell r="S118" t="str">
            <v>Ofsted</v>
          </cell>
          <cell r="T118">
            <v>2</v>
          </cell>
          <cell r="U118">
            <v>10047102</v>
          </cell>
          <cell r="V118" t="str">
            <v>Independent school Progress Monitoring inspection</v>
          </cell>
          <cell r="W118">
            <v>43159</v>
          </cell>
          <cell r="X118">
            <v>43160</v>
          </cell>
          <cell r="Y118">
            <v>43187</v>
          </cell>
          <cell r="Z118" t="str">
            <v>Did not meet all standards that were checked</v>
          </cell>
          <cell r="AA118">
            <v>10033545</v>
          </cell>
          <cell r="AB118" t="str">
            <v>Independent School standard inspection</v>
          </cell>
          <cell r="AC118" t="str">
            <v>Independent Standard Inspection</v>
          </cell>
          <cell r="AD118">
            <v>42878</v>
          </cell>
          <cell r="AE118">
            <v>42880</v>
          </cell>
          <cell r="AF118">
            <v>42920</v>
          </cell>
          <cell r="AG118">
            <v>4</v>
          </cell>
          <cell r="AH118">
            <v>3</v>
          </cell>
          <cell r="AI118">
            <v>3</v>
          </cell>
          <cell r="AJ118">
            <v>4</v>
          </cell>
          <cell r="AK118">
            <v>4</v>
          </cell>
          <cell r="AL118" t="str">
            <v>NULL</v>
          </cell>
          <cell r="AM118" t="str">
            <v>NULL</v>
          </cell>
          <cell r="AN118" t="str">
            <v>No</v>
          </cell>
          <cell r="AO118" t="str">
            <v>ITS444466</v>
          </cell>
          <cell r="AP118" t="str">
            <v>Independent School standard inspection</v>
          </cell>
          <cell r="AQ118" t="str">
            <v>Independent Standard Inspection</v>
          </cell>
          <cell r="AR118">
            <v>41772</v>
          </cell>
          <cell r="AS118">
            <v>41774</v>
          </cell>
          <cell r="AT118">
            <v>41799</v>
          </cell>
          <cell r="AU118">
            <v>4</v>
          </cell>
          <cell r="AV118">
            <v>3</v>
          </cell>
          <cell r="AW118">
            <v>3</v>
          </cell>
          <cell r="AX118">
            <v>4</v>
          </cell>
          <cell r="AY118" t="str">
            <v>NULL</v>
          </cell>
          <cell r="AZ118" t="str">
            <v>NULL</v>
          </cell>
          <cell r="BA118" t="str">
            <v>NULL</v>
          </cell>
          <cell r="BB118" t="str">
            <v>NULL</v>
          </cell>
        </row>
        <row r="119">
          <cell r="D119">
            <v>134400</v>
          </cell>
          <cell r="E119">
            <v>2096363</v>
          </cell>
          <cell r="F119" t="str">
            <v>Olive Tree School</v>
          </cell>
          <cell r="G119" t="str">
            <v>Other Independent School</v>
          </cell>
          <cell r="H119">
            <v>37862</v>
          </cell>
          <cell r="I119">
            <v>113</v>
          </cell>
          <cell r="J119" t="str">
            <v>London</v>
          </cell>
          <cell r="K119" t="str">
            <v>London</v>
          </cell>
          <cell r="L119" t="str">
            <v>Lewisham</v>
          </cell>
          <cell r="M119" t="str">
            <v>Lewisham, Deptford</v>
          </cell>
          <cell r="N119" t="str">
            <v>SE13 6NZ</v>
          </cell>
          <cell r="O119" t="str">
            <v>Does not have a sixth form</v>
          </cell>
          <cell r="P119">
            <v>3</v>
          </cell>
          <cell r="Q119">
            <v>11</v>
          </cell>
          <cell r="R119" t="str">
            <v>Islam</v>
          </cell>
          <cell r="S119" t="str">
            <v>Ofsted</v>
          </cell>
          <cell r="T119">
            <v>3</v>
          </cell>
          <cell r="U119">
            <v>10048655</v>
          </cell>
          <cell r="V119" t="str">
            <v>Independent school evaluation of school action plan</v>
          </cell>
          <cell r="W119">
            <v>43152</v>
          </cell>
          <cell r="X119">
            <v>43152</v>
          </cell>
          <cell r="Y119" t="str">
            <v>NULL</v>
          </cell>
          <cell r="Z119" t="str">
            <v>Action plan is not acceptable</v>
          </cell>
          <cell r="AA119">
            <v>10033423</v>
          </cell>
          <cell r="AB119" t="str">
            <v>Independent School standard inspection</v>
          </cell>
          <cell r="AC119" t="str">
            <v>Independent Standard Inspection</v>
          </cell>
          <cell r="AD119">
            <v>42802</v>
          </cell>
          <cell r="AE119">
            <v>42804</v>
          </cell>
          <cell r="AF119">
            <v>42850</v>
          </cell>
          <cell r="AG119">
            <v>4</v>
          </cell>
          <cell r="AH119">
            <v>3</v>
          </cell>
          <cell r="AI119">
            <v>3</v>
          </cell>
          <cell r="AJ119">
            <v>4</v>
          </cell>
          <cell r="AK119">
            <v>4</v>
          </cell>
          <cell r="AL119">
            <v>4</v>
          </cell>
          <cell r="AM119" t="str">
            <v>NULL</v>
          </cell>
          <cell r="AN119" t="str">
            <v>No</v>
          </cell>
          <cell r="AO119" t="str">
            <v>ITS430242</v>
          </cell>
          <cell r="AP119" t="str">
            <v>Independent School standard inspection</v>
          </cell>
          <cell r="AQ119" t="str">
            <v>Independent Standard Inspection</v>
          </cell>
          <cell r="AR119">
            <v>41590</v>
          </cell>
          <cell r="AS119">
            <v>41592</v>
          </cell>
          <cell r="AT119">
            <v>41614</v>
          </cell>
          <cell r="AU119">
            <v>3</v>
          </cell>
          <cell r="AV119">
            <v>3</v>
          </cell>
          <cell r="AW119">
            <v>3</v>
          </cell>
          <cell r="AX119">
            <v>3</v>
          </cell>
          <cell r="AY119" t="str">
            <v>NULL</v>
          </cell>
          <cell r="AZ119" t="str">
            <v>NULL</v>
          </cell>
          <cell r="BA119" t="str">
            <v>NULL</v>
          </cell>
          <cell r="BB119" t="str">
            <v>NULL</v>
          </cell>
        </row>
        <row r="120">
          <cell r="D120">
            <v>134137</v>
          </cell>
          <cell r="E120">
            <v>8236005</v>
          </cell>
          <cell r="F120" t="str">
            <v>On Track Education Centre (Silsoe)</v>
          </cell>
          <cell r="G120" t="str">
            <v>Other Independent School</v>
          </cell>
          <cell r="H120">
            <v>37664</v>
          </cell>
          <cell r="I120">
            <v>12</v>
          </cell>
          <cell r="J120" t="str">
            <v>East of England</v>
          </cell>
          <cell r="K120" t="str">
            <v>East of England</v>
          </cell>
          <cell r="L120" t="str">
            <v>Central Bedfordshire</v>
          </cell>
          <cell r="M120" t="str">
            <v>Mid Bedfordshire</v>
          </cell>
          <cell r="N120" t="str">
            <v>MK45 4HS</v>
          </cell>
          <cell r="O120" t="str">
            <v>Does not have a sixth form</v>
          </cell>
          <cell r="P120">
            <v>11</v>
          </cell>
          <cell r="Q120">
            <v>16</v>
          </cell>
          <cell r="R120" t="str">
            <v>None</v>
          </cell>
          <cell r="S120" t="str">
            <v>Ofsted</v>
          </cell>
          <cell r="T120" t="str">
            <v>NULL</v>
          </cell>
          <cell r="U120" t="str">
            <v>NULL</v>
          </cell>
          <cell r="V120" t="str">
            <v>NULL</v>
          </cell>
          <cell r="W120" t="str">
            <v>NULL</v>
          </cell>
          <cell r="X120" t="str">
            <v>NULL</v>
          </cell>
          <cell r="Y120" t="str">
            <v>NULL</v>
          </cell>
          <cell r="Z120" t="str">
            <v>NULL</v>
          </cell>
          <cell r="AA120">
            <v>10026065</v>
          </cell>
          <cell r="AB120" t="str">
            <v>Independent School standard inspection</v>
          </cell>
          <cell r="AC120" t="str">
            <v>Independent Standard Inspection</v>
          </cell>
          <cell r="AD120">
            <v>43067</v>
          </cell>
          <cell r="AE120">
            <v>43069</v>
          </cell>
          <cell r="AF120">
            <v>43110</v>
          </cell>
          <cell r="AG120">
            <v>2</v>
          </cell>
          <cell r="AH120">
            <v>2</v>
          </cell>
          <cell r="AI120">
            <v>2</v>
          </cell>
          <cell r="AJ120">
            <v>2</v>
          </cell>
          <cell r="AK120">
            <v>2</v>
          </cell>
          <cell r="AL120" t="str">
            <v>NULL</v>
          </cell>
          <cell r="AM120" t="str">
            <v>NULL</v>
          </cell>
          <cell r="AN120" t="str">
            <v>Yes</v>
          </cell>
          <cell r="AO120" t="str">
            <v>ITS361408</v>
          </cell>
          <cell r="AP120" t="str">
            <v>S162a - LTI Inspection Historic</v>
          </cell>
          <cell r="AQ120" t="str">
            <v>Independent Standard Inspection</v>
          </cell>
          <cell r="AR120">
            <v>40519</v>
          </cell>
          <cell r="AS120">
            <v>40519</v>
          </cell>
          <cell r="AT120">
            <v>40554</v>
          </cell>
          <cell r="AU120">
            <v>2</v>
          </cell>
          <cell r="AV120">
            <v>2</v>
          </cell>
          <cell r="AW120">
            <v>2</v>
          </cell>
          <cell r="AX120" t="str">
            <v>NULL</v>
          </cell>
          <cell r="AY120" t="str">
            <v>NULL</v>
          </cell>
          <cell r="AZ120">
            <v>8</v>
          </cell>
          <cell r="BA120" t="str">
            <v>NULL</v>
          </cell>
          <cell r="BB120" t="str">
            <v>NULL</v>
          </cell>
        </row>
        <row r="121">
          <cell r="D121">
            <v>119848</v>
          </cell>
          <cell r="E121">
            <v>8896003</v>
          </cell>
          <cell r="F121" t="str">
            <v>Rawdhatul Uloom Islamic Primary School</v>
          </cell>
          <cell r="G121" t="str">
            <v>Other Independent School</v>
          </cell>
          <cell r="H121">
            <v>34050</v>
          </cell>
          <cell r="I121">
            <v>144</v>
          </cell>
          <cell r="J121" t="str">
            <v>North West</v>
          </cell>
          <cell r="K121" t="str">
            <v>North West</v>
          </cell>
          <cell r="L121" t="str">
            <v>Blackburn with Darwen</v>
          </cell>
          <cell r="M121" t="str">
            <v>Blackburn</v>
          </cell>
          <cell r="N121" t="str">
            <v>BB1 5NZ</v>
          </cell>
          <cell r="O121" t="str">
            <v>Does not have a sixth form</v>
          </cell>
          <cell r="P121">
            <v>4</v>
          </cell>
          <cell r="Q121">
            <v>11</v>
          </cell>
          <cell r="R121" t="str">
            <v>None</v>
          </cell>
          <cell r="S121" t="str">
            <v>Ofsted</v>
          </cell>
          <cell r="T121">
            <v>1</v>
          </cell>
          <cell r="U121">
            <v>10046875</v>
          </cell>
          <cell r="V121" t="str">
            <v>Independent school emergency inspection</v>
          </cell>
          <cell r="W121">
            <v>43139</v>
          </cell>
          <cell r="X121">
            <v>43139</v>
          </cell>
          <cell r="Y121">
            <v>43175</v>
          </cell>
          <cell r="Z121" t="str">
            <v xml:space="preserve">Did not meet all standards that were checked </v>
          </cell>
          <cell r="AA121">
            <v>10026006</v>
          </cell>
          <cell r="AB121" t="str">
            <v>Independent School standard inspection</v>
          </cell>
          <cell r="AC121" t="str">
            <v>Independent Standard Inspection</v>
          </cell>
          <cell r="AD121">
            <v>42815</v>
          </cell>
          <cell r="AE121">
            <v>42817</v>
          </cell>
          <cell r="AF121">
            <v>42859</v>
          </cell>
          <cell r="AG121">
            <v>3</v>
          </cell>
          <cell r="AH121">
            <v>3</v>
          </cell>
          <cell r="AI121">
            <v>3</v>
          </cell>
          <cell r="AJ121">
            <v>3</v>
          </cell>
          <cell r="AK121">
            <v>2</v>
          </cell>
          <cell r="AL121">
            <v>3</v>
          </cell>
          <cell r="AM121" t="str">
            <v>NULL</v>
          </cell>
          <cell r="AN121" t="str">
            <v>Yes</v>
          </cell>
          <cell r="AO121" t="str">
            <v>ITS422708</v>
          </cell>
          <cell r="AP121" t="str">
            <v>Independent School standard inspection</v>
          </cell>
          <cell r="AQ121" t="str">
            <v>Independent Standard Inspection</v>
          </cell>
          <cell r="AR121">
            <v>41660</v>
          </cell>
          <cell r="AS121">
            <v>41662</v>
          </cell>
          <cell r="AT121">
            <v>41683</v>
          </cell>
          <cell r="AU121">
            <v>2</v>
          </cell>
          <cell r="AV121">
            <v>2</v>
          </cell>
          <cell r="AW121">
            <v>2</v>
          </cell>
          <cell r="AX121">
            <v>2</v>
          </cell>
          <cell r="AY121" t="str">
            <v>NULL</v>
          </cell>
          <cell r="AZ121" t="str">
            <v>NULL</v>
          </cell>
          <cell r="BA121" t="str">
            <v>NULL</v>
          </cell>
          <cell r="BB121" t="str">
            <v>NULL</v>
          </cell>
        </row>
        <row r="122">
          <cell r="D122">
            <v>139826</v>
          </cell>
          <cell r="E122">
            <v>3176000</v>
          </cell>
          <cell r="F122" t="str">
            <v>Read Academy</v>
          </cell>
          <cell r="G122" t="str">
            <v>Other Independent School</v>
          </cell>
          <cell r="H122">
            <v>41449</v>
          </cell>
          <cell r="I122">
            <v>79</v>
          </cell>
          <cell r="J122" t="str">
            <v>London</v>
          </cell>
          <cell r="K122" t="str">
            <v>London</v>
          </cell>
          <cell r="L122" t="str">
            <v>Redbridge</v>
          </cell>
          <cell r="M122" t="str">
            <v>Ilford South</v>
          </cell>
          <cell r="N122" t="str">
            <v>IG1 4AD</v>
          </cell>
          <cell r="O122" t="str">
            <v>Does not have a sixth form</v>
          </cell>
          <cell r="P122">
            <v>5</v>
          </cell>
          <cell r="Q122">
            <v>11</v>
          </cell>
          <cell r="R122" t="str">
            <v>None</v>
          </cell>
          <cell r="S122" t="str">
            <v>Ofsted</v>
          </cell>
          <cell r="T122" t="str">
            <v>NULL</v>
          </cell>
          <cell r="U122" t="str">
            <v>NULL</v>
          </cell>
          <cell r="V122" t="str">
            <v>NULL</v>
          </cell>
          <cell r="W122" t="str">
            <v>NULL</v>
          </cell>
          <cell r="X122" t="str">
            <v>NULL</v>
          </cell>
          <cell r="Y122" t="str">
            <v>NULL</v>
          </cell>
          <cell r="Z122" t="str">
            <v>NULL</v>
          </cell>
          <cell r="AA122" t="str">
            <v>ITS443014</v>
          </cell>
          <cell r="AB122" t="str">
            <v>Independent school standard inspection - first</v>
          </cell>
          <cell r="AC122" t="str">
            <v>Independent Standard Inspection</v>
          </cell>
          <cell r="AD122">
            <v>41808</v>
          </cell>
          <cell r="AE122">
            <v>41810</v>
          </cell>
          <cell r="AF122">
            <v>41829</v>
          </cell>
          <cell r="AG122">
            <v>2</v>
          </cell>
          <cell r="AH122">
            <v>2</v>
          </cell>
          <cell r="AI122">
            <v>2</v>
          </cell>
          <cell r="AJ122">
            <v>2</v>
          </cell>
          <cell r="AK122" t="str">
            <v>NULL</v>
          </cell>
          <cell r="AL122" t="str">
            <v>NULL</v>
          </cell>
          <cell r="AM122" t="str">
            <v>NULL</v>
          </cell>
          <cell r="AN122" t="str">
            <v>NULL</v>
          </cell>
          <cell r="AO122" t="str">
            <v>NULL</v>
          </cell>
          <cell r="AP122" t="str">
            <v>NULL</v>
          </cell>
          <cell r="AQ122" t="str">
            <v>NULL</v>
          </cell>
          <cell r="AR122" t="str">
            <v>NULL</v>
          </cell>
          <cell r="AS122" t="str">
            <v>NULL</v>
          </cell>
          <cell r="AT122" t="str">
            <v>NULL</v>
          </cell>
          <cell r="AU122" t="str">
            <v>NULL</v>
          </cell>
          <cell r="AV122" t="str">
            <v>NULL</v>
          </cell>
          <cell r="AW122" t="str">
            <v>NULL</v>
          </cell>
          <cell r="AX122" t="str">
            <v>NULL</v>
          </cell>
          <cell r="AY122" t="str">
            <v>NULL</v>
          </cell>
          <cell r="AZ122" t="str">
            <v>NULL</v>
          </cell>
          <cell r="BA122" t="str">
            <v>NULL</v>
          </cell>
          <cell r="BB122" t="str">
            <v>NULL</v>
          </cell>
        </row>
        <row r="123">
          <cell r="D123">
            <v>137560</v>
          </cell>
          <cell r="E123">
            <v>3306009</v>
          </cell>
          <cell r="F123" t="str">
            <v>Redstone Educational Academy</v>
          </cell>
          <cell r="G123" t="str">
            <v>Other Independent School</v>
          </cell>
          <cell r="H123">
            <v>40819</v>
          </cell>
          <cell r="I123">
            <v>95</v>
          </cell>
          <cell r="J123" t="str">
            <v>West Midlands</v>
          </cell>
          <cell r="K123" t="str">
            <v>West Midlands</v>
          </cell>
          <cell r="L123" t="str">
            <v>Birmingham</v>
          </cell>
          <cell r="M123" t="str">
            <v>Birmingham, Hall Green</v>
          </cell>
          <cell r="N123" t="str">
            <v>B12 9AN</v>
          </cell>
          <cell r="O123" t="str">
            <v>Does not have a sixth form</v>
          </cell>
          <cell r="P123">
            <v>11</v>
          </cell>
          <cell r="Q123">
            <v>16</v>
          </cell>
          <cell r="R123" t="str">
            <v>None</v>
          </cell>
          <cell r="S123" t="str">
            <v>Ofsted</v>
          </cell>
          <cell r="T123">
            <v>1</v>
          </cell>
          <cell r="U123">
            <v>10044058</v>
          </cell>
          <cell r="V123" t="str">
            <v>Independent school evaluation of school action plan</v>
          </cell>
          <cell r="W123">
            <v>43055</v>
          </cell>
          <cell r="X123">
            <v>43055</v>
          </cell>
          <cell r="Y123" t="str">
            <v>NULL</v>
          </cell>
          <cell r="Z123" t="str">
            <v>Action plan is not acceptable</v>
          </cell>
          <cell r="AA123">
            <v>10034669</v>
          </cell>
          <cell r="AB123" t="str">
            <v>Independent School standard inspection</v>
          </cell>
          <cell r="AC123" t="str">
            <v>Independent Standard Inspection</v>
          </cell>
          <cell r="AD123">
            <v>42865</v>
          </cell>
          <cell r="AE123">
            <v>42867</v>
          </cell>
          <cell r="AF123">
            <v>42990</v>
          </cell>
          <cell r="AG123">
            <v>4</v>
          </cell>
          <cell r="AH123">
            <v>2</v>
          </cell>
          <cell r="AI123">
            <v>2</v>
          </cell>
          <cell r="AJ123">
            <v>4</v>
          </cell>
          <cell r="AK123">
            <v>3</v>
          </cell>
          <cell r="AL123" t="str">
            <v>NULL</v>
          </cell>
          <cell r="AM123" t="str">
            <v>NULL</v>
          </cell>
          <cell r="AN123" t="str">
            <v>No</v>
          </cell>
          <cell r="AO123" t="str">
            <v>ITS397683</v>
          </cell>
          <cell r="AP123" t="str">
            <v>Independent school standard inspection - first</v>
          </cell>
          <cell r="AQ123" t="str">
            <v>Independent Standard Inspection</v>
          </cell>
          <cell r="AR123">
            <v>41177</v>
          </cell>
          <cell r="AS123">
            <v>41178</v>
          </cell>
          <cell r="AT123">
            <v>41214</v>
          </cell>
          <cell r="AU123">
            <v>2</v>
          </cell>
          <cell r="AV123">
            <v>2</v>
          </cell>
          <cell r="AW123">
            <v>2</v>
          </cell>
          <cell r="AX123" t="str">
            <v>NULL</v>
          </cell>
          <cell r="AY123" t="str">
            <v>NULL</v>
          </cell>
          <cell r="AZ123">
            <v>8</v>
          </cell>
          <cell r="BA123" t="str">
            <v>NULL</v>
          </cell>
          <cell r="BB123" t="str">
            <v>NULL</v>
          </cell>
        </row>
        <row r="124">
          <cell r="D124">
            <v>101838</v>
          </cell>
          <cell r="E124">
            <v>3066063</v>
          </cell>
          <cell r="F124" t="str">
            <v>Reedham Park School Limited</v>
          </cell>
          <cell r="G124" t="str">
            <v>Other Independent School</v>
          </cell>
          <cell r="H124">
            <v>21248</v>
          </cell>
          <cell r="I124">
            <v>97</v>
          </cell>
          <cell r="J124" t="str">
            <v>London</v>
          </cell>
          <cell r="K124" t="str">
            <v>London</v>
          </cell>
          <cell r="L124" t="str">
            <v>Croydon</v>
          </cell>
          <cell r="M124" t="str">
            <v>Croydon South</v>
          </cell>
          <cell r="N124" t="str">
            <v>CR8 4DN</v>
          </cell>
          <cell r="O124" t="str">
            <v>Does not have a sixth form</v>
          </cell>
          <cell r="P124">
            <v>4</v>
          </cell>
          <cell r="Q124">
            <v>11</v>
          </cell>
          <cell r="R124" t="str">
            <v>None</v>
          </cell>
          <cell r="S124" t="str">
            <v>Ofsted</v>
          </cell>
          <cell r="T124">
            <v>3</v>
          </cell>
          <cell r="U124">
            <v>10017709</v>
          </cell>
          <cell r="V124" t="str">
            <v>Independent school Progress Monitoring inspection</v>
          </cell>
          <cell r="W124">
            <v>42538</v>
          </cell>
          <cell r="X124">
            <v>42538</v>
          </cell>
          <cell r="Y124">
            <v>42625</v>
          </cell>
          <cell r="Z124" t="str">
            <v>Standards met</v>
          </cell>
          <cell r="AA124" t="str">
            <v>ITS443493</v>
          </cell>
          <cell r="AB124" t="str">
            <v>Independent School standard inspection</v>
          </cell>
          <cell r="AC124" t="str">
            <v>Independent Standard Inspection</v>
          </cell>
          <cell r="AD124">
            <v>41954</v>
          </cell>
          <cell r="AE124">
            <v>41956</v>
          </cell>
          <cell r="AF124">
            <v>41977</v>
          </cell>
          <cell r="AG124">
            <v>2</v>
          </cell>
          <cell r="AH124">
            <v>2</v>
          </cell>
          <cell r="AI124">
            <v>2</v>
          </cell>
          <cell r="AJ124">
            <v>2</v>
          </cell>
          <cell r="AK124" t="str">
            <v>NULL</v>
          </cell>
          <cell r="AL124">
            <v>2</v>
          </cell>
          <cell r="AM124">
            <v>9</v>
          </cell>
          <cell r="AN124" t="str">
            <v>NULL</v>
          </cell>
          <cell r="AO124" t="str">
            <v>ITS329554</v>
          </cell>
          <cell r="AP124" t="str">
            <v>S162a - LTI Inspection Historic</v>
          </cell>
          <cell r="AQ124" t="str">
            <v>Independent Standard Inspection</v>
          </cell>
          <cell r="AR124">
            <v>39743</v>
          </cell>
          <cell r="AS124">
            <v>39743</v>
          </cell>
          <cell r="AT124">
            <v>39771</v>
          </cell>
          <cell r="AU124">
            <v>2</v>
          </cell>
          <cell r="AV124">
            <v>2</v>
          </cell>
          <cell r="AW124">
            <v>2</v>
          </cell>
          <cell r="AX124" t="str">
            <v>NULL</v>
          </cell>
          <cell r="AY124" t="str">
            <v>NULL</v>
          </cell>
          <cell r="AZ124">
            <v>2</v>
          </cell>
          <cell r="BA124" t="str">
            <v>NULL</v>
          </cell>
          <cell r="BB124" t="str">
            <v>NULL</v>
          </cell>
        </row>
        <row r="125">
          <cell r="D125">
            <v>109723</v>
          </cell>
          <cell r="E125">
            <v>8236007</v>
          </cell>
          <cell r="F125" t="str">
            <v>St George's School</v>
          </cell>
          <cell r="G125" t="str">
            <v>Other Independent School</v>
          </cell>
          <cell r="H125">
            <v>21125</v>
          </cell>
          <cell r="I125">
            <v>96</v>
          </cell>
          <cell r="J125" t="str">
            <v>East of England</v>
          </cell>
          <cell r="K125" t="str">
            <v>East of England</v>
          </cell>
          <cell r="L125" t="str">
            <v>Central Bedfordshire</v>
          </cell>
          <cell r="M125" t="str">
            <v>South West Bedfordshire</v>
          </cell>
          <cell r="N125" t="str">
            <v>LU5 4HR</v>
          </cell>
          <cell r="O125" t="str">
            <v>Does not have a sixth form</v>
          </cell>
          <cell r="P125">
            <v>3</v>
          </cell>
          <cell r="Q125">
            <v>11</v>
          </cell>
          <cell r="R125" t="str">
            <v>None</v>
          </cell>
          <cell r="S125" t="str">
            <v>Ofsted</v>
          </cell>
          <cell r="T125" t="str">
            <v>NULL</v>
          </cell>
          <cell r="U125" t="str">
            <v>NULL</v>
          </cell>
          <cell r="V125" t="str">
            <v>NULL</v>
          </cell>
          <cell r="W125" t="str">
            <v>NULL</v>
          </cell>
          <cell r="X125" t="str">
            <v>NULL</v>
          </cell>
          <cell r="Y125" t="str">
            <v>NULL</v>
          </cell>
          <cell r="Z125" t="str">
            <v>NULL</v>
          </cell>
          <cell r="AA125">
            <v>10026060</v>
          </cell>
          <cell r="AB125" t="str">
            <v>Independent School standard inspection</v>
          </cell>
          <cell r="AC125" t="str">
            <v>Independent Standard Inspection</v>
          </cell>
          <cell r="AD125">
            <v>43011</v>
          </cell>
          <cell r="AE125">
            <v>43013</v>
          </cell>
          <cell r="AF125">
            <v>43055</v>
          </cell>
          <cell r="AG125">
            <v>2</v>
          </cell>
          <cell r="AH125">
            <v>2</v>
          </cell>
          <cell r="AI125">
            <v>2</v>
          </cell>
          <cell r="AJ125">
            <v>2</v>
          </cell>
          <cell r="AK125">
            <v>2</v>
          </cell>
          <cell r="AL125">
            <v>2</v>
          </cell>
          <cell r="AM125" t="str">
            <v>NULL</v>
          </cell>
          <cell r="AN125" t="str">
            <v>Yes</v>
          </cell>
          <cell r="AO125" t="str">
            <v>ITS364234</v>
          </cell>
          <cell r="AP125" t="str">
            <v>S162a - LTI Inspection Historic</v>
          </cell>
          <cell r="AQ125" t="str">
            <v>Independent Standard Inspection</v>
          </cell>
          <cell r="AR125">
            <v>40568</v>
          </cell>
          <cell r="AS125">
            <v>40568</v>
          </cell>
          <cell r="AT125">
            <v>40590</v>
          </cell>
          <cell r="AU125">
            <v>2</v>
          </cell>
          <cell r="AV125">
            <v>2</v>
          </cell>
          <cell r="AW125">
            <v>2</v>
          </cell>
          <cell r="AX125" t="str">
            <v>NULL</v>
          </cell>
          <cell r="AY125" t="str">
            <v>NULL</v>
          </cell>
          <cell r="AZ125">
            <v>2</v>
          </cell>
          <cell r="BA125" t="str">
            <v>NULL</v>
          </cell>
          <cell r="BB125" t="str">
            <v>NULL</v>
          </cell>
        </row>
        <row r="126">
          <cell r="D126">
            <v>131567</v>
          </cell>
          <cell r="E126">
            <v>8866113</v>
          </cell>
          <cell r="F126" t="str">
            <v>St Helens Montessori</v>
          </cell>
          <cell r="G126" t="str">
            <v>Other Independent School</v>
          </cell>
          <cell r="H126">
            <v>38820</v>
          </cell>
          <cell r="I126">
            <v>58</v>
          </cell>
          <cell r="J126" t="str">
            <v>South East</v>
          </cell>
          <cell r="K126" t="str">
            <v>South East</v>
          </cell>
          <cell r="L126" t="str">
            <v>Kent</v>
          </cell>
          <cell r="M126" t="str">
            <v>Maidstone and The Weald</v>
          </cell>
          <cell r="N126" t="str">
            <v>ME15 0JT</v>
          </cell>
          <cell r="O126" t="str">
            <v>Does not have a sixth form</v>
          </cell>
          <cell r="P126">
            <v>2</v>
          </cell>
          <cell r="Q126">
            <v>12</v>
          </cell>
          <cell r="R126" t="str">
            <v>None</v>
          </cell>
          <cell r="S126" t="str">
            <v>Ofsted</v>
          </cell>
          <cell r="T126" t="str">
            <v>NULL</v>
          </cell>
          <cell r="U126" t="str">
            <v>NULL</v>
          </cell>
          <cell r="V126" t="str">
            <v>NULL</v>
          </cell>
          <cell r="W126" t="str">
            <v>NULL</v>
          </cell>
          <cell r="X126" t="str">
            <v>NULL</v>
          </cell>
          <cell r="Y126" t="str">
            <v>NULL</v>
          </cell>
          <cell r="Z126" t="str">
            <v>NULL</v>
          </cell>
          <cell r="AA126">
            <v>10008566</v>
          </cell>
          <cell r="AB126" t="str">
            <v xml:space="preserve">Independent School standard inspection - integrated </v>
          </cell>
          <cell r="AC126" t="str">
            <v>Independent Standard Inspection</v>
          </cell>
          <cell r="AD126">
            <v>42556</v>
          </cell>
          <cell r="AE126">
            <v>42558</v>
          </cell>
          <cell r="AF126">
            <v>42634</v>
          </cell>
          <cell r="AG126">
            <v>1</v>
          </cell>
          <cell r="AH126">
            <v>1</v>
          </cell>
          <cell r="AI126">
            <v>1</v>
          </cell>
          <cell r="AJ126">
            <v>1</v>
          </cell>
          <cell r="AK126">
            <v>1</v>
          </cell>
          <cell r="AL126">
            <v>1</v>
          </cell>
          <cell r="AM126" t="str">
            <v>NULL</v>
          </cell>
          <cell r="AN126" t="str">
            <v>Yes</v>
          </cell>
          <cell r="AO126" t="str">
            <v>ITS348787</v>
          </cell>
          <cell r="AP126" t="str">
            <v>S162a - LTI Inspection Historic</v>
          </cell>
          <cell r="AQ126" t="str">
            <v>Independent Standard Inspection</v>
          </cell>
          <cell r="AR126">
            <v>40353</v>
          </cell>
          <cell r="AS126">
            <v>40353</v>
          </cell>
          <cell r="AT126">
            <v>40374</v>
          </cell>
          <cell r="AU126">
            <v>1</v>
          </cell>
          <cell r="AV126">
            <v>1</v>
          </cell>
          <cell r="AW126">
            <v>1</v>
          </cell>
          <cell r="AX126" t="str">
            <v>NULL</v>
          </cell>
          <cell r="AY126" t="str">
            <v>NULL</v>
          </cell>
          <cell r="AZ126">
            <v>2</v>
          </cell>
          <cell r="BA126" t="str">
            <v>NULL</v>
          </cell>
          <cell r="BB126" t="str">
            <v>NULL</v>
          </cell>
        </row>
        <row r="127">
          <cell r="D127">
            <v>102065</v>
          </cell>
          <cell r="E127">
            <v>3086062</v>
          </cell>
          <cell r="F127" t="str">
            <v>St John's Preparatory and Senior School</v>
          </cell>
          <cell r="G127" t="str">
            <v>Other Independent School</v>
          </cell>
          <cell r="H127">
            <v>32489</v>
          </cell>
          <cell r="I127">
            <v>505</v>
          </cell>
          <cell r="J127" t="str">
            <v>London</v>
          </cell>
          <cell r="K127" t="str">
            <v>London</v>
          </cell>
          <cell r="L127" t="str">
            <v>Enfield</v>
          </cell>
          <cell r="M127" t="str">
            <v>Enfield North</v>
          </cell>
          <cell r="N127" t="str">
            <v>EN6 5QT</v>
          </cell>
          <cell r="O127" t="str">
            <v>Has a sixth form</v>
          </cell>
          <cell r="P127">
            <v>4</v>
          </cell>
          <cell r="Q127">
            <v>18</v>
          </cell>
          <cell r="R127" t="str">
            <v>None</v>
          </cell>
          <cell r="S127" t="str">
            <v>Ofsted</v>
          </cell>
          <cell r="T127">
            <v>2</v>
          </cell>
          <cell r="U127">
            <v>10039972</v>
          </cell>
          <cell r="V127" t="str">
            <v>Independent school Progress Monitoring inspection</v>
          </cell>
          <cell r="W127">
            <v>42948</v>
          </cell>
          <cell r="X127">
            <v>42948</v>
          </cell>
          <cell r="Y127">
            <v>43004</v>
          </cell>
          <cell r="Z127" t="str">
            <v>Met all standards that were checked</v>
          </cell>
          <cell r="AA127">
            <v>10012824</v>
          </cell>
          <cell r="AB127" t="str">
            <v>Independent School standard inspection</v>
          </cell>
          <cell r="AC127" t="str">
            <v>Independent Standard Inspection</v>
          </cell>
          <cell r="AD127">
            <v>42794</v>
          </cell>
          <cell r="AE127">
            <v>42796</v>
          </cell>
          <cell r="AF127">
            <v>42850</v>
          </cell>
          <cell r="AG127">
            <v>4</v>
          </cell>
          <cell r="AH127">
            <v>1</v>
          </cell>
          <cell r="AI127">
            <v>1</v>
          </cell>
          <cell r="AJ127">
            <v>4</v>
          </cell>
          <cell r="AK127">
            <v>4</v>
          </cell>
          <cell r="AL127">
            <v>1</v>
          </cell>
          <cell r="AM127">
            <v>4</v>
          </cell>
          <cell r="AN127" t="str">
            <v>No</v>
          </cell>
          <cell r="AO127" t="str">
            <v>ITS393363</v>
          </cell>
          <cell r="AP127" t="str">
            <v>Independent School standard inspection</v>
          </cell>
          <cell r="AQ127" t="str">
            <v>Independent Standard Inspection</v>
          </cell>
          <cell r="AR127">
            <v>41093</v>
          </cell>
          <cell r="AS127">
            <v>41094</v>
          </cell>
          <cell r="AT127">
            <v>41158</v>
          </cell>
          <cell r="AU127">
            <v>1</v>
          </cell>
          <cell r="AV127">
            <v>1</v>
          </cell>
          <cell r="AW127">
            <v>1</v>
          </cell>
          <cell r="AX127" t="str">
            <v>NULL</v>
          </cell>
          <cell r="AY127" t="str">
            <v>NULL</v>
          </cell>
          <cell r="AZ127">
            <v>8</v>
          </cell>
          <cell r="BA127" t="str">
            <v>NULL</v>
          </cell>
          <cell r="BB127" t="str">
            <v>NULL</v>
          </cell>
        </row>
        <row r="128">
          <cell r="D128">
            <v>101174</v>
          </cell>
          <cell r="E128">
            <v>2136333</v>
          </cell>
          <cell r="F128" t="str">
            <v>St John's Wood Pre-Preparatory School</v>
          </cell>
          <cell r="G128" t="str">
            <v>Other Independent School</v>
          </cell>
          <cell r="H128">
            <v>30403</v>
          </cell>
          <cell r="I128">
            <v>59</v>
          </cell>
          <cell r="J128" t="str">
            <v>London</v>
          </cell>
          <cell r="K128" t="str">
            <v>London</v>
          </cell>
          <cell r="L128" t="str">
            <v>Westminster</v>
          </cell>
          <cell r="M128" t="str">
            <v>Westminster North</v>
          </cell>
          <cell r="N128" t="str">
            <v>NW8 7NE</v>
          </cell>
          <cell r="O128" t="str">
            <v>Does not have a sixth form</v>
          </cell>
          <cell r="P128">
            <v>3</v>
          </cell>
          <cell r="Q128">
            <v>7</v>
          </cell>
          <cell r="R128" t="str">
            <v>None</v>
          </cell>
          <cell r="S128" t="str">
            <v>Ofsted</v>
          </cell>
          <cell r="T128" t="str">
            <v>NULL</v>
          </cell>
          <cell r="U128" t="str">
            <v>NULL</v>
          </cell>
          <cell r="V128" t="str">
            <v>NULL</v>
          </cell>
          <cell r="W128" t="str">
            <v>NULL</v>
          </cell>
          <cell r="X128" t="str">
            <v>NULL</v>
          </cell>
          <cell r="Y128" t="str">
            <v>NULL</v>
          </cell>
          <cell r="Z128" t="str">
            <v>NULL</v>
          </cell>
          <cell r="AA128" t="str">
            <v>ITS385071</v>
          </cell>
          <cell r="AB128" t="str">
            <v>Independent School standard inspection</v>
          </cell>
          <cell r="AC128" t="str">
            <v>Independent Standard Inspection</v>
          </cell>
          <cell r="AD128">
            <v>40870</v>
          </cell>
          <cell r="AE128">
            <v>40871</v>
          </cell>
          <cell r="AF128">
            <v>40922</v>
          </cell>
          <cell r="AG128">
            <v>2</v>
          </cell>
          <cell r="AH128">
            <v>2</v>
          </cell>
          <cell r="AI128">
            <v>2</v>
          </cell>
          <cell r="AJ128" t="str">
            <v>NULL</v>
          </cell>
          <cell r="AK128" t="str">
            <v>NULL</v>
          </cell>
          <cell r="AL128">
            <v>1</v>
          </cell>
          <cell r="AM128" t="str">
            <v>NULL</v>
          </cell>
          <cell r="AN128" t="str">
            <v>NULL</v>
          </cell>
          <cell r="AO128" t="str">
            <v>ITS329299</v>
          </cell>
          <cell r="AP128" t="str">
            <v>S162a - LTI Pilot Historic</v>
          </cell>
          <cell r="AQ128" t="str">
            <v>Independent Standard Inspection</v>
          </cell>
          <cell r="AR128">
            <v>39583</v>
          </cell>
          <cell r="AS128">
            <v>39583</v>
          </cell>
          <cell r="AT128">
            <v>39608</v>
          </cell>
          <cell r="AU128">
            <v>1</v>
          </cell>
          <cell r="AV128">
            <v>1</v>
          </cell>
          <cell r="AW128">
            <v>1</v>
          </cell>
          <cell r="AX128" t="str">
            <v>NULL</v>
          </cell>
          <cell r="AY128" t="str">
            <v>NULL</v>
          </cell>
          <cell r="AZ128" t="str">
            <v>NULL</v>
          </cell>
          <cell r="BA128" t="str">
            <v>NULL</v>
          </cell>
          <cell r="BB128" t="str">
            <v>NULL</v>
          </cell>
        </row>
        <row r="129">
          <cell r="D129">
            <v>100294</v>
          </cell>
          <cell r="E129">
            <v>2046331</v>
          </cell>
          <cell r="F129" t="str">
            <v>Talmud Torah Machzikei Hadass School</v>
          </cell>
          <cell r="G129" t="str">
            <v>Other Independent School</v>
          </cell>
          <cell r="H129">
            <v>30307</v>
          </cell>
          <cell r="I129">
            <v>649</v>
          </cell>
          <cell r="J129" t="str">
            <v>London</v>
          </cell>
          <cell r="K129" t="str">
            <v>London</v>
          </cell>
          <cell r="L129" t="str">
            <v>Hackney</v>
          </cell>
          <cell r="M129" t="str">
            <v>Hackney North and Stoke Newington</v>
          </cell>
          <cell r="N129" t="str">
            <v>E5 9SN</v>
          </cell>
          <cell r="O129" t="str">
            <v>Does not have a sixth form</v>
          </cell>
          <cell r="P129">
            <v>3</v>
          </cell>
          <cell r="Q129">
            <v>16</v>
          </cell>
          <cell r="R129" t="str">
            <v>Charadi Jewish</v>
          </cell>
          <cell r="S129" t="str">
            <v>Ofsted</v>
          </cell>
          <cell r="T129">
            <v>5</v>
          </cell>
          <cell r="U129">
            <v>10030634</v>
          </cell>
          <cell r="V129" t="str">
            <v>Independent school Progress Monitoring inspection</v>
          </cell>
          <cell r="W129">
            <v>42781</v>
          </cell>
          <cell r="X129">
            <v>42781</v>
          </cell>
          <cell r="Y129">
            <v>42809</v>
          </cell>
          <cell r="Z129" t="str">
            <v>Did not meet all standards that were checked</v>
          </cell>
          <cell r="AA129" t="str">
            <v>ITS422689</v>
          </cell>
          <cell r="AB129" t="str">
            <v>Independent School standard inspection</v>
          </cell>
          <cell r="AC129" t="str">
            <v>Independent Standard Inspection</v>
          </cell>
          <cell r="AD129">
            <v>41947</v>
          </cell>
          <cell r="AE129">
            <v>41949</v>
          </cell>
          <cell r="AF129">
            <v>41978</v>
          </cell>
          <cell r="AG129">
            <v>2</v>
          </cell>
          <cell r="AH129">
            <v>2</v>
          </cell>
          <cell r="AI129">
            <v>2</v>
          </cell>
          <cell r="AJ129">
            <v>2</v>
          </cell>
          <cell r="AK129" t="str">
            <v>NULL</v>
          </cell>
          <cell r="AL129">
            <v>1</v>
          </cell>
          <cell r="AM129">
            <v>9</v>
          </cell>
          <cell r="AN129" t="str">
            <v>NULL</v>
          </cell>
          <cell r="AO129" t="str">
            <v>ITS361316</v>
          </cell>
          <cell r="AP129" t="str">
            <v>Independent School standard inspection</v>
          </cell>
          <cell r="AQ129" t="str">
            <v>Independent Standard Inspection</v>
          </cell>
          <cell r="AR129">
            <v>40469</v>
          </cell>
          <cell r="AS129">
            <v>40470</v>
          </cell>
          <cell r="AT129">
            <v>40491</v>
          </cell>
          <cell r="AU129">
            <v>3</v>
          </cell>
          <cell r="AV129">
            <v>3</v>
          </cell>
          <cell r="AW129">
            <v>3</v>
          </cell>
          <cell r="AX129" t="str">
            <v>NULL</v>
          </cell>
          <cell r="AY129" t="str">
            <v>NULL</v>
          </cell>
          <cell r="AZ129">
            <v>2</v>
          </cell>
          <cell r="BA129" t="str">
            <v>NULL</v>
          </cell>
          <cell r="BB129" t="str">
            <v>NULL</v>
          </cell>
        </row>
        <row r="130">
          <cell r="D130">
            <v>131121</v>
          </cell>
          <cell r="E130">
            <v>3026106</v>
          </cell>
          <cell r="F130" t="str">
            <v>Talmud Torah Tiferes Shlomoh</v>
          </cell>
          <cell r="G130" t="str">
            <v>Other Independent School</v>
          </cell>
          <cell r="H130">
            <v>35396</v>
          </cell>
          <cell r="I130">
            <v>223</v>
          </cell>
          <cell r="J130" t="str">
            <v>London</v>
          </cell>
          <cell r="K130" t="str">
            <v>London</v>
          </cell>
          <cell r="L130" t="str">
            <v>Barnet</v>
          </cell>
          <cell r="M130" t="str">
            <v>Finchley and Golders Green</v>
          </cell>
          <cell r="N130" t="str">
            <v>NW11 9TB</v>
          </cell>
          <cell r="O130" t="str">
            <v>Does not have a sixth form</v>
          </cell>
          <cell r="P130">
            <v>3</v>
          </cell>
          <cell r="Q130">
            <v>15</v>
          </cell>
          <cell r="R130" t="str">
            <v>Orthodox Jewish</v>
          </cell>
          <cell r="S130" t="str">
            <v>Ofsted</v>
          </cell>
          <cell r="T130" t="str">
            <v>NULL</v>
          </cell>
          <cell r="U130" t="str">
            <v>NULL</v>
          </cell>
          <cell r="V130" t="str">
            <v>NULL</v>
          </cell>
          <cell r="W130" t="str">
            <v>NULL</v>
          </cell>
          <cell r="X130" t="str">
            <v>NULL</v>
          </cell>
          <cell r="Y130" t="str">
            <v>NULL</v>
          </cell>
          <cell r="Z130" t="str">
            <v>NULL</v>
          </cell>
          <cell r="AA130">
            <v>10026283</v>
          </cell>
          <cell r="AB130" t="str">
            <v>Independent School standard inspection</v>
          </cell>
          <cell r="AC130" t="str">
            <v>Independent Standard Inspection</v>
          </cell>
          <cell r="AD130">
            <v>43039</v>
          </cell>
          <cell r="AE130">
            <v>43041</v>
          </cell>
          <cell r="AF130">
            <v>43109</v>
          </cell>
          <cell r="AG130">
            <v>4</v>
          </cell>
          <cell r="AH130">
            <v>4</v>
          </cell>
          <cell r="AI130">
            <v>4</v>
          </cell>
          <cell r="AJ130">
            <v>4</v>
          </cell>
          <cell r="AK130">
            <v>3</v>
          </cell>
          <cell r="AL130">
            <v>2</v>
          </cell>
          <cell r="AM130" t="str">
            <v>NULL</v>
          </cell>
          <cell r="AN130" t="str">
            <v>Yes</v>
          </cell>
          <cell r="AO130" t="str">
            <v>ITS452711</v>
          </cell>
          <cell r="AP130" t="str">
            <v>Independent School standard inspection</v>
          </cell>
          <cell r="AQ130" t="str">
            <v>Independent Standard Inspection</v>
          </cell>
          <cell r="AR130">
            <v>42031</v>
          </cell>
          <cell r="AS130">
            <v>42033</v>
          </cell>
          <cell r="AT130">
            <v>42080</v>
          </cell>
          <cell r="AU130">
            <v>4</v>
          </cell>
          <cell r="AV130">
            <v>4</v>
          </cell>
          <cell r="AW130">
            <v>4</v>
          </cell>
          <cell r="AX130">
            <v>4</v>
          </cell>
          <cell r="AY130" t="str">
            <v>NULL</v>
          </cell>
          <cell r="AZ130">
            <v>4</v>
          </cell>
          <cell r="BA130">
            <v>9</v>
          </cell>
          <cell r="BB130" t="str">
            <v>NULL</v>
          </cell>
        </row>
        <row r="131">
          <cell r="D131">
            <v>100289</v>
          </cell>
          <cell r="E131">
            <v>2046233</v>
          </cell>
          <cell r="F131" t="str">
            <v>Talmud Torah Yetev Lev</v>
          </cell>
          <cell r="G131" t="str">
            <v>Other Independent School</v>
          </cell>
          <cell r="H131">
            <v>21796</v>
          </cell>
          <cell r="I131">
            <v>885</v>
          </cell>
          <cell r="J131" t="str">
            <v>London</v>
          </cell>
          <cell r="K131" t="str">
            <v>London</v>
          </cell>
          <cell r="L131" t="str">
            <v>Hackney</v>
          </cell>
          <cell r="M131" t="str">
            <v>Hackney North and Stoke Newington</v>
          </cell>
          <cell r="N131" t="str">
            <v>N16 6AX</v>
          </cell>
          <cell r="O131" t="str">
            <v>Does not have a sixth form</v>
          </cell>
          <cell r="P131">
            <v>2</v>
          </cell>
          <cell r="Q131">
            <v>12</v>
          </cell>
          <cell r="R131" t="str">
            <v>None</v>
          </cell>
          <cell r="S131" t="str">
            <v>Ofsted</v>
          </cell>
          <cell r="T131" t="str">
            <v>NULL</v>
          </cell>
          <cell r="U131" t="str">
            <v>NULL</v>
          </cell>
          <cell r="V131" t="str">
            <v>NULL</v>
          </cell>
          <cell r="W131" t="str">
            <v>NULL</v>
          </cell>
          <cell r="X131" t="str">
            <v>NULL</v>
          </cell>
          <cell r="Y131" t="str">
            <v>NULL</v>
          </cell>
          <cell r="Z131" t="str">
            <v>NULL</v>
          </cell>
          <cell r="AA131">
            <v>10038148</v>
          </cell>
          <cell r="AB131" t="str">
            <v>Independent School standard inspection</v>
          </cell>
          <cell r="AC131" t="str">
            <v>Independent Standard Inspection</v>
          </cell>
          <cell r="AD131">
            <v>42990</v>
          </cell>
          <cell r="AE131">
            <v>42992</v>
          </cell>
          <cell r="AF131">
            <v>43062</v>
          </cell>
          <cell r="AG131">
            <v>4</v>
          </cell>
          <cell r="AH131">
            <v>4</v>
          </cell>
          <cell r="AI131">
            <v>4</v>
          </cell>
          <cell r="AJ131">
            <v>4</v>
          </cell>
          <cell r="AK131">
            <v>4</v>
          </cell>
          <cell r="AL131">
            <v>4</v>
          </cell>
          <cell r="AM131" t="str">
            <v>NULL</v>
          </cell>
          <cell r="AN131" t="str">
            <v>Yes</v>
          </cell>
          <cell r="AO131" t="str">
            <v>ITS447184</v>
          </cell>
          <cell r="AP131" t="str">
            <v>Independent School standard inspection</v>
          </cell>
          <cell r="AQ131" t="str">
            <v>Independent Standard Inspection</v>
          </cell>
          <cell r="AR131">
            <v>41948</v>
          </cell>
          <cell r="AS131">
            <v>41950</v>
          </cell>
          <cell r="AT131">
            <v>41998</v>
          </cell>
          <cell r="AU131">
            <v>4</v>
          </cell>
          <cell r="AV131">
            <v>4</v>
          </cell>
          <cell r="AW131">
            <v>4</v>
          </cell>
          <cell r="AX131">
            <v>4</v>
          </cell>
          <cell r="AY131" t="str">
            <v>NULL</v>
          </cell>
          <cell r="AZ131">
            <v>4</v>
          </cell>
          <cell r="BA131">
            <v>9</v>
          </cell>
          <cell r="BB131" t="str">
            <v>NULL</v>
          </cell>
        </row>
        <row r="132">
          <cell r="D132">
            <v>131435</v>
          </cell>
          <cell r="E132">
            <v>3556035</v>
          </cell>
          <cell r="F132" t="str">
            <v>Talmud Torah Yetev Lev</v>
          </cell>
          <cell r="G132" t="str">
            <v>Other Independent School</v>
          </cell>
          <cell r="H132">
            <v>35772</v>
          </cell>
          <cell r="I132">
            <v>361</v>
          </cell>
          <cell r="J132" t="str">
            <v>North West</v>
          </cell>
          <cell r="K132" t="str">
            <v>North West</v>
          </cell>
          <cell r="L132" t="str">
            <v>Salford</v>
          </cell>
          <cell r="M132" t="str">
            <v>Blackley and Broughton</v>
          </cell>
          <cell r="N132" t="str">
            <v>M7 2BT</v>
          </cell>
          <cell r="O132" t="str">
            <v>Does not have a sixth form</v>
          </cell>
          <cell r="P132">
            <v>3</v>
          </cell>
          <cell r="Q132">
            <v>12</v>
          </cell>
          <cell r="R132" t="str">
            <v>None</v>
          </cell>
          <cell r="S132" t="str">
            <v>Ofsted</v>
          </cell>
          <cell r="T132" t="str">
            <v>NULL</v>
          </cell>
          <cell r="U132" t="str">
            <v>NULL</v>
          </cell>
          <cell r="V132" t="str">
            <v>NULL</v>
          </cell>
          <cell r="W132" t="str">
            <v>NULL</v>
          </cell>
          <cell r="X132" t="str">
            <v>NULL</v>
          </cell>
          <cell r="Y132" t="str">
            <v>NULL</v>
          </cell>
          <cell r="Z132" t="str">
            <v>NULL</v>
          </cell>
          <cell r="AA132">
            <v>10012865</v>
          </cell>
          <cell r="AB132" t="str">
            <v>Independent School standard inspection</v>
          </cell>
          <cell r="AC132" t="str">
            <v>Independent Standard Inspection</v>
          </cell>
          <cell r="AD132">
            <v>42864</v>
          </cell>
          <cell r="AE132">
            <v>42866</v>
          </cell>
          <cell r="AF132">
            <v>42899</v>
          </cell>
          <cell r="AG132">
            <v>3</v>
          </cell>
          <cell r="AH132">
            <v>3</v>
          </cell>
          <cell r="AI132">
            <v>3</v>
          </cell>
          <cell r="AJ132">
            <v>3</v>
          </cell>
          <cell r="AK132">
            <v>2</v>
          </cell>
          <cell r="AL132">
            <v>3</v>
          </cell>
          <cell r="AM132" t="str">
            <v>NULL</v>
          </cell>
          <cell r="AN132" t="str">
            <v>Yes</v>
          </cell>
          <cell r="AO132" t="str">
            <v>ITS422724</v>
          </cell>
          <cell r="AP132" t="str">
            <v>Independent School standard inspection</v>
          </cell>
          <cell r="AQ132" t="str">
            <v>Independent Standard Inspection</v>
          </cell>
          <cell r="AR132">
            <v>41458</v>
          </cell>
          <cell r="AS132">
            <v>41460</v>
          </cell>
          <cell r="AT132">
            <v>41527</v>
          </cell>
          <cell r="AU132">
            <v>2</v>
          </cell>
          <cell r="AV132">
            <v>2</v>
          </cell>
          <cell r="AW132">
            <v>2</v>
          </cell>
          <cell r="AX132">
            <v>2</v>
          </cell>
          <cell r="AY132" t="str">
            <v>NULL</v>
          </cell>
          <cell r="AZ132" t="str">
            <v>NULL</v>
          </cell>
          <cell r="BA132" t="str">
            <v>NULL</v>
          </cell>
          <cell r="BB132" t="str">
            <v>NULL</v>
          </cell>
        </row>
        <row r="133">
          <cell r="D133">
            <v>131165</v>
          </cell>
          <cell r="E133">
            <v>2056390</v>
          </cell>
          <cell r="F133" t="str">
            <v>Fulham Prep School</v>
          </cell>
          <cell r="G133" t="str">
            <v>Other Independent School</v>
          </cell>
          <cell r="H133">
            <v>35447</v>
          </cell>
          <cell r="I133">
            <v>651</v>
          </cell>
          <cell r="J133" t="str">
            <v>London</v>
          </cell>
          <cell r="K133" t="str">
            <v>London</v>
          </cell>
          <cell r="L133" t="str">
            <v>Hammersmith and Fulham</v>
          </cell>
          <cell r="M133" t="str">
            <v>Hammersmith</v>
          </cell>
          <cell r="N133" t="str">
            <v>W14 9SD</v>
          </cell>
          <cell r="O133" t="str">
            <v>Does not have a sixth form</v>
          </cell>
          <cell r="P133">
            <v>4</v>
          </cell>
          <cell r="Q133">
            <v>13</v>
          </cell>
          <cell r="R133" t="str">
            <v>None</v>
          </cell>
          <cell r="S133" t="str">
            <v>Ofsted</v>
          </cell>
          <cell r="T133" t="str">
            <v>NULL</v>
          </cell>
          <cell r="U133" t="str">
            <v>NULL</v>
          </cell>
          <cell r="V133" t="str">
            <v>NULL</v>
          </cell>
          <cell r="W133" t="str">
            <v>NULL</v>
          </cell>
          <cell r="X133" t="str">
            <v>NULL</v>
          </cell>
          <cell r="Y133" t="str">
            <v>NULL</v>
          </cell>
          <cell r="Z133" t="str">
            <v>NULL</v>
          </cell>
          <cell r="AA133">
            <v>10035790</v>
          </cell>
          <cell r="AB133" t="str">
            <v>Independent School standard inspection</v>
          </cell>
          <cell r="AC133" t="str">
            <v>Independent Standard Inspection</v>
          </cell>
          <cell r="AD133">
            <v>42997</v>
          </cell>
          <cell r="AE133">
            <v>42999</v>
          </cell>
          <cell r="AF133">
            <v>43026</v>
          </cell>
          <cell r="AG133">
            <v>2</v>
          </cell>
          <cell r="AH133">
            <v>2</v>
          </cell>
          <cell r="AI133">
            <v>2</v>
          </cell>
          <cell r="AJ133">
            <v>2</v>
          </cell>
          <cell r="AK133">
            <v>1</v>
          </cell>
          <cell r="AL133">
            <v>2</v>
          </cell>
          <cell r="AM133" t="str">
            <v>NULL</v>
          </cell>
          <cell r="AN133" t="str">
            <v>Yes</v>
          </cell>
          <cell r="AO133" t="str">
            <v>ITS443474</v>
          </cell>
          <cell r="AP133" t="str">
            <v>Independent School standard inspection</v>
          </cell>
          <cell r="AQ133" t="str">
            <v>Independent Standard Inspection</v>
          </cell>
          <cell r="AR133">
            <v>41793</v>
          </cell>
          <cell r="AS133">
            <v>41795</v>
          </cell>
          <cell r="AT133">
            <v>41814</v>
          </cell>
          <cell r="AU133">
            <v>1</v>
          </cell>
          <cell r="AV133">
            <v>1</v>
          </cell>
          <cell r="AW133">
            <v>1</v>
          </cell>
          <cell r="AX133">
            <v>1</v>
          </cell>
          <cell r="AY133" t="str">
            <v>NULL</v>
          </cell>
          <cell r="AZ133" t="str">
            <v>NULL</v>
          </cell>
          <cell r="BA133" t="str">
            <v>NULL</v>
          </cell>
          <cell r="BB133" t="str">
            <v>NULL</v>
          </cell>
        </row>
        <row r="134">
          <cell r="D134">
            <v>136000</v>
          </cell>
          <cell r="E134">
            <v>3906008</v>
          </cell>
          <cell r="F134" t="str">
            <v>The Gateshead Cheder Primary School</v>
          </cell>
          <cell r="G134" t="str">
            <v>Other Independent School</v>
          </cell>
          <cell r="H134">
            <v>40085</v>
          </cell>
          <cell r="I134">
            <v>190</v>
          </cell>
          <cell r="J134" t="str">
            <v>North East, Yorkshire and the Humber</v>
          </cell>
          <cell r="K134" t="str">
            <v>North East</v>
          </cell>
          <cell r="L134" t="str">
            <v>Gateshead</v>
          </cell>
          <cell r="M134" t="str">
            <v>Gateshead</v>
          </cell>
          <cell r="N134" t="str">
            <v>NE8 3HY</v>
          </cell>
          <cell r="O134" t="str">
            <v>Does not have a sixth form</v>
          </cell>
          <cell r="P134">
            <v>3</v>
          </cell>
          <cell r="Q134">
            <v>14</v>
          </cell>
          <cell r="R134" t="str">
            <v>None</v>
          </cell>
          <cell r="S134" t="str">
            <v>Ofsted</v>
          </cell>
          <cell r="T134" t="str">
            <v>NULL</v>
          </cell>
          <cell r="U134" t="str">
            <v>NULL</v>
          </cell>
          <cell r="V134" t="str">
            <v>NULL</v>
          </cell>
          <cell r="W134" t="str">
            <v>NULL</v>
          </cell>
          <cell r="X134" t="str">
            <v>NULL</v>
          </cell>
          <cell r="Y134" t="str">
            <v>NULL</v>
          </cell>
          <cell r="Z134" t="str">
            <v>NULL</v>
          </cell>
          <cell r="AA134">
            <v>10025960</v>
          </cell>
          <cell r="AB134" t="str">
            <v>Independent School standard inspection</v>
          </cell>
          <cell r="AC134" t="str">
            <v>Independent Standard Inspection</v>
          </cell>
          <cell r="AD134">
            <v>42808</v>
          </cell>
          <cell r="AE134">
            <v>42810</v>
          </cell>
          <cell r="AF134">
            <v>42829</v>
          </cell>
          <cell r="AG134">
            <v>2</v>
          </cell>
          <cell r="AH134">
            <v>2</v>
          </cell>
          <cell r="AI134">
            <v>2</v>
          </cell>
          <cell r="AJ134">
            <v>2</v>
          </cell>
          <cell r="AK134">
            <v>2</v>
          </cell>
          <cell r="AL134">
            <v>2</v>
          </cell>
          <cell r="AM134" t="str">
            <v>NULL</v>
          </cell>
          <cell r="AN134" t="str">
            <v>Yes</v>
          </cell>
          <cell r="AO134" t="str">
            <v>ITS422818</v>
          </cell>
          <cell r="AP134" t="str">
            <v>Independent School standard inspection</v>
          </cell>
          <cell r="AQ134" t="str">
            <v>Independent Standard Inspection</v>
          </cell>
          <cell r="AR134">
            <v>41709</v>
          </cell>
          <cell r="AS134">
            <v>41711</v>
          </cell>
          <cell r="AT134">
            <v>41729</v>
          </cell>
          <cell r="AU134">
            <v>2</v>
          </cell>
          <cell r="AV134">
            <v>2</v>
          </cell>
          <cell r="AW134">
            <v>2</v>
          </cell>
          <cell r="AX134">
            <v>2</v>
          </cell>
          <cell r="AY134" t="str">
            <v>NULL</v>
          </cell>
          <cell r="AZ134" t="str">
            <v>NULL</v>
          </cell>
          <cell r="BA134" t="str">
            <v>NULL</v>
          </cell>
          <cell r="BB134" t="str">
            <v>NULL</v>
          </cell>
        </row>
        <row r="135">
          <cell r="D135">
            <v>102945</v>
          </cell>
          <cell r="E135">
            <v>3186070</v>
          </cell>
          <cell r="F135" t="str">
            <v>The German School</v>
          </cell>
          <cell r="G135" t="str">
            <v>Other Independent School</v>
          </cell>
          <cell r="H135">
            <v>26185</v>
          </cell>
          <cell r="I135">
            <v>870</v>
          </cell>
          <cell r="J135" t="str">
            <v>London</v>
          </cell>
          <cell r="K135" t="str">
            <v>London</v>
          </cell>
          <cell r="L135" t="str">
            <v>Richmond upon Thames</v>
          </cell>
          <cell r="M135" t="str">
            <v>Richmond Park</v>
          </cell>
          <cell r="N135" t="str">
            <v>TW10 7AH</v>
          </cell>
          <cell r="O135" t="str">
            <v>Has a sixth form</v>
          </cell>
          <cell r="P135">
            <v>3</v>
          </cell>
          <cell r="Q135">
            <v>19</v>
          </cell>
          <cell r="R135" t="str">
            <v>None</v>
          </cell>
          <cell r="S135" t="str">
            <v>Ofsted</v>
          </cell>
          <cell r="T135">
            <v>1</v>
          </cell>
          <cell r="U135" t="str">
            <v>ITS464848</v>
          </cell>
          <cell r="V135" t="str">
            <v xml:space="preserve">Independent School material change inspection - Integrated </v>
          </cell>
          <cell r="W135">
            <v>42166</v>
          </cell>
          <cell r="X135">
            <v>42166</v>
          </cell>
          <cell r="Y135" t="str">
            <v>NULL</v>
          </cell>
          <cell r="Z135" t="str">
            <v>Likely to meet relevant standards</v>
          </cell>
          <cell r="AA135" t="str">
            <v>ITS441612</v>
          </cell>
          <cell r="AB135" t="str">
            <v>Independent School standard inspection</v>
          </cell>
          <cell r="AC135" t="str">
            <v>Independent Standard Inspection</v>
          </cell>
          <cell r="AD135">
            <v>41807</v>
          </cell>
          <cell r="AE135">
            <v>41809</v>
          </cell>
          <cell r="AF135">
            <v>41828</v>
          </cell>
          <cell r="AG135">
            <v>1</v>
          </cell>
          <cell r="AH135">
            <v>1</v>
          </cell>
          <cell r="AI135">
            <v>1</v>
          </cell>
          <cell r="AJ135">
            <v>1</v>
          </cell>
          <cell r="AK135" t="str">
            <v>NULL</v>
          </cell>
          <cell r="AL135" t="str">
            <v>NULL</v>
          </cell>
          <cell r="AM135" t="str">
            <v>NULL</v>
          </cell>
          <cell r="AN135" t="str">
            <v>NULL</v>
          </cell>
          <cell r="AO135" t="str">
            <v>ITS364227</v>
          </cell>
          <cell r="AP135" t="str">
            <v>Independent School standard inspection</v>
          </cell>
          <cell r="AQ135" t="str">
            <v>Independent Standard Inspection</v>
          </cell>
          <cell r="AR135">
            <v>40611</v>
          </cell>
          <cell r="AS135">
            <v>40612</v>
          </cell>
          <cell r="AT135">
            <v>40634</v>
          </cell>
          <cell r="AU135">
            <v>1</v>
          </cell>
          <cell r="AV135">
            <v>1</v>
          </cell>
          <cell r="AW135">
            <v>1</v>
          </cell>
          <cell r="AX135" t="str">
            <v>NULL</v>
          </cell>
          <cell r="AY135" t="str">
            <v>NULL</v>
          </cell>
          <cell r="AZ135">
            <v>2</v>
          </cell>
          <cell r="BA135" t="str">
            <v>NULL</v>
          </cell>
          <cell r="BB135" t="str">
            <v>NULL</v>
          </cell>
        </row>
        <row r="136">
          <cell r="D136">
            <v>141225</v>
          </cell>
          <cell r="E136">
            <v>8686022</v>
          </cell>
          <cell r="F136" t="str">
            <v>The Green Room</v>
          </cell>
          <cell r="G136" t="str">
            <v>Other Independent School</v>
          </cell>
          <cell r="H136">
            <v>41871</v>
          </cell>
          <cell r="I136">
            <v>36</v>
          </cell>
          <cell r="J136" t="str">
            <v>South East</v>
          </cell>
          <cell r="K136" t="str">
            <v>South East</v>
          </cell>
          <cell r="L136" t="str">
            <v>Windsor and Maidenhead</v>
          </cell>
          <cell r="M136" t="str">
            <v>Windsor</v>
          </cell>
          <cell r="N136" t="str">
            <v>SL4 5BU</v>
          </cell>
          <cell r="O136" t="str">
            <v>Not applicable</v>
          </cell>
          <cell r="P136">
            <v>12</v>
          </cell>
          <cell r="Q136">
            <v>17</v>
          </cell>
          <cell r="R136" t="str">
            <v>None</v>
          </cell>
          <cell r="S136" t="str">
            <v>Ofsted</v>
          </cell>
          <cell r="T136" t="str">
            <v>NULL</v>
          </cell>
          <cell r="U136" t="str">
            <v>NULL</v>
          </cell>
          <cell r="V136" t="str">
            <v>NULL</v>
          </cell>
          <cell r="W136" t="str">
            <v>NULL</v>
          </cell>
          <cell r="X136" t="str">
            <v>NULL</v>
          </cell>
          <cell r="Y136" t="str">
            <v>NULL</v>
          </cell>
          <cell r="Z136" t="str">
            <v>NULL</v>
          </cell>
          <cell r="AA136">
            <v>10006029</v>
          </cell>
          <cell r="AB136" t="str">
            <v>Independent school standard inspection - first</v>
          </cell>
          <cell r="AC136" t="str">
            <v>Independent Standard Inspection</v>
          </cell>
          <cell r="AD136">
            <v>42284</v>
          </cell>
          <cell r="AE136">
            <v>42286</v>
          </cell>
          <cell r="AF136">
            <v>42317</v>
          </cell>
          <cell r="AG136">
            <v>2</v>
          </cell>
          <cell r="AH136">
            <v>2</v>
          </cell>
          <cell r="AI136">
            <v>2</v>
          </cell>
          <cell r="AJ136">
            <v>2</v>
          </cell>
          <cell r="AK136">
            <v>1</v>
          </cell>
          <cell r="AL136" t="str">
            <v>NULL</v>
          </cell>
          <cell r="AM136" t="str">
            <v>NULL</v>
          </cell>
          <cell r="AN136" t="str">
            <v>Yes</v>
          </cell>
          <cell r="AO136" t="str">
            <v>NULL</v>
          </cell>
          <cell r="AP136" t="str">
            <v>NULL</v>
          </cell>
          <cell r="AQ136" t="str">
            <v>NULL</v>
          </cell>
          <cell r="AR136" t="str">
            <v>NULL</v>
          </cell>
          <cell r="AS136" t="str">
            <v>NULL</v>
          </cell>
          <cell r="AT136" t="str">
            <v>NULL</v>
          </cell>
          <cell r="AU136" t="str">
            <v>NULL</v>
          </cell>
          <cell r="AV136" t="str">
            <v>NULL</v>
          </cell>
          <cell r="AW136" t="str">
            <v>NULL</v>
          </cell>
          <cell r="AX136" t="str">
            <v>NULL</v>
          </cell>
          <cell r="AY136" t="str">
            <v>NULL</v>
          </cell>
          <cell r="AZ136" t="str">
            <v>NULL</v>
          </cell>
          <cell r="BA136" t="str">
            <v>NULL</v>
          </cell>
          <cell r="BB136" t="str">
            <v>NULL</v>
          </cell>
        </row>
        <row r="137">
          <cell r="D137">
            <v>130398</v>
          </cell>
          <cell r="E137">
            <v>2126398</v>
          </cell>
          <cell r="F137" t="str">
            <v>Thomas's Clapham</v>
          </cell>
          <cell r="G137" t="str">
            <v>Other Independent School</v>
          </cell>
          <cell r="H137">
            <v>35067</v>
          </cell>
          <cell r="I137">
            <v>647</v>
          </cell>
          <cell r="J137" t="str">
            <v>London</v>
          </cell>
          <cell r="K137" t="str">
            <v>London</v>
          </cell>
          <cell r="L137" t="str">
            <v>Wandsworth</v>
          </cell>
          <cell r="M137" t="str">
            <v>Battersea</v>
          </cell>
          <cell r="N137" t="str">
            <v>SW11 6JZ</v>
          </cell>
          <cell r="O137" t="str">
            <v>Does not have a sixth form</v>
          </cell>
          <cell r="P137">
            <v>4</v>
          </cell>
          <cell r="Q137">
            <v>13</v>
          </cell>
          <cell r="R137" t="str">
            <v>None</v>
          </cell>
          <cell r="S137" t="str">
            <v>Ofsted</v>
          </cell>
          <cell r="T137" t="str">
            <v>NULL</v>
          </cell>
          <cell r="U137" t="str">
            <v>NULL</v>
          </cell>
          <cell r="V137" t="str">
            <v>NULL</v>
          </cell>
          <cell r="W137" t="str">
            <v>NULL</v>
          </cell>
          <cell r="X137" t="str">
            <v>NULL</v>
          </cell>
          <cell r="Y137" t="str">
            <v>NULL</v>
          </cell>
          <cell r="Z137" t="str">
            <v>NULL</v>
          </cell>
          <cell r="AA137">
            <v>10026281</v>
          </cell>
          <cell r="AB137" t="str">
            <v>Independent School standard inspection</v>
          </cell>
          <cell r="AC137" t="str">
            <v>Independent Standard Inspection</v>
          </cell>
          <cell r="AD137">
            <v>43123</v>
          </cell>
          <cell r="AE137">
            <v>43125</v>
          </cell>
          <cell r="AF137">
            <v>43158</v>
          </cell>
          <cell r="AG137">
            <v>1</v>
          </cell>
          <cell r="AH137">
            <v>1</v>
          </cell>
          <cell r="AI137">
            <v>1</v>
          </cell>
          <cell r="AJ137">
            <v>1</v>
          </cell>
          <cell r="AK137">
            <v>1</v>
          </cell>
          <cell r="AL137">
            <v>1</v>
          </cell>
          <cell r="AM137" t="str">
            <v>NULL</v>
          </cell>
          <cell r="AN137" t="str">
            <v>Yes</v>
          </cell>
          <cell r="AO137" t="str">
            <v>ITS364250</v>
          </cell>
          <cell r="AP137" t="str">
            <v>Independent School standard inspection</v>
          </cell>
          <cell r="AQ137" t="str">
            <v>Independent Standard Inspection</v>
          </cell>
          <cell r="AR137">
            <v>40625</v>
          </cell>
          <cell r="AS137">
            <v>40626</v>
          </cell>
          <cell r="AT137">
            <v>40673</v>
          </cell>
          <cell r="AU137">
            <v>1</v>
          </cell>
          <cell r="AV137">
            <v>1</v>
          </cell>
          <cell r="AW137">
            <v>1</v>
          </cell>
          <cell r="AX137" t="str">
            <v>NULL</v>
          </cell>
          <cell r="AY137" t="str">
            <v>NULL</v>
          </cell>
          <cell r="AZ137">
            <v>1</v>
          </cell>
          <cell r="BA137" t="str">
            <v>NULL</v>
          </cell>
          <cell r="BB137" t="str">
            <v>NULL</v>
          </cell>
        </row>
        <row r="138">
          <cell r="D138">
            <v>130239</v>
          </cell>
          <cell r="E138">
            <v>2056402</v>
          </cell>
          <cell r="F138" t="str">
            <v>Thomas's Fulham</v>
          </cell>
          <cell r="G138" t="str">
            <v>Other Independent School</v>
          </cell>
          <cell r="H138">
            <v>38667</v>
          </cell>
          <cell r="I138">
            <v>424</v>
          </cell>
          <cell r="J138" t="str">
            <v>London</v>
          </cell>
          <cell r="K138" t="str">
            <v>London</v>
          </cell>
          <cell r="L138" t="str">
            <v>Hammersmith and Fulham</v>
          </cell>
          <cell r="M138" t="str">
            <v>Chelsea and Fulham</v>
          </cell>
          <cell r="N138" t="str">
            <v>SW6 3ES</v>
          </cell>
          <cell r="O138" t="str">
            <v>Does not have a sixth form</v>
          </cell>
          <cell r="P138">
            <v>4</v>
          </cell>
          <cell r="Q138">
            <v>11</v>
          </cell>
          <cell r="R138" t="str">
            <v>None</v>
          </cell>
          <cell r="S138" t="str">
            <v>Ofsted</v>
          </cell>
          <cell r="T138" t="str">
            <v>NULL</v>
          </cell>
          <cell r="U138" t="str">
            <v>NULL</v>
          </cell>
          <cell r="V138" t="str">
            <v>NULL</v>
          </cell>
          <cell r="W138" t="str">
            <v>NULL</v>
          </cell>
          <cell r="X138" t="str">
            <v>NULL</v>
          </cell>
          <cell r="Y138" t="str">
            <v>NULL</v>
          </cell>
          <cell r="Z138" t="str">
            <v>NULL</v>
          </cell>
          <cell r="AA138" t="str">
            <v>ITS443472</v>
          </cell>
          <cell r="AB138" t="str">
            <v>Independent School standard inspection</v>
          </cell>
          <cell r="AC138" t="str">
            <v>Independent Standard Inspection</v>
          </cell>
          <cell r="AD138">
            <v>41969</v>
          </cell>
          <cell r="AE138">
            <v>41971</v>
          </cell>
          <cell r="AF138">
            <v>41992</v>
          </cell>
          <cell r="AG138">
            <v>1</v>
          </cell>
          <cell r="AH138">
            <v>1</v>
          </cell>
          <cell r="AI138">
            <v>1</v>
          </cell>
          <cell r="AJ138">
            <v>1</v>
          </cell>
          <cell r="AK138" t="str">
            <v>NULL</v>
          </cell>
          <cell r="AL138">
            <v>1</v>
          </cell>
          <cell r="AM138">
            <v>9</v>
          </cell>
          <cell r="AN138" t="str">
            <v>NULL</v>
          </cell>
          <cell r="AO138" t="str">
            <v>ITS330442</v>
          </cell>
          <cell r="AP138" t="str">
            <v>S162a - LTI Inspection Historic</v>
          </cell>
          <cell r="AQ138" t="str">
            <v>Independent Standard Inspection</v>
          </cell>
          <cell r="AR138">
            <v>39896</v>
          </cell>
          <cell r="AS138">
            <v>39896</v>
          </cell>
          <cell r="AT138">
            <v>39938</v>
          </cell>
          <cell r="AU138">
            <v>2</v>
          </cell>
          <cell r="AV138">
            <v>2</v>
          </cell>
          <cell r="AW138">
            <v>2</v>
          </cell>
          <cell r="AX138" t="str">
            <v>NULL</v>
          </cell>
          <cell r="AY138" t="str">
            <v>NULL</v>
          </cell>
          <cell r="AZ138">
            <v>2</v>
          </cell>
          <cell r="BA138" t="str">
            <v>NULL</v>
          </cell>
          <cell r="BB138" t="str">
            <v>NULL</v>
          </cell>
        </row>
        <row r="139">
          <cell r="D139">
            <v>100534</v>
          </cell>
          <cell r="E139">
            <v>2076317</v>
          </cell>
          <cell r="F139" t="str">
            <v>Thomas's Kensington</v>
          </cell>
          <cell r="G139" t="str">
            <v>Other Independent School</v>
          </cell>
          <cell r="H139">
            <v>29573</v>
          </cell>
          <cell r="I139">
            <v>377</v>
          </cell>
          <cell r="J139" t="str">
            <v>London</v>
          </cell>
          <cell r="K139" t="str">
            <v>London</v>
          </cell>
          <cell r="L139" t="str">
            <v>Kensington and Chelsea</v>
          </cell>
          <cell r="M139" t="str">
            <v>Kensington</v>
          </cell>
          <cell r="N139" t="str">
            <v>W8 5PR</v>
          </cell>
          <cell r="O139" t="str">
            <v>Does not have a sixth form</v>
          </cell>
          <cell r="P139">
            <v>5</v>
          </cell>
          <cell r="Q139">
            <v>11</v>
          </cell>
          <cell r="R139" t="str">
            <v>None</v>
          </cell>
          <cell r="S139" t="str">
            <v>Ofsted</v>
          </cell>
          <cell r="T139" t="str">
            <v>NULL</v>
          </cell>
          <cell r="U139" t="str">
            <v>NULL</v>
          </cell>
          <cell r="V139" t="str">
            <v>NULL</v>
          </cell>
          <cell r="W139" t="str">
            <v>NULL</v>
          </cell>
          <cell r="X139" t="str">
            <v>NULL</v>
          </cell>
          <cell r="Y139" t="str">
            <v>NULL</v>
          </cell>
          <cell r="Z139" t="str">
            <v>NULL</v>
          </cell>
          <cell r="AA139">
            <v>10012796</v>
          </cell>
          <cell r="AB139" t="str">
            <v>Independent School standard inspection</v>
          </cell>
          <cell r="AC139" t="str">
            <v>Independent Standard Inspection</v>
          </cell>
          <cell r="AD139">
            <v>43039</v>
          </cell>
          <cell r="AE139">
            <v>43041</v>
          </cell>
          <cell r="AF139">
            <v>43068</v>
          </cell>
          <cell r="AG139">
            <v>1</v>
          </cell>
          <cell r="AH139">
            <v>1</v>
          </cell>
          <cell r="AI139">
            <v>1</v>
          </cell>
          <cell r="AJ139">
            <v>1</v>
          </cell>
          <cell r="AK139">
            <v>1</v>
          </cell>
          <cell r="AL139">
            <v>1</v>
          </cell>
          <cell r="AM139" t="str">
            <v>NULL</v>
          </cell>
          <cell r="AN139" t="str">
            <v>Yes</v>
          </cell>
          <cell r="AO139" t="str">
            <v>ITS364211</v>
          </cell>
          <cell r="AP139" t="str">
            <v>S162a - LTI Inspection Historic</v>
          </cell>
          <cell r="AQ139" t="str">
            <v>Independent Standard Inspection</v>
          </cell>
          <cell r="AR139">
            <v>40722</v>
          </cell>
          <cell r="AS139">
            <v>40722</v>
          </cell>
          <cell r="AT139">
            <v>40746</v>
          </cell>
          <cell r="AU139">
            <v>1</v>
          </cell>
          <cell r="AV139">
            <v>1</v>
          </cell>
          <cell r="AW139">
            <v>1</v>
          </cell>
          <cell r="AX139" t="str">
            <v>NULL</v>
          </cell>
          <cell r="AY139" t="str">
            <v>NULL</v>
          </cell>
          <cell r="AZ139">
            <v>1</v>
          </cell>
          <cell r="BA139" t="str">
            <v>NULL</v>
          </cell>
          <cell r="BB139" t="str">
            <v>NULL</v>
          </cell>
        </row>
        <row r="140">
          <cell r="D140">
            <v>136143</v>
          </cell>
          <cell r="E140">
            <v>3556039</v>
          </cell>
          <cell r="F140" t="str">
            <v>Tiferes</v>
          </cell>
          <cell r="G140" t="str">
            <v>Other Independent School</v>
          </cell>
          <cell r="H140">
            <v>40350</v>
          </cell>
          <cell r="I140">
            <v>272</v>
          </cell>
          <cell r="J140" t="str">
            <v>North West</v>
          </cell>
          <cell r="K140" t="str">
            <v>North West</v>
          </cell>
          <cell r="L140" t="str">
            <v>Salford</v>
          </cell>
          <cell r="M140" t="str">
            <v>Blackley and Broughton</v>
          </cell>
          <cell r="N140" t="str">
            <v>M7 2JR</v>
          </cell>
          <cell r="O140" t="str">
            <v>Does not have a sixth form</v>
          </cell>
          <cell r="P140">
            <v>3</v>
          </cell>
          <cell r="Q140">
            <v>13</v>
          </cell>
          <cell r="R140" t="str">
            <v>None</v>
          </cell>
          <cell r="S140" t="str">
            <v>Ofsted</v>
          </cell>
          <cell r="T140" t="str">
            <v>NULL</v>
          </cell>
          <cell r="U140" t="str">
            <v>NULL</v>
          </cell>
          <cell r="V140" t="str">
            <v>NULL</v>
          </cell>
          <cell r="W140" t="str">
            <v>NULL</v>
          </cell>
          <cell r="X140" t="str">
            <v>NULL</v>
          </cell>
          <cell r="Y140" t="str">
            <v>NULL</v>
          </cell>
          <cell r="Z140" t="str">
            <v>NULL</v>
          </cell>
          <cell r="AA140">
            <v>10034032</v>
          </cell>
          <cell r="AB140" t="str">
            <v>Independent School standard inspection</v>
          </cell>
          <cell r="AC140" t="str">
            <v>Independent Standard Inspection</v>
          </cell>
          <cell r="AD140">
            <v>43110</v>
          </cell>
          <cell r="AE140">
            <v>43112</v>
          </cell>
          <cell r="AF140">
            <v>43136</v>
          </cell>
          <cell r="AG140">
            <v>2</v>
          </cell>
          <cell r="AH140">
            <v>2</v>
          </cell>
          <cell r="AI140">
            <v>2</v>
          </cell>
          <cell r="AJ140">
            <v>2</v>
          </cell>
          <cell r="AK140">
            <v>1</v>
          </cell>
          <cell r="AL140">
            <v>2</v>
          </cell>
          <cell r="AM140" t="str">
            <v>NULL</v>
          </cell>
          <cell r="AN140" t="str">
            <v>Yes</v>
          </cell>
          <cell r="AO140" t="str">
            <v>ITS447241</v>
          </cell>
          <cell r="AP140" t="str">
            <v>Independent School standard inspection</v>
          </cell>
          <cell r="AQ140" t="str">
            <v>Independent Standard Inspection</v>
          </cell>
          <cell r="AR140">
            <v>41801</v>
          </cell>
          <cell r="AS140">
            <v>41803</v>
          </cell>
          <cell r="AT140">
            <v>41827</v>
          </cell>
          <cell r="AU140">
            <v>2</v>
          </cell>
          <cell r="AV140">
            <v>2</v>
          </cell>
          <cell r="AW140">
            <v>2</v>
          </cell>
          <cell r="AX140">
            <v>2</v>
          </cell>
          <cell r="AY140" t="str">
            <v>NULL</v>
          </cell>
          <cell r="AZ140" t="str">
            <v>NULL</v>
          </cell>
          <cell r="BA140" t="str">
            <v>NULL</v>
          </cell>
          <cell r="BB140" t="str">
            <v>NULL</v>
          </cell>
        </row>
        <row r="141">
          <cell r="D141">
            <v>131403</v>
          </cell>
          <cell r="E141">
            <v>3026110</v>
          </cell>
          <cell r="F141" t="str">
            <v>Tiferes High School</v>
          </cell>
          <cell r="G141" t="str">
            <v>Other Independent School</v>
          </cell>
          <cell r="H141">
            <v>35731</v>
          </cell>
          <cell r="I141">
            <v>142</v>
          </cell>
          <cell r="J141" t="str">
            <v>London</v>
          </cell>
          <cell r="K141" t="str">
            <v>London</v>
          </cell>
          <cell r="L141" t="str">
            <v>Barnet</v>
          </cell>
          <cell r="M141" t="str">
            <v>Hendon</v>
          </cell>
          <cell r="N141" t="str">
            <v>NW4 2TA</v>
          </cell>
          <cell r="O141" t="str">
            <v>Does not have a sixth form</v>
          </cell>
          <cell r="P141">
            <v>11</v>
          </cell>
          <cell r="Q141">
            <v>16</v>
          </cell>
          <cell r="R141" t="str">
            <v>None</v>
          </cell>
          <cell r="S141" t="str">
            <v>Ofsted</v>
          </cell>
          <cell r="T141" t="str">
            <v>NULL</v>
          </cell>
          <cell r="U141" t="str">
            <v>NULL</v>
          </cell>
          <cell r="V141" t="str">
            <v>NULL</v>
          </cell>
          <cell r="W141" t="str">
            <v>NULL</v>
          </cell>
          <cell r="X141" t="str">
            <v>NULL</v>
          </cell>
          <cell r="Y141" t="str">
            <v>NULL</v>
          </cell>
          <cell r="Z141" t="str">
            <v>NULL</v>
          </cell>
          <cell r="AA141" t="str">
            <v>ITS447170</v>
          </cell>
          <cell r="AB141" t="str">
            <v>Independent School standard inspection</v>
          </cell>
          <cell r="AC141" t="str">
            <v>Independent Standard Inspection</v>
          </cell>
          <cell r="AD141">
            <v>41954</v>
          </cell>
          <cell r="AE141">
            <v>41956</v>
          </cell>
          <cell r="AF141">
            <v>41981</v>
          </cell>
          <cell r="AG141">
            <v>2</v>
          </cell>
          <cell r="AH141">
            <v>2</v>
          </cell>
          <cell r="AI141">
            <v>2</v>
          </cell>
          <cell r="AJ141">
            <v>2</v>
          </cell>
          <cell r="AK141" t="str">
            <v>NULL</v>
          </cell>
          <cell r="AL141">
            <v>9</v>
          </cell>
          <cell r="AM141">
            <v>9</v>
          </cell>
          <cell r="AN141" t="str">
            <v>NULL</v>
          </cell>
          <cell r="AO141" t="str">
            <v>ITS364258</v>
          </cell>
          <cell r="AP141" t="str">
            <v>S162a - LTI Inspection Historic</v>
          </cell>
          <cell r="AQ141" t="str">
            <v>Independent Standard Inspection</v>
          </cell>
          <cell r="AR141">
            <v>40674</v>
          </cell>
          <cell r="AS141">
            <v>40674</v>
          </cell>
          <cell r="AT141">
            <v>40722</v>
          </cell>
          <cell r="AU141">
            <v>2</v>
          </cell>
          <cell r="AV141">
            <v>2</v>
          </cell>
          <cell r="AW141">
            <v>2</v>
          </cell>
          <cell r="AX141" t="str">
            <v>NULL</v>
          </cell>
          <cell r="AY141" t="str">
            <v>NULL</v>
          </cell>
          <cell r="AZ141">
            <v>8</v>
          </cell>
          <cell r="BA141" t="str">
            <v>NULL</v>
          </cell>
          <cell r="BB141" t="str">
            <v>NULL</v>
          </cell>
        </row>
        <row r="142">
          <cell r="D142">
            <v>135238</v>
          </cell>
          <cell r="E142">
            <v>3306116</v>
          </cell>
          <cell r="F142" t="str">
            <v>Ward End Community College</v>
          </cell>
          <cell r="G142" t="str">
            <v>Other Independent School</v>
          </cell>
          <cell r="H142">
            <v>39189</v>
          </cell>
          <cell r="I142">
            <v>6</v>
          </cell>
          <cell r="J142" t="str">
            <v>West Midlands</v>
          </cell>
          <cell r="K142" t="str">
            <v>West Midlands</v>
          </cell>
          <cell r="L142" t="str">
            <v>Birmingham</v>
          </cell>
          <cell r="M142" t="str">
            <v>Birmingham, Hodge Hill</v>
          </cell>
          <cell r="N142" t="str">
            <v>B8 2LS</v>
          </cell>
          <cell r="O142" t="str">
            <v>Has a sixth form</v>
          </cell>
          <cell r="P142">
            <v>14</v>
          </cell>
          <cell r="Q142">
            <v>19</v>
          </cell>
          <cell r="R142" t="str">
            <v>None</v>
          </cell>
          <cell r="S142" t="str">
            <v>Ofsted</v>
          </cell>
          <cell r="T142">
            <v>6</v>
          </cell>
          <cell r="U142">
            <v>10026102</v>
          </cell>
          <cell r="V142" t="str">
            <v>Independent school emergency inspection</v>
          </cell>
          <cell r="W142">
            <v>43039</v>
          </cell>
          <cell r="X142">
            <v>43039</v>
          </cell>
          <cell r="Y142" t="str">
            <v>NULL</v>
          </cell>
          <cell r="Z142" t="str">
            <v>School appears to have closed</v>
          </cell>
          <cell r="AA142" t="str">
            <v>ITS454273</v>
          </cell>
          <cell r="AB142" t="str">
            <v>Independent School standard inspection</v>
          </cell>
          <cell r="AC142" t="str">
            <v>Independent Standard Inspection</v>
          </cell>
          <cell r="AD142">
            <v>42067</v>
          </cell>
          <cell r="AE142">
            <v>42068</v>
          </cell>
          <cell r="AF142">
            <v>42088</v>
          </cell>
          <cell r="AG142">
            <v>3</v>
          </cell>
          <cell r="AH142">
            <v>3</v>
          </cell>
          <cell r="AI142">
            <v>3</v>
          </cell>
          <cell r="AJ142">
            <v>3</v>
          </cell>
          <cell r="AK142" t="str">
            <v>NULL</v>
          </cell>
          <cell r="AL142">
            <v>9</v>
          </cell>
          <cell r="AM142">
            <v>3</v>
          </cell>
          <cell r="AN142" t="str">
            <v>NULL</v>
          </cell>
          <cell r="AO142" t="str">
            <v>ITS385120</v>
          </cell>
          <cell r="AP142" t="str">
            <v>Independent School standard inspection</v>
          </cell>
          <cell r="AQ142" t="str">
            <v>Independent Standard Inspection</v>
          </cell>
          <cell r="AR142">
            <v>40855</v>
          </cell>
          <cell r="AS142">
            <v>40856</v>
          </cell>
          <cell r="AT142">
            <v>40878</v>
          </cell>
          <cell r="AU142">
            <v>2</v>
          </cell>
          <cell r="AV142">
            <v>2</v>
          </cell>
          <cell r="AW142">
            <v>2</v>
          </cell>
          <cell r="AX142" t="str">
            <v>NULL</v>
          </cell>
          <cell r="AY142" t="str">
            <v>NULL</v>
          </cell>
          <cell r="AZ142">
            <v>8</v>
          </cell>
          <cell r="BA142" t="str">
            <v>NULL</v>
          </cell>
          <cell r="BB142" t="str">
            <v>NULL</v>
          </cell>
        </row>
        <row r="143">
          <cell r="D143">
            <v>131288</v>
          </cell>
          <cell r="E143">
            <v>3026109</v>
          </cell>
          <cell r="F143" t="str">
            <v>Wentworth Tutorial College</v>
          </cell>
          <cell r="G143" t="str">
            <v>Other Independent School</v>
          </cell>
          <cell r="H143">
            <v>35594</v>
          </cell>
          <cell r="I143">
            <v>64</v>
          </cell>
          <cell r="J143" t="str">
            <v>London</v>
          </cell>
          <cell r="K143" t="str">
            <v>London</v>
          </cell>
          <cell r="L143" t="str">
            <v>Barnet</v>
          </cell>
          <cell r="M143" t="str">
            <v>Hendon</v>
          </cell>
          <cell r="N143" t="str">
            <v>NW11 9LH</v>
          </cell>
          <cell r="O143" t="str">
            <v>Has a sixth form</v>
          </cell>
          <cell r="P143">
            <v>14</v>
          </cell>
          <cell r="Q143">
            <v>19</v>
          </cell>
          <cell r="R143" t="str">
            <v>None</v>
          </cell>
          <cell r="S143" t="str">
            <v>Ofsted</v>
          </cell>
          <cell r="T143" t="str">
            <v>NULL</v>
          </cell>
          <cell r="U143" t="str">
            <v>NULL</v>
          </cell>
          <cell r="V143" t="str">
            <v>NULL</v>
          </cell>
          <cell r="W143" t="str">
            <v>NULL</v>
          </cell>
          <cell r="X143" t="str">
            <v>NULL</v>
          </cell>
          <cell r="Y143" t="str">
            <v>NULL</v>
          </cell>
          <cell r="Z143" t="str">
            <v>NULL</v>
          </cell>
          <cell r="AA143" t="str">
            <v>ITS386849</v>
          </cell>
          <cell r="AB143" t="str">
            <v>Independent School standard inspection</v>
          </cell>
          <cell r="AC143" t="str">
            <v>Independent Standard Inspection</v>
          </cell>
          <cell r="AD143">
            <v>40962</v>
          </cell>
          <cell r="AE143">
            <v>40963</v>
          </cell>
          <cell r="AF143">
            <v>41236</v>
          </cell>
          <cell r="AG143">
            <v>2</v>
          </cell>
          <cell r="AH143">
            <v>2</v>
          </cell>
          <cell r="AI143">
            <v>2</v>
          </cell>
          <cell r="AJ143" t="str">
            <v>NULL</v>
          </cell>
          <cell r="AK143" t="str">
            <v>NULL</v>
          </cell>
          <cell r="AL143">
            <v>8</v>
          </cell>
          <cell r="AM143" t="str">
            <v>NULL</v>
          </cell>
          <cell r="AN143" t="str">
            <v>NULL</v>
          </cell>
          <cell r="AO143" t="str">
            <v>ITS322046</v>
          </cell>
          <cell r="AP143" t="str">
            <v>Independent School standard inspection</v>
          </cell>
          <cell r="AQ143" t="str">
            <v>Independent Standard Inspection</v>
          </cell>
          <cell r="AR143">
            <v>39757</v>
          </cell>
          <cell r="AS143">
            <v>39758</v>
          </cell>
          <cell r="AT143">
            <v>39783</v>
          </cell>
          <cell r="AU143">
            <v>2</v>
          </cell>
          <cell r="AV143">
            <v>2</v>
          </cell>
          <cell r="AW143">
            <v>2</v>
          </cell>
          <cell r="AX143" t="str">
            <v>NULL</v>
          </cell>
          <cell r="AY143" t="str">
            <v>NULL</v>
          </cell>
          <cell r="AZ143">
            <v>0</v>
          </cell>
          <cell r="BA143" t="str">
            <v>NULL</v>
          </cell>
          <cell r="BB143" t="str">
            <v>NULL</v>
          </cell>
        </row>
        <row r="144">
          <cell r="D144">
            <v>140603</v>
          </cell>
          <cell r="E144">
            <v>2076009</v>
          </cell>
          <cell r="F144" t="str">
            <v>Westminster Tutors</v>
          </cell>
          <cell r="G144" t="str">
            <v>Other Independent School</v>
          </cell>
          <cell r="H144">
            <v>41673</v>
          </cell>
          <cell r="I144">
            <v>36</v>
          </cell>
          <cell r="J144" t="str">
            <v>London</v>
          </cell>
          <cell r="K144" t="str">
            <v>London</v>
          </cell>
          <cell r="L144" t="str">
            <v>Kensington and Chelsea</v>
          </cell>
          <cell r="M144" t="str">
            <v>Kensington</v>
          </cell>
          <cell r="N144" t="str">
            <v>SW7 3LQ</v>
          </cell>
          <cell r="O144" t="str">
            <v>Has a sixth form</v>
          </cell>
          <cell r="P144">
            <v>14</v>
          </cell>
          <cell r="Q144">
            <v>19</v>
          </cell>
          <cell r="R144" t="str">
            <v>None</v>
          </cell>
          <cell r="S144" t="str">
            <v>Ofsted</v>
          </cell>
          <cell r="T144" t="str">
            <v>NULL</v>
          </cell>
          <cell r="U144" t="str">
            <v>NULL</v>
          </cell>
          <cell r="V144" t="str">
            <v>NULL</v>
          </cell>
          <cell r="W144" t="str">
            <v>NULL</v>
          </cell>
          <cell r="X144" t="str">
            <v>NULL</v>
          </cell>
          <cell r="Y144" t="str">
            <v>NULL</v>
          </cell>
          <cell r="Z144" t="str">
            <v>NULL</v>
          </cell>
          <cell r="AA144" t="str">
            <v>ITS454302</v>
          </cell>
          <cell r="AB144" t="str">
            <v>Independent school standard inspection - first</v>
          </cell>
          <cell r="AC144" t="str">
            <v>Independent Standard Inspection</v>
          </cell>
          <cell r="AD144">
            <v>42046</v>
          </cell>
          <cell r="AE144">
            <v>42048</v>
          </cell>
          <cell r="AF144">
            <v>42082</v>
          </cell>
          <cell r="AG144">
            <v>1</v>
          </cell>
          <cell r="AH144">
            <v>1</v>
          </cell>
          <cell r="AI144">
            <v>1</v>
          </cell>
          <cell r="AJ144">
            <v>1</v>
          </cell>
          <cell r="AK144" t="str">
            <v>NULL</v>
          </cell>
          <cell r="AL144">
            <v>9</v>
          </cell>
          <cell r="AM144">
            <v>1</v>
          </cell>
          <cell r="AN144" t="str">
            <v>NULL</v>
          </cell>
          <cell r="AO144" t="str">
            <v>NULL</v>
          </cell>
          <cell r="AP144" t="str">
            <v>NULL</v>
          </cell>
          <cell r="AQ144" t="str">
            <v>NULL</v>
          </cell>
          <cell r="AR144" t="str">
            <v>NULL</v>
          </cell>
          <cell r="AS144" t="str">
            <v>NULL</v>
          </cell>
          <cell r="AT144" t="str">
            <v>NULL</v>
          </cell>
          <cell r="AU144" t="str">
            <v>NULL</v>
          </cell>
          <cell r="AV144" t="str">
            <v>NULL</v>
          </cell>
          <cell r="AW144" t="str">
            <v>NULL</v>
          </cell>
          <cell r="AX144" t="str">
            <v>NULL</v>
          </cell>
          <cell r="AY144" t="str">
            <v>NULL</v>
          </cell>
          <cell r="AZ144" t="str">
            <v>NULL</v>
          </cell>
          <cell r="BA144" t="str">
            <v>NULL</v>
          </cell>
          <cell r="BB144" t="str">
            <v>NULL</v>
          </cell>
        </row>
        <row r="145">
          <cell r="D145">
            <v>137822</v>
          </cell>
          <cell r="E145">
            <v>3536000</v>
          </cell>
          <cell r="F145" t="str">
            <v>Westwood High</v>
          </cell>
          <cell r="G145" t="str">
            <v>Other Independent School</v>
          </cell>
          <cell r="H145">
            <v>40924</v>
          </cell>
          <cell r="I145">
            <v>194</v>
          </cell>
          <cell r="J145" t="str">
            <v>North West</v>
          </cell>
          <cell r="K145" t="str">
            <v>North West</v>
          </cell>
          <cell r="L145" t="str">
            <v>Oldham</v>
          </cell>
          <cell r="M145" t="str">
            <v>Oldham West and Royton</v>
          </cell>
          <cell r="N145" t="str">
            <v>OL9 6HR</v>
          </cell>
          <cell r="O145" t="str">
            <v>Has a sixth form</v>
          </cell>
          <cell r="P145">
            <v>3</v>
          </cell>
          <cell r="Q145">
            <v>19</v>
          </cell>
          <cell r="R145" t="str">
            <v>Islam</v>
          </cell>
          <cell r="S145" t="str">
            <v>Ofsted</v>
          </cell>
          <cell r="T145" t="str">
            <v>NULL</v>
          </cell>
          <cell r="U145" t="str">
            <v>NULL</v>
          </cell>
          <cell r="V145" t="str">
            <v>NULL</v>
          </cell>
          <cell r="W145" t="str">
            <v>NULL</v>
          </cell>
          <cell r="X145" t="str">
            <v>NULL</v>
          </cell>
          <cell r="Y145" t="str">
            <v>NULL</v>
          </cell>
          <cell r="Z145" t="str">
            <v>NULL</v>
          </cell>
          <cell r="AA145">
            <v>10006095</v>
          </cell>
          <cell r="AB145" t="str">
            <v>Independent School standard inspection</v>
          </cell>
          <cell r="AC145" t="str">
            <v>Independent Standard Inspection</v>
          </cell>
          <cell r="AD145">
            <v>42494</v>
          </cell>
          <cell r="AE145">
            <v>42496</v>
          </cell>
          <cell r="AF145">
            <v>42524</v>
          </cell>
          <cell r="AG145">
            <v>2</v>
          </cell>
          <cell r="AH145">
            <v>2</v>
          </cell>
          <cell r="AI145">
            <v>2</v>
          </cell>
          <cell r="AJ145">
            <v>1</v>
          </cell>
          <cell r="AK145">
            <v>1</v>
          </cell>
          <cell r="AL145">
            <v>2</v>
          </cell>
          <cell r="AM145" t="str">
            <v>NULL</v>
          </cell>
          <cell r="AN145" t="str">
            <v>Yes</v>
          </cell>
          <cell r="AO145" t="str">
            <v>ITS408672</v>
          </cell>
          <cell r="AP145" t="str">
            <v>Independent school standard inspection - first</v>
          </cell>
          <cell r="AQ145" t="str">
            <v>Independent Standard Inspection</v>
          </cell>
          <cell r="AR145">
            <v>41240</v>
          </cell>
          <cell r="AS145">
            <v>41241</v>
          </cell>
          <cell r="AT145">
            <v>41262</v>
          </cell>
          <cell r="AU145">
            <v>3</v>
          </cell>
          <cell r="AV145">
            <v>3</v>
          </cell>
          <cell r="AW145">
            <v>3</v>
          </cell>
          <cell r="AX145" t="str">
            <v>NULL</v>
          </cell>
          <cell r="AY145" t="str">
            <v>NULL</v>
          </cell>
          <cell r="AZ145">
            <v>8</v>
          </cell>
          <cell r="BA145" t="str">
            <v>NULL</v>
          </cell>
          <cell r="BB145" t="str">
            <v>NULL</v>
          </cell>
        </row>
        <row r="146">
          <cell r="D146">
            <v>142322</v>
          </cell>
          <cell r="E146">
            <v>8266015</v>
          </cell>
          <cell r="F146" t="str">
            <v>Cambian Bletchley Park School</v>
          </cell>
          <cell r="G146" t="str">
            <v>Other Independent Special School</v>
          </cell>
          <cell r="H146">
            <v>42226</v>
          </cell>
          <cell r="I146">
            <v>12</v>
          </cell>
          <cell r="J146" t="str">
            <v>South East</v>
          </cell>
          <cell r="K146" t="str">
            <v>South East</v>
          </cell>
          <cell r="L146" t="str">
            <v>Milton Keynes</v>
          </cell>
          <cell r="M146" t="str">
            <v>Milton Keynes South</v>
          </cell>
          <cell r="N146" t="str">
            <v>MK3 7EB</v>
          </cell>
          <cell r="O146" t="str">
            <v>Not applicable</v>
          </cell>
          <cell r="P146">
            <v>7</v>
          </cell>
          <cell r="Q146">
            <v>19</v>
          </cell>
          <cell r="R146" t="str">
            <v>None</v>
          </cell>
          <cell r="S146" t="str">
            <v>Ofsted</v>
          </cell>
          <cell r="T146" t="str">
            <v>NULL</v>
          </cell>
          <cell r="U146" t="str">
            <v>NULL</v>
          </cell>
          <cell r="V146" t="str">
            <v>NULL</v>
          </cell>
          <cell r="W146" t="str">
            <v>NULL</v>
          </cell>
          <cell r="X146" t="str">
            <v>NULL</v>
          </cell>
          <cell r="Y146" t="str">
            <v>NULL</v>
          </cell>
          <cell r="Z146" t="str">
            <v>NULL</v>
          </cell>
          <cell r="AA146">
            <v>10012899</v>
          </cell>
          <cell r="AB146" t="str">
            <v>Independent school standard inspection - first</v>
          </cell>
          <cell r="AC146" t="str">
            <v>Independent Standard Inspection</v>
          </cell>
          <cell r="AD146">
            <v>42654</v>
          </cell>
          <cell r="AE146">
            <v>42656</v>
          </cell>
          <cell r="AF146">
            <v>42681</v>
          </cell>
          <cell r="AG146">
            <v>2</v>
          </cell>
          <cell r="AH146">
            <v>2</v>
          </cell>
          <cell r="AI146">
            <v>2</v>
          </cell>
          <cell r="AJ146">
            <v>2</v>
          </cell>
          <cell r="AK146">
            <v>2</v>
          </cell>
          <cell r="AL146" t="str">
            <v>NULL</v>
          </cell>
          <cell r="AM146" t="str">
            <v>NULL</v>
          </cell>
          <cell r="AN146" t="str">
            <v>Yes</v>
          </cell>
          <cell r="AO146" t="str">
            <v>NULL</v>
          </cell>
          <cell r="AP146" t="str">
            <v>NULL</v>
          </cell>
          <cell r="AQ146" t="str">
            <v>NULL</v>
          </cell>
          <cell r="AR146" t="str">
            <v>NULL</v>
          </cell>
          <cell r="AS146" t="str">
            <v>NULL</v>
          </cell>
          <cell r="AT146" t="str">
            <v>NULL</v>
          </cell>
          <cell r="AU146" t="str">
            <v>NULL</v>
          </cell>
          <cell r="AV146" t="str">
            <v>NULL</v>
          </cell>
          <cell r="AW146" t="str">
            <v>NULL</v>
          </cell>
          <cell r="AX146" t="str">
            <v>NULL</v>
          </cell>
          <cell r="AY146" t="str">
            <v>NULL</v>
          </cell>
          <cell r="AZ146" t="str">
            <v>NULL</v>
          </cell>
          <cell r="BA146" t="str">
            <v>NULL</v>
          </cell>
          <cell r="BB146" t="str">
            <v>NULL</v>
          </cell>
        </row>
        <row r="147">
          <cell r="D147">
            <v>142416</v>
          </cell>
          <cell r="E147">
            <v>9366006</v>
          </cell>
          <cell r="F147" t="str">
            <v>Wemms Education Centre</v>
          </cell>
          <cell r="G147" t="str">
            <v>Other Independent School</v>
          </cell>
          <cell r="H147">
            <v>42461</v>
          </cell>
          <cell r="I147">
            <v>14</v>
          </cell>
          <cell r="J147" t="str">
            <v>South East</v>
          </cell>
          <cell r="K147" t="str">
            <v>South East</v>
          </cell>
          <cell r="L147" t="str">
            <v>Surrey</v>
          </cell>
          <cell r="M147" t="str">
            <v>Epsom and Ewell</v>
          </cell>
          <cell r="N147" t="str">
            <v>KT21 1AZ</v>
          </cell>
          <cell r="O147" t="str">
            <v>Has a sixth form</v>
          </cell>
          <cell r="P147">
            <v>7</v>
          </cell>
          <cell r="Q147">
            <v>20</v>
          </cell>
          <cell r="R147" t="str">
            <v>None</v>
          </cell>
          <cell r="S147" t="str">
            <v>Ofsted</v>
          </cell>
          <cell r="T147" t="str">
            <v>NULL</v>
          </cell>
          <cell r="U147" t="str">
            <v>NULL</v>
          </cell>
          <cell r="V147" t="str">
            <v>NULL</v>
          </cell>
          <cell r="W147" t="str">
            <v>NULL</v>
          </cell>
          <cell r="X147" t="str">
            <v>NULL</v>
          </cell>
          <cell r="Y147" t="str">
            <v>NULL</v>
          </cell>
          <cell r="Z147" t="str">
            <v>NULL</v>
          </cell>
          <cell r="AA147">
            <v>10025994</v>
          </cell>
          <cell r="AB147" t="str">
            <v>Independent school standard inspection - first</v>
          </cell>
          <cell r="AC147" t="str">
            <v>Independent Standard Inspection</v>
          </cell>
          <cell r="AD147">
            <v>42864</v>
          </cell>
          <cell r="AE147">
            <v>42865</v>
          </cell>
          <cell r="AF147">
            <v>42888</v>
          </cell>
          <cell r="AG147">
            <v>2</v>
          </cell>
          <cell r="AH147">
            <v>1</v>
          </cell>
          <cell r="AI147">
            <v>1</v>
          </cell>
          <cell r="AJ147">
            <v>2</v>
          </cell>
          <cell r="AK147">
            <v>2</v>
          </cell>
          <cell r="AL147" t="str">
            <v>NULL</v>
          </cell>
          <cell r="AM147" t="str">
            <v>NULL</v>
          </cell>
          <cell r="AN147" t="str">
            <v>Yes</v>
          </cell>
          <cell r="AO147" t="str">
            <v>NULL</v>
          </cell>
          <cell r="AP147" t="str">
            <v>NULL</v>
          </cell>
          <cell r="AQ147" t="str">
            <v>NULL</v>
          </cell>
          <cell r="AR147" t="str">
            <v>NULL</v>
          </cell>
          <cell r="AS147" t="str">
            <v>NULL</v>
          </cell>
          <cell r="AT147" t="str">
            <v>NULL</v>
          </cell>
          <cell r="AU147" t="str">
            <v>NULL</v>
          </cell>
          <cell r="AV147" t="str">
            <v>NULL</v>
          </cell>
          <cell r="AW147" t="str">
            <v>NULL</v>
          </cell>
          <cell r="AX147" t="str">
            <v>NULL</v>
          </cell>
          <cell r="AY147" t="str">
            <v>NULL</v>
          </cell>
          <cell r="AZ147" t="str">
            <v>NULL</v>
          </cell>
          <cell r="BA147" t="str">
            <v>NULL</v>
          </cell>
          <cell r="BB147" t="str">
            <v>NULL</v>
          </cell>
        </row>
        <row r="148">
          <cell r="D148">
            <v>142474</v>
          </cell>
          <cell r="E148">
            <v>8406014</v>
          </cell>
          <cell r="F148" t="str">
            <v>Delta Independent School</v>
          </cell>
          <cell r="G148" t="str">
            <v>Other Independent School</v>
          </cell>
          <cell r="H148">
            <v>42297</v>
          </cell>
          <cell r="I148">
            <v>59</v>
          </cell>
          <cell r="J148" t="str">
            <v>North East, Yorkshire and the Humber</v>
          </cell>
          <cell r="K148" t="str">
            <v>North East</v>
          </cell>
          <cell r="L148" t="str">
            <v>Durham</v>
          </cell>
          <cell r="M148" t="str">
            <v>North West Durham</v>
          </cell>
          <cell r="N148" t="str">
            <v>DH8 5DH</v>
          </cell>
          <cell r="O148" t="str">
            <v>Does not have a sixth form</v>
          </cell>
          <cell r="P148">
            <v>13</v>
          </cell>
          <cell r="Q148">
            <v>16</v>
          </cell>
          <cell r="R148" t="str">
            <v>None</v>
          </cell>
          <cell r="S148" t="str">
            <v>Ofsted</v>
          </cell>
          <cell r="T148" t="str">
            <v>NULL</v>
          </cell>
          <cell r="U148" t="str">
            <v>NULL</v>
          </cell>
          <cell r="V148" t="str">
            <v>NULL</v>
          </cell>
          <cell r="W148" t="str">
            <v>NULL</v>
          </cell>
          <cell r="X148" t="str">
            <v>NULL</v>
          </cell>
          <cell r="Y148" t="str">
            <v>NULL</v>
          </cell>
          <cell r="Z148" t="str">
            <v>NULL</v>
          </cell>
          <cell r="AA148">
            <v>10020870</v>
          </cell>
          <cell r="AB148" t="str">
            <v>Independent school standard inspection - first</v>
          </cell>
          <cell r="AC148" t="str">
            <v>Independent Standard Inspection</v>
          </cell>
          <cell r="AD148">
            <v>42717</v>
          </cell>
          <cell r="AE148">
            <v>42719</v>
          </cell>
          <cell r="AF148">
            <v>42761</v>
          </cell>
          <cell r="AG148">
            <v>3</v>
          </cell>
          <cell r="AH148">
            <v>3</v>
          </cell>
          <cell r="AI148">
            <v>3</v>
          </cell>
          <cell r="AJ148">
            <v>3</v>
          </cell>
          <cell r="AK148">
            <v>2</v>
          </cell>
          <cell r="AL148" t="str">
            <v>NULL</v>
          </cell>
          <cell r="AM148" t="str">
            <v>NULL</v>
          </cell>
          <cell r="AN148" t="str">
            <v>Yes</v>
          </cell>
          <cell r="AO148" t="str">
            <v>NULL</v>
          </cell>
          <cell r="AP148" t="str">
            <v>NULL</v>
          </cell>
          <cell r="AQ148" t="str">
            <v>NULL</v>
          </cell>
          <cell r="AR148" t="str">
            <v>NULL</v>
          </cell>
          <cell r="AS148" t="str">
            <v>NULL</v>
          </cell>
          <cell r="AT148" t="str">
            <v>NULL</v>
          </cell>
          <cell r="AU148" t="str">
            <v>NULL</v>
          </cell>
          <cell r="AV148" t="str">
            <v>NULL</v>
          </cell>
          <cell r="AW148" t="str">
            <v>NULL</v>
          </cell>
          <cell r="AX148" t="str">
            <v>NULL</v>
          </cell>
          <cell r="AY148" t="str">
            <v>NULL</v>
          </cell>
          <cell r="AZ148" t="str">
            <v>NULL</v>
          </cell>
          <cell r="BA148" t="str">
            <v>NULL</v>
          </cell>
          <cell r="BB148" t="str">
            <v>NULL</v>
          </cell>
        </row>
        <row r="149">
          <cell r="D149">
            <v>142516</v>
          </cell>
          <cell r="E149">
            <v>8606042</v>
          </cell>
          <cell r="F149" t="str">
            <v>The Haven School</v>
          </cell>
          <cell r="G149" t="str">
            <v>Other Independent Special School</v>
          </cell>
          <cell r="H149">
            <v>42503</v>
          </cell>
          <cell r="I149">
            <v>13</v>
          </cell>
          <cell r="J149" t="str">
            <v>West Midlands</v>
          </cell>
          <cell r="K149" t="str">
            <v>West Midlands</v>
          </cell>
          <cell r="L149" t="str">
            <v>Staffordshire</v>
          </cell>
          <cell r="M149" t="str">
            <v>Stafford</v>
          </cell>
          <cell r="N149" t="str">
            <v>ST17 9DJ</v>
          </cell>
          <cell r="O149" t="str">
            <v>Not applicable</v>
          </cell>
          <cell r="P149">
            <v>11</v>
          </cell>
          <cell r="Q149">
            <v>19</v>
          </cell>
          <cell r="R149" t="str">
            <v>None</v>
          </cell>
          <cell r="S149" t="str">
            <v>Ofsted</v>
          </cell>
          <cell r="T149">
            <v>1</v>
          </cell>
          <cell r="U149">
            <v>10038916</v>
          </cell>
          <cell r="V149" t="str">
            <v>Independent school Material Change inspection</v>
          </cell>
          <cell r="W149">
            <v>42920</v>
          </cell>
          <cell r="X149">
            <v>42920</v>
          </cell>
          <cell r="Y149" t="str">
            <v>NULL</v>
          </cell>
          <cell r="Z149" t="str">
            <v>Likely to meet relevant standards</v>
          </cell>
          <cell r="AA149">
            <v>10033585</v>
          </cell>
          <cell r="AB149" t="str">
            <v>Independent school standard inspection - first</v>
          </cell>
          <cell r="AC149" t="str">
            <v>Independent Standard Inspection</v>
          </cell>
          <cell r="AD149">
            <v>42878</v>
          </cell>
          <cell r="AE149">
            <v>42879</v>
          </cell>
          <cell r="AF149">
            <v>42912</v>
          </cell>
          <cell r="AG149">
            <v>2</v>
          </cell>
          <cell r="AH149">
            <v>2</v>
          </cell>
          <cell r="AI149">
            <v>2</v>
          </cell>
          <cell r="AJ149">
            <v>2</v>
          </cell>
          <cell r="AK149">
            <v>2</v>
          </cell>
          <cell r="AL149" t="str">
            <v>NULL</v>
          </cell>
          <cell r="AM149">
            <v>2</v>
          </cell>
          <cell r="AN149" t="str">
            <v>Yes</v>
          </cell>
          <cell r="AO149" t="str">
            <v>NULL</v>
          </cell>
          <cell r="AP149" t="str">
            <v>NULL</v>
          </cell>
          <cell r="AQ149" t="str">
            <v>NULL</v>
          </cell>
          <cell r="AR149" t="str">
            <v>NULL</v>
          </cell>
          <cell r="AS149" t="str">
            <v>NULL</v>
          </cell>
          <cell r="AT149" t="str">
            <v>NULL</v>
          </cell>
          <cell r="AU149" t="str">
            <v>NULL</v>
          </cell>
          <cell r="AV149" t="str">
            <v>NULL</v>
          </cell>
          <cell r="AW149" t="str">
            <v>NULL</v>
          </cell>
          <cell r="AX149" t="str">
            <v>NULL</v>
          </cell>
          <cell r="AY149" t="str">
            <v>NULL</v>
          </cell>
          <cell r="AZ149" t="str">
            <v>NULL</v>
          </cell>
          <cell r="BA149" t="str">
            <v>NULL</v>
          </cell>
          <cell r="BB149" t="str">
            <v>NULL</v>
          </cell>
        </row>
        <row r="150">
          <cell r="D150">
            <v>142524</v>
          </cell>
          <cell r="E150">
            <v>3566006</v>
          </cell>
          <cell r="F150" t="str">
            <v>Cheadle Hospital School</v>
          </cell>
          <cell r="G150" t="str">
            <v>Other Independent School</v>
          </cell>
          <cell r="H150">
            <v>42319</v>
          </cell>
          <cell r="I150">
            <v>54</v>
          </cell>
          <cell r="J150" t="str">
            <v>North West</v>
          </cell>
          <cell r="K150" t="str">
            <v>North West</v>
          </cell>
          <cell r="L150" t="str">
            <v>Stockport</v>
          </cell>
          <cell r="M150" t="str">
            <v>Cheadle</v>
          </cell>
          <cell r="N150" t="str">
            <v>SK8 3DG</v>
          </cell>
          <cell r="O150" t="str">
            <v>Has a sixth form</v>
          </cell>
          <cell r="P150">
            <v>13</v>
          </cell>
          <cell r="Q150">
            <v>18</v>
          </cell>
          <cell r="R150" t="str">
            <v>None</v>
          </cell>
          <cell r="S150" t="str">
            <v>Ofsted</v>
          </cell>
          <cell r="T150" t="str">
            <v>NULL</v>
          </cell>
          <cell r="U150" t="str">
            <v>NULL</v>
          </cell>
          <cell r="V150" t="str">
            <v>NULL</v>
          </cell>
          <cell r="W150" t="str">
            <v>NULL</v>
          </cell>
          <cell r="X150" t="str">
            <v>NULL</v>
          </cell>
          <cell r="Y150" t="str">
            <v>NULL</v>
          </cell>
          <cell r="Z150" t="str">
            <v>NULL</v>
          </cell>
          <cell r="AA150">
            <v>10020877</v>
          </cell>
          <cell r="AB150" t="str">
            <v>Independent school standard inspection - first</v>
          </cell>
          <cell r="AC150" t="str">
            <v>Independent Standard Inspection</v>
          </cell>
          <cell r="AD150">
            <v>42654</v>
          </cell>
          <cell r="AE150">
            <v>42656</v>
          </cell>
          <cell r="AF150">
            <v>42696</v>
          </cell>
          <cell r="AG150">
            <v>2</v>
          </cell>
          <cell r="AH150">
            <v>2</v>
          </cell>
          <cell r="AI150">
            <v>2</v>
          </cell>
          <cell r="AJ150">
            <v>2</v>
          </cell>
          <cell r="AK150">
            <v>2</v>
          </cell>
          <cell r="AL150" t="str">
            <v>NULL</v>
          </cell>
          <cell r="AM150" t="str">
            <v>NULL</v>
          </cell>
          <cell r="AN150" t="str">
            <v>Yes</v>
          </cell>
          <cell r="AO150" t="str">
            <v>NULL</v>
          </cell>
          <cell r="AP150" t="str">
            <v>NULL</v>
          </cell>
          <cell r="AQ150" t="str">
            <v>NULL</v>
          </cell>
          <cell r="AR150" t="str">
            <v>NULL</v>
          </cell>
          <cell r="AS150" t="str">
            <v>NULL</v>
          </cell>
          <cell r="AT150" t="str">
            <v>NULL</v>
          </cell>
          <cell r="AU150" t="str">
            <v>NULL</v>
          </cell>
          <cell r="AV150" t="str">
            <v>NULL</v>
          </cell>
          <cell r="AW150" t="str">
            <v>NULL</v>
          </cell>
          <cell r="AX150" t="str">
            <v>NULL</v>
          </cell>
          <cell r="AY150" t="str">
            <v>NULL</v>
          </cell>
          <cell r="AZ150" t="str">
            <v>NULL</v>
          </cell>
          <cell r="BA150" t="str">
            <v>NULL</v>
          </cell>
          <cell r="BB150" t="str">
            <v>NULL</v>
          </cell>
        </row>
        <row r="151">
          <cell r="D151">
            <v>142531</v>
          </cell>
          <cell r="E151">
            <v>8896014</v>
          </cell>
          <cell r="F151" t="str">
            <v>Lower Pastures</v>
          </cell>
          <cell r="G151" t="str">
            <v>Other Independent Special School</v>
          </cell>
          <cell r="H151">
            <v>42331</v>
          </cell>
          <cell r="I151">
            <v>5</v>
          </cell>
          <cell r="J151" t="str">
            <v>North West</v>
          </cell>
          <cell r="K151" t="str">
            <v>North West</v>
          </cell>
          <cell r="L151" t="str">
            <v>Blackburn with Darwen</v>
          </cell>
          <cell r="M151" t="str">
            <v>Rossendale and Darwen</v>
          </cell>
          <cell r="N151" t="str">
            <v>BB3 3QP</v>
          </cell>
          <cell r="O151" t="str">
            <v>Not applicable</v>
          </cell>
          <cell r="P151">
            <v>11</v>
          </cell>
          <cell r="Q151">
            <v>16</v>
          </cell>
          <cell r="R151" t="str">
            <v>None</v>
          </cell>
          <cell r="S151" t="str">
            <v>Ofsted</v>
          </cell>
          <cell r="T151" t="str">
            <v>NULL</v>
          </cell>
          <cell r="U151" t="str">
            <v>NULL</v>
          </cell>
          <cell r="V151" t="str">
            <v>NULL</v>
          </cell>
          <cell r="W151" t="str">
            <v>NULL</v>
          </cell>
          <cell r="X151" t="str">
            <v>NULL</v>
          </cell>
          <cell r="Y151" t="str">
            <v>NULL</v>
          </cell>
          <cell r="Z151" t="str">
            <v>NULL</v>
          </cell>
          <cell r="AA151">
            <v>10020878</v>
          </cell>
          <cell r="AB151" t="str">
            <v>Independent school standard inspection - first</v>
          </cell>
          <cell r="AC151" t="str">
            <v>Independent Standard Inspection</v>
          </cell>
          <cell r="AD151">
            <v>42647</v>
          </cell>
          <cell r="AE151">
            <v>42649</v>
          </cell>
          <cell r="AF151">
            <v>42689</v>
          </cell>
          <cell r="AG151">
            <v>3</v>
          </cell>
          <cell r="AH151">
            <v>3</v>
          </cell>
          <cell r="AI151">
            <v>3</v>
          </cell>
          <cell r="AJ151">
            <v>3</v>
          </cell>
          <cell r="AK151">
            <v>2</v>
          </cell>
          <cell r="AL151" t="str">
            <v>NULL</v>
          </cell>
          <cell r="AM151" t="str">
            <v>NULL</v>
          </cell>
          <cell r="AN151" t="str">
            <v>Yes</v>
          </cell>
          <cell r="AO151" t="str">
            <v>NULL</v>
          </cell>
          <cell r="AP151" t="str">
            <v>NULL</v>
          </cell>
          <cell r="AQ151" t="str">
            <v>NULL</v>
          </cell>
          <cell r="AR151" t="str">
            <v>NULL</v>
          </cell>
          <cell r="AS151" t="str">
            <v>NULL</v>
          </cell>
          <cell r="AT151" t="str">
            <v>NULL</v>
          </cell>
          <cell r="AU151" t="str">
            <v>NULL</v>
          </cell>
          <cell r="AV151" t="str">
            <v>NULL</v>
          </cell>
          <cell r="AW151" t="str">
            <v>NULL</v>
          </cell>
          <cell r="AX151" t="str">
            <v>NULL</v>
          </cell>
          <cell r="AY151" t="str">
            <v>NULL</v>
          </cell>
          <cell r="AZ151" t="str">
            <v>NULL</v>
          </cell>
          <cell r="BA151" t="str">
            <v>NULL</v>
          </cell>
          <cell r="BB151" t="str">
            <v>NULL</v>
          </cell>
        </row>
        <row r="152">
          <cell r="D152">
            <v>143026</v>
          </cell>
          <cell r="E152">
            <v>3506004</v>
          </cell>
          <cell r="F152" t="str">
            <v>Raise Education and Wellbeing School</v>
          </cell>
          <cell r="G152" t="str">
            <v>Other Independent Special School</v>
          </cell>
          <cell r="H152">
            <v>42542</v>
          </cell>
          <cell r="I152">
            <v>29</v>
          </cell>
          <cell r="J152" t="str">
            <v>North West</v>
          </cell>
          <cell r="K152" t="str">
            <v>North West</v>
          </cell>
          <cell r="L152" t="str">
            <v>Bolton</v>
          </cell>
          <cell r="M152" t="str">
            <v>Bolton South East</v>
          </cell>
          <cell r="N152" t="str">
            <v>BL3 3HS</v>
          </cell>
          <cell r="O152" t="str">
            <v>Not applicable</v>
          </cell>
          <cell r="P152">
            <v>11</v>
          </cell>
          <cell r="Q152">
            <v>25</v>
          </cell>
          <cell r="R152" t="str">
            <v>None</v>
          </cell>
          <cell r="S152" t="str">
            <v>Ofsted</v>
          </cell>
          <cell r="T152" t="str">
            <v>NULL</v>
          </cell>
          <cell r="U152" t="str">
            <v>NULL</v>
          </cell>
          <cell r="V152" t="str">
            <v>NULL</v>
          </cell>
          <cell r="W152" t="str">
            <v>NULL</v>
          </cell>
          <cell r="X152" t="str">
            <v>NULL</v>
          </cell>
          <cell r="Y152" t="str">
            <v>NULL</v>
          </cell>
          <cell r="Z152" t="str">
            <v>NULL</v>
          </cell>
          <cell r="AA152">
            <v>10034043</v>
          </cell>
          <cell r="AB152" t="str">
            <v>Independent school standard inspection - first</v>
          </cell>
          <cell r="AC152" t="str">
            <v>Independent Standard Inspection</v>
          </cell>
          <cell r="AD152">
            <v>42920</v>
          </cell>
          <cell r="AE152">
            <v>42922</v>
          </cell>
          <cell r="AF152">
            <v>42940</v>
          </cell>
          <cell r="AG152">
            <v>2</v>
          </cell>
          <cell r="AH152">
            <v>2</v>
          </cell>
          <cell r="AI152">
            <v>2</v>
          </cell>
          <cell r="AJ152">
            <v>2</v>
          </cell>
          <cell r="AK152">
            <v>1</v>
          </cell>
          <cell r="AL152" t="str">
            <v>NULL</v>
          </cell>
          <cell r="AM152">
            <v>2</v>
          </cell>
          <cell r="AN152" t="str">
            <v>Yes</v>
          </cell>
          <cell r="AO152" t="str">
            <v>NULL</v>
          </cell>
          <cell r="AP152" t="str">
            <v>NULL</v>
          </cell>
          <cell r="AQ152" t="str">
            <v>NULL</v>
          </cell>
          <cell r="AR152" t="str">
            <v>NULL</v>
          </cell>
          <cell r="AS152" t="str">
            <v>NULL</v>
          </cell>
          <cell r="AT152" t="str">
            <v>NULL</v>
          </cell>
          <cell r="AU152" t="str">
            <v>NULL</v>
          </cell>
          <cell r="AV152" t="str">
            <v>NULL</v>
          </cell>
          <cell r="AW152" t="str">
            <v>NULL</v>
          </cell>
          <cell r="AX152" t="str">
            <v>NULL</v>
          </cell>
          <cell r="AY152" t="str">
            <v>NULL</v>
          </cell>
          <cell r="AZ152" t="str">
            <v>NULL</v>
          </cell>
          <cell r="BA152" t="str">
            <v>NULL</v>
          </cell>
          <cell r="BB152" t="str">
            <v>NULL</v>
          </cell>
        </row>
        <row r="153">
          <cell r="D153">
            <v>143036</v>
          </cell>
          <cell r="E153">
            <v>3086006</v>
          </cell>
          <cell r="F153" t="str">
            <v>Alternative Centre of Education</v>
          </cell>
          <cell r="G153" t="str">
            <v>Other Independent School</v>
          </cell>
          <cell r="H153">
            <v>42627</v>
          </cell>
          <cell r="I153">
            <v>10</v>
          </cell>
          <cell r="J153" t="str">
            <v>London</v>
          </cell>
          <cell r="K153" t="str">
            <v>London</v>
          </cell>
          <cell r="L153" t="str">
            <v>Enfield</v>
          </cell>
          <cell r="M153" t="str">
            <v>Edmonton</v>
          </cell>
          <cell r="N153" t="str">
            <v>N9 0TZ</v>
          </cell>
          <cell r="O153" t="str">
            <v>Does not have a sixth form</v>
          </cell>
          <cell r="P153">
            <v>11</v>
          </cell>
          <cell r="Q153">
            <v>16</v>
          </cell>
          <cell r="R153" t="str">
            <v>None</v>
          </cell>
          <cell r="S153" t="str">
            <v>Ofsted</v>
          </cell>
          <cell r="T153" t="str">
            <v>NULL</v>
          </cell>
          <cell r="U153" t="str">
            <v>NULL</v>
          </cell>
          <cell r="V153" t="str">
            <v>NULL</v>
          </cell>
          <cell r="W153" t="str">
            <v>NULL</v>
          </cell>
          <cell r="X153" t="str">
            <v>NULL</v>
          </cell>
          <cell r="Y153" t="str">
            <v>NULL</v>
          </cell>
          <cell r="Z153" t="str">
            <v>NULL</v>
          </cell>
          <cell r="AA153">
            <v>10035818</v>
          </cell>
          <cell r="AB153" t="str">
            <v>Independent school standard inspection - first</v>
          </cell>
          <cell r="AC153" t="str">
            <v>Independent Standard Inspection</v>
          </cell>
          <cell r="AD153">
            <v>43039</v>
          </cell>
          <cell r="AE153">
            <v>43041</v>
          </cell>
          <cell r="AF153">
            <v>43069</v>
          </cell>
          <cell r="AG153">
            <v>2</v>
          </cell>
          <cell r="AH153">
            <v>2</v>
          </cell>
          <cell r="AI153">
            <v>2</v>
          </cell>
          <cell r="AJ153">
            <v>2</v>
          </cell>
          <cell r="AK153">
            <v>2</v>
          </cell>
          <cell r="AL153" t="str">
            <v>NULL</v>
          </cell>
          <cell r="AM153" t="str">
            <v>NULL</v>
          </cell>
          <cell r="AN153" t="str">
            <v>Yes</v>
          </cell>
          <cell r="AO153" t="str">
            <v>NULL</v>
          </cell>
          <cell r="AP153" t="str">
            <v>NULL</v>
          </cell>
          <cell r="AQ153" t="str">
            <v>NULL</v>
          </cell>
          <cell r="AR153" t="str">
            <v>NULL</v>
          </cell>
          <cell r="AS153" t="str">
            <v>NULL</v>
          </cell>
          <cell r="AT153" t="str">
            <v>NULL</v>
          </cell>
          <cell r="AU153" t="str">
            <v>NULL</v>
          </cell>
          <cell r="AV153" t="str">
            <v>NULL</v>
          </cell>
          <cell r="AW153" t="str">
            <v>NULL</v>
          </cell>
          <cell r="AX153" t="str">
            <v>NULL</v>
          </cell>
          <cell r="AY153" t="str">
            <v>NULL</v>
          </cell>
          <cell r="AZ153" t="str">
            <v>NULL</v>
          </cell>
          <cell r="BA153" t="str">
            <v>NULL</v>
          </cell>
          <cell r="BB153" t="str">
            <v>NULL</v>
          </cell>
        </row>
        <row r="154">
          <cell r="D154">
            <v>143037</v>
          </cell>
          <cell r="E154">
            <v>3026008</v>
          </cell>
          <cell r="F154" t="str">
            <v>St Anthony's School for Girls</v>
          </cell>
          <cell r="G154" t="str">
            <v>Other Independent School</v>
          </cell>
          <cell r="H154">
            <v>42607</v>
          </cell>
          <cell r="I154">
            <v>10</v>
          </cell>
          <cell r="J154" t="str">
            <v>London</v>
          </cell>
          <cell r="K154" t="str">
            <v>London</v>
          </cell>
          <cell r="L154" t="str">
            <v>Barnet</v>
          </cell>
          <cell r="M154" t="str">
            <v>Finchley and Golders Green</v>
          </cell>
          <cell r="N154" t="str">
            <v>NW11 7SX</v>
          </cell>
          <cell r="O154" t="str">
            <v>Does not have a sixth form</v>
          </cell>
          <cell r="P154">
            <v>4</v>
          </cell>
          <cell r="Q154">
            <v>11</v>
          </cell>
          <cell r="R154" t="str">
            <v>None</v>
          </cell>
          <cell r="S154" t="str">
            <v>Ofsted</v>
          </cell>
          <cell r="T154" t="str">
            <v>NULL</v>
          </cell>
          <cell r="U154" t="str">
            <v>NULL</v>
          </cell>
          <cell r="V154" t="str">
            <v>NULL</v>
          </cell>
          <cell r="W154" t="str">
            <v>NULL</v>
          </cell>
          <cell r="X154" t="str">
            <v>NULL</v>
          </cell>
          <cell r="Y154" t="str">
            <v>NULL</v>
          </cell>
          <cell r="Z154" t="str">
            <v>NULL</v>
          </cell>
          <cell r="AA154">
            <v>10026629</v>
          </cell>
          <cell r="AB154" t="str">
            <v>Independent school standard inspection - first</v>
          </cell>
          <cell r="AC154" t="str">
            <v>Independent Standard Inspection</v>
          </cell>
          <cell r="AD154">
            <v>43046</v>
          </cell>
          <cell r="AE154">
            <v>43048</v>
          </cell>
          <cell r="AF154">
            <v>43084</v>
          </cell>
          <cell r="AG154">
            <v>1</v>
          </cell>
          <cell r="AH154">
            <v>1</v>
          </cell>
          <cell r="AI154">
            <v>1</v>
          </cell>
          <cell r="AJ154">
            <v>1</v>
          </cell>
          <cell r="AK154">
            <v>1</v>
          </cell>
          <cell r="AL154">
            <v>1</v>
          </cell>
          <cell r="AM154" t="str">
            <v>NULL</v>
          </cell>
          <cell r="AN154" t="str">
            <v>Yes</v>
          </cell>
          <cell r="AO154" t="str">
            <v>NULL</v>
          </cell>
          <cell r="AP154" t="str">
            <v>NULL</v>
          </cell>
          <cell r="AQ154" t="str">
            <v>NULL</v>
          </cell>
          <cell r="AR154" t="str">
            <v>NULL</v>
          </cell>
          <cell r="AS154" t="str">
            <v>NULL</v>
          </cell>
          <cell r="AT154" t="str">
            <v>NULL</v>
          </cell>
          <cell r="AU154" t="str">
            <v>NULL</v>
          </cell>
          <cell r="AV154" t="str">
            <v>NULL</v>
          </cell>
          <cell r="AW154" t="str">
            <v>NULL</v>
          </cell>
          <cell r="AX154" t="str">
            <v>NULL</v>
          </cell>
          <cell r="AY154" t="str">
            <v>NULL</v>
          </cell>
          <cell r="AZ154" t="str">
            <v>NULL</v>
          </cell>
          <cell r="BA154" t="str">
            <v>NULL</v>
          </cell>
          <cell r="BB154" t="str">
            <v>NULL</v>
          </cell>
        </row>
        <row r="155">
          <cell r="D155">
            <v>143038</v>
          </cell>
          <cell r="E155">
            <v>3336011</v>
          </cell>
          <cell r="F155" t="str">
            <v>Sandwell Valley School</v>
          </cell>
          <cell r="G155" t="str">
            <v>Other Independent School</v>
          </cell>
          <cell r="H155">
            <v>42621</v>
          </cell>
          <cell r="I155">
            <v>96</v>
          </cell>
          <cell r="J155" t="str">
            <v>West Midlands</v>
          </cell>
          <cell r="K155" t="str">
            <v>West Midlands</v>
          </cell>
          <cell r="L155" t="str">
            <v>Sandwell</v>
          </cell>
          <cell r="M155" t="str">
            <v>West Bromwich East</v>
          </cell>
          <cell r="N155" t="str">
            <v>B70 6QT</v>
          </cell>
          <cell r="O155" t="str">
            <v>Has a sixth form</v>
          </cell>
          <cell r="P155">
            <v>12</v>
          </cell>
          <cell r="Q155">
            <v>19</v>
          </cell>
          <cell r="R155" t="str">
            <v>None</v>
          </cell>
          <cell r="S155" t="str">
            <v>Ofsted</v>
          </cell>
          <cell r="T155" t="str">
            <v>NULL</v>
          </cell>
          <cell r="U155" t="str">
            <v>NULL</v>
          </cell>
          <cell r="V155" t="str">
            <v>NULL</v>
          </cell>
          <cell r="W155" t="str">
            <v>NULL</v>
          </cell>
          <cell r="X155" t="str">
            <v>NULL</v>
          </cell>
          <cell r="Y155" t="str">
            <v>NULL</v>
          </cell>
          <cell r="Z155" t="str">
            <v>NULL</v>
          </cell>
          <cell r="AA155">
            <v>10033587</v>
          </cell>
          <cell r="AB155" t="str">
            <v>Independent school standard inspection - first</v>
          </cell>
          <cell r="AC155" t="str">
            <v>Independent Standard Inspection</v>
          </cell>
          <cell r="AD155">
            <v>43018</v>
          </cell>
          <cell r="AE155">
            <v>43020</v>
          </cell>
          <cell r="AF155">
            <v>43060</v>
          </cell>
          <cell r="AG155">
            <v>2</v>
          </cell>
          <cell r="AH155">
            <v>2</v>
          </cell>
          <cell r="AI155">
            <v>2</v>
          </cell>
          <cell r="AJ155">
            <v>2</v>
          </cell>
          <cell r="AK155">
            <v>2</v>
          </cell>
          <cell r="AL155" t="str">
            <v>NULL</v>
          </cell>
          <cell r="AM155">
            <v>2</v>
          </cell>
          <cell r="AN155" t="str">
            <v>Yes</v>
          </cell>
          <cell r="AO155" t="str">
            <v>NULL</v>
          </cell>
          <cell r="AP155" t="str">
            <v>NULL</v>
          </cell>
          <cell r="AQ155" t="str">
            <v>NULL</v>
          </cell>
          <cell r="AR155" t="str">
            <v>NULL</v>
          </cell>
          <cell r="AS155" t="str">
            <v>NULL</v>
          </cell>
          <cell r="AT155" t="str">
            <v>NULL</v>
          </cell>
          <cell r="AU155" t="str">
            <v>NULL</v>
          </cell>
          <cell r="AV155" t="str">
            <v>NULL</v>
          </cell>
          <cell r="AW155" t="str">
            <v>NULL</v>
          </cell>
          <cell r="AX155" t="str">
            <v>NULL</v>
          </cell>
          <cell r="AY155" t="str">
            <v>NULL</v>
          </cell>
          <cell r="AZ155" t="str">
            <v>NULL</v>
          </cell>
          <cell r="BA155" t="str">
            <v>NULL</v>
          </cell>
          <cell r="BB155" t="str">
            <v>NULL</v>
          </cell>
        </row>
        <row r="156">
          <cell r="D156">
            <v>143400</v>
          </cell>
          <cell r="E156">
            <v>9386002</v>
          </cell>
          <cell r="F156" t="str">
            <v>New Barn School</v>
          </cell>
          <cell r="G156" t="str">
            <v>Other Independent Special School</v>
          </cell>
          <cell r="H156">
            <v>42745</v>
          </cell>
          <cell r="I156">
            <v>0</v>
          </cell>
          <cell r="J156" t="str">
            <v>South East</v>
          </cell>
          <cell r="K156" t="str">
            <v>South East</v>
          </cell>
          <cell r="L156" t="str">
            <v>West Sussex</v>
          </cell>
          <cell r="M156" t="str">
            <v>Horsham</v>
          </cell>
          <cell r="N156" t="str">
            <v>RH12 3PQ</v>
          </cell>
          <cell r="O156" t="str">
            <v>Not applicable</v>
          </cell>
          <cell r="P156">
            <v>7</v>
          </cell>
          <cell r="Q156">
            <v>19</v>
          </cell>
          <cell r="R156" t="str">
            <v>None</v>
          </cell>
          <cell r="S156" t="str">
            <v>Ofsted</v>
          </cell>
          <cell r="T156">
            <v>2</v>
          </cell>
          <cell r="U156">
            <v>10025688</v>
          </cell>
          <cell r="V156" t="str">
            <v>Independent school evaluation of school action plan</v>
          </cell>
          <cell r="W156">
            <v>42674</v>
          </cell>
          <cell r="X156">
            <v>42674</v>
          </cell>
          <cell r="Y156" t="str">
            <v>NULL</v>
          </cell>
          <cell r="Z156" t="str">
            <v>Action plan is acceptable</v>
          </cell>
          <cell r="AA156" t="str">
            <v>NULL</v>
          </cell>
          <cell r="AB156" t="str">
            <v>NULL</v>
          </cell>
          <cell r="AC156" t="str">
            <v>NULL</v>
          </cell>
          <cell r="AD156" t="str">
            <v>NULL</v>
          </cell>
          <cell r="AE156" t="str">
            <v>NULL</v>
          </cell>
          <cell r="AF156" t="str">
            <v>NULL</v>
          </cell>
          <cell r="AG156" t="str">
            <v>NULL</v>
          </cell>
          <cell r="AH156" t="str">
            <v>NULL</v>
          </cell>
          <cell r="AI156" t="str">
            <v>NULL</v>
          </cell>
          <cell r="AJ156" t="str">
            <v>NULL</v>
          </cell>
          <cell r="AK156" t="str">
            <v>NULL</v>
          </cell>
          <cell r="AL156" t="str">
            <v>NULL</v>
          </cell>
          <cell r="AM156" t="str">
            <v>NULL</v>
          </cell>
          <cell r="AN156" t="str">
            <v>NULL</v>
          </cell>
          <cell r="AO156" t="str">
            <v>NULL</v>
          </cell>
          <cell r="AP156" t="str">
            <v>NULL</v>
          </cell>
          <cell r="AQ156" t="str">
            <v>NULL</v>
          </cell>
          <cell r="AR156" t="str">
            <v>NULL</v>
          </cell>
          <cell r="AS156" t="str">
            <v>NULL</v>
          </cell>
          <cell r="AT156" t="str">
            <v>NULL</v>
          </cell>
          <cell r="AU156" t="str">
            <v>NULL</v>
          </cell>
          <cell r="AV156" t="str">
            <v>NULL</v>
          </cell>
          <cell r="AW156" t="str">
            <v>NULL</v>
          </cell>
          <cell r="AX156" t="str">
            <v>NULL</v>
          </cell>
          <cell r="AY156" t="str">
            <v>NULL</v>
          </cell>
          <cell r="AZ156" t="str">
            <v>NULL</v>
          </cell>
          <cell r="BA156" t="str">
            <v>NULL</v>
          </cell>
          <cell r="BB156" t="str">
            <v>NULL</v>
          </cell>
        </row>
        <row r="157">
          <cell r="D157">
            <v>143425</v>
          </cell>
          <cell r="E157">
            <v>3146000</v>
          </cell>
          <cell r="F157" t="str">
            <v>London Tutorial College</v>
          </cell>
          <cell r="G157" t="str">
            <v>Other Independent School</v>
          </cell>
          <cell r="H157">
            <v>42663</v>
          </cell>
          <cell r="I157">
            <v>3</v>
          </cell>
          <cell r="J157" t="str">
            <v>London</v>
          </cell>
          <cell r="K157" t="str">
            <v>London</v>
          </cell>
          <cell r="L157" t="str">
            <v>Kingston upon Thames</v>
          </cell>
          <cell r="M157" t="str">
            <v>Kingston and Surbiton</v>
          </cell>
          <cell r="N157" t="str">
            <v>KT6 7AB</v>
          </cell>
          <cell r="O157" t="str">
            <v>Has a sixth form</v>
          </cell>
          <cell r="P157">
            <v>14</v>
          </cell>
          <cell r="Q157">
            <v>19</v>
          </cell>
          <cell r="R157" t="str">
            <v>None</v>
          </cell>
          <cell r="S157" t="str">
            <v>Ofsted</v>
          </cell>
          <cell r="T157">
            <v>1</v>
          </cell>
          <cell r="U157">
            <v>10022238</v>
          </cell>
          <cell r="V157" t="str">
            <v>Independent School Pre-registration Inspection</v>
          </cell>
          <cell r="W157">
            <v>42625</v>
          </cell>
          <cell r="X157">
            <v>42625</v>
          </cell>
          <cell r="Y157" t="str">
            <v>NULL</v>
          </cell>
          <cell r="Z157" t="str">
            <v>Likely to meet all standards</v>
          </cell>
          <cell r="AA157" t="str">
            <v>NULL</v>
          </cell>
          <cell r="AB157" t="str">
            <v>NULL</v>
          </cell>
          <cell r="AC157" t="str">
            <v>NULL</v>
          </cell>
          <cell r="AD157" t="str">
            <v>NULL</v>
          </cell>
          <cell r="AE157" t="str">
            <v>NULL</v>
          </cell>
          <cell r="AF157" t="str">
            <v>NULL</v>
          </cell>
          <cell r="AG157" t="str">
            <v>NULL</v>
          </cell>
          <cell r="AH157" t="str">
            <v>NULL</v>
          </cell>
          <cell r="AI157" t="str">
            <v>NULL</v>
          </cell>
          <cell r="AJ157" t="str">
            <v>NULL</v>
          </cell>
          <cell r="AK157" t="str">
            <v>NULL</v>
          </cell>
          <cell r="AL157" t="str">
            <v>NULL</v>
          </cell>
          <cell r="AM157" t="str">
            <v>NULL</v>
          </cell>
          <cell r="AN157" t="str">
            <v>NULL</v>
          </cell>
          <cell r="AO157" t="str">
            <v>NULL</v>
          </cell>
          <cell r="AP157" t="str">
            <v>NULL</v>
          </cell>
          <cell r="AQ157" t="str">
            <v>NULL</v>
          </cell>
          <cell r="AR157" t="str">
            <v>NULL</v>
          </cell>
          <cell r="AS157" t="str">
            <v>NULL</v>
          </cell>
          <cell r="AT157" t="str">
            <v>NULL</v>
          </cell>
          <cell r="AU157" t="str">
            <v>NULL</v>
          </cell>
          <cell r="AV157" t="str">
            <v>NULL</v>
          </cell>
          <cell r="AW157" t="str">
            <v>NULL</v>
          </cell>
          <cell r="AX157" t="str">
            <v>NULL</v>
          </cell>
          <cell r="AY157" t="str">
            <v>NULL</v>
          </cell>
          <cell r="AZ157" t="str">
            <v>NULL</v>
          </cell>
          <cell r="BA157" t="str">
            <v>NULL</v>
          </cell>
          <cell r="BB157" t="str">
            <v>NULL</v>
          </cell>
        </row>
        <row r="158">
          <cell r="D158">
            <v>143429</v>
          </cell>
          <cell r="E158">
            <v>8076001</v>
          </cell>
          <cell r="F158" t="str">
            <v>Old Farm School</v>
          </cell>
          <cell r="G158" t="str">
            <v>Other Independent School</v>
          </cell>
          <cell r="H158">
            <v>42669</v>
          </cell>
          <cell r="I158">
            <v>2</v>
          </cell>
          <cell r="J158" t="str">
            <v>North East, Yorkshire and the Humber</v>
          </cell>
          <cell r="K158" t="str">
            <v>North East</v>
          </cell>
          <cell r="L158" t="str">
            <v>Redcar and Cleveland</v>
          </cell>
          <cell r="M158" t="str">
            <v>Middlesbrough South and East Cleveland</v>
          </cell>
          <cell r="N158" t="str">
            <v>TS12 2TZ</v>
          </cell>
          <cell r="O158" t="str">
            <v>Does not have a sixth form</v>
          </cell>
          <cell r="P158">
            <v>11</v>
          </cell>
          <cell r="Q158">
            <v>16</v>
          </cell>
          <cell r="R158" t="str">
            <v>None</v>
          </cell>
          <cell r="S158" t="str">
            <v>Ofsted</v>
          </cell>
          <cell r="T158" t="str">
            <v>NULL</v>
          </cell>
          <cell r="U158" t="str">
            <v>NULL</v>
          </cell>
          <cell r="V158" t="str">
            <v>NULL</v>
          </cell>
          <cell r="W158" t="str">
            <v>NULL</v>
          </cell>
          <cell r="X158" t="str">
            <v>NULL</v>
          </cell>
          <cell r="Y158" t="str">
            <v>NULL</v>
          </cell>
          <cell r="Z158" t="str">
            <v>NULL</v>
          </cell>
          <cell r="AA158">
            <v>10040149</v>
          </cell>
          <cell r="AB158" t="str">
            <v>Independent school standard inspection - first</v>
          </cell>
          <cell r="AC158" t="str">
            <v>Independent Standard Inspection</v>
          </cell>
          <cell r="AD158">
            <v>43074</v>
          </cell>
          <cell r="AE158">
            <v>43076</v>
          </cell>
          <cell r="AF158">
            <v>43124</v>
          </cell>
          <cell r="AG158">
            <v>2</v>
          </cell>
          <cell r="AH158">
            <v>2</v>
          </cell>
          <cell r="AI158">
            <v>2</v>
          </cell>
          <cell r="AJ158">
            <v>2</v>
          </cell>
          <cell r="AK158">
            <v>2</v>
          </cell>
          <cell r="AL158" t="str">
            <v>NULL</v>
          </cell>
          <cell r="AM158" t="str">
            <v>NULL</v>
          </cell>
          <cell r="AN158" t="str">
            <v>Yes</v>
          </cell>
          <cell r="AO158" t="str">
            <v>NULL</v>
          </cell>
          <cell r="AP158" t="str">
            <v>NULL</v>
          </cell>
          <cell r="AQ158" t="str">
            <v>NULL</v>
          </cell>
          <cell r="AR158" t="str">
            <v>NULL</v>
          </cell>
          <cell r="AS158" t="str">
            <v>NULL</v>
          </cell>
          <cell r="AT158" t="str">
            <v>NULL</v>
          </cell>
          <cell r="AU158" t="str">
            <v>NULL</v>
          </cell>
          <cell r="AV158" t="str">
            <v>NULL</v>
          </cell>
          <cell r="AW158" t="str">
            <v>NULL</v>
          </cell>
          <cell r="AX158" t="str">
            <v>NULL</v>
          </cell>
          <cell r="AY158" t="str">
            <v>NULL</v>
          </cell>
          <cell r="AZ158" t="str">
            <v>NULL</v>
          </cell>
          <cell r="BA158" t="str">
            <v>NULL</v>
          </cell>
          <cell r="BB158" t="str">
            <v>NULL</v>
          </cell>
        </row>
        <row r="159">
          <cell r="D159">
            <v>143521</v>
          </cell>
          <cell r="E159">
            <v>8816066</v>
          </cell>
          <cell r="F159" t="str">
            <v>TLG Chelmsford</v>
          </cell>
          <cell r="G159" t="str">
            <v>Other Independent School</v>
          </cell>
          <cell r="H159">
            <v>42780</v>
          </cell>
          <cell r="I159" t="str">
            <v>NULL</v>
          </cell>
          <cell r="J159" t="str">
            <v>East of England</v>
          </cell>
          <cell r="K159" t="str">
            <v>East of England</v>
          </cell>
          <cell r="L159" t="str">
            <v>Essex</v>
          </cell>
          <cell r="M159" t="str">
            <v>Chelmsford</v>
          </cell>
          <cell r="N159" t="str">
            <v>CM2 0HG</v>
          </cell>
          <cell r="O159" t="str">
            <v>Does not have a sixth form</v>
          </cell>
          <cell r="P159">
            <v>11</v>
          </cell>
          <cell r="Q159">
            <v>16</v>
          </cell>
          <cell r="R159" t="str">
            <v>None</v>
          </cell>
          <cell r="S159" t="str">
            <v>Ofsted</v>
          </cell>
          <cell r="T159" t="str">
            <v>NULL</v>
          </cell>
          <cell r="U159" t="str">
            <v>NULL</v>
          </cell>
          <cell r="V159" t="str">
            <v>NULL</v>
          </cell>
          <cell r="W159" t="str">
            <v>NULL</v>
          </cell>
          <cell r="X159" t="str">
            <v>NULL</v>
          </cell>
          <cell r="Y159" t="str">
            <v>NULL</v>
          </cell>
          <cell r="Z159" t="str">
            <v>NULL</v>
          </cell>
          <cell r="AA159">
            <v>10043523</v>
          </cell>
          <cell r="AB159" t="str">
            <v>Independent school standard inspection - first</v>
          </cell>
          <cell r="AC159" t="str">
            <v>Independent Standard Inspection</v>
          </cell>
          <cell r="AD159">
            <v>43138</v>
          </cell>
          <cell r="AE159">
            <v>43140</v>
          </cell>
          <cell r="AF159">
            <v>43171</v>
          </cell>
          <cell r="AG159">
            <v>2</v>
          </cell>
          <cell r="AH159">
            <v>2</v>
          </cell>
          <cell r="AI159">
            <v>2</v>
          </cell>
          <cell r="AJ159">
            <v>2</v>
          </cell>
          <cell r="AK159">
            <v>2</v>
          </cell>
          <cell r="AL159" t="str">
            <v>NULL</v>
          </cell>
          <cell r="AM159" t="str">
            <v>NULL</v>
          </cell>
          <cell r="AN159" t="str">
            <v>Yes</v>
          </cell>
          <cell r="AO159" t="str">
            <v>NULL</v>
          </cell>
          <cell r="AP159" t="str">
            <v>NULL</v>
          </cell>
          <cell r="AQ159" t="str">
            <v>NULL</v>
          </cell>
          <cell r="AR159" t="str">
            <v>NULL</v>
          </cell>
          <cell r="AS159" t="str">
            <v>NULL</v>
          </cell>
          <cell r="AT159" t="str">
            <v>NULL</v>
          </cell>
          <cell r="AU159" t="str">
            <v>NULL</v>
          </cell>
          <cell r="AV159" t="str">
            <v>NULL</v>
          </cell>
          <cell r="AW159" t="str">
            <v>NULL</v>
          </cell>
          <cell r="AX159" t="str">
            <v>NULL</v>
          </cell>
          <cell r="AY159" t="str">
            <v>NULL</v>
          </cell>
          <cell r="AZ159" t="str">
            <v>NULL</v>
          </cell>
          <cell r="BA159" t="str">
            <v>NULL</v>
          </cell>
          <cell r="BB159" t="str">
            <v>NULL</v>
          </cell>
        </row>
        <row r="160">
          <cell r="D160">
            <v>143525</v>
          </cell>
          <cell r="E160">
            <v>3906009</v>
          </cell>
          <cell r="F160" t="str">
            <v>Yeshiva Lezeirim Preparatory Academy</v>
          </cell>
          <cell r="G160" t="str">
            <v>Other Independent School</v>
          </cell>
          <cell r="H160">
            <v>42605</v>
          </cell>
          <cell r="I160">
            <v>50</v>
          </cell>
          <cell r="J160" t="str">
            <v>North East, Yorkshire and the Humber</v>
          </cell>
          <cell r="K160" t="str">
            <v>North East</v>
          </cell>
          <cell r="L160" t="str">
            <v>Gateshead</v>
          </cell>
          <cell r="M160" t="str">
            <v>Gateshead</v>
          </cell>
          <cell r="N160" t="str">
            <v>NE8 4EF</v>
          </cell>
          <cell r="O160" t="str">
            <v>Does not have a sixth form</v>
          </cell>
          <cell r="P160">
            <v>15</v>
          </cell>
          <cell r="Q160">
            <v>16</v>
          </cell>
          <cell r="R160" t="str">
            <v>None</v>
          </cell>
          <cell r="S160" t="str">
            <v>Ofsted</v>
          </cell>
          <cell r="T160">
            <v>1</v>
          </cell>
          <cell r="U160">
            <v>10044299</v>
          </cell>
          <cell r="V160" t="str">
            <v>Independent school evaluation of school action plan</v>
          </cell>
          <cell r="W160">
            <v>43055</v>
          </cell>
          <cell r="X160">
            <v>43055</v>
          </cell>
          <cell r="Y160" t="str">
            <v>NULL</v>
          </cell>
          <cell r="Z160" t="str">
            <v>Action plan is not acceptable</v>
          </cell>
          <cell r="AA160">
            <v>10033929</v>
          </cell>
          <cell r="AB160" t="str">
            <v>Independent school standard inspection - first</v>
          </cell>
          <cell r="AC160" t="str">
            <v>Independent Standard Inspection</v>
          </cell>
          <cell r="AD160">
            <v>42864</v>
          </cell>
          <cell r="AE160">
            <v>42866</v>
          </cell>
          <cell r="AF160">
            <v>42986</v>
          </cell>
          <cell r="AG160">
            <v>4</v>
          </cell>
          <cell r="AH160">
            <v>4</v>
          </cell>
          <cell r="AI160">
            <v>4</v>
          </cell>
          <cell r="AJ160">
            <v>4</v>
          </cell>
          <cell r="AK160">
            <v>4</v>
          </cell>
          <cell r="AL160" t="str">
            <v>NULL</v>
          </cell>
          <cell r="AM160" t="str">
            <v>NULL</v>
          </cell>
          <cell r="AN160" t="str">
            <v>No</v>
          </cell>
          <cell r="AO160" t="str">
            <v>NULL</v>
          </cell>
          <cell r="AP160" t="str">
            <v>NULL</v>
          </cell>
          <cell r="AQ160" t="str">
            <v>NULL</v>
          </cell>
          <cell r="AR160" t="str">
            <v>NULL</v>
          </cell>
          <cell r="AS160" t="str">
            <v>NULL</v>
          </cell>
          <cell r="AT160" t="str">
            <v>NULL</v>
          </cell>
          <cell r="AU160" t="str">
            <v>NULL</v>
          </cell>
          <cell r="AV160" t="str">
            <v>NULL</v>
          </cell>
          <cell r="AW160" t="str">
            <v>NULL</v>
          </cell>
          <cell r="AX160" t="str">
            <v>NULL</v>
          </cell>
          <cell r="AY160" t="str">
            <v>NULL</v>
          </cell>
          <cell r="AZ160" t="str">
            <v>NULL</v>
          </cell>
          <cell r="BA160" t="str">
            <v>NULL</v>
          </cell>
          <cell r="BB160" t="str">
            <v>NULL</v>
          </cell>
        </row>
        <row r="161">
          <cell r="D161">
            <v>143531</v>
          </cell>
          <cell r="E161">
            <v>8956003</v>
          </cell>
          <cell r="F161" t="str">
            <v>Eden School</v>
          </cell>
          <cell r="G161" t="str">
            <v>Other Independent Special School</v>
          </cell>
          <cell r="H161">
            <v>42767</v>
          </cell>
          <cell r="I161" t="str">
            <v>NULL</v>
          </cell>
          <cell r="J161" t="str">
            <v>North West</v>
          </cell>
          <cell r="K161" t="str">
            <v>North West</v>
          </cell>
          <cell r="L161" t="str">
            <v>Cheshire East</v>
          </cell>
          <cell r="M161" t="str">
            <v>Macclesfield</v>
          </cell>
          <cell r="N161" t="str">
            <v>SK10 3LQ</v>
          </cell>
          <cell r="O161" t="str">
            <v>Not applicable</v>
          </cell>
          <cell r="P161">
            <v>6</v>
          </cell>
          <cell r="Q161">
            <v>16</v>
          </cell>
          <cell r="R161" t="str">
            <v>None</v>
          </cell>
          <cell r="S161" t="str">
            <v>Ofsted</v>
          </cell>
          <cell r="T161">
            <v>1</v>
          </cell>
          <cell r="U161">
            <v>10022669</v>
          </cell>
          <cell r="V161" t="str">
            <v>Independent School Pre-registration Inspection</v>
          </cell>
          <cell r="W161">
            <v>42718</v>
          </cell>
          <cell r="X161">
            <v>42718</v>
          </cell>
          <cell r="Y161" t="str">
            <v>NULL</v>
          </cell>
          <cell r="Z161" t="str">
            <v>Likely to meet all standards</v>
          </cell>
          <cell r="AA161" t="str">
            <v>NULL</v>
          </cell>
          <cell r="AB161" t="str">
            <v>NULL</v>
          </cell>
          <cell r="AC161" t="str">
            <v>NULL</v>
          </cell>
          <cell r="AD161" t="str">
            <v>NULL</v>
          </cell>
          <cell r="AE161" t="str">
            <v>NULL</v>
          </cell>
          <cell r="AF161" t="str">
            <v>NULL</v>
          </cell>
          <cell r="AG161" t="str">
            <v>NULL</v>
          </cell>
          <cell r="AH161" t="str">
            <v>NULL</v>
          </cell>
          <cell r="AI161" t="str">
            <v>NULL</v>
          </cell>
          <cell r="AJ161" t="str">
            <v>NULL</v>
          </cell>
          <cell r="AK161" t="str">
            <v>NULL</v>
          </cell>
          <cell r="AL161" t="str">
            <v>NULL</v>
          </cell>
          <cell r="AM161" t="str">
            <v>NULL</v>
          </cell>
          <cell r="AN161" t="str">
            <v>NULL</v>
          </cell>
          <cell r="AO161" t="str">
            <v>NULL</v>
          </cell>
          <cell r="AP161" t="str">
            <v>NULL</v>
          </cell>
          <cell r="AQ161" t="str">
            <v>NULL</v>
          </cell>
          <cell r="AR161" t="str">
            <v>NULL</v>
          </cell>
          <cell r="AS161" t="str">
            <v>NULL</v>
          </cell>
          <cell r="AT161" t="str">
            <v>NULL</v>
          </cell>
          <cell r="AU161" t="str">
            <v>NULL</v>
          </cell>
          <cell r="AV161" t="str">
            <v>NULL</v>
          </cell>
          <cell r="AW161" t="str">
            <v>NULL</v>
          </cell>
          <cell r="AX161" t="str">
            <v>NULL</v>
          </cell>
          <cell r="AY161" t="str">
            <v>NULL</v>
          </cell>
          <cell r="AZ161" t="str">
            <v>NULL</v>
          </cell>
          <cell r="BA161" t="str">
            <v>NULL</v>
          </cell>
          <cell r="BB161" t="str">
            <v>NULL</v>
          </cell>
        </row>
        <row r="162">
          <cell r="D162">
            <v>144795</v>
          </cell>
          <cell r="E162">
            <v>2136004</v>
          </cell>
          <cell r="F162" t="str">
            <v>Eaton Square Upper School, Mayfair</v>
          </cell>
          <cell r="G162" t="str">
            <v>Other Independent School</v>
          </cell>
          <cell r="H162">
            <v>42936</v>
          </cell>
          <cell r="I162" t="str">
            <v>NULL</v>
          </cell>
          <cell r="J162" t="str">
            <v>London</v>
          </cell>
          <cell r="K162" t="str">
            <v>London</v>
          </cell>
          <cell r="L162" t="str">
            <v>Westminster</v>
          </cell>
          <cell r="M162" t="str">
            <v>Cities of London and Westminster</v>
          </cell>
          <cell r="N162" t="str">
            <v>W1J 7NL</v>
          </cell>
          <cell r="O162" t="str">
            <v>Has a sixth form</v>
          </cell>
          <cell r="P162">
            <v>11</v>
          </cell>
          <cell r="Q162">
            <v>18</v>
          </cell>
          <cell r="R162" t="str">
            <v>None</v>
          </cell>
          <cell r="S162" t="str">
            <v>Ofsted</v>
          </cell>
          <cell r="T162">
            <v>1</v>
          </cell>
          <cell r="U162">
            <v>10037562</v>
          </cell>
          <cell r="V162" t="str">
            <v>Independent School Pre-registration Inspection</v>
          </cell>
          <cell r="W162">
            <v>42900</v>
          </cell>
          <cell r="X162">
            <v>42900</v>
          </cell>
          <cell r="Y162" t="str">
            <v>NULL</v>
          </cell>
          <cell r="Z162" t="str">
            <v>Likely to meet all standards</v>
          </cell>
          <cell r="AA162" t="str">
            <v>NULL</v>
          </cell>
          <cell r="AB162" t="str">
            <v>NULL</v>
          </cell>
          <cell r="AC162" t="str">
            <v>NULL</v>
          </cell>
          <cell r="AD162" t="str">
            <v>NULL</v>
          </cell>
          <cell r="AE162" t="str">
            <v>NULL</v>
          </cell>
          <cell r="AF162" t="str">
            <v>NULL</v>
          </cell>
          <cell r="AG162" t="str">
            <v>NULL</v>
          </cell>
          <cell r="AH162" t="str">
            <v>NULL</v>
          </cell>
          <cell r="AI162" t="str">
            <v>NULL</v>
          </cell>
          <cell r="AJ162" t="str">
            <v>NULL</v>
          </cell>
          <cell r="AK162" t="str">
            <v>NULL</v>
          </cell>
          <cell r="AL162" t="str">
            <v>NULL</v>
          </cell>
          <cell r="AM162" t="str">
            <v>NULL</v>
          </cell>
          <cell r="AN162" t="str">
            <v>NULL</v>
          </cell>
          <cell r="AO162" t="str">
            <v>NULL</v>
          </cell>
          <cell r="AP162" t="str">
            <v>NULL</v>
          </cell>
          <cell r="AQ162" t="str">
            <v>NULL</v>
          </cell>
          <cell r="AR162" t="str">
            <v>NULL</v>
          </cell>
          <cell r="AS162" t="str">
            <v>NULL</v>
          </cell>
          <cell r="AT162" t="str">
            <v>NULL</v>
          </cell>
          <cell r="AU162" t="str">
            <v>NULL</v>
          </cell>
          <cell r="AV162" t="str">
            <v>NULL</v>
          </cell>
          <cell r="AW162" t="str">
            <v>NULL</v>
          </cell>
          <cell r="AX162" t="str">
            <v>NULL</v>
          </cell>
          <cell r="AY162" t="str">
            <v>NULL</v>
          </cell>
          <cell r="AZ162" t="str">
            <v>NULL</v>
          </cell>
          <cell r="BA162" t="str">
            <v>NULL</v>
          </cell>
          <cell r="BB162" t="str">
            <v>NULL</v>
          </cell>
        </row>
        <row r="163">
          <cell r="D163">
            <v>144796</v>
          </cell>
          <cell r="E163">
            <v>3046006</v>
          </cell>
          <cell r="F163" t="str">
            <v>Edith Kay Independent School</v>
          </cell>
          <cell r="G163" t="str">
            <v>Other Independent Special School</v>
          </cell>
          <cell r="H163">
            <v>42912</v>
          </cell>
          <cell r="I163" t="str">
            <v>NULL</v>
          </cell>
          <cell r="J163" t="str">
            <v>London</v>
          </cell>
          <cell r="K163" t="str">
            <v>London</v>
          </cell>
          <cell r="L163" t="str">
            <v>Brent</v>
          </cell>
          <cell r="M163" t="str">
            <v>Brent Central</v>
          </cell>
          <cell r="N163" t="str">
            <v>NW10 8HR</v>
          </cell>
          <cell r="O163" t="str">
            <v>Not applicable</v>
          </cell>
          <cell r="P163">
            <v>14</v>
          </cell>
          <cell r="Q163">
            <v>19</v>
          </cell>
          <cell r="R163" t="str">
            <v>None</v>
          </cell>
          <cell r="S163" t="str">
            <v>Ofsted</v>
          </cell>
          <cell r="T163">
            <v>1</v>
          </cell>
          <cell r="U163">
            <v>10035582</v>
          </cell>
          <cell r="V163" t="str">
            <v>Independent School Pre-registration Inspection</v>
          </cell>
          <cell r="W163">
            <v>42887</v>
          </cell>
          <cell r="X163">
            <v>42887</v>
          </cell>
          <cell r="Y163" t="str">
            <v>NULL</v>
          </cell>
          <cell r="Z163" t="str">
            <v>Likely to meet all standards</v>
          </cell>
          <cell r="AA163" t="str">
            <v>NULL</v>
          </cell>
          <cell r="AB163" t="str">
            <v>NULL</v>
          </cell>
          <cell r="AC163" t="str">
            <v>NULL</v>
          </cell>
          <cell r="AD163" t="str">
            <v>NULL</v>
          </cell>
          <cell r="AE163" t="str">
            <v>NULL</v>
          </cell>
          <cell r="AF163" t="str">
            <v>NULL</v>
          </cell>
          <cell r="AG163" t="str">
            <v>NULL</v>
          </cell>
          <cell r="AH163" t="str">
            <v>NULL</v>
          </cell>
          <cell r="AI163" t="str">
            <v>NULL</v>
          </cell>
          <cell r="AJ163" t="str">
            <v>NULL</v>
          </cell>
          <cell r="AK163" t="str">
            <v>NULL</v>
          </cell>
          <cell r="AL163" t="str">
            <v>NULL</v>
          </cell>
          <cell r="AM163" t="str">
            <v>NULL</v>
          </cell>
          <cell r="AN163" t="str">
            <v>NULL</v>
          </cell>
          <cell r="AO163" t="str">
            <v>NULL</v>
          </cell>
          <cell r="AP163" t="str">
            <v>NULL</v>
          </cell>
          <cell r="AQ163" t="str">
            <v>NULL</v>
          </cell>
          <cell r="AR163" t="str">
            <v>NULL</v>
          </cell>
          <cell r="AS163" t="str">
            <v>NULL</v>
          </cell>
          <cell r="AT163" t="str">
            <v>NULL</v>
          </cell>
          <cell r="AU163" t="str">
            <v>NULL</v>
          </cell>
          <cell r="AV163" t="str">
            <v>NULL</v>
          </cell>
          <cell r="AW163" t="str">
            <v>NULL</v>
          </cell>
          <cell r="AX163" t="str">
            <v>NULL</v>
          </cell>
          <cell r="AY163" t="str">
            <v>NULL</v>
          </cell>
          <cell r="AZ163" t="str">
            <v>NULL</v>
          </cell>
          <cell r="BA163" t="str">
            <v>NULL</v>
          </cell>
          <cell r="BB163" t="str">
            <v>NULL</v>
          </cell>
        </row>
        <row r="164">
          <cell r="D164">
            <v>144801</v>
          </cell>
          <cell r="E164">
            <v>9316018</v>
          </cell>
          <cell r="F164" t="str">
            <v>Royale International School of Education</v>
          </cell>
          <cell r="G164" t="str">
            <v>Other Independent School</v>
          </cell>
          <cell r="H164">
            <v>43084</v>
          </cell>
          <cell r="I164" t="str">
            <v>NULL</v>
          </cell>
          <cell r="J164" t="str">
            <v>South East</v>
          </cell>
          <cell r="K164" t="str">
            <v>South East</v>
          </cell>
          <cell r="L164" t="str">
            <v>Oxfordshire</v>
          </cell>
          <cell r="M164" t="str">
            <v>Oxford West and Abingdon</v>
          </cell>
          <cell r="N164" t="str">
            <v>OX2 0DJ</v>
          </cell>
          <cell r="O164" t="str">
            <v>Has a sixth form</v>
          </cell>
          <cell r="P164">
            <v>13</v>
          </cell>
          <cell r="Q164">
            <v>18</v>
          </cell>
          <cell r="R164" t="str">
            <v>None</v>
          </cell>
          <cell r="S164" t="str">
            <v>Ofsted</v>
          </cell>
          <cell r="T164">
            <v>1</v>
          </cell>
          <cell r="U164">
            <v>10040301</v>
          </cell>
          <cell r="V164" t="str">
            <v>Independent School Pre-registration Inspection</v>
          </cell>
          <cell r="W164">
            <v>43013</v>
          </cell>
          <cell r="X164">
            <v>43013</v>
          </cell>
          <cell r="Y164" t="str">
            <v>NULL</v>
          </cell>
          <cell r="Z164" t="str">
            <v>Likely to meet all standards</v>
          </cell>
          <cell r="AA164" t="str">
            <v>NULL</v>
          </cell>
          <cell r="AB164" t="str">
            <v>NULL</v>
          </cell>
          <cell r="AC164" t="str">
            <v>NULL</v>
          </cell>
          <cell r="AD164" t="str">
            <v>NULL</v>
          </cell>
          <cell r="AE164" t="str">
            <v>NULL</v>
          </cell>
          <cell r="AF164" t="str">
            <v>NULL</v>
          </cell>
          <cell r="AG164" t="str">
            <v>NULL</v>
          </cell>
          <cell r="AH164" t="str">
            <v>NULL</v>
          </cell>
          <cell r="AI164" t="str">
            <v>NULL</v>
          </cell>
          <cell r="AJ164" t="str">
            <v>NULL</v>
          </cell>
          <cell r="AK164" t="str">
            <v>NULL</v>
          </cell>
          <cell r="AL164" t="str">
            <v>NULL</v>
          </cell>
          <cell r="AM164" t="str">
            <v>NULL</v>
          </cell>
          <cell r="AN164" t="str">
            <v>NULL</v>
          </cell>
          <cell r="AO164" t="str">
            <v>NULL</v>
          </cell>
          <cell r="AP164" t="str">
            <v>NULL</v>
          </cell>
          <cell r="AQ164" t="str">
            <v>NULL</v>
          </cell>
          <cell r="AR164" t="str">
            <v>NULL</v>
          </cell>
          <cell r="AS164" t="str">
            <v>NULL</v>
          </cell>
          <cell r="AT164" t="str">
            <v>NULL</v>
          </cell>
          <cell r="AU164" t="str">
            <v>NULL</v>
          </cell>
          <cell r="AV164" t="str">
            <v>NULL</v>
          </cell>
          <cell r="AW164" t="str">
            <v>NULL</v>
          </cell>
          <cell r="AX164" t="str">
            <v>NULL</v>
          </cell>
          <cell r="AY164" t="str">
            <v>NULL</v>
          </cell>
          <cell r="AZ164" t="str">
            <v>NULL</v>
          </cell>
          <cell r="BA164" t="str">
            <v>NULL</v>
          </cell>
          <cell r="BB164" t="str">
            <v>NULL</v>
          </cell>
        </row>
        <row r="165">
          <cell r="D165">
            <v>144805</v>
          </cell>
          <cell r="E165">
            <v>3016006</v>
          </cell>
          <cell r="F165" t="str">
            <v>Alamiyah School</v>
          </cell>
          <cell r="G165" t="str">
            <v>Other Independent School</v>
          </cell>
          <cell r="H165">
            <v>42943</v>
          </cell>
          <cell r="I165" t="str">
            <v>NULL</v>
          </cell>
          <cell r="J165" t="str">
            <v>London</v>
          </cell>
          <cell r="K165" t="str">
            <v>London</v>
          </cell>
          <cell r="L165" t="str">
            <v>Barking and Dagenham</v>
          </cell>
          <cell r="M165" t="str">
            <v>Barking</v>
          </cell>
          <cell r="N165" t="str">
            <v>RM8 2ES</v>
          </cell>
          <cell r="O165" t="str">
            <v>Does not have a sixth form</v>
          </cell>
          <cell r="P165">
            <v>3</v>
          </cell>
          <cell r="Q165">
            <v>9</v>
          </cell>
          <cell r="R165" t="str">
            <v>None</v>
          </cell>
          <cell r="S165" t="str">
            <v>Ofsted</v>
          </cell>
          <cell r="T165">
            <v>1</v>
          </cell>
          <cell r="U165">
            <v>10037561</v>
          </cell>
          <cell r="V165" t="str">
            <v>Independent School Pre-registration Inspection</v>
          </cell>
          <cell r="W165">
            <v>42919</v>
          </cell>
          <cell r="X165">
            <v>42919</v>
          </cell>
          <cell r="Y165" t="str">
            <v>NULL</v>
          </cell>
          <cell r="Z165" t="str">
            <v>Likely to meet all standards</v>
          </cell>
          <cell r="AA165" t="str">
            <v>NULL</v>
          </cell>
          <cell r="AB165" t="str">
            <v>NULL</v>
          </cell>
          <cell r="AC165" t="str">
            <v>NULL</v>
          </cell>
          <cell r="AD165" t="str">
            <v>NULL</v>
          </cell>
          <cell r="AE165" t="str">
            <v>NULL</v>
          </cell>
          <cell r="AF165" t="str">
            <v>NULL</v>
          </cell>
          <cell r="AG165" t="str">
            <v>NULL</v>
          </cell>
          <cell r="AH165" t="str">
            <v>NULL</v>
          </cell>
          <cell r="AI165" t="str">
            <v>NULL</v>
          </cell>
          <cell r="AJ165" t="str">
            <v>NULL</v>
          </cell>
          <cell r="AK165" t="str">
            <v>NULL</v>
          </cell>
          <cell r="AL165" t="str">
            <v>NULL</v>
          </cell>
          <cell r="AM165" t="str">
            <v>NULL</v>
          </cell>
          <cell r="AN165" t="str">
            <v>NULL</v>
          </cell>
          <cell r="AO165" t="str">
            <v>NULL</v>
          </cell>
          <cell r="AP165" t="str">
            <v>NULL</v>
          </cell>
          <cell r="AQ165" t="str">
            <v>NULL</v>
          </cell>
          <cell r="AR165" t="str">
            <v>NULL</v>
          </cell>
          <cell r="AS165" t="str">
            <v>NULL</v>
          </cell>
          <cell r="AT165" t="str">
            <v>NULL</v>
          </cell>
          <cell r="AU165" t="str">
            <v>NULL</v>
          </cell>
          <cell r="AV165" t="str">
            <v>NULL</v>
          </cell>
          <cell r="AW165" t="str">
            <v>NULL</v>
          </cell>
          <cell r="AX165" t="str">
            <v>NULL</v>
          </cell>
          <cell r="AY165" t="str">
            <v>NULL</v>
          </cell>
          <cell r="AZ165" t="str">
            <v>NULL</v>
          </cell>
          <cell r="BA165" t="str">
            <v>NULL</v>
          </cell>
          <cell r="BB165" t="str">
            <v>NULL</v>
          </cell>
        </row>
        <row r="166">
          <cell r="D166">
            <v>144806</v>
          </cell>
          <cell r="E166">
            <v>8306044</v>
          </cell>
          <cell r="F166" t="str">
            <v>Watchorn Christian School</v>
          </cell>
          <cell r="G166" t="str">
            <v>Other Independent School</v>
          </cell>
          <cell r="H166">
            <v>42948</v>
          </cell>
          <cell r="I166" t="str">
            <v>NULL</v>
          </cell>
          <cell r="J166" t="str">
            <v>East Midlands</v>
          </cell>
          <cell r="K166" t="str">
            <v>East Midlands</v>
          </cell>
          <cell r="L166" t="str">
            <v>Derbyshire</v>
          </cell>
          <cell r="M166" t="str">
            <v>Amber Valley</v>
          </cell>
          <cell r="N166" t="str">
            <v>DE55 7AQ</v>
          </cell>
          <cell r="O166" t="str">
            <v>Does not have a sixth form</v>
          </cell>
          <cell r="P166">
            <v>3</v>
          </cell>
          <cell r="Q166">
            <v>7</v>
          </cell>
          <cell r="R166" t="str">
            <v>None</v>
          </cell>
          <cell r="S166" t="str">
            <v>Ofsted</v>
          </cell>
          <cell r="T166">
            <v>1</v>
          </cell>
          <cell r="U166">
            <v>10037510</v>
          </cell>
          <cell r="V166" t="str">
            <v>Independent School Pre-registration Inspection</v>
          </cell>
          <cell r="W166">
            <v>42934</v>
          </cell>
          <cell r="X166">
            <v>42934</v>
          </cell>
          <cell r="Y166" t="str">
            <v>NULL</v>
          </cell>
          <cell r="Z166" t="str">
            <v>Likely to meet all standards</v>
          </cell>
          <cell r="AA166" t="str">
            <v>NULL</v>
          </cell>
          <cell r="AB166" t="str">
            <v>NULL</v>
          </cell>
          <cell r="AC166" t="str">
            <v>NULL</v>
          </cell>
          <cell r="AD166" t="str">
            <v>NULL</v>
          </cell>
          <cell r="AE166" t="str">
            <v>NULL</v>
          </cell>
          <cell r="AF166" t="str">
            <v>NULL</v>
          </cell>
          <cell r="AG166" t="str">
            <v>NULL</v>
          </cell>
          <cell r="AH166" t="str">
            <v>NULL</v>
          </cell>
          <cell r="AI166" t="str">
            <v>NULL</v>
          </cell>
          <cell r="AJ166" t="str">
            <v>NULL</v>
          </cell>
          <cell r="AK166" t="str">
            <v>NULL</v>
          </cell>
          <cell r="AL166" t="str">
            <v>NULL</v>
          </cell>
          <cell r="AM166" t="str">
            <v>NULL</v>
          </cell>
          <cell r="AN166" t="str">
            <v>NULL</v>
          </cell>
          <cell r="AO166" t="str">
            <v>NULL</v>
          </cell>
          <cell r="AP166" t="str">
            <v>NULL</v>
          </cell>
          <cell r="AQ166" t="str">
            <v>NULL</v>
          </cell>
          <cell r="AR166" t="str">
            <v>NULL</v>
          </cell>
          <cell r="AS166" t="str">
            <v>NULL</v>
          </cell>
          <cell r="AT166" t="str">
            <v>NULL</v>
          </cell>
          <cell r="AU166" t="str">
            <v>NULL</v>
          </cell>
          <cell r="AV166" t="str">
            <v>NULL</v>
          </cell>
          <cell r="AW166" t="str">
            <v>NULL</v>
          </cell>
          <cell r="AX166" t="str">
            <v>NULL</v>
          </cell>
          <cell r="AY166" t="str">
            <v>NULL</v>
          </cell>
          <cell r="AZ166" t="str">
            <v>NULL</v>
          </cell>
          <cell r="BA166" t="str">
            <v>NULL</v>
          </cell>
          <cell r="BB166" t="str">
            <v>NULL</v>
          </cell>
        </row>
        <row r="167">
          <cell r="D167">
            <v>144807</v>
          </cell>
          <cell r="E167">
            <v>8226007</v>
          </cell>
          <cell r="F167" t="str">
            <v>E-Spired</v>
          </cell>
          <cell r="G167" t="str">
            <v>Other Independent School</v>
          </cell>
          <cell r="H167">
            <v>42951</v>
          </cell>
          <cell r="I167" t="str">
            <v>NULL</v>
          </cell>
          <cell r="J167" t="str">
            <v>East of England</v>
          </cell>
          <cell r="K167" t="str">
            <v>East of England</v>
          </cell>
          <cell r="L167" t="str">
            <v>Bedford</v>
          </cell>
          <cell r="M167" t="str">
            <v>Bedford</v>
          </cell>
          <cell r="N167" t="str">
            <v>MK42 9TW</v>
          </cell>
          <cell r="O167" t="str">
            <v>Has a sixth form</v>
          </cell>
          <cell r="P167">
            <v>14</v>
          </cell>
          <cell r="Q167">
            <v>18</v>
          </cell>
          <cell r="R167" t="str">
            <v>None</v>
          </cell>
          <cell r="S167" t="str">
            <v>Ofsted</v>
          </cell>
          <cell r="T167">
            <v>1</v>
          </cell>
          <cell r="U167">
            <v>10038202</v>
          </cell>
          <cell r="V167" t="str">
            <v>Independent School Pre-registration Inspection</v>
          </cell>
          <cell r="W167">
            <v>42919</v>
          </cell>
          <cell r="X167">
            <v>42919</v>
          </cell>
          <cell r="Y167" t="str">
            <v>NULL</v>
          </cell>
          <cell r="Z167" t="str">
            <v>Likely to meet all standards</v>
          </cell>
          <cell r="AA167" t="str">
            <v>NULL</v>
          </cell>
          <cell r="AB167" t="str">
            <v>NULL</v>
          </cell>
          <cell r="AC167" t="str">
            <v>NULL</v>
          </cell>
          <cell r="AD167" t="str">
            <v>NULL</v>
          </cell>
          <cell r="AE167" t="str">
            <v>NULL</v>
          </cell>
          <cell r="AF167" t="str">
            <v>NULL</v>
          </cell>
          <cell r="AG167" t="str">
            <v>NULL</v>
          </cell>
          <cell r="AH167" t="str">
            <v>NULL</v>
          </cell>
          <cell r="AI167" t="str">
            <v>NULL</v>
          </cell>
          <cell r="AJ167" t="str">
            <v>NULL</v>
          </cell>
          <cell r="AK167" t="str">
            <v>NULL</v>
          </cell>
          <cell r="AL167" t="str">
            <v>NULL</v>
          </cell>
          <cell r="AM167" t="str">
            <v>NULL</v>
          </cell>
          <cell r="AN167" t="str">
            <v>NULL</v>
          </cell>
          <cell r="AO167" t="str">
            <v>NULL</v>
          </cell>
          <cell r="AP167" t="str">
            <v>NULL</v>
          </cell>
          <cell r="AQ167" t="str">
            <v>NULL</v>
          </cell>
          <cell r="AR167" t="str">
            <v>NULL</v>
          </cell>
          <cell r="AS167" t="str">
            <v>NULL</v>
          </cell>
          <cell r="AT167" t="str">
            <v>NULL</v>
          </cell>
          <cell r="AU167" t="str">
            <v>NULL</v>
          </cell>
          <cell r="AV167" t="str">
            <v>NULL</v>
          </cell>
          <cell r="AW167" t="str">
            <v>NULL</v>
          </cell>
          <cell r="AX167" t="str">
            <v>NULL</v>
          </cell>
          <cell r="AY167" t="str">
            <v>NULL</v>
          </cell>
          <cell r="AZ167" t="str">
            <v>NULL</v>
          </cell>
          <cell r="BA167" t="str">
            <v>NULL</v>
          </cell>
          <cell r="BB167" t="str">
            <v>NULL</v>
          </cell>
        </row>
        <row r="168">
          <cell r="D168">
            <v>144808</v>
          </cell>
          <cell r="E168">
            <v>8506093</v>
          </cell>
          <cell r="F168" t="str">
            <v>Releasing Potential</v>
          </cell>
          <cell r="G168" t="str">
            <v>Other Independent School</v>
          </cell>
          <cell r="H168">
            <v>42936</v>
          </cell>
          <cell r="I168" t="str">
            <v>NULL</v>
          </cell>
          <cell r="J168" t="str">
            <v>South East</v>
          </cell>
          <cell r="K168" t="str">
            <v>South East</v>
          </cell>
          <cell r="L168" t="str">
            <v>Hampshire</v>
          </cell>
          <cell r="M168" t="str">
            <v>Havant</v>
          </cell>
          <cell r="N168" t="str">
            <v>PO9 1LS</v>
          </cell>
          <cell r="O168" t="str">
            <v>Has a sixth form</v>
          </cell>
          <cell r="P168">
            <v>11</v>
          </cell>
          <cell r="Q168">
            <v>18</v>
          </cell>
          <cell r="R168" t="str">
            <v>None</v>
          </cell>
          <cell r="S168" t="str">
            <v>Ofsted</v>
          </cell>
          <cell r="T168">
            <v>1</v>
          </cell>
          <cell r="U168">
            <v>10037482</v>
          </cell>
          <cell r="V168" t="str">
            <v>Independent School Pre-registration Inspection</v>
          </cell>
          <cell r="W168">
            <v>42908</v>
          </cell>
          <cell r="X168">
            <v>42908</v>
          </cell>
          <cell r="Y168" t="str">
            <v>NULL</v>
          </cell>
          <cell r="Z168" t="str">
            <v>Operating without registration and likely to meet all standards</v>
          </cell>
          <cell r="AA168" t="str">
            <v>NULL</v>
          </cell>
          <cell r="AB168" t="str">
            <v>NULL</v>
          </cell>
          <cell r="AC168" t="str">
            <v>NULL</v>
          </cell>
          <cell r="AD168" t="str">
            <v>NULL</v>
          </cell>
          <cell r="AE168" t="str">
            <v>NULL</v>
          </cell>
          <cell r="AF168" t="str">
            <v>NULL</v>
          </cell>
          <cell r="AG168" t="str">
            <v>NULL</v>
          </cell>
          <cell r="AH168" t="str">
            <v>NULL</v>
          </cell>
          <cell r="AI168" t="str">
            <v>NULL</v>
          </cell>
          <cell r="AJ168" t="str">
            <v>NULL</v>
          </cell>
          <cell r="AK168" t="str">
            <v>NULL</v>
          </cell>
          <cell r="AL168" t="str">
            <v>NULL</v>
          </cell>
          <cell r="AM168" t="str">
            <v>NULL</v>
          </cell>
          <cell r="AN168" t="str">
            <v>NULL</v>
          </cell>
          <cell r="AO168" t="str">
            <v>NULL</v>
          </cell>
          <cell r="AP168" t="str">
            <v>NULL</v>
          </cell>
          <cell r="AQ168" t="str">
            <v>NULL</v>
          </cell>
          <cell r="AR168" t="str">
            <v>NULL</v>
          </cell>
          <cell r="AS168" t="str">
            <v>NULL</v>
          </cell>
          <cell r="AT168" t="str">
            <v>NULL</v>
          </cell>
          <cell r="AU168" t="str">
            <v>NULL</v>
          </cell>
          <cell r="AV168" t="str">
            <v>NULL</v>
          </cell>
          <cell r="AW168" t="str">
            <v>NULL</v>
          </cell>
          <cell r="AX168" t="str">
            <v>NULL</v>
          </cell>
          <cell r="AY168" t="str">
            <v>NULL</v>
          </cell>
          <cell r="AZ168" t="str">
            <v>NULL</v>
          </cell>
          <cell r="BA168" t="str">
            <v>NULL</v>
          </cell>
          <cell r="BB168" t="str">
            <v>NULL</v>
          </cell>
        </row>
        <row r="169">
          <cell r="D169">
            <v>145231</v>
          </cell>
          <cell r="E169">
            <v>8876011</v>
          </cell>
          <cell r="F169" t="str">
            <v>Magic Arc School</v>
          </cell>
          <cell r="G169" t="str">
            <v>Other Independent Special School</v>
          </cell>
          <cell r="H169">
            <v>43143</v>
          </cell>
          <cell r="I169" t="str">
            <v>NULL</v>
          </cell>
          <cell r="J169" t="str">
            <v>South East</v>
          </cell>
          <cell r="K169" t="str">
            <v>South East</v>
          </cell>
          <cell r="L169" t="str">
            <v>Medway</v>
          </cell>
          <cell r="M169" t="str">
            <v>Rochester and Strood</v>
          </cell>
          <cell r="N169" t="str">
            <v>ME3 8UJ</v>
          </cell>
          <cell r="O169" t="str">
            <v>Not applicable</v>
          </cell>
          <cell r="P169">
            <v>5</v>
          </cell>
          <cell r="Q169">
            <v>18</v>
          </cell>
          <cell r="R169" t="str">
            <v>None</v>
          </cell>
          <cell r="S169" t="str">
            <v>Ofsted</v>
          </cell>
          <cell r="T169">
            <v>1</v>
          </cell>
          <cell r="U169">
            <v>10044003</v>
          </cell>
          <cell r="V169" t="str">
            <v>Independent School Pre-registration Inspection</v>
          </cell>
          <cell r="W169">
            <v>43077</v>
          </cell>
          <cell r="X169">
            <v>43077</v>
          </cell>
          <cell r="Y169" t="str">
            <v>NULL</v>
          </cell>
          <cell r="Z169" t="str">
            <v>Likely to meet all standards</v>
          </cell>
          <cell r="AA169" t="str">
            <v>NULL</v>
          </cell>
          <cell r="AB169" t="str">
            <v>NULL</v>
          </cell>
          <cell r="AC169" t="str">
            <v>NULL</v>
          </cell>
          <cell r="AD169" t="str">
            <v>NULL</v>
          </cell>
          <cell r="AE169" t="str">
            <v>NULL</v>
          </cell>
          <cell r="AF169" t="str">
            <v>NULL</v>
          </cell>
          <cell r="AG169" t="str">
            <v>NULL</v>
          </cell>
          <cell r="AH169" t="str">
            <v>NULL</v>
          </cell>
          <cell r="AI169" t="str">
            <v>NULL</v>
          </cell>
          <cell r="AJ169" t="str">
            <v>NULL</v>
          </cell>
          <cell r="AK169" t="str">
            <v>NULL</v>
          </cell>
          <cell r="AL169" t="str">
            <v>NULL</v>
          </cell>
          <cell r="AM169" t="str">
            <v>NULL</v>
          </cell>
          <cell r="AN169" t="str">
            <v>NULL</v>
          </cell>
          <cell r="AO169" t="str">
            <v>NULL</v>
          </cell>
          <cell r="AP169" t="str">
            <v>NULL</v>
          </cell>
          <cell r="AQ169" t="str">
            <v>NULL</v>
          </cell>
          <cell r="AR169" t="str">
            <v>NULL</v>
          </cell>
          <cell r="AS169" t="str">
            <v>NULL</v>
          </cell>
          <cell r="AT169" t="str">
            <v>NULL</v>
          </cell>
          <cell r="AU169" t="str">
            <v>NULL</v>
          </cell>
          <cell r="AV169" t="str">
            <v>NULL</v>
          </cell>
          <cell r="AW169" t="str">
            <v>NULL</v>
          </cell>
          <cell r="AX169" t="str">
            <v>NULL</v>
          </cell>
          <cell r="AY169" t="str">
            <v>NULL</v>
          </cell>
          <cell r="AZ169" t="str">
            <v>NULL</v>
          </cell>
          <cell r="BA169" t="str">
            <v>NULL</v>
          </cell>
          <cell r="BB169" t="str">
            <v>NULL</v>
          </cell>
        </row>
        <row r="170">
          <cell r="D170">
            <v>145239</v>
          </cell>
          <cell r="E170">
            <v>3926001</v>
          </cell>
          <cell r="F170" t="str">
            <v>ID Academy</v>
          </cell>
          <cell r="G170" t="str">
            <v>Other Independent Special School</v>
          </cell>
          <cell r="H170">
            <v>43062</v>
          </cell>
          <cell r="I170" t="str">
            <v>NULL</v>
          </cell>
          <cell r="J170" t="str">
            <v>North East, Yorkshire and the Humber</v>
          </cell>
          <cell r="K170" t="str">
            <v>North East</v>
          </cell>
          <cell r="L170" t="str">
            <v>North Tyneside</v>
          </cell>
          <cell r="M170" t="str">
            <v>North Tyneside</v>
          </cell>
          <cell r="N170" t="str">
            <v>NE13 6DS</v>
          </cell>
          <cell r="O170" t="str">
            <v>Not applicable</v>
          </cell>
          <cell r="P170">
            <v>11</v>
          </cell>
          <cell r="Q170">
            <v>16</v>
          </cell>
          <cell r="R170" t="str">
            <v>None</v>
          </cell>
          <cell r="S170" t="str">
            <v>Ofsted</v>
          </cell>
          <cell r="T170">
            <v>1</v>
          </cell>
          <cell r="U170">
            <v>10043500</v>
          </cell>
          <cell r="V170" t="str">
            <v>Independent School Pre-registration Inspection</v>
          </cell>
          <cell r="W170">
            <v>43031</v>
          </cell>
          <cell r="X170">
            <v>43031</v>
          </cell>
          <cell r="Y170" t="str">
            <v>NULL</v>
          </cell>
          <cell r="Z170" t="str">
            <v>Likely to meet all standards</v>
          </cell>
          <cell r="AA170" t="str">
            <v>NULL</v>
          </cell>
          <cell r="AB170" t="str">
            <v>NULL</v>
          </cell>
          <cell r="AC170" t="str">
            <v>NULL</v>
          </cell>
          <cell r="AD170" t="str">
            <v>NULL</v>
          </cell>
          <cell r="AE170" t="str">
            <v>NULL</v>
          </cell>
          <cell r="AF170" t="str">
            <v>NULL</v>
          </cell>
          <cell r="AG170" t="str">
            <v>NULL</v>
          </cell>
          <cell r="AH170" t="str">
            <v>NULL</v>
          </cell>
          <cell r="AI170" t="str">
            <v>NULL</v>
          </cell>
          <cell r="AJ170" t="str">
            <v>NULL</v>
          </cell>
          <cell r="AK170" t="str">
            <v>NULL</v>
          </cell>
          <cell r="AL170" t="str">
            <v>NULL</v>
          </cell>
          <cell r="AM170" t="str">
            <v>NULL</v>
          </cell>
          <cell r="AN170" t="str">
            <v>NULL</v>
          </cell>
          <cell r="AO170" t="str">
            <v>NULL</v>
          </cell>
          <cell r="AP170" t="str">
            <v>NULL</v>
          </cell>
          <cell r="AQ170" t="str">
            <v>NULL</v>
          </cell>
          <cell r="AR170" t="str">
            <v>NULL</v>
          </cell>
          <cell r="AS170" t="str">
            <v>NULL</v>
          </cell>
          <cell r="AT170" t="str">
            <v>NULL</v>
          </cell>
          <cell r="AU170" t="str">
            <v>NULL</v>
          </cell>
          <cell r="AV170" t="str">
            <v>NULL</v>
          </cell>
          <cell r="AW170" t="str">
            <v>NULL</v>
          </cell>
          <cell r="AX170" t="str">
            <v>NULL</v>
          </cell>
          <cell r="AY170" t="str">
            <v>NULL</v>
          </cell>
          <cell r="AZ170" t="str">
            <v>NULL</v>
          </cell>
          <cell r="BA170" t="str">
            <v>NULL</v>
          </cell>
          <cell r="BB170" t="str">
            <v>NULL</v>
          </cell>
        </row>
        <row r="171">
          <cell r="D171">
            <v>145242</v>
          </cell>
          <cell r="E171">
            <v>8886075</v>
          </cell>
          <cell r="F171" t="str">
            <v>Linton School</v>
          </cell>
          <cell r="G171" t="str">
            <v>Other Independent Special School</v>
          </cell>
          <cell r="H171">
            <v>43180</v>
          </cell>
          <cell r="I171" t="str">
            <v>NULL</v>
          </cell>
          <cell r="J171" t="str">
            <v>North West</v>
          </cell>
          <cell r="K171" t="str">
            <v>North West</v>
          </cell>
          <cell r="L171" t="str">
            <v>Lancashire</v>
          </cell>
          <cell r="M171" t="str">
            <v>Fylde</v>
          </cell>
          <cell r="N171" t="str">
            <v>PR4 1HX</v>
          </cell>
          <cell r="O171" t="str">
            <v>Not applicable</v>
          </cell>
          <cell r="P171">
            <v>11</v>
          </cell>
          <cell r="Q171">
            <v>18</v>
          </cell>
          <cell r="R171" t="str">
            <v>None</v>
          </cell>
          <cell r="S171" t="str">
            <v>Ofsted</v>
          </cell>
          <cell r="T171">
            <v>1</v>
          </cell>
          <cell r="U171">
            <v>10048793</v>
          </cell>
          <cell r="V171" t="str">
            <v>Independent School Pre-registration Inspection</v>
          </cell>
          <cell r="W171">
            <v>43153</v>
          </cell>
          <cell r="X171">
            <v>43153</v>
          </cell>
          <cell r="Y171" t="str">
            <v>NULL</v>
          </cell>
          <cell r="Z171" t="str">
            <v>Likely to meet all standards</v>
          </cell>
          <cell r="AA171" t="str">
            <v>NULL</v>
          </cell>
          <cell r="AB171" t="str">
            <v>NULL</v>
          </cell>
          <cell r="AC171" t="str">
            <v>NULL</v>
          </cell>
          <cell r="AD171" t="str">
            <v>NULL</v>
          </cell>
          <cell r="AE171" t="str">
            <v>NULL</v>
          </cell>
          <cell r="AF171" t="str">
            <v>NULL</v>
          </cell>
          <cell r="AG171" t="str">
            <v>NULL</v>
          </cell>
          <cell r="AH171" t="str">
            <v>NULL</v>
          </cell>
          <cell r="AI171" t="str">
            <v>NULL</v>
          </cell>
          <cell r="AJ171" t="str">
            <v>NULL</v>
          </cell>
          <cell r="AK171" t="str">
            <v>NULL</v>
          </cell>
          <cell r="AL171" t="str">
            <v>NULL</v>
          </cell>
          <cell r="AM171" t="str">
            <v>NULL</v>
          </cell>
          <cell r="AN171" t="str">
            <v>NULL</v>
          </cell>
          <cell r="AO171" t="str">
            <v>NULL</v>
          </cell>
          <cell r="AP171" t="str">
            <v>NULL</v>
          </cell>
          <cell r="AQ171" t="str">
            <v>NULL</v>
          </cell>
          <cell r="AR171" t="str">
            <v>NULL</v>
          </cell>
          <cell r="AS171" t="str">
            <v>NULL</v>
          </cell>
          <cell r="AT171" t="str">
            <v>NULL</v>
          </cell>
          <cell r="AU171" t="str">
            <v>NULL</v>
          </cell>
          <cell r="AV171" t="str">
            <v>NULL</v>
          </cell>
          <cell r="AW171" t="str">
            <v>NULL</v>
          </cell>
          <cell r="AX171" t="str">
            <v>NULL</v>
          </cell>
          <cell r="AY171" t="str">
            <v>NULL</v>
          </cell>
          <cell r="AZ171" t="str">
            <v>NULL</v>
          </cell>
          <cell r="BA171" t="str">
            <v>NULL</v>
          </cell>
          <cell r="BB171" t="str">
            <v>NULL</v>
          </cell>
        </row>
        <row r="172">
          <cell r="D172">
            <v>145290</v>
          </cell>
          <cell r="E172">
            <v>3576005</v>
          </cell>
          <cell r="F172" t="str">
            <v>Greater Manchester Alternative Provision</v>
          </cell>
          <cell r="G172" t="str">
            <v>Other Independent Special School</v>
          </cell>
          <cell r="H172">
            <v>43088</v>
          </cell>
          <cell r="I172" t="str">
            <v>NULL</v>
          </cell>
          <cell r="J172" t="str">
            <v>North West</v>
          </cell>
          <cell r="K172" t="str">
            <v>North West</v>
          </cell>
          <cell r="L172" t="str">
            <v>Tameside</v>
          </cell>
          <cell r="M172" t="str">
            <v>Ashton-under-Lyne</v>
          </cell>
          <cell r="N172" t="str">
            <v>OL6 7HG</v>
          </cell>
          <cell r="O172" t="str">
            <v>Not applicable</v>
          </cell>
          <cell r="P172">
            <v>11</v>
          </cell>
          <cell r="Q172">
            <v>16</v>
          </cell>
          <cell r="R172" t="str">
            <v>None</v>
          </cell>
          <cell r="S172" t="str">
            <v>Ofsted</v>
          </cell>
          <cell r="T172">
            <v>1</v>
          </cell>
          <cell r="U172">
            <v>10044096</v>
          </cell>
          <cell r="V172" t="str">
            <v>Independent School Pre-registration Inspection</v>
          </cell>
          <cell r="W172">
            <v>43049</v>
          </cell>
          <cell r="X172">
            <v>43049</v>
          </cell>
          <cell r="Y172" t="str">
            <v>NULL</v>
          </cell>
          <cell r="Z172" t="str">
            <v>Likely to meet all standards</v>
          </cell>
          <cell r="AA172" t="str">
            <v>NULL</v>
          </cell>
          <cell r="AB172" t="str">
            <v>NULL</v>
          </cell>
          <cell r="AC172" t="str">
            <v>NULL</v>
          </cell>
          <cell r="AD172" t="str">
            <v>NULL</v>
          </cell>
          <cell r="AE172" t="str">
            <v>NULL</v>
          </cell>
          <cell r="AF172" t="str">
            <v>NULL</v>
          </cell>
          <cell r="AG172" t="str">
            <v>NULL</v>
          </cell>
          <cell r="AH172" t="str">
            <v>NULL</v>
          </cell>
          <cell r="AI172" t="str">
            <v>NULL</v>
          </cell>
          <cell r="AJ172" t="str">
            <v>NULL</v>
          </cell>
          <cell r="AK172" t="str">
            <v>NULL</v>
          </cell>
          <cell r="AL172" t="str">
            <v>NULL</v>
          </cell>
          <cell r="AM172" t="str">
            <v>NULL</v>
          </cell>
          <cell r="AN172" t="str">
            <v>NULL</v>
          </cell>
          <cell r="AO172" t="str">
            <v>NULL</v>
          </cell>
          <cell r="AP172" t="str">
            <v>NULL</v>
          </cell>
          <cell r="AQ172" t="str">
            <v>NULL</v>
          </cell>
          <cell r="AR172" t="str">
            <v>NULL</v>
          </cell>
          <cell r="AS172" t="str">
            <v>NULL</v>
          </cell>
          <cell r="AT172" t="str">
            <v>NULL</v>
          </cell>
          <cell r="AU172" t="str">
            <v>NULL</v>
          </cell>
          <cell r="AV172" t="str">
            <v>NULL</v>
          </cell>
          <cell r="AW172" t="str">
            <v>NULL</v>
          </cell>
          <cell r="AX172" t="str">
            <v>NULL</v>
          </cell>
          <cell r="AY172" t="str">
            <v>NULL</v>
          </cell>
          <cell r="AZ172" t="str">
            <v>NULL</v>
          </cell>
          <cell r="BA172" t="str">
            <v>NULL</v>
          </cell>
          <cell r="BB172" t="str">
            <v>NULL</v>
          </cell>
        </row>
        <row r="173">
          <cell r="D173">
            <v>145292</v>
          </cell>
          <cell r="E173">
            <v>9096004</v>
          </cell>
          <cell r="F173" t="str">
            <v>St. Bees School</v>
          </cell>
          <cell r="G173" t="str">
            <v>Other Independent School</v>
          </cell>
          <cell r="H173">
            <v>43187</v>
          </cell>
          <cell r="I173" t="str">
            <v>NULL</v>
          </cell>
          <cell r="J173" t="str">
            <v>North West</v>
          </cell>
          <cell r="K173" t="str">
            <v>North West</v>
          </cell>
          <cell r="L173" t="str">
            <v>Cumbria</v>
          </cell>
          <cell r="M173" t="str">
            <v>Copeland</v>
          </cell>
          <cell r="N173" t="str">
            <v>CA27 0DS</v>
          </cell>
          <cell r="O173" t="str">
            <v>Has a sixth form</v>
          </cell>
          <cell r="P173">
            <v>11</v>
          </cell>
          <cell r="Q173">
            <v>18</v>
          </cell>
          <cell r="R173" t="str">
            <v>None</v>
          </cell>
          <cell r="S173" t="str">
            <v>Ofsted</v>
          </cell>
          <cell r="T173">
            <v>1</v>
          </cell>
          <cell r="U173">
            <v>10044980</v>
          </cell>
          <cell r="V173" t="str">
            <v>Independent School Pre-registration Inspection</v>
          </cell>
          <cell r="W173">
            <v>43116</v>
          </cell>
          <cell r="X173">
            <v>43116</v>
          </cell>
          <cell r="Y173" t="str">
            <v>NULL</v>
          </cell>
          <cell r="Z173" t="str">
            <v>Likely to meet all standards</v>
          </cell>
          <cell r="AA173" t="str">
            <v>NULL</v>
          </cell>
          <cell r="AB173" t="str">
            <v>NULL</v>
          </cell>
          <cell r="AC173" t="str">
            <v>NULL</v>
          </cell>
          <cell r="AD173" t="str">
            <v>NULL</v>
          </cell>
          <cell r="AE173" t="str">
            <v>NULL</v>
          </cell>
          <cell r="AF173" t="str">
            <v>NULL</v>
          </cell>
          <cell r="AG173" t="str">
            <v>NULL</v>
          </cell>
          <cell r="AH173" t="str">
            <v>NULL</v>
          </cell>
          <cell r="AI173" t="str">
            <v>NULL</v>
          </cell>
          <cell r="AJ173" t="str">
            <v>NULL</v>
          </cell>
          <cell r="AK173" t="str">
            <v>NULL</v>
          </cell>
          <cell r="AL173" t="str">
            <v>NULL</v>
          </cell>
          <cell r="AM173" t="str">
            <v>NULL</v>
          </cell>
          <cell r="AN173" t="str">
            <v>NULL</v>
          </cell>
          <cell r="AO173" t="str">
            <v>NULL</v>
          </cell>
          <cell r="AP173" t="str">
            <v>NULL</v>
          </cell>
          <cell r="AQ173" t="str">
            <v>NULL</v>
          </cell>
          <cell r="AR173" t="str">
            <v>NULL</v>
          </cell>
          <cell r="AS173" t="str">
            <v>NULL</v>
          </cell>
          <cell r="AT173" t="str">
            <v>NULL</v>
          </cell>
          <cell r="AU173" t="str">
            <v>NULL</v>
          </cell>
          <cell r="AV173" t="str">
            <v>NULL</v>
          </cell>
          <cell r="AW173" t="str">
            <v>NULL</v>
          </cell>
          <cell r="AX173" t="str">
            <v>NULL</v>
          </cell>
          <cell r="AY173" t="str">
            <v>NULL</v>
          </cell>
          <cell r="AZ173" t="str">
            <v>NULL</v>
          </cell>
          <cell r="BA173" t="str">
            <v>NULL</v>
          </cell>
          <cell r="BB173" t="str">
            <v>NULL</v>
          </cell>
        </row>
        <row r="174">
          <cell r="D174">
            <v>145293</v>
          </cell>
          <cell r="E174">
            <v>9336008</v>
          </cell>
          <cell r="F174" t="str">
            <v>The Orchard School</v>
          </cell>
          <cell r="G174" t="str">
            <v>Other Independent Special School</v>
          </cell>
          <cell r="H174">
            <v>43069</v>
          </cell>
          <cell r="I174" t="str">
            <v>NULL</v>
          </cell>
          <cell r="J174" t="str">
            <v>South West</v>
          </cell>
          <cell r="K174" t="str">
            <v>South West</v>
          </cell>
          <cell r="L174" t="str">
            <v>Somerset</v>
          </cell>
          <cell r="M174" t="str">
            <v>Yeovil</v>
          </cell>
          <cell r="N174" t="str">
            <v>BA22 8ST</v>
          </cell>
          <cell r="O174" t="str">
            <v>Not applicable</v>
          </cell>
          <cell r="P174">
            <v>11</v>
          </cell>
          <cell r="Q174">
            <v>18</v>
          </cell>
          <cell r="R174" t="str">
            <v>None</v>
          </cell>
          <cell r="S174" t="str">
            <v>Ofsted</v>
          </cell>
          <cell r="T174">
            <v>1</v>
          </cell>
          <cell r="U174">
            <v>10043988</v>
          </cell>
          <cell r="V174" t="str">
            <v>Independent School Pre-registration Inspection</v>
          </cell>
          <cell r="W174">
            <v>43056</v>
          </cell>
          <cell r="X174">
            <v>43056</v>
          </cell>
          <cell r="Y174" t="str">
            <v>NULL</v>
          </cell>
          <cell r="Z174" t="str">
            <v>Likely to meet all standards</v>
          </cell>
          <cell r="AA174" t="str">
            <v>NULL</v>
          </cell>
          <cell r="AB174" t="str">
            <v>NULL</v>
          </cell>
          <cell r="AC174" t="str">
            <v>NULL</v>
          </cell>
          <cell r="AD174" t="str">
            <v>NULL</v>
          </cell>
          <cell r="AE174" t="str">
            <v>NULL</v>
          </cell>
          <cell r="AF174" t="str">
            <v>NULL</v>
          </cell>
          <cell r="AG174" t="str">
            <v>NULL</v>
          </cell>
          <cell r="AH174" t="str">
            <v>NULL</v>
          </cell>
          <cell r="AI174" t="str">
            <v>NULL</v>
          </cell>
          <cell r="AJ174" t="str">
            <v>NULL</v>
          </cell>
          <cell r="AK174" t="str">
            <v>NULL</v>
          </cell>
          <cell r="AL174" t="str">
            <v>NULL</v>
          </cell>
          <cell r="AM174" t="str">
            <v>NULL</v>
          </cell>
          <cell r="AN174" t="str">
            <v>NULL</v>
          </cell>
          <cell r="AO174" t="str">
            <v>NULL</v>
          </cell>
          <cell r="AP174" t="str">
            <v>NULL</v>
          </cell>
          <cell r="AQ174" t="str">
            <v>NULL</v>
          </cell>
          <cell r="AR174" t="str">
            <v>NULL</v>
          </cell>
          <cell r="AS174" t="str">
            <v>NULL</v>
          </cell>
          <cell r="AT174" t="str">
            <v>NULL</v>
          </cell>
          <cell r="AU174" t="str">
            <v>NULL</v>
          </cell>
          <cell r="AV174" t="str">
            <v>NULL</v>
          </cell>
          <cell r="AW174" t="str">
            <v>NULL</v>
          </cell>
          <cell r="AX174" t="str">
            <v>NULL</v>
          </cell>
          <cell r="AY174" t="str">
            <v>NULL</v>
          </cell>
          <cell r="AZ174" t="str">
            <v>NULL</v>
          </cell>
          <cell r="BA174" t="str">
            <v>NULL</v>
          </cell>
          <cell r="BB174" t="str">
            <v>NULL</v>
          </cell>
        </row>
        <row r="175">
          <cell r="D175">
            <v>145298</v>
          </cell>
          <cell r="E175">
            <v>8256048</v>
          </cell>
          <cell r="F175" t="str">
            <v>Eton - Dorney School</v>
          </cell>
          <cell r="G175" t="str">
            <v>Other Independent School</v>
          </cell>
          <cell r="H175">
            <v>43116</v>
          </cell>
          <cell r="I175" t="str">
            <v>NULL</v>
          </cell>
          <cell r="J175" t="str">
            <v>South East</v>
          </cell>
          <cell r="K175" t="str">
            <v>South East</v>
          </cell>
          <cell r="L175" t="str">
            <v>Buckinghamshire</v>
          </cell>
          <cell r="M175" t="str">
            <v>Beaconsfield</v>
          </cell>
          <cell r="N175" t="str">
            <v>SL4 6QS</v>
          </cell>
          <cell r="O175" t="str">
            <v>Does not have a sixth form</v>
          </cell>
          <cell r="P175">
            <v>8</v>
          </cell>
          <cell r="Q175">
            <v>16</v>
          </cell>
          <cell r="R175" t="str">
            <v>None</v>
          </cell>
          <cell r="S175" t="str">
            <v>Ofsted</v>
          </cell>
          <cell r="T175">
            <v>1</v>
          </cell>
          <cell r="U175">
            <v>10044259</v>
          </cell>
          <cell r="V175" t="str">
            <v>Independent School Pre-registration Inspection</v>
          </cell>
          <cell r="W175">
            <v>43087</v>
          </cell>
          <cell r="X175">
            <v>43087</v>
          </cell>
          <cell r="Y175" t="str">
            <v>NULL</v>
          </cell>
          <cell r="Z175" t="str">
            <v>Likely to meet all standards</v>
          </cell>
          <cell r="AA175" t="str">
            <v>NULL</v>
          </cell>
          <cell r="AB175" t="str">
            <v>NULL</v>
          </cell>
          <cell r="AC175" t="str">
            <v>NULL</v>
          </cell>
          <cell r="AD175" t="str">
            <v>NULL</v>
          </cell>
          <cell r="AE175" t="str">
            <v>NULL</v>
          </cell>
          <cell r="AF175" t="str">
            <v>NULL</v>
          </cell>
          <cell r="AG175" t="str">
            <v>NULL</v>
          </cell>
          <cell r="AH175" t="str">
            <v>NULL</v>
          </cell>
          <cell r="AI175" t="str">
            <v>NULL</v>
          </cell>
          <cell r="AJ175" t="str">
            <v>NULL</v>
          </cell>
          <cell r="AK175" t="str">
            <v>NULL</v>
          </cell>
          <cell r="AL175" t="str">
            <v>NULL</v>
          </cell>
          <cell r="AM175" t="str">
            <v>NULL</v>
          </cell>
          <cell r="AN175" t="str">
            <v>NULL</v>
          </cell>
          <cell r="AO175" t="str">
            <v>NULL</v>
          </cell>
          <cell r="AP175" t="str">
            <v>NULL</v>
          </cell>
          <cell r="AQ175" t="str">
            <v>NULL</v>
          </cell>
          <cell r="AR175" t="str">
            <v>NULL</v>
          </cell>
          <cell r="AS175" t="str">
            <v>NULL</v>
          </cell>
          <cell r="AT175" t="str">
            <v>NULL</v>
          </cell>
          <cell r="AU175" t="str">
            <v>NULL</v>
          </cell>
          <cell r="AV175" t="str">
            <v>NULL</v>
          </cell>
          <cell r="AW175" t="str">
            <v>NULL</v>
          </cell>
          <cell r="AX175" t="str">
            <v>NULL</v>
          </cell>
          <cell r="AY175" t="str">
            <v>NULL</v>
          </cell>
          <cell r="AZ175" t="str">
            <v>NULL</v>
          </cell>
          <cell r="BA175" t="str">
            <v>NULL</v>
          </cell>
          <cell r="BB175" t="str">
            <v>NULL</v>
          </cell>
        </row>
        <row r="176">
          <cell r="D176">
            <v>135773</v>
          </cell>
          <cell r="E176">
            <v>8786061</v>
          </cell>
          <cell r="F176" t="str">
            <v>Acorn School</v>
          </cell>
          <cell r="G176" t="str">
            <v>Other Independent Special School</v>
          </cell>
          <cell r="H176">
            <v>39819</v>
          </cell>
          <cell r="I176">
            <v>5</v>
          </cell>
          <cell r="J176" t="str">
            <v>South West</v>
          </cell>
          <cell r="K176" t="str">
            <v>South West</v>
          </cell>
          <cell r="L176" t="str">
            <v>Devon</v>
          </cell>
          <cell r="M176" t="str">
            <v>North Devon</v>
          </cell>
          <cell r="N176" t="str">
            <v>EX36 4SA</v>
          </cell>
          <cell r="O176" t="str">
            <v>Not applicable</v>
          </cell>
          <cell r="P176">
            <v>11</v>
          </cell>
          <cell r="Q176">
            <v>16</v>
          </cell>
          <cell r="R176" t="str">
            <v>None</v>
          </cell>
          <cell r="S176" t="str">
            <v>Ofsted</v>
          </cell>
          <cell r="T176" t="str">
            <v>NULL</v>
          </cell>
          <cell r="U176" t="str">
            <v>NULL</v>
          </cell>
          <cell r="V176" t="str">
            <v>NULL</v>
          </cell>
          <cell r="W176" t="str">
            <v>NULL</v>
          </cell>
          <cell r="X176" t="str">
            <v>NULL</v>
          </cell>
          <cell r="Y176" t="str">
            <v>NULL</v>
          </cell>
          <cell r="Z176" t="str">
            <v>NULL</v>
          </cell>
          <cell r="AA176">
            <v>10008888</v>
          </cell>
          <cell r="AB176" t="str">
            <v>Independent School standard inspection</v>
          </cell>
          <cell r="AC176" t="str">
            <v>Independent Standard Inspection</v>
          </cell>
          <cell r="AD176">
            <v>42647</v>
          </cell>
          <cell r="AE176">
            <v>42649</v>
          </cell>
          <cell r="AF176">
            <v>42692</v>
          </cell>
          <cell r="AG176">
            <v>2</v>
          </cell>
          <cell r="AH176">
            <v>2</v>
          </cell>
          <cell r="AI176">
            <v>2</v>
          </cell>
          <cell r="AJ176">
            <v>2</v>
          </cell>
          <cell r="AK176">
            <v>2</v>
          </cell>
          <cell r="AL176" t="str">
            <v>NULL</v>
          </cell>
          <cell r="AM176" t="str">
            <v>NULL</v>
          </cell>
          <cell r="AN176" t="str">
            <v>Yes</v>
          </cell>
          <cell r="AO176" t="str">
            <v>ITS420235</v>
          </cell>
          <cell r="AP176" t="str">
            <v>Independent School standard inspection</v>
          </cell>
          <cell r="AQ176" t="str">
            <v>Independent Standard Inspection</v>
          </cell>
          <cell r="AR176">
            <v>41332</v>
          </cell>
          <cell r="AS176">
            <v>41333</v>
          </cell>
          <cell r="AT176">
            <v>41359</v>
          </cell>
          <cell r="AU176">
            <v>4</v>
          </cell>
          <cell r="AV176">
            <v>3</v>
          </cell>
          <cell r="AW176">
            <v>4</v>
          </cell>
          <cell r="AX176">
            <v>4</v>
          </cell>
          <cell r="AY176" t="str">
            <v>NULL</v>
          </cell>
          <cell r="AZ176" t="str">
            <v>NULL</v>
          </cell>
          <cell r="BA176" t="str">
            <v>NULL</v>
          </cell>
          <cell r="BB176" t="str">
            <v>NULL</v>
          </cell>
        </row>
        <row r="177">
          <cell r="D177">
            <v>131551</v>
          </cell>
          <cell r="E177">
            <v>3566027</v>
          </cell>
          <cell r="F177" t="str">
            <v>Acorns School</v>
          </cell>
          <cell r="G177" t="str">
            <v>Other Independent Special School</v>
          </cell>
          <cell r="H177">
            <v>35951</v>
          </cell>
          <cell r="I177">
            <v>27</v>
          </cell>
          <cell r="J177" t="str">
            <v>North West</v>
          </cell>
          <cell r="K177" t="str">
            <v>North West</v>
          </cell>
          <cell r="L177" t="str">
            <v>Stockport</v>
          </cell>
          <cell r="M177" t="str">
            <v>Hazel Grove</v>
          </cell>
          <cell r="N177" t="str">
            <v>SK6 7NN</v>
          </cell>
          <cell r="O177" t="str">
            <v>Has a sixth form</v>
          </cell>
          <cell r="P177">
            <v>5</v>
          </cell>
          <cell r="Q177">
            <v>17</v>
          </cell>
          <cell r="R177" t="str">
            <v>None</v>
          </cell>
          <cell r="S177" t="str">
            <v>Ofsted</v>
          </cell>
          <cell r="T177" t="str">
            <v>NULL</v>
          </cell>
          <cell r="U177" t="str">
            <v>NULL</v>
          </cell>
          <cell r="V177" t="str">
            <v>NULL</v>
          </cell>
          <cell r="W177" t="str">
            <v>NULL</v>
          </cell>
          <cell r="X177" t="str">
            <v>NULL</v>
          </cell>
          <cell r="Y177" t="str">
            <v>NULL</v>
          </cell>
          <cell r="Z177" t="str">
            <v>NULL</v>
          </cell>
          <cell r="AA177">
            <v>10006097</v>
          </cell>
          <cell r="AB177" t="str">
            <v>Independent School standard inspection</v>
          </cell>
          <cell r="AC177" t="str">
            <v>Independent Standard Inspection</v>
          </cell>
          <cell r="AD177">
            <v>42500</v>
          </cell>
          <cell r="AE177">
            <v>42502</v>
          </cell>
          <cell r="AF177">
            <v>42530</v>
          </cell>
          <cell r="AG177">
            <v>2</v>
          </cell>
          <cell r="AH177">
            <v>2</v>
          </cell>
          <cell r="AI177">
            <v>2</v>
          </cell>
          <cell r="AJ177">
            <v>2</v>
          </cell>
          <cell r="AK177">
            <v>1</v>
          </cell>
          <cell r="AL177" t="str">
            <v>NULL</v>
          </cell>
          <cell r="AM177" t="str">
            <v>NULL</v>
          </cell>
          <cell r="AN177" t="str">
            <v>Yes</v>
          </cell>
          <cell r="AO177" t="str">
            <v>ITS397625</v>
          </cell>
          <cell r="AP177" t="str">
            <v>Independent School standard inspection</v>
          </cell>
          <cell r="AQ177" t="str">
            <v>Independent Standard Inspection</v>
          </cell>
          <cell r="AR177">
            <v>41185</v>
          </cell>
          <cell r="AS177">
            <v>41186</v>
          </cell>
          <cell r="AT177">
            <v>41207</v>
          </cell>
          <cell r="AU177">
            <v>3</v>
          </cell>
          <cell r="AV177">
            <v>3</v>
          </cell>
          <cell r="AW177">
            <v>3</v>
          </cell>
          <cell r="AX177" t="str">
            <v>NULL</v>
          </cell>
          <cell r="AY177" t="str">
            <v>NULL</v>
          </cell>
          <cell r="AZ177">
            <v>8</v>
          </cell>
          <cell r="BA177" t="str">
            <v>NULL</v>
          </cell>
          <cell r="BB177" t="str">
            <v>NULL</v>
          </cell>
        </row>
        <row r="178">
          <cell r="D178">
            <v>136705</v>
          </cell>
          <cell r="E178">
            <v>8306041</v>
          </cell>
          <cell r="F178" t="str">
            <v>Adventure Care Ltd</v>
          </cell>
          <cell r="G178" t="str">
            <v>Other Independent Special School</v>
          </cell>
          <cell r="H178">
            <v>40651</v>
          </cell>
          <cell r="I178">
            <v>2</v>
          </cell>
          <cell r="J178" t="str">
            <v>East Midlands</v>
          </cell>
          <cell r="K178" t="str">
            <v>East Midlands</v>
          </cell>
          <cell r="L178" t="str">
            <v>Derbyshire</v>
          </cell>
          <cell r="M178" t="str">
            <v>High Peak</v>
          </cell>
          <cell r="N178" t="str">
            <v>SK17 0TJ</v>
          </cell>
          <cell r="O178" t="str">
            <v>Not applicable</v>
          </cell>
          <cell r="P178">
            <v>9</v>
          </cell>
          <cell r="Q178">
            <v>16</v>
          </cell>
          <cell r="R178" t="str">
            <v>None</v>
          </cell>
          <cell r="S178" t="str">
            <v>Ofsted</v>
          </cell>
          <cell r="T178" t="str">
            <v>NULL</v>
          </cell>
          <cell r="U178" t="str">
            <v>NULL</v>
          </cell>
          <cell r="V178" t="str">
            <v>NULL</v>
          </cell>
          <cell r="W178" t="str">
            <v>NULL</v>
          </cell>
          <cell r="X178" t="str">
            <v>NULL</v>
          </cell>
          <cell r="Y178" t="str">
            <v>NULL</v>
          </cell>
          <cell r="Z178" t="str">
            <v>NULL</v>
          </cell>
          <cell r="AA178" t="str">
            <v>ITS462942</v>
          </cell>
          <cell r="AB178" t="str">
            <v>Independent school standard inspection - aligned with CH</v>
          </cell>
          <cell r="AC178" t="str">
            <v>Independent Standard Inspection</v>
          </cell>
          <cell r="AD178">
            <v>42178</v>
          </cell>
          <cell r="AE178">
            <v>42179</v>
          </cell>
          <cell r="AF178">
            <v>42254</v>
          </cell>
          <cell r="AG178">
            <v>2</v>
          </cell>
          <cell r="AH178">
            <v>2</v>
          </cell>
          <cell r="AI178">
            <v>2</v>
          </cell>
          <cell r="AJ178">
            <v>2</v>
          </cell>
          <cell r="AK178" t="str">
            <v>NULL</v>
          </cell>
          <cell r="AL178">
            <v>9</v>
          </cell>
          <cell r="AM178">
            <v>9</v>
          </cell>
          <cell r="AN178" t="str">
            <v>NULL</v>
          </cell>
          <cell r="AO178" t="str">
            <v>ITS386860</v>
          </cell>
          <cell r="AP178" t="str">
            <v>Independent School standard inspection</v>
          </cell>
          <cell r="AQ178" t="str">
            <v>Independent Standard Inspection</v>
          </cell>
          <cell r="AR178">
            <v>40967</v>
          </cell>
          <cell r="AS178">
            <v>40968</v>
          </cell>
          <cell r="AT178">
            <v>40991</v>
          </cell>
          <cell r="AU178">
            <v>2</v>
          </cell>
          <cell r="AV178">
            <v>2</v>
          </cell>
          <cell r="AW178">
            <v>2</v>
          </cell>
          <cell r="AX178" t="str">
            <v>NULL</v>
          </cell>
          <cell r="AY178" t="str">
            <v>NULL</v>
          </cell>
          <cell r="AZ178">
            <v>8</v>
          </cell>
          <cell r="BA178" t="str">
            <v>NULL</v>
          </cell>
          <cell r="BB178" t="str">
            <v>NULL</v>
          </cell>
        </row>
        <row r="179">
          <cell r="D179">
            <v>125814</v>
          </cell>
          <cell r="E179">
            <v>8956000</v>
          </cell>
          <cell r="F179" t="str">
            <v>Aidenswood</v>
          </cell>
          <cell r="G179" t="str">
            <v>Other Independent Special School</v>
          </cell>
          <cell r="H179">
            <v>38541</v>
          </cell>
          <cell r="I179">
            <v>6</v>
          </cell>
          <cell r="J179" t="str">
            <v>North West</v>
          </cell>
          <cell r="K179" t="str">
            <v>North West</v>
          </cell>
          <cell r="L179" t="str">
            <v>Cheshire East</v>
          </cell>
          <cell r="M179" t="str">
            <v>Congleton</v>
          </cell>
          <cell r="N179" t="str">
            <v>CW12 4ED</v>
          </cell>
          <cell r="O179" t="str">
            <v>Not applicable</v>
          </cell>
          <cell r="P179">
            <v>11</v>
          </cell>
          <cell r="Q179">
            <v>17</v>
          </cell>
          <cell r="R179" t="str">
            <v>None</v>
          </cell>
          <cell r="S179" t="str">
            <v>Ofsted</v>
          </cell>
          <cell r="T179" t="str">
            <v>NULL</v>
          </cell>
          <cell r="U179" t="str">
            <v>NULL</v>
          </cell>
          <cell r="V179" t="str">
            <v>NULL</v>
          </cell>
          <cell r="W179" t="str">
            <v>NULL</v>
          </cell>
          <cell r="X179" t="str">
            <v>NULL</v>
          </cell>
          <cell r="Y179" t="str">
            <v>NULL</v>
          </cell>
          <cell r="Z179" t="str">
            <v>NULL</v>
          </cell>
          <cell r="AA179">
            <v>10006079</v>
          </cell>
          <cell r="AB179" t="str">
            <v>Independent School standard inspection</v>
          </cell>
          <cell r="AC179" t="str">
            <v>Independent Standard Inspection</v>
          </cell>
          <cell r="AD179">
            <v>42633</v>
          </cell>
          <cell r="AE179">
            <v>42635</v>
          </cell>
          <cell r="AF179">
            <v>42663</v>
          </cell>
          <cell r="AG179">
            <v>1</v>
          </cell>
          <cell r="AH179">
            <v>1</v>
          </cell>
          <cell r="AI179">
            <v>1</v>
          </cell>
          <cell r="AJ179">
            <v>1</v>
          </cell>
          <cell r="AK179">
            <v>1</v>
          </cell>
          <cell r="AL179" t="str">
            <v>NULL</v>
          </cell>
          <cell r="AM179">
            <v>2</v>
          </cell>
          <cell r="AN179" t="str">
            <v>Yes</v>
          </cell>
          <cell r="AO179" t="str">
            <v>ITS397659</v>
          </cell>
          <cell r="AP179" t="str">
            <v xml:space="preserve">Independent School standard inspection - integrated </v>
          </cell>
          <cell r="AQ179" t="str">
            <v>Independent Standard Inspection</v>
          </cell>
          <cell r="AR179">
            <v>41233</v>
          </cell>
          <cell r="AS179">
            <v>41234</v>
          </cell>
          <cell r="AT179">
            <v>41255</v>
          </cell>
          <cell r="AU179">
            <v>1</v>
          </cell>
          <cell r="AV179">
            <v>1</v>
          </cell>
          <cell r="AW179">
            <v>1</v>
          </cell>
          <cell r="AX179" t="str">
            <v>NULL</v>
          </cell>
          <cell r="AY179" t="str">
            <v>NULL</v>
          </cell>
          <cell r="AZ179">
            <v>8</v>
          </cell>
          <cell r="BA179" t="str">
            <v>NULL</v>
          </cell>
          <cell r="BB179" t="str">
            <v>NULL</v>
          </cell>
        </row>
        <row r="180">
          <cell r="D180">
            <v>140814</v>
          </cell>
          <cell r="E180">
            <v>3576004</v>
          </cell>
          <cell r="F180" t="str">
            <v>Brambles School</v>
          </cell>
          <cell r="G180" t="str">
            <v>Other Independent Special School</v>
          </cell>
          <cell r="H180">
            <v>41733</v>
          </cell>
          <cell r="I180">
            <v>5</v>
          </cell>
          <cell r="J180" t="str">
            <v>North West</v>
          </cell>
          <cell r="K180" t="str">
            <v>North West</v>
          </cell>
          <cell r="L180" t="str">
            <v>Tameside</v>
          </cell>
          <cell r="M180" t="str">
            <v>Stalybridge and Hyde</v>
          </cell>
          <cell r="N180" t="str">
            <v>SK14 6NT</v>
          </cell>
          <cell r="O180" t="str">
            <v>Not applicable</v>
          </cell>
          <cell r="P180">
            <v>6</v>
          </cell>
          <cell r="Q180">
            <v>14</v>
          </cell>
          <cell r="R180" t="str">
            <v>None</v>
          </cell>
          <cell r="S180" t="str">
            <v>Ofsted</v>
          </cell>
          <cell r="T180" t="str">
            <v>NULL</v>
          </cell>
          <cell r="U180" t="str">
            <v>NULL</v>
          </cell>
          <cell r="V180" t="str">
            <v>NULL</v>
          </cell>
          <cell r="W180" t="str">
            <v>NULL</v>
          </cell>
          <cell r="X180" t="str">
            <v>NULL</v>
          </cell>
          <cell r="Y180" t="str">
            <v>NULL</v>
          </cell>
          <cell r="Z180" t="str">
            <v>NULL</v>
          </cell>
          <cell r="AA180">
            <v>10043785</v>
          </cell>
          <cell r="AB180" t="str">
            <v>Independent School standard inspection</v>
          </cell>
          <cell r="AC180" t="str">
            <v>Independent Standard Inspection</v>
          </cell>
          <cell r="AD180">
            <v>43081</v>
          </cell>
          <cell r="AE180">
            <v>43083</v>
          </cell>
          <cell r="AF180">
            <v>43130</v>
          </cell>
          <cell r="AG180">
            <v>2</v>
          </cell>
          <cell r="AH180">
            <v>2</v>
          </cell>
          <cell r="AI180">
            <v>2</v>
          </cell>
          <cell r="AJ180">
            <v>2</v>
          </cell>
          <cell r="AK180">
            <v>2</v>
          </cell>
          <cell r="AL180" t="str">
            <v>NULL</v>
          </cell>
          <cell r="AM180" t="str">
            <v>NULL</v>
          </cell>
          <cell r="AN180" t="str">
            <v>Yes</v>
          </cell>
          <cell r="AO180" t="str">
            <v>ITS454307</v>
          </cell>
          <cell r="AP180" t="str">
            <v>Independent school standard inspection - first</v>
          </cell>
          <cell r="AQ180" t="str">
            <v>Independent Standard Inspection</v>
          </cell>
          <cell r="AR180">
            <v>42038</v>
          </cell>
          <cell r="AS180">
            <v>42039</v>
          </cell>
          <cell r="AT180">
            <v>42073</v>
          </cell>
          <cell r="AU180">
            <v>2</v>
          </cell>
          <cell r="AV180">
            <v>2</v>
          </cell>
          <cell r="AW180">
            <v>2</v>
          </cell>
          <cell r="AX180">
            <v>2</v>
          </cell>
          <cell r="AY180" t="str">
            <v>NULL</v>
          </cell>
          <cell r="AZ180">
            <v>9</v>
          </cell>
          <cell r="BA180">
            <v>9</v>
          </cell>
          <cell r="BB180" t="str">
            <v>NULL</v>
          </cell>
        </row>
        <row r="181">
          <cell r="D181">
            <v>124879</v>
          </cell>
          <cell r="E181">
            <v>9356036</v>
          </cell>
          <cell r="F181" t="str">
            <v>Bramfield House School</v>
          </cell>
          <cell r="G181" t="str">
            <v>Other Independent Special School</v>
          </cell>
          <cell r="H181">
            <v>25892</v>
          </cell>
          <cell r="I181">
            <v>72</v>
          </cell>
          <cell r="J181" t="str">
            <v>East of England</v>
          </cell>
          <cell r="K181" t="str">
            <v>East of England</v>
          </cell>
          <cell r="L181" t="str">
            <v>Suffolk</v>
          </cell>
          <cell r="M181" t="str">
            <v>Suffolk Coastal</v>
          </cell>
          <cell r="N181" t="str">
            <v>IP19 9AB</v>
          </cell>
          <cell r="O181" t="str">
            <v>Not applicable</v>
          </cell>
          <cell r="P181">
            <v>7</v>
          </cell>
          <cell r="Q181">
            <v>16</v>
          </cell>
          <cell r="R181" t="str">
            <v>None</v>
          </cell>
          <cell r="S181" t="str">
            <v>Ofsted</v>
          </cell>
          <cell r="T181" t="str">
            <v>NULL</v>
          </cell>
          <cell r="U181" t="str">
            <v>NULL</v>
          </cell>
          <cell r="V181" t="str">
            <v>NULL</v>
          </cell>
          <cell r="W181" t="str">
            <v>NULL</v>
          </cell>
          <cell r="X181" t="str">
            <v>NULL</v>
          </cell>
          <cell r="Y181" t="str">
            <v>NULL</v>
          </cell>
          <cell r="Z181" t="str">
            <v>NULL</v>
          </cell>
          <cell r="AA181">
            <v>10006050</v>
          </cell>
          <cell r="AB181" t="str">
            <v xml:space="preserve">Independent School standard inspection - integrated </v>
          </cell>
          <cell r="AC181" t="str">
            <v>Independent Standard Inspection</v>
          </cell>
          <cell r="AD181">
            <v>42752</v>
          </cell>
          <cell r="AE181">
            <v>42754</v>
          </cell>
          <cell r="AF181">
            <v>42782</v>
          </cell>
          <cell r="AG181">
            <v>2</v>
          </cell>
          <cell r="AH181">
            <v>2</v>
          </cell>
          <cell r="AI181">
            <v>2</v>
          </cell>
          <cell r="AJ181">
            <v>2</v>
          </cell>
          <cell r="AK181">
            <v>1</v>
          </cell>
          <cell r="AL181" t="str">
            <v>NULL</v>
          </cell>
          <cell r="AM181" t="str">
            <v>NULL</v>
          </cell>
          <cell r="AN181" t="str">
            <v>Yes</v>
          </cell>
          <cell r="AO181" t="str">
            <v>ITS397747</v>
          </cell>
          <cell r="AP181" t="str">
            <v xml:space="preserve">Independent School standard inspection - integrated </v>
          </cell>
          <cell r="AQ181" t="str">
            <v>Independent Standard Inspection</v>
          </cell>
          <cell r="AR181">
            <v>41234</v>
          </cell>
          <cell r="AS181">
            <v>41235</v>
          </cell>
          <cell r="AT181">
            <v>41260</v>
          </cell>
          <cell r="AU181">
            <v>2</v>
          </cell>
          <cell r="AV181">
            <v>2</v>
          </cell>
          <cell r="AW181">
            <v>2</v>
          </cell>
          <cell r="AX181" t="str">
            <v>NULL</v>
          </cell>
          <cell r="AY181" t="str">
            <v>NULL</v>
          </cell>
          <cell r="AZ181">
            <v>8</v>
          </cell>
          <cell r="BA181" t="str">
            <v>NULL</v>
          </cell>
          <cell r="BB181" t="str">
            <v>NULL</v>
          </cell>
        </row>
        <row r="182">
          <cell r="D182">
            <v>136936</v>
          </cell>
          <cell r="E182">
            <v>3736002</v>
          </cell>
          <cell r="F182" t="str">
            <v>Brantwood Specialist School</v>
          </cell>
          <cell r="G182" t="str">
            <v>Other Independent Special School</v>
          </cell>
          <cell r="H182">
            <v>40737</v>
          </cell>
          <cell r="I182">
            <v>33</v>
          </cell>
          <cell r="J182" t="str">
            <v>North East, Yorkshire and the Humber</v>
          </cell>
          <cell r="K182" t="str">
            <v>Yorkshire and the Humber</v>
          </cell>
          <cell r="L182" t="str">
            <v>Sheffield</v>
          </cell>
          <cell r="M182" t="str">
            <v>Sheffield Central</v>
          </cell>
          <cell r="N182" t="str">
            <v>S7 1NU</v>
          </cell>
          <cell r="O182" t="str">
            <v>Not applicable</v>
          </cell>
          <cell r="P182">
            <v>7</v>
          </cell>
          <cell r="Q182">
            <v>19</v>
          </cell>
          <cell r="R182" t="str">
            <v>None</v>
          </cell>
          <cell r="S182" t="str">
            <v>Ofsted</v>
          </cell>
          <cell r="T182" t="str">
            <v>NULL</v>
          </cell>
          <cell r="U182" t="str">
            <v>NULL</v>
          </cell>
          <cell r="V182" t="str">
            <v>NULL</v>
          </cell>
          <cell r="W182" t="str">
            <v>NULL</v>
          </cell>
          <cell r="X182" t="str">
            <v>NULL</v>
          </cell>
          <cell r="Y182" t="str">
            <v>NULL</v>
          </cell>
          <cell r="Z182" t="str">
            <v>NULL</v>
          </cell>
          <cell r="AA182">
            <v>10008895</v>
          </cell>
          <cell r="AB182" t="str">
            <v>Independent School standard inspection</v>
          </cell>
          <cell r="AC182" t="str">
            <v>Independent Standard Inspection</v>
          </cell>
          <cell r="AD182">
            <v>42402</v>
          </cell>
          <cell r="AE182">
            <v>42404</v>
          </cell>
          <cell r="AF182">
            <v>42432</v>
          </cell>
          <cell r="AG182">
            <v>2</v>
          </cell>
          <cell r="AH182">
            <v>2</v>
          </cell>
          <cell r="AI182">
            <v>2</v>
          </cell>
          <cell r="AJ182">
            <v>2</v>
          </cell>
          <cell r="AK182">
            <v>2</v>
          </cell>
          <cell r="AL182" t="str">
            <v>NULL</v>
          </cell>
          <cell r="AM182">
            <v>3</v>
          </cell>
          <cell r="AN182" t="str">
            <v>Yes</v>
          </cell>
          <cell r="AO182" t="str">
            <v>ITS393253</v>
          </cell>
          <cell r="AP182" t="str">
            <v xml:space="preserve">Independent school standard inspection - integrated - first </v>
          </cell>
          <cell r="AQ182" t="str">
            <v>Independent Standard Inspection</v>
          </cell>
          <cell r="AR182">
            <v>41080</v>
          </cell>
          <cell r="AS182">
            <v>41081</v>
          </cell>
          <cell r="AT182">
            <v>41102</v>
          </cell>
          <cell r="AU182">
            <v>2</v>
          </cell>
          <cell r="AV182">
            <v>2</v>
          </cell>
          <cell r="AW182">
            <v>2</v>
          </cell>
          <cell r="AX182" t="str">
            <v>NULL</v>
          </cell>
          <cell r="AY182" t="str">
            <v>NULL</v>
          </cell>
          <cell r="AZ182">
            <v>8</v>
          </cell>
          <cell r="BA182" t="str">
            <v>NULL</v>
          </cell>
          <cell r="BB182" t="str">
            <v>NULL</v>
          </cell>
        </row>
        <row r="183">
          <cell r="D183">
            <v>119021</v>
          </cell>
          <cell r="E183">
            <v>8866070</v>
          </cell>
          <cell r="F183" t="str">
            <v>Brewood Secondary School</v>
          </cell>
          <cell r="G183" t="str">
            <v>Other Independent Special School</v>
          </cell>
          <cell r="H183">
            <v>34898</v>
          </cell>
          <cell r="I183">
            <v>28</v>
          </cell>
          <cell r="J183" t="str">
            <v>South East</v>
          </cell>
          <cell r="K183" t="str">
            <v>South East</v>
          </cell>
          <cell r="L183" t="str">
            <v>Kent</v>
          </cell>
          <cell r="M183" t="str">
            <v>Dover</v>
          </cell>
          <cell r="N183" t="str">
            <v>CT14 9TR</v>
          </cell>
          <cell r="O183" t="str">
            <v>Has a sixth form</v>
          </cell>
          <cell r="P183">
            <v>11</v>
          </cell>
          <cell r="Q183">
            <v>18</v>
          </cell>
          <cell r="R183" t="str">
            <v>None</v>
          </cell>
          <cell r="S183" t="str">
            <v>Ofsted</v>
          </cell>
          <cell r="T183" t="str">
            <v>NULL</v>
          </cell>
          <cell r="U183" t="str">
            <v>NULL</v>
          </cell>
          <cell r="V183" t="str">
            <v>NULL</v>
          </cell>
          <cell r="W183" t="str">
            <v>NULL</v>
          </cell>
          <cell r="X183" t="str">
            <v>NULL</v>
          </cell>
          <cell r="Y183" t="str">
            <v>NULL</v>
          </cell>
          <cell r="Z183" t="str">
            <v>NULL</v>
          </cell>
          <cell r="AA183">
            <v>10008524</v>
          </cell>
          <cell r="AB183" t="str">
            <v>Independent School standard inspection</v>
          </cell>
          <cell r="AC183" t="str">
            <v>Independent Standard Inspection</v>
          </cell>
          <cell r="AD183">
            <v>42661</v>
          </cell>
          <cell r="AE183">
            <v>42663</v>
          </cell>
          <cell r="AF183">
            <v>42688</v>
          </cell>
          <cell r="AG183">
            <v>2</v>
          </cell>
          <cell r="AH183">
            <v>2</v>
          </cell>
          <cell r="AI183">
            <v>2</v>
          </cell>
          <cell r="AJ183">
            <v>2</v>
          </cell>
          <cell r="AK183">
            <v>2</v>
          </cell>
          <cell r="AL183" t="str">
            <v>NULL</v>
          </cell>
          <cell r="AM183">
            <v>2</v>
          </cell>
          <cell r="AN183" t="str">
            <v>Yes</v>
          </cell>
          <cell r="AO183" t="str">
            <v>ITS397619</v>
          </cell>
          <cell r="AP183" t="str">
            <v>Independent School standard inspection</v>
          </cell>
          <cell r="AQ183" t="str">
            <v>Independent Standard Inspection</v>
          </cell>
          <cell r="AR183">
            <v>41254</v>
          </cell>
          <cell r="AS183">
            <v>41255</v>
          </cell>
          <cell r="AT183">
            <v>41290</v>
          </cell>
          <cell r="AU183">
            <v>2</v>
          </cell>
          <cell r="AV183">
            <v>2</v>
          </cell>
          <cell r="AW183">
            <v>2</v>
          </cell>
          <cell r="AX183" t="str">
            <v>NULL</v>
          </cell>
          <cell r="AY183" t="str">
            <v>NULL</v>
          </cell>
          <cell r="AZ183">
            <v>8</v>
          </cell>
          <cell r="BA183" t="str">
            <v>NULL</v>
          </cell>
          <cell r="BB183" t="str">
            <v>NULL</v>
          </cell>
        </row>
        <row r="184">
          <cell r="D184">
            <v>110931</v>
          </cell>
          <cell r="E184">
            <v>8736018</v>
          </cell>
          <cell r="F184" t="str">
            <v>Chartwell House School</v>
          </cell>
          <cell r="G184" t="str">
            <v>Other Independent Special School</v>
          </cell>
          <cell r="H184">
            <v>32834</v>
          </cell>
          <cell r="I184">
            <v>7</v>
          </cell>
          <cell r="J184" t="str">
            <v>East of England</v>
          </cell>
          <cell r="K184" t="str">
            <v>East of England</v>
          </cell>
          <cell r="L184" t="str">
            <v>Cambridgeshire</v>
          </cell>
          <cell r="M184" t="str">
            <v>North East Cambridgeshire</v>
          </cell>
          <cell r="N184" t="str">
            <v>PE13 5HQ</v>
          </cell>
          <cell r="O184" t="str">
            <v>Not applicable</v>
          </cell>
          <cell r="P184">
            <v>8</v>
          </cell>
          <cell r="Q184">
            <v>16</v>
          </cell>
          <cell r="R184" t="str">
            <v>None</v>
          </cell>
          <cell r="S184" t="str">
            <v>Ofsted</v>
          </cell>
          <cell r="T184" t="str">
            <v>NULL</v>
          </cell>
          <cell r="U184" t="str">
            <v>NULL</v>
          </cell>
          <cell r="V184" t="str">
            <v>NULL</v>
          </cell>
          <cell r="W184" t="str">
            <v>NULL</v>
          </cell>
          <cell r="X184" t="str">
            <v>NULL</v>
          </cell>
          <cell r="Y184" t="str">
            <v>NULL</v>
          </cell>
          <cell r="Z184" t="str">
            <v>NULL</v>
          </cell>
          <cell r="AA184">
            <v>10038901</v>
          </cell>
          <cell r="AB184" t="str">
            <v>Independent School standard inspection</v>
          </cell>
          <cell r="AC184" t="str">
            <v>Independent Standard Inspection</v>
          </cell>
          <cell r="AD184">
            <v>43116</v>
          </cell>
          <cell r="AE184">
            <v>43118</v>
          </cell>
          <cell r="AF184">
            <v>43153</v>
          </cell>
          <cell r="AG184">
            <v>2</v>
          </cell>
          <cell r="AH184">
            <v>2</v>
          </cell>
          <cell r="AI184">
            <v>2</v>
          </cell>
          <cell r="AJ184">
            <v>2</v>
          </cell>
          <cell r="AK184">
            <v>1</v>
          </cell>
          <cell r="AL184" t="str">
            <v>NULL</v>
          </cell>
          <cell r="AM184" t="str">
            <v>NULL</v>
          </cell>
          <cell r="AN184" t="str">
            <v>Yes</v>
          </cell>
          <cell r="AO184" t="str">
            <v>ITS450700</v>
          </cell>
          <cell r="AP184" t="str">
            <v xml:space="preserve">Independent School standard inspection - integrated </v>
          </cell>
          <cell r="AQ184" t="str">
            <v>Independent Standard Inspection</v>
          </cell>
          <cell r="AR184">
            <v>41906</v>
          </cell>
          <cell r="AS184">
            <v>41908</v>
          </cell>
          <cell r="AT184">
            <v>41954</v>
          </cell>
          <cell r="AU184">
            <v>2</v>
          </cell>
          <cell r="AV184">
            <v>2</v>
          </cell>
          <cell r="AW184">
            <v>2</v>
          </cell>
          <cell r="AX184">
            <v>2</v>
          </cell>
          <cell r="AY184" t="str">
            <v>NULL</v>
          </cell>
          <cell r="AZ184" t="str">
            <v>NULL</v>
          </cell>
          <cell r="BA184" t="str">
            <v>NULL</v>
          </cell>
          <cell r="BB184" t="str">
            <v>NULL</v>
          </cell>
        </row>
        <row r="185">
          <cell r="D185">
            <v>113616</v>
          </cell>
          <cell r="E185">
            <v>8786039</v>
          </cell>
          <cell r="F185" t="str">
            <v>Quay View School</v>
          </cell>
          <cell r="G185" t="str">
            <v>Other Independent Special School</v>
          </cell>
          <cell r="H185">
            <v>31467</v>
          </cell>
          <cell r="I185">
            <v>24</v>
          </cell>
          <cell r="J185" t="str">
            <v>South West</v>
          </cell>
          <cell r="K185" t="str">
            <v>South West</v>
          </cell>
          <cell r="L185" t="str">
            <v>Devon</v>
          </cell>
          <cell r="M185" t="str">
            <v>Torridge and West Devon</v>
          </cell>
          <cell r="N185" t="str">
            <v>PL20 7EX</v>
          </cell>
          <cell r="O185" t="str">
            <v>Not applicable</v>
          </cell>
          <cell r="P185">
            <v>7</v>
          </cell>
          <cell r="Q185">
            <v>19</v>
          </cell>
          <cell r="R185" t="str">
            <v>None</v>
          </cell>
          <cell r="S185" t="str">
            <v>Ofsted</v>
          </cell>
          <cell r="T185" t="str">
            <v>NULL</v>
          </cell>
          <cell r="U185" t="str">
            <v>NULL</v>
          </cell>
          <cell r="V185" t="str">
            <v>NULL</v>
          </cell>
          <cell r="W185" t="str">
            <v>NULL</v>
          </cell>
          <cell r="X185" t="str">
            <v>NULL</v>
          </cell>
          <cell r="Y185" t="str">
            <v>NULL</v>
          </cell>
          <cell r="Z185" t="str">
            <v>NULL</v>
          </cell>
          <cell r="AA185" t="str">
            <v>ITS462861</v>
          </cell>
          <cell r="AB185" t="str">
            <v>Independent school standard inspection - aligned with CH</v>
          </cell>
          <cell r="AC185" t="str">
            <v>Independent Standard Inspection</v>
          </cell>
          <cell r="AD185">
            <v>42192</v>
          </cell>
          <cell r="AE185">
            <v>42194</v>
          </cell>
          <cell r="AF185">
            <v>42221</v>
          </cell>
          <cell r="AG185">
            <v>2</v>
          </cell>
          <cell r="AH185">
            <v>2</v>
          </cell>
          <cell r="AI185">
            <v>2</v>
          </cell>
          <cell r="AJ185">
            <v>2</v>
          </cell>
          <cell r="AK185" t="str">
            <v>NULL</v>
          </cell>
          <cell r="AL185">
            <v>9</v>
          </cell>
          <cell r="AM185">
            <v>2</v>
          </cell>
          <cell r="AN185" t="str">
            <v>NULL</v>
          </cell>
          <cell r="AO185" t="str">
            <v>ITS409355</v>
          </cell>
          <cell r="AP185" t="str">
            <v xml:space="preserve">Independent School standard inspection - integrated </v>
          </cell>
          <cell r="AQ185" t="str">
            <v>Independent Standard Inspection</v>
          </cell>
          <cell r="AR185">
            <v>41178</v>
          </cell>
          <cell r="AS185">
            <v>41179</v>
          </cell>
          <cell r="AT185">
            <v>41201</v>
          </cell>
          <cell r="AU185">
            <v>1</v>
          </cell>
          <cell r="AV185">
            <v>1</v>
          </cell>
          <cell r="AW185">
            <v>1</v>
          </cell>
          <cell r="AX185" t="str">
            <v>NULL</v>
          </cell>
          <cell r="AY185" t="str">
            <v>NULL</v>
          </cell>
          <cell r="AZ185">
            <v>8</v>
          </cell>
          <cell r="BA185" t="str">
            <v>NULL</v>
          </cell>
          <cell r="BB185" t="str">
            <v>NULL</v>
          </cell>
        </row>
        <row r="186">
          <cell r="D186">
            <v>140205</v>
          </cell>
          <cell r="E186">
            <v>3516002</v>
          </cell>
          <cell r="F186" t="str">
            <v>Cambian Chesham House School</v>
          </cell>
          <cell r="G186" t="str">
            <v>Other Independent Special School</v>
          </cell>
          <cell r="H186">
            <v>41535</v>
          </cell>
          <cell r="I186">
            <v>6</v>
          </cell>
          <cell r="J186" t="str">
            <v>North West</v>
          </cell>
          <cell r="K186" t="str">
            <v>North West</v>
          </cell>
          <cell r="L186" t="str">
            <v>Bury</v>
          </cell>
          <cell r="M186" t="str">
            <v>Bury North</v>
          </cell>
          <cell r="N186" t="str">
            <v>BL9 6JD</v>
          </cell>
          <cell r="O186" t="str">
            <v>Not applicable</v>
          </cell>
          <cell r="P186">
            <v>10</v>
          </cell>
          <cell r="Q186">
            <v>18</v>
          </cell>
          <cell r="R186" t="str">
            <v>None</v>
          </cell>
          <cell r="S186" t="str">
            <v>Ofsted</v>
          </cell>
          <cell r="T186" t="str">
            <v>NULL</v>
          </cell>
          <cell r="U186" t="str">
            <v>NULL</v>
          </cell>
          <cell r="V186" t="str">
            <v>NULL</v>
          </cell>
          <cell r="W186" t="str">
            <v>NULL</v>
          </cell>
          <cell r="X186" t="str">
            <v>NULL</v>
          </cell>
          <cell r="Y186" t="str">
            <v>NULL</v>
          </cell>
          <cell r="Z186" t="str">
            <v>NULL</v>
          </cell>
          <cell r="AA186">
            <v>10034033</v>
          </cell>
          <cell r="AB186" t="str">
            <v>Independent School standard inspection</v>
          </cell>
          <cell r="AC186" t="str">
            <v>Independent Standard Inspection</v>
          </cell>
          <cell r="AD186">
            <v>43025</v>
          </cell>
          <cell r="AE186">
            <v>43027</v>
          </cell>
          <cell r="AF186">
            <v>43052</v>
          </cell>
          <cell r="AG186">
            <v>2</v>
          </cell>
          <cell r="AH186">
            <v>2</v>
          </cell>
          <cell r="AI186">
            <v>2</v>
          </cell>
          <cell r="AJ186">
            <v>2</v>
          </cell>
          <cell r="AK186">
            <v>2</v>
          </cell>
          <cell r="AL186" t="str">
            <v>NULL</v>
          </cell>
          <cell r="AM186" t="str">
            <v>NULL</v>
          </cell>
          <cell r="AN186" t="str">
            <v>Yes</v>
          </cell>
          <cell r="AO186" t="str">
            <v>ITS443032</v>
          </cell>
          <cell r="AP186" t="str">
            <v>Independent school standard inspection - first</v>
          </cell>
          <cell r="AQ186" t="str">
            <v>Independent Standard Inspection</v>
          </cell>
          <cell r="AR186">
            <v>41800</v>
          </cell>
          <cell r="AS186">
            <v>41801</v>
          </cell>
          <cell r="AT186">
            <v>41823</v>
          </cell>
          <cell r="AU186">
            <v>2</v>
          </cell>
          <cell r="AV186">
            <v>2</v>
          </cell>
          <cell r="AW186">
            <v>2</v>
          </cell>
          <cell r="AX186">
            <v>2</v>
          </cell>
          <cell r="AY186" t="str">
            <v>NULL</v>
          </cell>
          <cell r="AZ186" t="str">
            <v>NULL</v>
          </cell>
          <cell r="BA186" t="str">
            <v>NULL</v>
          </cell>
          <cell r="BB186" t="str">
            <v>NULL</v>
          </cell>
        </row>
        <row r="187">
          <cell r="D187">
            <v>130310</v>
          </cell>
          <cell r="E187">
            <v>8506063</v>
          </cell>
          <cell r="F187" t="str">
            <v>Chiltern Tutorial School</v>
          </cell>
          <cell r="G187" t="str">
            <v>Other Independent Special School</v>
          </cell>
          <cell r="H187">
            <v>35090</v>
          </cell>
          <cell r="I187">
            <v>22</v>
          </cell>
          <cell r="J187" t="str">
            <v>South East</v>
          </cell>
          <cell r="K187" t="str">
            <v>South East</v>
          </cell>
          <cell r="L187" t="str">
            <v>Hampshire</v>
          </cell>
          <cell r="M187" t="str">
            <v>Winchester</v>
          </cell>
          <cell r="N187" t="str">
            <v>SO21 2ET</v>
          </cell>
          <cell r="O187" t="str">
            <v>Not applicable</v>
          </cell>
          <cell r="P187">
            <v>7</v>
          </cell>
          <cell r="Q187">
            <v>13</v>
          </cell>
          <cell r="R187" t="str">
            <v>None</v>
          </cell>
          <cell r="S187" t="str">
            <v>Ofsted</v>
          </cell>
          <cell r="T187" t="str">
            <v>NULL</v>
          </cell>
          <cell r="U187" t="str">
            <v>NULL</v>
          </cell>
          <cell r="V187" t="str">
            <v>NULL</v>
          </cell>
          <cell r="W187" t="str">
            <v>NULL</v>
          </cell>
          <cell r="X187" t="str">
            <v>NULL</v>
          </cell>
          <cell r="Y187" t="str">
            <v>NULL</v>
          </cell>
          <cell r="Z187" t="str">
            <v>NULL</v>
          </cell>
          <cell r="AA187">
            <v>10008604</v>
          </cell>
          <cell r="AB187" t="str">
            <v>Independent School standard inspection</v>
          </cell>
          <cell r="AC187" t="str">
            <v>Independent Standard Inspection</v>
          </cell>
          <cell r="AD187">
            <v>42655</v>
          </cell>
          <cell r="AE187">
            <v>42657</v>
          </cell>
          <cell r="AF187">
            <v>42695</v>
          </cell>
          <cell r="AG187">
            <v>3</v>
          </cell>
          <cell r="AH187">
            <v>3</v>
          </cell>
          <cell r="AI187">
            <v>3</v>
          </cell>
          <cell r="AJ187">
            <v>3</v>
          </cell>
          <cell r="AK187">
            <v>2</v>
          </cell>
          <cell r="AL187" t="str">
            <v>NULL</v>
          </cell>
          <cell r="AM187" t="str">
            <v>NULL</v>
          </cell>
          <cell r="AN187" t="str">
            <v>Yes</v>
          </cell>
          <cell r="AO187" t="str">
            <v>ITS393304</v>
          </cell>
          <cell r="AP187" t="str">
            <v>Independent School standard inspection</v>
          </cell>
          <cell r="AQ187" t="str">
            <v>Independent Standard Inspection</v>
          </cell>
          <cell r="AR187">
            <v>41093</v>
          </cell>
          <cell r="AS187">
            <v>41094</v>
          </cell>
          <cell r="AT187">
            <v>41163</v>
          </cell>
          <cell r="AU187">
            <v>2</v>
          </cell>
          <cell r="AV187">
            <v>2</v>
          </cell>
          <cell r="AW187">
            <v>2</v>
          </cell>
          <cell r="AX187" t="str">
            <v>NULL</v>
          </cell>
          <cell r="AY187" t="str">
            <v>NULL</v>
          </cell>
          <cell r="AZ187">
            <v>8</v>
          </cell>
          <cell r="BA187" t="str">
            <v>NULL</v>
          </cell>
          <cell r="BB187" t="str">
            <v>NULL</v>
          </cell>
        </row>
        <row r="188">
          <cell r="D188">
            <v>135247</v>
          </cell>
          <cell r="E188">
            <v>8136005</v>
          </cell>
          <cell r="F188" t="str">
            <v>Demeter House</v>
          </cell>
          <cell r="G188" t="str">
            <v>Other Independent Special School</v>
          </cell>
          <cell r="H188">
            <v>39202</v>
          </cell>
          <cell r="I188">
            <v>59</v>
          </cell>
          <cell r="J188" t="str">
            <v>North East, Yorkshire and the Humber</v>
          </cell>
          <cell r="K188" t="str">
            <v>Yorkshire and the Humber</v>
          </cell>
          <cell r="L188" t="str">
            <v>North Lincolnshire</v>
          </cell>
          <cell r="M188" t="str">
            <v>Brigg and Goole</v>
          </cell>
          <cell r="N188" t="str">
            <v>DN20 8EF</v>
          </cell>
          <cell r="O188" t="str">
            <v>Not applicable</v>
          </cell>
          <cell r="P188">
            <v>5</v>
          </cell>
          <cell r="Q188">
            <v>19</v>
          </cell>
          <cell r="R188" t="str">
            <v>None</v>
          </cell>
          <cell r="S188" t="str">
            <v>Ofsted</v>
          </cell>
          <cell r="T188">
            <v>1</v>
          </cell>
          <cell r="U188">
            <v>10030906</v>
          </cell>
          <cell r="V188" t="str">
            <v xml:space="preserve">Independent School material change inspection - Integrated </v>
          </cell>
          <cell r="W188">
            <v>42775</v>
          </cell>
          <cell r="X188">
            <v>42775</v>
          </cell>
          <cell r="Y188" t="str">
            <v>NULL</v>
          </cell>
          <cell r="Z188" t="str">
            <v>Likely to meet relevant standards</v>
          </cell>
          <cell r="AA188">
            <v>10020916</v>
          </cell>
          <cell r="AB188" t="str">
            <v xml:space="preserve">Independent School standard inspection - integrated </v>
          </cell>
          <cell r="AC188" t="str">
            <v>Independent Standard Inspection</v>
          </cell>
          <cell r="AD188">
            <v>42710</v>
          </cell>
          <cell r="AE188">
            <v>42712</v>
          </cell>
          <cell r="AF188">
            <v>42767</v>
          </cell>
          <cell r="AG188">
            <v>2</v>
          </cell>
          <cell r="AH188">
            <v>2</v>
          </cell>
          <cell r="AI188">
            <v>2</v>
          </cell>
          <cell r="AJ188">
            <v>2</v>
          </cell>
          <cell r="AK188">
            <v>1</v>
          </cell>
          <cell r="AL188" t="str">
            <v>NULL</v>
          </cell>
          <cell r="AM188">
            <v>2</v>
          </cell>
          <cell r="AN188" t="str">
            <v>Yes</v>
          </cell>
          <cell r="AO188" t="str">
            <v>ITS422790</v>
          </cell>
          <cell r="AP188" t="str">
            <v>Independent School standard inspection</v>
          </cell>
          <cell r="AQ188" t="str">
            <v>Independent Standard Inspection</v>
          </cell>
          <cell r="AR188">
            <v>41562</v>
          </cell>
          <cell r="AS188">
            <v>41564</v>
          </cell>
          <cell r="AT188">
            <v>41585</v>
          </cell>
          <cell r="AU188">
            <v>2</v>
          </cell>
          <cell r="AV188">
            <v>2</v>
          </cell>
          <cell r="AW188">
            <v>2</v>
          </cell>
          <cell r="AX188">
            <v>2</v>
          </cell>
          <cell r="AY188" t="str">
            <v>NULL</v>
          </cell>
          <cell r="AZ188" t="str">
            <v>NULL</v>
          </cell>
          <cell r="BA188" t="str">
            <v>NULL</v>
          </cell>
          <cell r="BB188" t="str">
            <v>NULL</v>
          </cell>
        </row>
        <row r="189">
          <cell r="D189">
            <v>131136</v>
          </cell>
          <cell r="E189">
            <v>3846120</v>
          </cell>
          <cell r="F189" t="str">
            <v>Denby Grange School</v>
          </cell>
          <cell r="G189" t="str">
            <v>Other Independent Special School</v>
          </cell>
          <cell r="H189">
            <v>35416</v>
          </cell>
          <cell r="I189">
            <v>35</v>
          </cell>
          <cell r="J189" t="str">
            <v>North East, Yorkshire and the Humber</v>
          </cell>
          <cell r="K189" t="str">
            <v>Yorkshire and the Humber</v>
          </cell>
          <cell r="L189" t="str">
            <v>Wakefield</v>
          </cell>
          <cell r="M189" t="str">
            <v>Wakefield</v>
          </cell>
          <cell r="N189" t="str">
            <v>WF4 4JG</v>
          </cell>
          <cell r="O189" t="str">
            <v>Not applicable</v>
          </cell>
          <cell r="P189">
            <v>11</v>
          </cell>
          <cell r="Q189">
            <v>18</v>
          </cell>
          <cell r="R189" t="str">
            <v>None</v>
          </cell>
          <cell r="S189" t="str">
            <v>Ofsted</v>
          </cell>
          <cell r="T189" t="str">
            <v>NULL</v>
          </cell>
          <cell r="U189" t="str">
            <v>NULL</v>
          </cell>
          <cell r="V189" t="str">
            <v>NULL</v>
          </cell>
          <cell r="W189" t="str">
            <v>NULL</v>
          </cell>
          <cell r="X189" t="str">
            <v>NULL</v>
          </cell>
          <cell r="Y189" t="str">
            <v>NULL</v>
          </cell>
          <cell r="Z189" t="str">
            <v>NULL</v>
          </cell>
          <cell r="AA189">
            <v>10006063</v>
          </cell>
          <cell r="AB189" t="str">
            <v>Independent School standard inspection</v>
          </cell>
          <cell r="AC189" t="str">
            <v>Independent Standard Inspection</v>
          </cell>
          <cell r="AD189">
            <v>42437</v>
          </cell>
          <cell r="AE189">
            <v>42439</v>
          </cell>
          <cell r="AF189">
            <v>42471</v>
          </cell>
          <cell r="AG189">
            <v>2</v>
          </cell>
          <cell r="AH189">
            <v>2</v>
          </cell>
          <cell r="AI189">
            <v>2</v>
          </cell>
          <cell r="AJ189">
            <v>2</v>
          </cell>
          <cell r="AK189">
            <v>2</v>
          </cell>
          <cell r="AL189" t="str">
            <v>NULL</v>
          </cell>
          <cell r="AM189" t="str">
            <v>NULL</v>
          </cell>
          <cell r="AN189" t="str">
            <v>Yes</v>
          </cell>
          <cell r="AO189" t="str">
            <v>ITS397602</v>
          </cell>
          <cell r="AP189" t="str">
            <v>Independent School standard inspection</v>
          </cell>
          <cell r="AQ189" t="str">
            <v>Independent Standard Inspection</v>
          </cell>
          <cell r="AR189">
            <v>41198</v>
          </cell>
          <cell r="AS189">
            <v>41199</v>
          </cell>
          <cell r="AT189">
            <v>41220</v>
          </cell>
          <cell r="AU189">
            <v>2</v>
          </cell>
          <cell r="AV189">
            <v>2</v>
          </cell>
          <cell r="AW189">
            <v>2</v>
          </cell>
          <cell r="AX189" t="str">
            <v>NULL</v>
          </cell>
          <cell r="AY189" t="str">
            <v>NULL</v>
          </cell>
          <cell r="AZ189">
            <v>8</v>
          </cell>
          <cell r="BA189" t="str">
            <v>NULL</v>
          </cell>
          <cell r="BB189" t="str">
            <v>NULL</v>
          </cell>
        </row>
        <row r="190">
          <cell r="D190">
            <v>115426</v>
          </cell>
          <cell r="E190">
            <v>8816032</v>
          </cell>
          <cell r="F190" t="str">
            <v>Doucecroft School</v>
          </cell>
          <cell r="G190" t="str">
            <v>Other Independent Special School</v>
          </cell>
          <cell r="H190">
            <v>28296</v>
          </cell>
          <cell r="I190">
            <v>47</v>
          </cell>
          <cell r="J190" t="str">
            <v>East of England</v>
          </cell>
          <cell r="K190" t="str">
            <v>East of England</v>
          </cell>
          <cell r="L190" t="str">
            <v>Essex</v>
          </cell>
          <cell r="M190" t="str">
            <v>Harwich and North Essex</v>
          </cell>
          <cell r="N190" t="str">
            <v>CO6 3QL</v>
          </cell>
          <cell r="O190" t="str">
            <v>Has a sixth form</v>
          </cell>
          <cell r="P190">
            <v>3</v>
          </cell>
          <cell r="Q190">
            <v>19</v>
          </cell>
          <cell r="R190" t="str">
            <v>None</v>
          </cell>
          <cell r="S190" t="str">
            <v>Ofsted</v>
          </cell>
          <cell r="T190">
            <v>4</v>
          </cell>
          <cell r="U190">
            <v>10048977</v>
          </cell>
          <cell r="V190" t="str">
            <v>Independent school Progress Monitoring inspection</v>
          </cell>
          <cell r="W190">
            <v>43186</v>
          </cell>
          <cell r="X190">
            <v>43186</v>
          </cell>
          <cell r="Y190" t="str">
            <v>NULL</v>
          </cell>
          <cell r="Z190" t="str">
            <v>Met all standards that were checked</v>
          </cell>
          <cell r="AA190">
            <v>10026061</v>
          </cell>
          <cell r="AB190" t="str">
            <v xml:space="preserve">Independent School standard inspection - integrated </v>
          </cell>
          <cell r="AC190" t="str">
            <v>Independent Standard Inspection</v>
          </cell>
          <cell r="AD190">
            <v>42773</v>
          </cell>
          <cell r="AE190">
            <v>42775</v>
          </cell>
          <cell r="AF190">
            <v>42821</v>
          </cell>
          <cell r="AG190">
            <v>3</v>
          </cell>
          <cell r="AH190">
            <v>2</v>
          </cell>
          <cell r="AI190">
            <v>2</v>
          </cell>
          <cell r="AJ190">
            <v>3</v>
          </cell>
          <cell r="AK190">
            <v>3</v>
          </cell>
          <cell r="AL190">
            <v>0</v>
          </cell>
          <cell r="AM190">
            <v>2</v>
          </cell>
          <cell r="AN190" t="str">
            <v>Yes</v>
          </cell>
          <cell r="AO190" t="str">
            <v>ITS429913</v>
          </cell>
          <cell r="AP190" t="str">
            <v>Independent School standard inspection</v>
          </cell>
          <cell r="AQ190" t="str">
            <v>Independent Standard Inspection</v>
          </cell>
          <cell r="AR190">
            <v>41660</v>
          </cell>
          <cell r="AS190">
            <v>41662</v>
          </cell>
          <cell r="AT190">
            <v>41682</v>
          </cell>
          <cell r="AU190">
            <v>2</v>
          </cell>
          <cell r="AV190">
            <v>2</v>
          </cell>
          <cell r="AW190">
            <v>2</v>
          </cell>
          <cell r="AX190">
            <v>2</v>
          </cell>
          <cell r="AY190" t="str">
            <v>NULL</v>
          </cell>
          <cell r="AZ190" t="str">
            <v>NULL</v>
          </cell>
          <cell r="BA190" t="str">
            <v>NULL</v>
          </cell>
          <cell r="BB190" t="str">
            <v>NULL</v>
          </cell>
        </row>
        <row r="191">
          <cell r="D191">
            <v>135376</v>
          </cell>
          <cell r="E191">
            <v>3706005</v>
          </cell>
          <cell r="F191" t="str">
            <v>Dove School</v>
          </cell>
          <cell r="G191" t="str">
            <v>Other Independent Special School</v>
          </cell>
          <cell r="H191">
            <v>39308</v>
          </cell>
          <cell r="I191">
            <v>5</v>
          </cell>
          <cell r="J191" t="str">
            <v>North East, Yorkshire and the Humber</v>
          </cell>
          <cell r="K191" t="str">
            <v>Yorkshire and the Humber</v>
          </cell>
          <cell r="L191" t="str">
            <v>Barnsley</v>
          </cell>
          <cell r="M191" t="str">
            <v>Barnsley Central</v>
          </cell>
          <cell r="N191" t="str">
            <v>S75 6PP</v>
          </cell>
          <cell r="O191" t="str">
            <v>Not applicable</v>
          </cell>
          <cell r="P191">
            <v>9</v>
          </cell>
          <cell r="Q191">
            <v>18</v>
          </cell>
          <cell r="R191" t="str">
            <v>None</v>
          </cell>
          <cell r="S191" t="str">
            <v>Ofsted</v>
          </cell>
          <cell r="T191" t="str">
            <v>NULL</v>
          </cell>
          <cell r="U191" t="str">
            <v>NULL</v>
          </cell>
          <cell r="V191" t="str">
            <v>NULL</v>
          </cell>
          <cell r="W191" t="str">
            <v>NULL</v>
          </cell>
          <cell r="X191" t="str">
            <v>NULL</v>
          </cell>
          <cell r="Y191" t="str">
            <v>NULL</v>
          </cell>
          <cell r="Z191" t="str">
            <v>NULL</v>
          </cell>
          <cell r="AA191">
            <v>10043655</v>
          </cell>
          <cell r="AB191" t="str">
            <v>Independent School standard inspection</v>
          </cell>
          <cell r="AC191" t="str">
            <v>Independent Standard Inspection</v>
          </cell>
          <cell r="AD191">
            <v>43137</v>
          </cell>
          <cell r="AE191">
            <v>43138</v>
          </cell>
          <cell r="AF191">
            <v>43168</v>
          </cell>
          <cell r="AG191">
            <v>3</v>
          </cell>
          <cell r="AH191">
            <v>2</v>
          </cell>
          <cell r="AI191">
            <v>2</v>
          </cell>
          <cell r="AJ191">
            <v>3</v>
          </cell>
          <cell r="AK191">
            <v>3</v>
          </cell>
          <cell r="AL191" t="str">
            <v>NULL</v>
          </cell>
          <cell r="AM191" t="str">
            <v>NULL</v>
          </cell>
          <cell r="AN191" t="str">
            <v>Yes</v>
          </cell>
          <cell r="AO191" t="str">
            <v>ITS454281</v>
          </cell>
          <cell r="AP191" t="str">
            <v>Independent School standard inspection</v>
          </cell>
          <cell r="AQ191" t="str">
            <v>Independent Standard Inspection</v>
          </cell>
          <cell r="AR191">
            <v>42045</v>
          </cell>
          <cell r="AS191">
            <v>42047</v>
          </cell>
          <cell r="AT191">
            <v>42082</v>
          </cell>
          <cell r="AU191">
            <v>2</v>
          </cell>
          <cell r="AV191">
            <v>2</v>
          </cell>
          <cell r="AW191">
            <v>2</v>
          </cell>
          <cell r="AX191">
            <v>2</v>
          </cell>
          <cell r="AY191" t="str">
            <v>NULL</v>
          </cell>
          <cell r="AZ191">
            <v>9</v>
          </cell>
          <cell r="BA191">
            <v>9</v>
          </cell>
          <cell r="BB191" t="str">
            <v>NULL</v>
          </cell>
        </row>
        <row r="192">
          <cell r="D192">
            <v>135167</v>
          </cell>
          <cell r="E192">
            <v>2026401</v>
          </cell>
          <cell r="F192" t="str">
            <v>Gloucester House, The Tavistock Children's Day Unit</v>
          </cell>
          <cell r="G192" t="str">
            <v>Other Independent Special School</v>
          </cell>
          <cell r="H192">
            <v>39111</v>
          </cell>
          <cell r="I192">
            <v>17</v>
          </cell>
          <cell r="J192" t="str">
            <v>London</v>
          </cell>
          <cell r="K192" t="str">
            <v>London</v>
          </cell>
          <cell r="L192" t="str">
            <v>Camden</v>
          </cell>
          <cell r="M192" t="str">
            <v>Hampstead and Kilburn</v>
          </cell>
          <cell r="N192" t="str">
            <v>NW3 5BU</v>
          </cell>
          <cell r="O192" t="str">
            <v>Not applicable</v>
          </cell>
          <cell r="P192">
            <v>5</v>
          </cell>
          <cell r="Q192">
            <v>14</v>
          </cell>
          <cell r="R192" t="str">
            <v>None</v>
          </cell>
          <cell r="S192" t="str">
            <v>Ofsted</v>
          </cell>
          <cell r="T192" t="str">
            <v>NULL</v>
          </cell>
          <cell r="U192" t="str">
            <v>NULL</v>
          </cell>
          <cell r="V192" t="str">
            <v>NULL</v>
          </cell>
          <cell r="W192" t="str">
            <v>NULL</v>
          </cell>
          <cell r="X192" t="str">
            <v>NULL</v>
          </cell>
          <cell r="Y192" t="str">
            <v>NULL</v>
          </cell>
          <cell r="Z192" t="str">
            <v>NULL</v>
          </cell>
          <cell r="AA192">
            <v>10035804</v>
          </cell>
          <cell r="AB192" t="str">
            <v>Independent School standard inspection</v>
          </cell>
          <cell r="AC192" t="str">
            <v>Independent Standard Inspection</v>
          </cell>
          <cell r="AD192">
            <v>43053</v>
          </cell>
          <cell r="AE192">
            <v>43055</v>
          </cell>
          <cell r="AF192">
            <v>43112</v>
          </cell>
          <cell r="AG192">
            <v>2</v>
          </cell>
          <cell r="AH192">
            <v>2</v>
          </cell>
          <cell r="AI192">
            <v>2</v>
          </cell>
          <cell r="AJ192">
            <v>2</v>
          </cell>
          <cell r="AK192">
            <v>1</v>
          </cell>
          <cell r="AL192" t="str">
            <v>NULL</v>
          </cell>
          <cell r="AM192" t="str">
            <v>NULL</v>
          </cell>
          <cell r="AN192" t="str">
            <v>Yes</v>
          </cell>
          <cell r="AO192" t="str">
            <v>ITS422781</v>
          </cell>
          <cell r="AP192" t="str">
            <v>Independent School standard inspection</v>
          </cell>
          <cell r="AQ192" t="str">
            <v>Independent Standard Inspection</v>
          </cell>
          <cell r="AR192">
            <v>41681</v>
          </cell>
          <cell r="AS192">
            <v>41683</v>
          </cell>
          <cell r="AT192">
            <v>41703</v>
          </cell>
          <cell r="AU192">
            <v>1</v>
          </cell>
          <cell r="AV192">
            <v>1</v>
          </cell>
          <cell r="AW192">
            <v>1</v>
          </cell>
          <cell r="AX192">
            <v>1</v>
          </cell>
          <cell r="AY192" t="str">
            <v>NULL</v>
          </cell>
          <cell r="AZ192" t="str">
            <v>NULL</v>
          </cell>
          <cell r="BA192" t="str">
            <v>NULL</v>
          </cell>
          <cell r="BB192" t="str">
            <v>NULL</v>
          </cell>
        </row>
        <row r="193">
          <cell r="D193">
            <v>116588</v>
          </cell>
          <cell r="E193">
            <v>8506058</v>
          </cell>
          <cell r="F193" t="str">
            <v>Grateley House School</v>
          </cell>
          <cell r="G193" t="str">
            <v>Other Independent Special School</v>
          </cell>
          <cell r="H193">
            <v>31674</v>
          </cell>
          <cell r="I193">
            <v>54</v>
          </cell>
          <cell r="J193" t="str">
            <v>South East</v>
          </cell>
          <cell r="K193" t="str">
            <v>South East</v>
          </cell>
          <cell r="L193" t="str">
            <v>Hampshire</v>
          </cell>
          <cell r="M193" t="str">
            <v>North West Hampshire</v>
          </cell>
          <cell r="N193" t="str">
            <v>SP11 8TA</v>
          </cell>
          <cell r="O193" t="str">
            <v>Not applicable</v>
          </cell>
          <cell r="P193">
            <v>9</v>
          </cell>
          <cell r="Q193">
            <v>19</v>
          </cell>
          <cell r="R193" t="str">
            <v>None</v>
          </cell>
          <cell r="S193" t="str">
            <v>Ofsted</v>
          </cell>
          <cell r="T193">
            <v>2</v>
          </cell>
          <cell r="U193">
            <v>10030801</v>
          </cell>
          <cell r="V193" t="str">
            <v xml:space="preserve">Independent school progress monitoring inspection - Integrated </v>
          </cell>
          <cell r="W193">
            <v>42808</v>
          </cell>
          <cell r="X193">
            <v>42808</v>
          </cell>
          <cell r="Y193">
            <v>42860</v>
          </cell>
          <cell r="Z193" t="str">
            <v>Met all standards that were checked</v>
          </cell>
          <cell r="AA193">
            <v>10012946</v>
          </cell>
          <cell r="AB193" t="str">
            <v xml:space="preserve">Independent School standard inspection - integrated </v>
          </cell>
          <cell r="AC193" t="str">
            <v>Independent Standard Inspection</v>
          </cell>
          <cell r="AD193">
            <v>42549</v>
          </cell>
          <cell r="AE193">
            <v>42551</v>
          </cell>
          <cell r="AF193">
            <v>42625</v>
          </cell>
          <cell r="AG193">
            <v>3</v>
          </cell>
          <cell r="AH193">
            <v>2</v>
          </cell>
          <cell r="AI193">
            <v>2</v>
          </cell>
          <cell r="AJ193">
            <v>3</v>
          </cell>
          <cell r="AK193">
            <v>2</v>
          </cell>
          <cell r="AL193" t="str">
            <v>NULL</v>
          </cell>
          <cell r="AM193">
            <v>2</v>
          </cell>
          <cell r="AN193" t="str">
            <v>Yes</v>
          </cell>
          <cell r="AO193" t="str">
            <v>ITS422667</v>
          </cell>
          <cell r="AP193" t="str">
            <v xml:space="preserve">Independent School standard inspection - integrated </v>
          </cell>
          <cell r="AQ193" t="str">
            <v>Independent Standard Inspection</v>
          </cell>
          <cell r="AR193">
            <v>41437</v>
          </cell>
          <cell r="AS193">
            <v>41439</v>
          </cell>
          <cell r="AT193">
            <v>41459</v>
          </cell>
          <cell r="AU193">
            <v>1</v>
          </cell>
          <cell r="AV193">
            <v>1</v>
          </cell>
          <cell r="AW193">
            <v>1</v>
          </cell>
          <cell r="AX193">
            <v>1</v>
          </cell>
          <cell r="AY193" t="str">
            <v>NULL</v>
          </cell>
          <cell r="AZ193" t="str">
            <v>NULL</v>
          </cell>
          <cell r="BA193" t="str">
            <v>NULL</v>
          </cell>
          <cell r="BB193" t="str">
            <v>NULL</v>
          </cell>
        </row>
        <row r="194">
          <cell r="D194">
            <v>135753</v>
          </cell>
          <cell r="E194">
            <v>3546035</v>
          </cell>
          <cell r="F194" t="str">
            <v>Great Howarth School</v>
          </cell>
          <cell r="G194" t="str">
            <v>Other Independent Special School</v>
          </cell>
          <cell r="H194">
            <v>39773</v>
          </cell>
          <cell r="I194">
            <v>9</v>
          </cell>
          <cell r="J194" t="str">
            <v>North West</v>
          </cell>
          <cell r="K194" t="str">
            <v>North West</v>
          </cell>
          <cell r="L194" t="str">
            <v>Rochdale</v>
          </cell>
          <cell r="M194" t="str">
            <v>Rochdale</v>
          </cell>
          <cell r="N194" t="str">
            <v>OL12 9HJ</v>
          </cell>
          <cell r="O194" t="str">
            <v>Not applicable</v>
          </cell>
          <cell r="P194">
            <v>7</v>
          </cell>
          <cell r="Q194">
            <v>18</v>
          </cell>
          <cell r="R194" t="str">
            <v>None</v>
          </cell>
          <cell r="S194" t="str">
            <v>Ofsted</v>
          </cell>
          <cell r="T194">
            <v>1</v>
          </cell>
          <cell r="U194">
            <v>10039533</v>
          </cell>
          <cell r="V194" t="str">
            <v>Independent school Material Change inspection</v>
          </cell>
          <cell r="W194">
            <v>42997</v>
          </cell>
          <cell r="X194">
            <v>42997</v>
          </cell>
          <cell r="Y194">
            <v>43052</v>
          </cell>
          <cell r="Z194" t="str">
            <v>Likely to meet relevant standards</v>
          </cell>
          <cell r="AA194">
            <v>10006096</v>
          </cell>
          <cell r="AB194" t="str">
            <v>Independent School standard inspection</v>
          </cell>
          <cell r="AC194" t="str">
            <v>Independent Standard Inspection</v>
          </cell>
          <cell r="AD194">
            <v>42500</v>
          </cell>
          <cell r="AE194">
            <v>42502</v>
          </cell>
          <cell r="AF194">
            <v>42534</v>
          </cell>
          <cell r="AG194">
            <v>3</v>
          </cell>
          <cell r="AH194">
            <v>3</v>
          </cell>
          <cell r="AI194">
            <v>3</v>
          </cell>
          <cell r="AJ194">
            <v>3</v>
          </cell>
          <cell r="AK194">
            <v>2</v>
          </cell>
          <cell r="AL194" t="str">
            <v>NULL</v>
          </cell>
          <cell r="AM194" t="str">
            <v>NULL</v>
          </cell>
          <cell r="AN194" t="str">
            <v>Yes</v>
          </cell>
          <cell r="AO194" t="str">
            <v>ITS397641</v>
          </cell>
          <cell r="AP194" t="str">
            <v>Independent School standard inspection</v>
          </cell>
          <cell r="AQ194" t="str">
            <v>Independent Standard Inspection</v>
          </cell>
          <cell r="AR194">
            <v>41184</v>
          </cell>
          <cell r="AS194">
            <v>41185</v>
          </cell>
          <cell r="AT194">
            <v>41206</v>
          </cell>
          <cell r="AU194">
            <v>3</v>
          </cell>
          <cell r="AV194">
            <v>3</v>
          </cell>
          <cell r="AW194">
            <v>3</v>
          </cell>
          <cell r="AX194" t="str">
            <v>NULL</v>
          </cell>
          <cell r="AY194" t="str">
            <v>NULL</v>
          </cell>
          <cell r="AZ194">
            <v>8</v>
          </cell>
          <cell r="BA194" t="str">
            <v>NULL</v>
          </cell>
          <cell r="BB194" t="str">
            <v>NULL</v>
          </cell>
        </row>
        <row r="195">
          <cell r="D195">
            <v>133539</v>
          </cell>
          <cell r="E195">
            <v>8866093</v>
          </cell>
          <cell r="F195" t="str">
            <v>Great Oaks Small School</v>
          </cell>
          <cell r="G195" t="str">
            <v>Other Independent Special School</v>
          </cell>
          <cell r="H195">
            <v>37235</v>
          </cell>
          <cell r="I195">
            <v>26</v>
          </cell>
          <cell r="J195" t="str">
            <v>South East</v>
          </cell>
          <cell r="K195" t="str">
            <v>South East</v>
          </cell>
          <cell r="L195" t="str">
            <v>Kent</v>
          </cell>
          <cell r="M195" t="str">
            <v>North Thanet</v>
          </cell>
          <cell r="N195" t="str">
            <v>CT12 5FH</v>
          </cell>
          <cell r="O195" t="str">
            <v>Has a sixth form</v>
          </cell>
          <cell r="P195">
            <v>11</v>
          </cell>
          <cell r="Q195">
            <v>18</v>
          </cell>
          <cell r="R195" t="str">
            <v>None</v>
          </cell>
          <cell r="S195" t="str">
            <v>Ofsted</v>
          </cell>
          <cell r="T195" t="str">
            <v>NULL</v>
          </cell>
          <cell r="U195" t="str">
            <v>NULL</v>
          </cell>
          <cell r="V195" t="str">
            <v>NULL</v>
          </cell>
          <cell r="W195" t="str">
            <v>NULL</v>
          </cell>
          <cell r="X195" t="str">
            <v>NULL</v>
          </cell>
          <cell r="Y195" t="str">
            <v>NULL</v>
          </cell>
          <cell r="Z195" t="str">
            <v>NULL</v>
          </cell>
          <cell r="AA195">
            <v>10033950</v>
          </cell>
          <cell r="AB195" t="str">
            <v>Independent School standard inspection</v>
          </cell>
          <cell r="AC195" t="str">
            <v>Independent Standard Inspection</v>
          </cell>
          <cell r="AD195">
            <v>43130</v>
          </cell>
          <cell r="AE195">
            <v>43132</v>
          </cell>
          <cell r="AF195">
            <v>43164</v>
          </cell>
          <cell r="AG195">
            <v>2</v>
          </cell>
          <cell r="AH195">
            <v>2</v>
          </cell>
          <cell r="AI195">
            <v>2</v>
          </cell>
          <cell r="AJ195">
            <v>2</v>
          </cell>
          <cell r="AK195">
            <v>2</v>
          </cell>
          <cell r="AL195" t="str">
            <v>NULL</v>
          </cell>
          <cell r="AM195" t="str">
            <v>NULL</v>
          </cell>
          <cell r="AN195" t="str">
            <v>Yes</v>
          </cell>
          <cell r="AO195" t="str">
            <v>ITS422618</v>
          </cell>
          <cell r="AP195" t="str">
            <v>Independent School standard inspection</v>
          </cell>
          <cell r="AQ195" t="str">
            <v>Independent Standard Inspection</v>
          </cell>
          <cell r="AR195">
            <v>41717</v>
          </cell>
          <cell r="AS195">
            <v>41719</v>
          </cell>
          <cell r="AT195">
            <v>41754</v>
          </cell>
          <cell r="AU195">
            <v>4</v>
          </cell>
          <cell r="AV195">
            <v>3</v>
          </cell>
          <cell r="AW195">
            <v>3</v>
          </cell>
          <cell r="AX195">
            <v>4</v>
          </cell>
          <cell r="AY195" t="str">
            <v>NULL</v>
          </cell>
          <cell r="AZ195" t="str">
            <v>NULL</v>
          </cell>
          <cell r="BA195" t="str">
            <v>NULL</v>
          </cell>
          <cell r="BB195" t="str">
            <v>NULL</v>
          </cell>
        </row>
        <row r="196">
          <cell r="D196">
            <v>131139</v>
          </cell>
          <cell r="E196">
            <v>9386255</v>
          </cell>
          <cell r="F196" t="str">
            <v>Hillcrest Slinfold School</v>
          </cell>
          <cell r="G196" t="str">
            <v>Other Independent Special School</v>
          </cell>
          <cell r="H196">
            <v>35408</v>
          </cell>
          <cell r="I196">
            <v>11</v>
          </cell>
          <cell r="J196" t="str">
            <v>South East</v>
          </cell>
          <cell r="K196" t="str">
            <v>South East</v>
          </cell>
          <cell r="L196" t="str">
            <v>West Sussex</v>
          </cell>
          <cell r="M196" t="str">
            <v>Horsham</v>
          </cell>
          <cell r="N196" t="str">
            <v>RH13 0QX</v>
          </cell>
          <cell r="O196" t="str">
            <v>Not applicable</v>
          </cell>
          <cell r="P196">
            <v>11</v>
          </cell>
          <cell r="Q196">
            <v>16</v>
          </cell>
          <cell r="R196" t="str">
            <v>None</v>
          </cell>
          <cell r="S196" t="str">
            <v>Ofsted</v>
          </cell>
          <cell r="T196" t="str">
            <v>NULL</v>
          </cell>
          <cell r="U196" t="str">
            <v>NULL</v>
          </cell>
          <cell r="V196" t="str">
            <v>NULL</v>
          </cell>
          <cell r="W196" t="str">
            <v>NULL</v>
          </cell>
          <cell r="X196" t="str">
            <v>NULL</v>
          </cell>
          <cell r="Y196" t="str">
            <v>NULL</v>
          </cell>
          <cell r="Z196" t="str">
            <v>NULL</v>
          </cell>
          <cell r="AA196">
            <v>10006053</v>
          </cell>
          <cell r="AB196" t="str">
            <v>Independent School standard inspection</v>
          </cell>
          <cell r="AC196" t="str">
            <v>Independent Standard Inspection</v>
          </cell>
          <cell r="AD196">
            <v>42752</v>
          </cell>
          <cell r="AE196">
            <v>42754</v>
          </cell>
          <cell r="AF196">
            <v>42775</v>
          </cell>
          <cell r="AG196">
            <v>2</v>
          </cell>
          <cell r="AH196">
            <v>2</v>
          </cell>
          <cell r="AI196">
            <v>2</v>
          </cell>
          <cell r="AJ196">
            <v>2</v>
          </cell>
          <cell r="AK196">
            <v>2</v>
          </cell>
          <cell r="AL196" t="str">
            <v>NULL</v>
          </cell>
          <cell r="AM196" t="str">
            <v>NULL</v>
          </cell>
          <cell r="AN196" t="str">
            <v>Yes</v>
          </cell>
          <cell r="AO196" t="str">
            <v>ITS397758</v>
          </cell>
          <cell r="AP196" t="str">
            <v xml:space="preserve">Independent School standard inspection - integrated </v>
          </cell>
          <cell r="AQ196" t="str">
            <v>Independent Standard Inspection</v>
          </cell>
          <cell r="AR196">
            <v>41241</v>
          </cell>
          <cell r="AS196">
            <v>41242</v>
          </cell>
          <cell r="AT196">
            <v>41263</v>
          </cell>
          <cell r="AU196">
            <v>2</v>
          </cell>
          <cell r="AV196">
            <v>2</v>
          </cell>
          <cell r="AW196">
            <v>2</v>
          </cell>
          <cell r="AX196" t="str">
            <v>NULL</v>
          </cell>
          <cell r="AY196" t="str">
            <v>NULL</v>
          </cell>
          <cell r="AZ196">
            <v>8</v>
          </cell>
          <cell r="BA196" t="str">
            <v>NULL</v>
          </cell>
          <cell r="BB196" t="str">
            <v>NULL</v>
          </cell>
        </row>
        <row r="197">
          <cell r="D197">
            <v>135105</v>
          </cell>
          <cell r="E197">
            <v>8506086</v>
          </cell>
          <cell r="F197" t="str">
            <v>Hillcrest Jubilee School</v>
          </cell>
          <cell r="G197" t="str">
            <v>Other Independent Special School</v>
          </cell>
          <cell r="H197">
            <v>39021</v>
          </cell>
          <cell r="I197">
            <v>19</v>
          </cell>
          <cell r="J197" t="str">
            <v>South East</v>
          </cell>
          <cell r="K197" t="str">
            <v>South East</v>
          </cell>
          <cell r="L197" t="str">
            <v>Hampshire</v>
          </cell>
          <cell r="M197" t="str">
            <v>Meon Valley</v>
          </cell>
          <cell r="N197" t="str">
            <v>PO7 7RE</v>
          </cell>
          <cell r="O197" t="str">
            <v>Not applicable</v>
          </cell>
          <cell r="P197">
            <v>8</v>
          </cell>
          <cell r="Q197">
            <v>16</v>
          </cell>
          <cell r="R197" t="str">
            <v>None</v>
          </cell>
          <cell r="S197" t="str">
            <v>Ofsted</v>
          </cell>
          <cell r="T197" t="str">
            <v>NULL</v>
          </cell>
          <cell r="U197" t="str">
            <v>NULL</v>
          </cell>
          <cell r="V197" t="str">
            <v>NULL</v>
          </cell>
          <cell r="W197" t="str">
            <v>NULL</v>
          </cell>
          <cell r="X197" t="str">
            <v>NULL</v>
          </cell>
          <cell r="Y197" t="str">
            <v>NULL</v>
          </cell>
          <cell r="Z197" t="str">
            <v>NULL</v>
          </cell>
          <cell r="AA197">
            <v>10033961</v>
          </cell>
          <cell r="AB197" t="str">
            <v>Independent School standard inspection</v>
          </cell>
          <cell r="AC197" t="str">
            <v>Independent Standard Inspection</v>
          </cell>
          <cell r="AD197">
            <v>43004</v>
          </cell>
          <cell r="AE197">
            <v>43006</v>
          </cell>
          <cell r="AF197">
            <v>43052</v>
          </cell>
          <cell r="AG197">
            <v>1</v>
          </cell>
          <cell r="AH197">
            <v>1</v>
          </cell>
          <cell r="AI197">
            <v>1</v>
          </cell>
          <cell r="AJ197">
            <v>1</v>
          </cell>
          <cell r="AK197">
            <v>1</v>
          </cell>
          <cell r="AL197" t="str">
            <v>NULL</v>
          </cell>
          <cell r="AM197" t="str">
            <v>NULL</v>
          </cell>
          <cell r="AN197" t="str">
            <v>Yes</v>
          </cell>
          <cell r="AO197" t="str">
            <v>ITS422777</v>
          </cell>
          <cell r="AP197" t="str">
            <v>Independent School standard inspection</v>
          </cell>
          <cell r="AQ197" t="str">
            <v>Independent Standard Inspection</v>
          </cell>
          <cell r="AR197">
            <v>41835</v>
          </cell>
          <cell r="AS197">
            <v>41837</v>
          </cell>
          <cell r="AT197">
            <v>41891</v>
          </cell>
          <cell r="AU197">
            <v>2</v>
          </cell>
          <cell r="AV197">
            <v>2</v>
          </cell>
          <cell r="AW197">
            <v>2</v>
          </cell>
          <cell r="AX197">
            <v>2</v>
          </cell>
          <cell r="AY197" t="str">
            <v>NULL</v>
          </cell>
          <cell r="AZ197" t="str">
            <v>NULL</v>
          </cell>
          <cell r="BA197" t="str">
            <v>NULL</v>
          </cell>
          <cell r="BB197" t="str">
            <v>NULL</v>
          </cell>
        </row>
        <row r="198">
          <cell r="D198">
            <v>123326</v>
          </cell>
          <cell r="E198">
            <v>9316115</v>
          </cell>
          <cell r="F198" t="str">
            <v>Hillcrest Park School</v>
          </cell>
          <cell r="G198" t="str">
            <v>Other Independent Special School</v>
          </cell>
          <cell r="H198">
            <v>34856</v>
          </cell>
          <cell r="I198">
            <v>16</v>
          </cell>
          <cell r="J198" t="str">
            <v>South East</v>
          </cell>
          <cell r="K198" t="str">
            <v>South East</v>
          </cell>
          <cell r="L198" t="str">
            <v>Oxfordshire</v>
          </cell>
          <cell r="M198" t="str">
            <v>Witney</v>
          </cell>
          <cell r="N198" t="str">
            <v>OX7 5QH</v>
          </cell>
          <cell r="O198" t="str">
            <v>Not applicable</v>
          </cell>
          <cell r="P198">
            <v>7</v>
          </cell>
          <cell r="Q198">
            <v>18</v>
          </cell>
          <cell r="R198" t="str">
            <v>None</v>
          </cell>
          <cell r="S198" t="str">
            <v>Ofsted</v>
          </cell>
          <cell r="T198">
            <v>1</v>
          </cell>
          <cell r="U198">
            <v>10034011</v>
          </cell>
          <cell r="V198" t="str">
            <v>Independent school Material Change inspection</v>
          </cell>
          <cell r="W198">
            <v>42832</v>
          </cell>
          <cell r="X198">
            <v>42832</v>
          </cell>
          <cell r="Y198">
            <v>42864</v>
          </cell>
          <cell r="Z198" t="str">
            <v>Likely to meet relevant standards</v>
          </cell>
          <cell r="AA198" t="str">
            <v>ITS446270</v>
          </cell>
          <cell r="AB198" t="str">
            <v xml:space="preserve">Independent School standard inspection - integrated </v>
          </cell>
          <cell r="AC198" t="str">
            <v>Independent Standard Inspection</v>
          </cell>
          <cell r="AD198">
            <v>41933</v>
          </cell>
          <cell r="AE198">
            <v>41935</v>
          </cell>
          <cell r="AF198">
            <v>41967</v>
          </cell>
          <cell r="AG198">
            <v>2</v>
          </cell>
          <cell r="AH198">
            <v>2</v>
          </cell>
          <cell r="AI198">
            <v>2</v>
          </cell>
          <cell r="AJ198">
            <v>2</v>
          </cell>
          <cell r="AK198" t="str">
            <v>NULL</v>
          </cell>
          <cell r="AL198">
            <v>9</v>
          </cell>
          <cell r="AM198">
            <v>2</v>
          </cell>
          <cell r="AN198" t="str">
            <v>NULL</v>
          </cell>
          <cell r="AO198" t="str">
            <v>ITS364243</v>
          </cell>
          <cell r="AP198" t="str">
            <v xml:space="preserve">Independent School standard inspection - integrated </v>
          </cell>
          <cell r="AQ198" t="str">
            <v>Independent Standard Inspection</v>
          </cell>
          <cell r="AR198">
            <v>40568</v>
          </cell>
          <cell r="AS198">
            <v>40569</v>
          </cell>
          <cell r="AT198">
            <v>40738</v>
          </cell>
          <cell r="AU198">
            <v>2</v>
          </cell>
          <cell r="AV198">
            <v>2</v>
          </cell>
          <cell r="AW198">
            <v>2</v>
          </cell>
          <cell r="AX198" t="str">
            <v>NULL</v>
          </cell>
          <cell r="AY198" t="str">
            <v>NULL</v>
          </cell>
          <cell r="AZ198">
            <v>8</v>
          </cell>
          <cell r="BA198" t="str">
            <v>NULL</v>
          </cell>
          <cell r="BB198" t="str">
            <v>NULL</v>
          </cell>
        </row>
        <row r="199">
          <cell r="D199">
            <v>131940</v>
          </cell>
          <cell r="E199">
            <v>3126063</v>
          </cell>
          <cell r="F199" t="str">
            <v>Hillingdon Manor School</v>
          </cell>
          <cell r="G199" t="str">
            <v>Other Independent Special School</v>
          </cell>
          <cell r="H199">
            <v>36412</v>
          </cell>
          <cell r="I199">
            <v>198</v>
          </cell>
          <cell r="J199" t="str">
            <v>London</v>
          </cell>
          <cell r="K199" t="str">
            <v>London</v>
          </cell>
          <cell r="L199" t="str">
            <v>Hillingdon</v>
          </cell>
          <cell r="M199" t="str">
            <v>Uxbridge and South Ruislip</v>
          </cell>
          <cell r="N199" t="str">
            <v>UB8 3HD</v>
          </cell>
          <cell r="O199" t="str">
            <v>Has a sixth form</v>
          </cell>
          <cell r="P199">
            <v>3</v>
          </cell>
          <cell r="Q199">
            <v>19</v>
          </cell>
          <cell r="R199" t="str">
            <v>None</v>
          </cell>
          <cell r="S199" t="str">
            <v>Ofsted</v>
          </cell>
          <cell r="T199">
            <v>4</v>
          </cell>
          <cell r="U199">
            <v>10040135</v>
          </cell>
          <cell r="V199" t="str">
            <v>Independent school Progress Monitoring inspection</v>
          </cell>
          <cell r="W199">
            <v>43012</v>
          </cell>
          <cell r="X199">
            <v>43012</v>
          </cell>
          <cell r="Y199">
            <v>43053</v>
          </cell>
          <cell r="Z199" t="str">
            <v>Met all standards that were checked</v>
          </cell>
          <cell r="AA199" t="str">
            <v>ITS454263</v>
          </cell>
          <cell r="AB199" t="str">
            <v>Independent School standard inspection</v>
          </cell>
          <cell r="AC199" t="str">
            <v>Independent Standard Inspection</v>
          </cell>
          <cell r="AD199">
            <v>42066</v>
          </cell>
          <cell r="AE199">
            <v>42068</v>
          </cell>
          <cell r="AF199">
            <v>42114</v>
          </cell>
          <cell r="AG199">
            <v>2</v>
          </cell>
          <cell r="AH199">
            <v>2</v>
          </cell>
          <cell r="AI199">
            <v>2</v>
          </cell>
          <cell r="AJ199">
            <v>2</v>
          </cell>
          <cell r="AK199" t="str">
            <v>NULL</v>
          </cell>
          <cell r="AL199">
            <v>2</v>
          </cell>
          <cell r="AM199">
            <v>2</v>
          </cell>
          <cell r="AN199" t="str">
            <v>NULL</v>
          </cell>
          <cell r="AO199" t="str">
            <v>ITS385162</v>
          </cell>
          <cell r="AP199" t="str">
            <v>Independent School standard inspection</v>
          </cell>
          <cell r="AQ199" t="str">
            <v>Independent Standard Inspection</v>
          </cell>
          <cell r="AR199">
            <v>40827</v>
          </cell>
          <cell r="AS199">
            <v>40828</v>
          </cell>
          <cell r="AT199">
            <v>40850</v>
          </cell>
          <cell r="AU199">
            <v>2</v>
          </cell>
          <cell r="AV199">
            <v>2</v>
          </cell>
          <cell r="AW199">
            <v>2</v>
          </cell>
          <cell r="AX199" t="str">
            <v>NULL</v>
          </cell>
          <cell r="AY199" t="str">
            <v>NULL</v>
          </cell>
          <cell r="AZ199">
            <v>2</v>
          </cell>
          <cell r="BA199" t="str">
            <v>NULL</v>
          </cell>
          <cell r="BB199" t="str">
            <v>NULL</v>
          </cell>
        </row>
        <row r="200">
          <cell r="D200">
            <v>125436</v>
          </cell>
          <cell r="E200">
            <v>9366554</v>
          </cell>
          <cell r="F200" t="str">
            <v>Knowl Hill School</v>
          </cell>
          <cell r="G200" t="str">
            <v>Other Independent Special School</v>
          </cell>
          <cell r="H200">
            <v>31764</v>
          </cell>
          <cell r="I200">
            <v>45</v>
          </cell>
          <cell r="J200" t="str">
            <v>South East</v>
          </cell>
          <cell r="K200" t="str">
            <v>South East</v>
          </cell>
          <cell r="L200" t="str">
            <v>Surrey</v>
          </cell>
          <cell r="M200" t="str">
            <v>Woking</v>
          </cell>
          <cell r="N200" t="str">
            <v>GU24 0JN</v>
          </cell>
          <cell r="O200" t="str">
            <v>Not applicable</v>
          </cell>
          <cell r="P200">
            <v>7</v>
          </cell>
          <cell r="Q200">
            <v>16</v>
          </cell>
          <cell r="R200" t="str">
            <v>None</v>
          </cell>
          <cell r="S200" t="str">
            <v>Ofsted</v>
          </cell>
          <cell r="T200" t="str">
            <v>NULL</v>
          </cell>
          <cell r="U200" t="str">
            <v>NULL</v>
          </cell>
          <cell r="V200" t="str">
            <v>NULL</v>
          </cell>
          <cell r="W200" t="str">
            <v>NULL</v>
          </cell>
          <cell r="X200" t="str">
            <v>NULL</v>
          </cell>
          <cell r="Y200" t="str">
            <v>NULL</v>
          </cell>
          <cell r="Z200" t="str">
            <v>NULL</v>
          </cell>
          <cell r="AA200">
            <v>10039158</v>
          </cell>
          <cell r="AB200" t="str">
            <v>Independent School standard inspection</v>
          </cell>
          <cell r="AC200" t="str">
            <v>Independent Standard Inspection</v>
          </cell>
          <cell r="AD200">
            <v>43046</v>
          </cell>
          <cell r="AE200">
            <v>43048</v>
          </cell>
          <cell r="AF200">
            <v>43070</v>
          </cell>
          <cell r="AG200">
            <v>2</v>
          </cell>
          <cell r="AH200">
            <v>2</v>
          </cell>
          <cell r="AI200">
            <v>2</v>
          </cell>
          <cell r="AJ200">
            <v>2</v>
          </cell>
          <cell r="AK200">
            <v>2</v>
          </cell>
          <cell r="AL200" t="str">
            <v>NULL</v>
          </cell>
          <cell r="AM200" t="str">
            <v>NULL</v>
          </cell>
          <cell r="AN200" t="str">
            <v>Yes</v>
          </cell>
          <cell r="AO200" t="str">
            <v>ITS452991</v>
          </cell>
          <cell r="AP200" t="str">
            <v>Independent School standard inspection</v>
          </cell>
          <cell r="AQ200" t="str">
            <v>Independent Standard Inspection</v>
          </cell>
          <cell r="AR200">
            <v>41947</v>
          </cell>
          <cell r="AS200">
            <v>41949</v>
          </cell>
          <cell r="AT200">
            <v>42063</v>
          </cell>
          <cell r="AU200">
            <v>3</v>
          </cell>
          <cell r="AV200">
            <v>3</v>
          </cell>
          <cell r="AW200">
            <v>3</v>
          </cell>
          <cell r="AX200">
            <v>3</v>
          </cell>
          <cell r="AY200" t="str">
            <v>NULL</v>
          </cell>
          <cell r="AZ200">
            <v>9</v>
          </cell>
          <cell r="BA200">
            <v>9</v>
          </cell>
          <cell r="BB200" t="str">
            <v>NULL</v>
          </cell>
        </row>
        <row r="201">
          <cell r="D201">
            <v>133262</v>
          </cell>
          <cell r="E201">
            <v>3416082</v>
          </cell>
          <cell r="F201" t="str">
            <v>Lakeside School</v>
          </cell>
          <cell r="G201" t="str">
            <v>Other Independent Special School</v>
          </cell>
          <cell r="H201">
            <v>36938</v>
          </cell>
          <cell r="I201">
            <v>31</v>
          </cell>
          <cell r="J201" t="str">
            <v>North West</v>
          </cell>
          <cell r="K201" t="str">
            <v>North West</v>
          </cell>
          <cell r="L201" t="str">
            <v>Liverpool</v>
          </cell>
          <cell r="M201" t="str">
            <v>Garston and Halewood</v>
          </cell>
          <cell r="N201" t="str">
            <v>L27 2YA</v>
          </cell>
          <cell r="O201" t="str">
            <v>Not applicable</v>
          </cell>
          <cell r="P201">
            <v>5</v>
          </cell>
          <cell r="Q201">
            <v>13</v>
          </cell>
          <cell r="R201" t="str">
            <v>None</v>
          </cell>
          <cell r="S201" t="str">
            <v>Ofsted</v>
          </cell>
          <cell r="T201" t="str">
            <v>NULL</v>
          </cell>
          <cell r="U201" t="str">
            <v>NULL</v>
          </cell>
          <cell r="V201" t="str">
            <v>NULL</v>
          </cell>
          <cell r="W201" t="str">
            <v>NULL</v>
          </cell>
          <cell r="X201" t="str">
            <v>NULL</v>
          </cell>
          <cell r="Y201" t="str">
            <v>NULL</v>
          </cell>
          <cell r="Z201" t="str">
            <v>NULL</v>
          </cell>
          <cell r="AA201">
            <v>10026007</v>
          </cell>
          <cell r="AB201" t="str">
            <v>Independent School standard inspection</v>
          </cell>
          <cell r="AC201" t="str">
            <v>Independent Standard Inspection</v>
          </cell>
          <cell r="AD201">
            <v>42745</v>
          </cell>
          <cell r="AE201">
            <v>42747</v>
          </cell>
          <cell r="AF201">
            <v>42793</v>
          </cell>
          <cell r="AG201">
            <v>1</v>
          </cell>
          <cell r="AH201">
            <v>1</v>
          </cell>
          <cell r="AI201">
            <v>1</v>
          </cell>
          <cell r="AJ201">
            <v>1</v>
          </cell>
          <cell r="AK201">
            <v>1</v>
          </cell>
          <cell r="AL201" t="str">
            <v>NULL</v>
          </cell>
          <cell r="AM201" t="str">
            <v>NULL</v>
          </cell>
          <cell r="AN201" t="str">
            <v>Yes</v>
          </cell>
          <cell r="AO201" t="str">
            <v>ITS422748</v>
          </cell>
          <cell r="AP201" t="str">
            <v>Independent School standard inspection</v>
          </cell>
          <cell r="AQ201" t="str">
            <v>Independent Standard Inspection</v>
          </cell>
          <cell r="AR201">
            <v>41661</v>
          </cell>
          <cell r="AS201">
            <v>41663</v>
          </cell>
          <cell r="AT201">
            <v>41684</v>
          </cell>
          <cell r="AU201">
            <v>1</v>
          </cell>
          <cell r="AV201">
            <v>1</v>
          </cell>
          <cell r="AW201">
            <v>1</v>
          </cell>
          <cell r="AX201">
            <v>1</v>
          </cell>
          <cell r="AY201" t="str">
            <v>NULL</v>
          </cell>
          <cell r="AZ201" t="str">
            <v>NULL</v>
          </cell>
          <cell r="BA201" t="str">
            <v>NULL</v>
          </cell>
          <cell r="BB201" t="str">
            <v>NULL</v>
          </cell>
        </row>
        <row r="202">
          <cell r="D202">
            <v>136752</v>
          </cell>
          <cell r="E202">
            <v>3406001</v>
          </cell>
          <cell r="F202" t="str">
            <v>Lawrence House School</v>
          </cell>
          <cell r="G202" t="str">
            <v>Other Independent Special School</v>
          </cell>
          <cell r="H202">
            <v>40688</v>
          </cell>
          <cell r="I202">
            <v>9</v>
          </cell>
          <cell r="J202" t="str">
            <v>North West</v>
          </cell>
          <cell r="K202" t="str">
            <v>North West</v>
          </cell>
          <cell r="L202" t="str">
            <v>Knowsley</v>
          </cell>
          <cell r="M202" t="str">
            <v>Knowsley</v>
          </cell>
          <cell r="N202" t="str">
            <v>L36 5SJ</v>
          </cell>
          <cell r="O202" t="str">
            <v>Not applicable</v>
          </cell>
          <cell r="P202">
            <v>11</v>
          </cell>
          <cell r="Q202">
            <v>18</v>
          </cell>
          <cell r="R202" t="str">
            <v>None</v>
          </cell>
          <cell r="S202" t="str">
            <v>Ofsted</v>
          </cell>
          <cell r="T202">
            <v>2</v>
          </cell>
          <cell r="U202">
            <v>10034559</v>
          </cell>
          <cell r="V202" t="str">
            <v>Independent school Progress Monitoring inspection</v>
          </cell>
          <cell r="W202">
            <v>42893</v>
          </cell>
          <cell r="X202">
            <v>42893</v>
          </cell>
          <cell r="Y202">
            <v>42921</v>
          </cell>
          <cell r="Z202" t="str">
            <v>Met all standards that were checked</v>
          </cell>
          <cell r="AA202">
            <v>10006081</v>
          </cell>
          <cell r="AB202" t="str">
            <v>Independent School standard inspection</v>
          </cell>
          <cell r="AC202" t="str">
            <v>Independent Standard Inspection</v>
          </cell>
          <cell r="AD202">
            <v>42626</v>
          </cell>
          <cell r="AE202">
            <v>42628</v>
          </cell>
          <cell r="AF202">
            <v>42685</v>
          </cell>
          <cell r="AG202">
            <v>4</v>
          </cell>
          <cell r="AH202">
            <v>2</v>
          </cell>
          <cell r="AI202">
            <v>2</v>
          </cell>
          <cell r="AJ202">
            <v>4</v>
          </cell>
          <cell r="AK202">
            <v>3</v>
          </cell>
          <cell r="AL202" t="str">
            <v>NULL</v>
          </cell>
          <cell r="AM202">
            <v>0</v>
          </cell>
          <cell r="AN202" t="str">
            <v>No</v>
          </cell>
          <cell r="AO202" t="str">
            <v>ITS393247</v>
          </cell>
          <cell r="AP202" t="str">
            <v>Independent school standard inspection - first</v>
          </cell>
          <cell r="AQ202" t="str">
            <v>Independent Standard Inspection</v>
          </cell>
          <cell r="AR202">
            <v>41226</v>
          </cell>
          <cell r="AS202">
            <v>41227</v>
          </cell>
          <cell r="AT202">
            <v>41248</v>
          </cell>
          <cell r="AU202">
            <v>3</v>
          </cell>
          <cell r="AV202">
            <v>3</v>
          </cell>
          <cell r="AW202">
            <v>3</v>
          </cell>
          <cell r="AX202" t="str">
            <v>NULL</v>
          </cell>
          <cell r="AY202" t="str">
            <v>NULL</v>
          </cell>
          <cell r="AZ202">
            <v>8</v>
          </cell>
          <cell r="BA202" t="str">
            <v>NULL</v>
          </cell>
          <cell r="BB202" t="str">
            <v>NULL</v>
          </cell>
        </row>
        <row r="203">
          <cell r="D203">
            <v>129571</v>
          </cell>
          <cell r="E203">
            <v>8886089</v>
          </cell>
          <cell r="F203" t="str">
            <v>Learn 4 Life School</v>
          </cell>
          <cell r="G203" t="str">
            <v>Other Independent Special School</v>
          </cell>
          <cell r="H203">
            <v>38581</v>
          </cell>
          <cell r="I203">
            <v>10</v>
          </cell>
          <cell r="J203" t="str">
            <v>North West</v>
          </cell>
          <cell r="K203" t="str">
            <v>North West</v>
          </cell>
          <cell r="L203" t="str">
            <v>Lancashire</v>
          </cell>
          <cell r="M203" t="str">
            <v>West Lancashire</v>
          </cell>
          <cell r="N203" t="str">
            <v>WN8 9AL</v>
          </cell>
          <cell r="O203" t="str">
            <v>Not applicable</v>
          </cell>
          <cell r="P203">
            <v>11</v>
          </cell>
          <cell r="Q203">
            <v>16</v>
          </cell>
          <cell r="R203" t="str">
            <v>None</v>
          </cell>
          <cell r="S203" t="str">
            <v>Ofsted</v>
          </cell>
          <cell r="T203" t="str">
            <v>NULL</v>
          </cell>
          <cell r="U203" t="str">
            <v>NULL</v>
          </cell>
          <cell r="V203" t="str">
            <v>NULL</v>
          </cell>
          <cell r="W203" t="str">
            <v>NULL</v>
          </cell>
          <cell r="X203" t="str">
            <v>NULL</v>
          </cell>
          <cell r="Y203" t="str">
            <v>NULL</v>
          </cell>
          <cell r="Z203" t="str">
            <v>NULL</v>
          </cell>
          <cell r="AA203">
            <v>10006076</v>
          </cell>
          <cell r="AB203" t="str">
            <v>Independent School standard inspection</v>
          </cell>
          <cell r="AC203" t="str">
            <v>Independent Standard Inspection</v>
          </cell>
          <cell r="AD203">
            <v>42661</v>
          </cell>
          <cell r="AE203">
            <v>42663</v>
          </cell>
          <cell r="AF203">
            <v>42705</v>
          </cell>
          <cell r="AG203">
            <v>3</v>
          </cell>
          <cell r="AH203">
            <v>3</v>
          </cell>
          <cell r="AI203">
            <v>3</v>
          </cell>
          <cell r="AJ203">
            <v>3</v>
          </cell>
          <cell r="AK203">
            <v>2</v>
          </cell>
          <cell r="AL203" t="str">
            <v>NULL</v>
          </cell>
          <cell r="AM203" t="str">
            <v>NULL</v>
          </cell>
          <cell r="AN203" t="str">
            <v>Yes</v>
          </cell>
          <cell r="AO203" t="str">
            <v>ITS397596</v>
          </cell>
          <cell r="AP203" t="str">
            <v>Independent School standard inspection</v>
          </cell>
          <cell r="AQ203" t="str">
            <v>Independent Standard Inspection</v>
          </cell>
          <cell r="AR203">
            <v>41247</v>
          </cell>
          <cell r="AS203">
            <v>41248</v>
          </cell>
          <cell r="AT203">
            <v>41269</v>
          </cell>
          <cell r="AU203">
            <v>2</v>
          </cell>
          <cell r="AV203">
            <v>3</v>
          </cell>
          <cell r="AW203">
            <v>2</v>
          </cell>
          <cell r="AX203" t="str">
            <v>NULL</v>
          </cell>
          <cell r="AY203" t="str">
            <v>NULL</v>
          </cell>
          <cell r="AZ203">
            <v>8</v>
          </cell>
          <cell r="BA203" t="str">
            <v>NULL</v>
          </cell>
          <cell r="BB203" t="str">
            <v>NULL</v>
          </cell>
        </row>
        <row r="204">
          <cell r="D204">
            <v>136257</v>
          </cell>
          <cell r="E204">
            <v>3546202</v>
          </cell>
          <cell r="F204" t="str">
            <v>Meadows School</v>
          </cell>
          <cell r="G204" t="str">
            <v>Other Independent Special School</v>
          </cell>
          <cell r="H204">
            <v>40499</v>
          </cell>
          <cell r="I204">
            <v>7</v>
          </cell>
          <cell r="J204" t="str">
            <v>North West</v>
          </cell>
          <cell r="K204" t="str">
            <v>North West</v>
          </cell>
          <cell r="L204" t="str">
            <v>Rochdale</v>
          </cell>
          <cell r="M204" t="str">
            <v>Rochdale</v>
          </cell>
          <cell r="N204" t="str">
            <v>OL12 9EN</v>
          </cell>
          <cell r="O204" t="str">
            <v>Not applicable</v>
          </cell>
          <cell r="P204">
            <v>11</v>
          </cell>
          <cell r="Q204">
            <v>16</v>
          </cell>
          <cell r="R204" t="str">
            <v>None</v>
          </cell>
          <cell r="S204" t="str">
            <v>Ofsted</v>
          </cell>
          <cell r="T204" t="str">
            <v>NULL</v>
          </cell>
          <cell r="U204" t="str">
            <v>NULL</v>
          </cell>
          <cell r="V204" t="str">
            <v>NULL</v>
          </cell>
          <cell r="W204" t="str">
            <v>NULL</v>
          </cell>
          <cell r="X204" t="str">
            <v>NULL</v>
          </cell>
          <cell r="Y204" t="str">
            <v>NULL</v>
          </cell>
          <cell r="Z204" t="str">
            <v>NULL</v>
          </cell>
          <cell r="AA204">
            <v>10012779</v>
          </cell>
          <cell r="AB204" t="str">
            <v>Independent school standard inspection - group</v>
          </cell>
          <cell r="AC204" t="str">
            <v>Independent Standard Inspection</v>
          </cell>
          <cell r="AD204">
            <v>42479</v>
          </cell>
          <cell r="AE204">
            <v>42481</v>
          </cell>
          <cell r="AF204">
            <v>42523</v>
          </cell>
          <cell r="AG204">
            <v>2</v>
          </cell>
          <cell r="AH204">
            <v>2</v>
          </cell>
          <cell r="AI204">
            <v>2</v>
          </cell>
          <cell r="AJ204">
            <v>2</v>
          </cell>
          <cell r="AK204">
            <v>2</v>
          </cell>
          <cell r="AL204" t="str">
            <v>NULL</v>
          </cell>
          <cell r="AM204" t="str">
            <v>NULL</v>
          </cell>
          <cell r="AN204" t="str">
            <v>Yes</v>
          </cell>
          <cell r="AO204" t="str">
            <v>ITS385133</v>
          </cell>
          <cell r="AP204" t="str">
            <v>Independent School standard inspection</v>
          </cell>
          <cell r="AQ204" t="str">
            <v>Independent Standard Inspection</v>
          </cell>
          <cell r="AR204">
            <v>40834</v>
          </cell>
          <cell r="AS204">
            <v>40835</v>
          </cell>
          <cell r="AT204">
            <v>40856</v>
          </cell>
          <cell r="AU204">
            <v>2</v>
          </cell>
          <cell r="AV204">
            <v>2</v>
          </cell>
          <cell r="AW204">
            <v>2</v>
          </cell>
          <cell r="AX204" t="str">
            <v>NULL</v>
          </cell>
          <cell r="AY204" t="str">
            <v>NULL</v>
          </cell>
          <cell r="AZ204">
            <v>8</v>
          </cell>
          <cell r="BA204" t="str">
            <v>NULL</v>
          </cell>
          <cell r="BB204" t="str">
            <v>NULL</v>
          </cell>
        </row>
        <row r="205">
          <cell r="D205">
            <v>110920</v>
          </cell>
          <cell r="E205">
            <v>8736008</v>
          </cell>
          <cell r="F205" t="str">
            <v>Aurora Meldreth Manor School</v>
          </cell>
          <cell r="G205" t="str">
            <v>Other Independent Special School</v>
          </cell>
          <cell r="H205">
            <v>26099</v>
          </cell>
          <cell r="I205">
            <v>11</v>
          </cell>
          <cell r="J205" t="str">
            <v>East of England</v>
          </cell>
          <cell r="K205" t="str">
            <v>East of England</v>
          </cell>
          <cell r="L205" t="str">
            <v>Cambridgeshire</v>
          </cell>
          <cell r="M205" t="str">
            <v>South Cambridgeshire</v>
          </cell>
          <cell r="N205" t="str">
            <v>SG8 6LG</v>
          </cell>
          <cell r="O205" t="str">
            <v>Has a sixth form</v>
          </cell>
          <cell r="P205">
            <v>6</v>
          </cell>
          <cell r="Q205">
            <v>19</v>
          </cell>
          <cell r="R205" t="str">
            <v>None</v>
          </cell>
          <cell r="S205" t="str">
            <v>Ofsted</v>
          </cell>
          <cell r="T205" t="str">
            <v>NULL</v>
          </cell>
          <cell r="U205" t="str">
            <v>NULL</v>
          </cell>
          <cell r="V205" t="str">
            <v>NULL</v>
          </cell>
          <cell r="W205" t="str">
            <v>NULL</v>
          </cell>
          <cell r="X205" t="str">
            <v>NULL</v>
          </cell>
          <cell r="Y205" t="str">
            <v>NULL</v>
          </cell>
          <cell r="Z205" t="str">
            <v>NULL</v>
          </cell>
          <cell r="AA205">
            <v>10020932</v>
          </cell>
          <cell r="AB205" t="str">
            <v>Independent School standard inspection</v>
          </cell>
          <cell r="AC205" t="str">
            <v>Independent Standard Inspection</v>
          </cell>
          <cell r="AD205">
            <v>43047</v>
          </cell>
          <cell r="AE205">
            <v>43049</v>
          </cell>
          <cell r="AF205">
            <v>43082</v>
          </cell>
          <cell r="AG205">
            <v>2</v>
          </cell>
          <cell r="AH205">
            <v>2</v>
          </cell>
          <cell r="AI205">
            <v>2</v>
          </cell>
          <cell r="AJ205">
            <v>2</v>
          </cell>
          <cell r="AK205">
            <v>2</v>
          </cell>
          <cell r="AL205" t="str">
            <v>NULL</v>
          </cell>
          <cell r="AM205">
            <v>2</v>
          </cell>
          <cell r="AN205" t="str">
            <v>Yes</v>
          </cell>
          <cell r="AO205" t="str">
            <v>ITS422702</v>
          </cell>
          <cell r="AP205" t="str">
            <v xml:space="preserve">Independent School standard inspection - integrated </v>
          </cell>
          <cell r="AQ205" t="str">
            <v>Independent Standard Inspection</v>
          </cell>
          <cell r="AR205">
            <v>41534</v>
          </cell>
          <cell r="AS205">
            <v>41536</v>
          </cell>
          <cell r="AT205">
            <v>41568</v>
          </cell>
          <cell r="AU205">
            <v>1</v>
          </cell>
          <cell r="AV205">
            <v>1</v>
          </cell>
          <cell r="AW205">
            <v>1</v>
          </cell>
          <cell r="AX205">
            <v>1</v>
          </cell>
          <cell r="AY205" t="str">
            <v>NULL</v>
          </cell>
          <cell r="AZ205" t="str">
            <v>NULL</v>
          </cell>
          <cell r="BA205" t="str">
            <v>NULL</v>
          </cell>
          <cell r="BB205" t="str">
            <v>NULL</v>
          </cell>
        </row>
        <row r="206">
          <cell r="D206">
            <v>132079</v>
          </cell>
          <cell r="E206">
            <v>8886046</v>
          </cell>
          <cell r="F206" t="str">
            <v>Moorlands View School</v>
          </cell>
          <cell r="G206" t="str">
            <v>Other Independent Special School</v>
          </cell>
          <cell r="H206">
            <v>36599</v>
          </cell>
          <cell r="I206">
            <v>11</v>
          </cell>
          <cell r="J206" t="str">
            <v>North West</v>
          </cell>
          <cell r="K206" t="str">
            <v>North West</v>
          </cell>
          <cell r="L206" t="str">
            <v>Lancashire</v>
          </cell>
          <cell r="M206" t="str">
            <v>Burnley</v>
          </cell>
          <cell r="N206" t="str">
            <v>BB11 5PQ</v>
          </cell>
          <cell r="O206" t="str">
            <v>Not applicable</v>
          </cell>
          <cell r="P206">
            <v>7</v>
          </cell>
          <cell r="Q206">
            <v>16</v>
          </cell>
          <cell r="R206" t="str">
            <v>None</v>
          </cell>
          <cell r="S206" t="str">
            <v>Ofsted</v>
          </cell>
          <cell r="T206" t="str">
            <v>NULL</v>
          </cell>
          <cell r="U206" t="str">
            <v>NULL</v>
          </cell>
          <cell r="V206" t="str">
            <v>NULL</v>
          </cell>
          <cell r="W206" t="str">
            <v>NULL</v>
          </cell>
          <cell r="X206" t="str">
            <v>NULL</v>
          </cell>
          <cell r="Y206" t="str">
            <v>NULL</v>
          </cell>
          <cell r="Z206" t="str">
            <v>NULL</v>
          </cell>
          <cell r="AA206">
            <v>10020809</v>
          </cell>
          <cell r="AB206" t="str">
            <v>Independent school standard inspection - aligned with CH</v>
          </cell>
          <cell r="AC206" t="str">
            <v>Independent Standard Inspection</v>
          </cell>
          <cell r="AD206">
            <v>42633</v>
          </cell>
          <cell r="AE206">
            <v>42635</v>
          </cell>
          <cell r="AF206">
            <v>42661</v>
          </cell>
          <cell r="AG206">
            <v>2</v>
          </cell>
          <cell r="AH206">
            <v>2</v>
          </cell>
          <cell r="AI206">
            <v>2</v>
          </cell>
          <cell r="AJ206">
            <v>2</v>
          </cell>
          <cell r="AK206">
            <v>2</v>
          </cell>
          <cell r="AL206" t="str">
            <v>NULL</v>
          </cell>
          <cell r="AM206" t="str">
            <v>NULL</v>
          </cell>
          <cell r="AN206" t="str">
            <v>Yes</v>
          </cell>
          <cell r="AO206" t="str">
            <v>ITS420340</v>
          </cell>
          <cell r="AP206" t="str">
            <v>Independent School standard inspection</v>
          </cell>
          <cell r="AQ206" t="str">
            <v>Independent Standard Inspection</v>
          </cell>
          <cell r="AR206">
            <v>41597</v>
          </cell>
          <cell r="AS206">
            <v>41598</v>
          </cell>
          <cell r="AT206">
            <v>41619</v>
          </cell>
          <cell r="AU206">
            <v>2</v>
          </cell>
          <cell r="AV206">
            <v>2</v>
          </cell>
          <cell r="AW206">
            <v>2</v>
          </cell>
          <cell r="AX206">
            <v>2</v>
          </cell>
          <cell r="AY206" t="str">
            <v>NULL</v>
          </cell>
          <cell r="AZ206" t="str">
            <v>NULL</v>
          </cell>
          <cell r="BA206" t="str">
            <v>NULL</v>
          </cell>
          <cell r="BB206" t="str">
            <v>NULL</v>
          </cell>
        </row>
        <row r="207">
          <cell r="D207">
            <v>125403</v>
          </cell>
          <cell r="E207">
            <v>9366420</v>
          </cell>
          <cell r="F207" t="str">
            <v>More House School</v>
          </cell>
          <cell r="G207" t="str">
            <v>Other Independent Special School</v>
          </cell>
          <cell r="H207">
            <v>21114</v>
          </cell>
          <cell r="I207">
            <v>464</v>
          </cell>
          <cell r="J207" t="str">
            <v>South East</v>
          </cell>
          <cell r="K207" t="str">
            <v>South East</v>
          </cell>
          <cell r="L207" t="str">
            <v>Surrey</v>
          </cell>
          <cell r="M207" t="str">
            <v>South West Surrey</v>
          </cell>
          <cell r="N207" t="str">
            <v>GU10 3AP</v>
          </cell>
          <cell r="O207" t="str">
            <v>Has a sixth form</v>
          </cell>
          <cell r="P207">
            <v>8</v>
          </cell>
          <cell r="Q207">
            <v>19</v>
          </cell>
          <cell r="R207" t="str">
            <v>Catholic</v>
          </cell>
          <cell r="S207" t="str">
            <v>Ofsted</v>
          </cell>
          <cell r="T207" t="str">
            <v>NULL</v>
          </cell>
          <cell r="U207" t="str">
            <v>NULL</v>
          </cell>
          <cell r="V207" t="str">
            <v>NULL</v>
          </cell>
          <cell r="W207" t="str">
            <v>NULL</v>
          </cell>
          <cell r="X207" t="str">
            <v>NULL</v>
          </cell>
          <cell r="Y207" t="str">
            <v>NULL</v>
          </cell>
          <cell r="Z207" t="str">
            <v>NULL</v>
          </cell>
          <cell r="AA207">
            <v>10008882</v>
          </cell>
          <cell r="AB207" t="str">
            <v>Independent School standard inspection</v>
          </cell>
          <cell r="AC207" t="str">
            <v>Independent Standard Inspection</v>
          </cell>
          <cell r="AD207">
            <v>42437</v>
          </cell>
          <cell r="AE207">
            <v>42439</v>
          </cell>
          <cell r="AF207">
            <v>42486</v>
          </cell>
          <cell r="AG207">
            <v>1</v>
          </cell>
          <cell r="AH207">
            <v>1</v>
          </cell>
          <cell r="AI207">
            <v>1</v>
          </cell>
          <cell r="AJ207">
            <v>1</v>
          </cell>
          <cell r="AK207">
            <v>1</v>
          </cell>
          <cell r="AL207" t="str">
            <v>NULL</v>
          </cell>
          <cell r="AM207">
            <v>1</v>
          </cell>
          <cell r="AN207" t="str">
            <v>Yes</v>
          </cell>
          <cell r="AO207" t="str">
            <v>ITS418335</v>
          </cell>
          <cell r="AP207" t="str">
            <v>Independent School standard inspection</v>
          </cell>
          <cell r="AQ207" t="str">
            <v>Independent Standard Inspection</v>
          </cell>
          <cell r="AR207">
            <v>41338</v>
          </cell>
          <cell r="AS207">
            <v>41340</v>
          </cell>
          <cell r="AT207">
            <v>41370</v>
          </cell>
          <cell r="AU207">
            <v>1</v>
          </cell>
          <cell r="AV207">
            <v>1</v>
          </cell>
          <cell r="AW207">
            <v>1</v>
          </cell>
          <cell r="AX207">
            <v>2</v>
          </cell>
          <cell r="AY207" t="str">
            <v>NULL</v>
          </cell>
          <cell r="AZ207" t="str">
            <v>NULL</v>
          </cell>
          <cell r="BA207" t="str">
            <v>NULL</v>
          </cell>
          <cell r="BB207" t="str">
            <v>NULL</v>
          </cell>
        </row>
        <row r="208">
          <cell r="D208">
            <v>137562</v>
          </cell>
          <cell r="E208">
            <v>8826010</v>
          </cell>
          <cell r="F208" t="str">
            <v>Ocean Lodge Independent School</v>
          </cell>
          <cell r="G208" t="str">
            <v>Other Independent Special School</v>
          </cell>
          <cell r="H208">
            <v>40821</v>
          </cell>
          <cell r="I208">
            <v>10</v>
          </cell>
          <cell r="J208" t="str">
            <v>East of England</v>
          </cell>
          <cell r="K208" t="str">
            <v>East of England</v>
          </cell>
          <cell r="L208" t="str">
            <v>Southend on Sea</v>
          </cell>
          <cell r="M208" t="str">
            <v>Rochford and Southend East</v>
          </cell>
          <cell r="N208" t="str">
            <v>SS0 7PU</v>
          </cell>
          <cell r="O208" t="str">
            <v>Not applicable</v>
          </cell>
          <cell r="P208">
            <v>7</v>
          </cell>
          <cell r="Q208">
            <v>16</v>
          </cell>
          <cell r="R208" t="str">
            <v>None</v>
          </cell>
          <cell r="S208" t="str">
            <v>Ofsted</v>
          </cell>
          <cell r="T208">
            <v>1</v>
          </cell>
          <cell r="U208">
            <v>10048579</v>
          </cell>
          <cell r="V208" t="str">
            <v>Independent school evaluation of school action plan</v>
          </cell>
          <cell r="W208">
            <v>43164</v>
          </cell>
          <cell r="X208">
            <v>43164</v>
          </cell>
          <cell r="Y208" t="str">
            <v>NULL</v>
          </cell>
          <cell r="Z208" t="str">
            <v>Action plan is acceptable</v>
          </cell>
          <cell r="AA208">
            <v>10043122</v>
          </cell>
          <cell r="AB208" t="str">
            <v>Independent School standard inspection</v>
          </cell>
          <cell r="AC208" t="str">
            <v>Independent Standard Inspection</v>
          </cell>
          <cell r="AD208">
            <v>43053</v>
          </cell>
          <cell r="AE208">
            <v>43055</v>
          </cell>
          <cell r="AF208">
            <v>43081</v>
          </cell>
          <cell r="AG208">
            <v>3</v>
          </cell>
          <cell r="AH208">
            <v>3</v>
          </cell>
          <cell r="AI208">
            <v>3</v>
          </cell>
          <cell r="AJ208">
            <v>3</v>
          </cell>
          <cell r="AK208">
            <v>3</v>
          </cell>
          <cell r="AL208" t="str">
            <v>NULL</v>
          </cell>
          <cell r="AM208" t="str">
            <v>NULL</v>
          </cell>
          <cell r="AN208" t="str">
            <v>Yes</v>
          </cell>
          <cell r="AO208">
            <v>10006042</v>
          </cell>
          <cell r="AP208" t="str">
            <v>Independent School standard inspection</v>
          </cell>
          <cell r="AQ208" t="str">
            <v>Independent Standard Inspection</v>
          </cell>
          <cell r="AR208">
            <v>42332</v>
          </cell>
          <cell r="AS208">
            <v>42334</v>
          </cell>
          <cell r="AT208">
            <v>42374</v>
          </cell>
          <cell r="AU208">
            <v>2</v>
          </cell>
          <cell r="AV208">
            <v>2</v>
          </cell>
          <cell r="AW208">
            <v>2</v>
          </cell>
          <cell r="AX208">
            <v>2</v>
          </cell>
          <cell r="AY208">
            <v>2</v>
          </cell>
          <cell r="AZ208" t="str">
            <v>NULL</v>
          </cell>
          <cell r="BA208" t="str">
            <v>NULL</v>
          </cell>
          <cell r="BB208" t="str">
            <v>Yes</v>
          </cell>
        </row>
        <row r="209">
          <cell r="D209">
            <v>138803</v>
          </cell>
          <cell r="E209">
            <v>2086001</v>
          </cell>
          <cell r="F209" t="str">
            <v>Octavia House Schools</v>
          </cell>
          <cell r="G209" t="str">
            <v>Other Independent Special School</v>
          </cell>
          <cell r="H209">
            <v>41178</v>
          </cell>
          <cell r="I209">
            <v>78</v>
          </cell>
          <cell r="J209" t="str">
            <v>London</v>
          </cell>
          <cell r="K209" t="str">
            <v>London</v>
          </cell>
          <cell r="L209" t="str">
            <v>Lambeth</v>
          </cell>
          <cell r="M209" t="str">
            <v>Vauxhall</v>
          </cell>
          <cell r="N209" t="str">
            <v>SE11 6AU</v>
          </cell>
          <cell r="O209" t="str">
            <v>Not applicable</v>
          </cell>
          <cell r="P209">
            <v>5</v>
          </cell>
          <cell r="Q209">
            <v>16</v>
          </cell>
          <cell r="R209" t="str">
            <v>None</v>
          </cell>
          <cell r="S209" t="str">
            <v>Ofsted</v>
          </cell>
          <cell r="T209">
            <v>3</v>
          </cell>
          <cell r="U209">
            <v>10020652</v>
          </cell>
          <cell r="V209" t="str">
            <v>Independent school Material Change inspection</v>
          </cell>
          <cell r="W209">
            <v>42536</v>
          </cell>
          <cell r="X209">
            <v>42536</v>
          </cell>
          <cell r="Y209" t="str">
            <v>NULL</v>
          </cell>
          <cell r="Z209" t="str">
            <v>Likely to meet relevant standards</v>
          </cell>
          <cell r="AA209" t="str">
            <v>ITS420274</v>
          </cell>
          <cell r="AB209" t="str">
            <v>Independent school standard inspection - first</v>
          </cell>
          <cell r="AC209" t="str">
            <v>Independent Standard Inspection</v>
          </cell>
          <cell r="AD209">
            <v>41464</v>
          </cell>
          <cell r="AE209">
            <v>41466</v>
          </cell>
          <cell r="AF209">
            <v>41522</v>
          </cell>
          <cell r="AG209">
            <v>2</v>
          </cell>
          <cell r="AH209">
            <v>2</v>
          </cell>
          <cell r="AI209">
            <v>2</v>
          </cell>
          <cell r="AJ209">
            <v>2</v>
          </cell>
          <cell r="AK209" t="str">
            <v>NULL</v>
          </cell>
          <cell r="AL209" t="str">
            <v>NULL</v>
          </cell>
          <cell r="AM209" t="str">
            <v>NULL</v>
          </cell>
          <cell r="AN209" t="str">
            <v>NULL</v>
          </cell>
          <cell r="AO209" t="str">
            <v>NULL</v>
          </cell>
          <cell r="AP209" t="str">
            <v>NULL</v>
          </cell>
          <cell r="AQ209" t="str">
            <v>NULL</v>
          </cell>
          <cell r="AR209" t="str">
            <v>NULL</v>
          </cell>
          <cell r="AS209" t="str">
            <v>NULL</v>
          </cell>
          <cell r="AT209" t="str">
            <v>NULL</v>
          </cell>
          <cell r="AU209" t="str">
            <v>NULL</v>
          </cell>
          <cell r="AV209" t="str">
            <v>NULL</v>
          </cell>
          <cell r="AW209" t="str">
            <v>NULL</v>
          </cell>
          <cell r="AX209" t="str">
            <v>NULL</v>
          </cell>
          <cell r="AY209" t="str">
            <v>NULL</v>
          </cell>
          <cell r="AZ209" t="str">
            <v>NULL</v>
          </cell>
          <cell r="BA209" t="str">
            <v>NULL</v>
          </cell>
          <cell r="BB209" t="str">
            <v>NULL</v>
          </cell>
        </row>
        <row r="210">
          <cell r="D210">
            <v>136168</v>
          </cell>
          <cell r="E210">
            <v>8306038</v>
          </cell>
          <cell r="F210" t="str">
            <v>Old Sams Farm Independent School</v>
          </cell>
          <cell r="G210" t="str">
            <v>Other Independent Special School</v>
          </cell>
          <cell r="H210">
            <v>40371</v>
          </cell>
          <cell r="I210">
            <v>5</v>
          </cell>
          <cell r="J210" t="str">
            <v>East Midlands</v>
          </cell>
          <cell r="K210" t="str">
            <v>East Midlands</v>
          </cell>
          <cell r="L210" t="str">
            <v>Derbyshire</v>
          </cell>
          <cell r="M210" t="str">
            <v>Staffordshire Moorlands</v>
          </cell>
          <cell r="N210" t="str">
            <v>SK17 0SN</v>
          </cell>
          <cell r="O210" t="str">
            <v>Not applicable</v>
          </cell>
          <cell r="P210">
            <v>11</v>
          </cell>
          <cell r="Q210">
            <v>16</v>
          </cell>
          <cell r="R210" t="str">
            <v>None</v>
          </cell>
          <cell r="S210" t="str">
            <v>Ofsted</v>
          </cell>
          <cell r="T210" t="str">
            <v>NULL</v>
          </cell>
          <cell r="U210" t="str">
            <v>NULL</v>
          </cell>
          <cell r="V210" t="str">
            <v>NULL</v>
          </cell>
          <cell r="W210" t="str">
            <v>NULL</v>
          </cell>
          <cell r="X210" t="str">
            <v>NULL</v>
          </cell>
          <cell r="Y210" t="str">
            <v>NULL</v>
          </cell>
          <cell r="Z210" t="str">
            <v>NULL</v>
          </cell>
          <cell r="AA210" t="str">
            <v>ITS446246</v>
          </cell>
          <cell r="AB210" t="str">
            <v>Independent school standard inspection - aligned with CH</v>
          </cell>
          <cell r="AC210" t="str">
            <v>Independent Standard Inspection</v>
          </cell>
          <cell r="AD210">
            <v>41954</v>
          </cell>
          <cell r="AE210">
            <v>41955</v>
          </cell>
          <cell r="AF210">
            <v>41985</v>
          </cell>
          <cell r="AG210">
            <v>2</v>
          </cell>
          <cell r="AH210">
            <v>2</v>
          </cell>
          <cell r="AI210">
            <v>2</v>
          </cell>
          <cell r="AJ210">
            <v>2</v>
          </cell>
          <cell r="AK210" t="str">
            <v>NULL</v>
          </cell>
          <cell r="AL210">
            <v>9</v>
          </cell>
          <cell r="AM210">
            <v>9</v>
          </cell>
          <cell r="AN210" t="str">
            <v>NULL</v>
          </cell>
          <cell r="AO210" t="str">
            <v>ITS366878</v>
          </cell>
          <cell r="AP210" t="str">
            <v xml:space="preserve">Independent School standard inspection - integrated </v>
          </cell>
          <cell r="AQ210" t="str">
            <v>Independent Standard Inspection</v>
          </cell>
          <cell r="AR210">
            <v>40737</v>
          </cell>
          <cell r="AS210">
            <v>40738</v>
          </cell>
          <cell r="AT210">
            <v>40801</v>
          </cell>
          <cell r="AU210">
            <v>2</v>
          </cell>
          <cell r="AV210">
            <v>2</v>
          </cell>
          <cell r="AW210">
            <v>2</v>
          </cell>
          <cell r="AX210" t="str">
            <v>NULL</v>
          </cell>
          <cell r="AY210" t="str">
            <v>NULL</v>
          </cell>
          <cell r="AZ210">
            <v>8</v>
          </cell>
          <cell r="BA210" t="str">
            <v>NULL</v>
          </cell>
          <cell r="BB210" t="str">
            <v>NULL</v>
          </cell>
        </row>
        <row r="211">
          <cell r="D211">
            <v>131575</v>
          </cell>
          <cell r="E211">
            <v>8886094</v>
          </cell>
          <cell r="F211" t="str">
            <v>Oliver House School</v>
          </cell>
          <cell r="G211" t="str">
            <v>Other Independent Special School</v>
          </cell>
          <cell r="H211">
            <v>38833</v>
          </cell>
          <cell r="I211">
            <v>38</v>
          </cell>
          <cell r="J211" t="str">
            <v>North West</v>
          </cell>
          <cell r="K211" t="str">
            <v>North West</v>
          </cell>
          <cell r="L211" t="str">
            <v>Lancashire</v>
          </cell>
          <cell r="M211" t="str">
            <v>Chorley</v>
          </cell>
          <cell r="N211" t="str">
            <v>PR7 1XA</v>
          </cell>
          <cell r="O211" t="str">
            <v>Not applicable</v>
          </cell>
          <cell r="P211">
            <v>6</v>
          </cell>
          <cell r="Q211">
            <v>19</v>
          </cell>
          <cell r="R211" t="str">
            <v>None</v>
          </cell>
          <cell r="S211" t="str">
            <v>Ofsted</v>
          </cell>
          <cell r="T211" t="str">
            <v>NULL</v>
          </cell>
          <cell r="U211" t="str">
            <v>NULL</v>
          </cell>
          <cell r="V211" t="str">
            <v>NULL</v>
          </cell>
          <cell r="W211" t="str">
            <v>NULL</v>
          </cell>
          <cell r="X211" t="str">
            <v>NULL</v>
          </cell>
          <cell r="Y211" t="str">
            <v>NULL</v>
          </cell>
          <cell r="Z211" t="str">
            <v>NULL</v>
          </cell>
          <cell r="AA211">
            <v>10012971</v>
          </cell>
          <cell r="AB211" t="str">
            <v>Independent School standard inspection</v>
          </cell>
          <cell r="AC211" t="str">
            <v>Independent Standard Inspection</v>
          </cell>
          <cell r="AD211">
            <v>42633</v>
          </cell>
          <cell r="AE211">
            <v>42635</v>
          </cell>
          <cell r="AF211">
            <v>42660</v>
          </cell>
          <cell r="AG211">
            <v>1</v>
          </cell>
          <cell r="AH211">
            <v>1</v>
          </cell>
          <cell r="AI211">
            <v>1</v>
          </cell>
          <cell r="AJ211">
            <v>1</v>
          </cell>
          <cell r="AK211">
            <v>1</v>
          </cell>
          <cell r="AL211" t="str">
            <v>NULL</v>
          </cell>
          <cell r="AM211">
            <v>1</v>
          </cell>
          <cell r="AN211" t="str">
            <v>Yes</v>
          </cell>
          <cell r="AO211" t="str">
            <v>ITS408721</v>
          </cell>
          <cell r="AP211" t="str">
            <v>Independent School standard inspection</v>
          </cell>
          <cell r="AQ211" t="str">
            <v>Independent Standard Inspection</v>
          </cell>
          <cell r="AR211">
            <v>41436</v>
          </cell>
          <cell r="AS211">
            <v>41438</v>
          </cell>
          <cell r="AT211">
            <v>41459</v>
          </cell>
          <cell r="AU211">
            <v>2</v>
          </cell>
          <cell r="AV211">
            <v>2</v>
          </cell>
          <cell r="AW211">
            <v>2</v>
          </cell>
          <cell r="AX211">
            <v>2</v>
          </cell>
          <cell r="AY211" t="str">
            <v>NULL</v>
          </cell>
          <cell r="AZ211" t="str">
            <v>NULL</v>
          </cell>
          <cell r="BA211" t="str">
            <v>NULL</v>
          </cell>
          <cell r="BB211" t="str">
            <v>NULL</v>
          </cell>
        </row>
        <row r="212">
          <cell r="D212">
            <v>138408</v>
          </cell>
          <cell r="E212">
            <v>8866139</v>
          </cell>
          <cell r="F212" t="str">
            <v>Pier View Academy</v>
          </cell>
          <cell r="G212" t="str">
            <v>Other Independent Special School</v>
          </cell>
          <cell r="H212">
            <v>41110</v>
          </cell>
          <cell r="I212">
            <v>24</v>
          </cell>
          <cell r="J212" t="str">
            <v>South East</v>
          </cell>
          <cell r="K212" t="str">
            <v>South East</v>
          </cell>
          <cell r="L212" t="str">
            <v>Kent</v>
          </cell>
          <cell r="M212" t="str">
            <v>Gravesham</v>
          </cell>
          <cell r="N212" t="str">
            <v>DA12 2AX</v>
          </cell>
          <cell r="O212" t="str">
            <v>Not applicable</v>
          </cell>
          <cell r="P212">
            <v>11</v>
          </cell>
          <cell r="Q212">
            <v>25</v>
          </cell>
          <cell r="R212" t="str">
            <v>None</v>
          </cell>
          <cell r="S212" t="str">
            <v>Ofsted</v>
          </cell>
          <cell r="T212" t="str">
            <v>NULL</v>
          </cell>
          <cell r="U212" t="str">
            <v>NULL</v>
          </cell>
          <cell r="V212" t="str">
            <v>NULL</v>
          </cell>
          <cell r="W212" t="str">
            <v>NULL</v>
          </cell>
          <cell r="X212" t="str">
            <v>NULL</v>
          </cell>
          <cell r="Y212" t="str">
            <v>NULL</v>
          </cell>
          <cell r="Z212" t="str">
            <v>NULL</v>
          </cell>
          <cell r="AA212">
            <v>10012918</v>
          </cell>
          <cell r="AB212" t="str">
            <v>Independent School standard inspection</v>
          </cell>
          <cell r="AC212" t="str">
            <v>Independent Standard Inspection</v>
          </cell>
          <cell r="AD212">
            <v>43046</v>
          </cell>
          <cell r="AE212">
            <v>43048</v>
          </cell>
          <cell r="AF212">
            <v>43068</v>
          </cell>
          <cell r="AG212">
            <v>3</v>
          </cell>
          <cell r="AH212">
            <v>3</v>
          </cell>
          <cell r="AI212">
            <v>3</v>
          </cell>
          <cell r="AJ212">
            <v>3</v>
          </cell>
          <cell r="AK212">
            <v>2</v>
          </cell>
          <cell r="AL212" t="str">
            <v>NULL</v>
          </cell>
          <cell r="AM212">
            <v>3</v>
          </cell>
          <cell r="AN212" t="str">
            <v>Yes</v>
          </cell>
          <cell r="AO212" t="str">
            <v>ITS420255</v>
          </cell>
          <cell r="AP212" t="str">
            <v>Independent school standard inspection - first</v>
          </cell>
          <cell r="AQ212" t="str">
            <v>Independent Standard Inspection</v>
          </cell>
          <cell r="AR212">
            <v>41430</v>
          </cell>
          <cell r="AS212">
            <v>41432</v>
          </cell>
          <cell r="AT212">
            <v>41457</v>
          </cell>
          <cell r="AU212">
            <v>4</v>
          </cell>
          <cell r="AV212">
            <v>4</v>
          </cell>
          <cell r="AW212">
            <v>3</v>
          </cell>
          <cell r="AX212">
            <v>4</v>
          </cell>
          <cell r="AY212" t="str">
            <v>NULL</v>
          </cell>
          <cell r="AZ212" t="str">
            <v>NULL</v>
          </cell>
          <cell r="BA212" t="str">
            <v>NULL</v>
          </cell>
          <cell r="BB212" t="str">
            <v>NULL</v>
          </cell>
        </row>
        <row r="213">
          <cell r="D213">
            <v>133540</v>
          </cell>
          <cell r="E213">
            <v>8886050</v>
          </cell>
          <cell r="F213" t="str">
            <v>Pontville School</v>
          </cell>
          <cell r="G213" t="str">
            <v>Other Independent Special School</v>
          </cell>
          <cell r="H213">
            <v>37214</v>
          </cell>
          <cell r="I213">
            <v>90</v>
          </cell>
          <cell r="J213" t="str">
            <v>North West</v>
          </cell>
          <cell r="K213" t="str">
            <v>North West</v>
          </cell>
          <cell r="L213" t="str">
            <v>Lancashire</v>
          </cell>
          <cell r="M213" t="str">
            <v>West Lancashire</v>
          </cell>
          <cell r="N213" t="str">
            <v>L39 4TW</v>
          </cell>
          <cell r="O213" t="str">
            <v>Has a sixth form</v>
          </cell>
          <cell r="P213">
            <v>5</v>
          </cell>
          <cell r="Q213">
            <v>19</v>
          </cell>
          <cell r="R213" t="str">
            <v>None</v>
          </cell>
          <cell r="S213" t="str">
            <v>Ofsted</v>
          </cell>
          <cell r="T213" t="str">
            <v>NULL</v>
          </cell>
          <cell r="U213" t="str">
            <v>NULL</v>
          </cell>
          <cell r="V213" t="str">
            <v>NULL</v>
          </cell>
          <cell r="W213" t="str">
            <v>NULL</v>
          </cell>
          <cell r="X213" t="str">
            <v>NULL</v>
          </cell>
          <cell r="Y213" t="str">
            <v>NULL</v>
          </cell>
          <cell r="Z213" t="str">
            <v>NULL</v>
          </cell>
          <cell r="AA213">
            <v>10008865</v>
          </cell>
          <cell r="AB213" t="str">
            <v>Independent School standard inspection</v>
          </cell>
          <cell r="AC213" t="str">
            <v>Independent Standard Inspection</v>
          </cell>
          <cell r="AD213">
            <v>42556</v>
          </cell>
          <cell r="AE213">
            <v>42558</v>
          </cell>
          <cell r="AF213">
            <v>42625</v>
          </cell>
          <cell r="AG213">
            <v>1</v>
          </cell>
          <cell r="AH213">
            <v>1</v>
          </cell>
          <cell r="AI213">
            <v>1</v>
          </cell>
          <cell r="AJ213">
            <v>1</v>
          </cell>
          <cell r="AK213">
            <v>1</v>
          </cell>
          <cell r="AL213" t="str">
            <v>NULL</v>
          </cell>
          <cell r="AM213">
            <v>1</v>
          </cell>
          <cell r="AN213" t="str">
            <v>Yes</v>
          </cell>
          <cell r="AO213" t="str">
            <v>ITS397749</v>
          </cell>
          <cell r="AP213" t="str">
            <v xml:space="preserve">Independent School standard inspection - integrated </v>
          </cell>
          <cell r="AQ213" t="str">
            <v>Independent Standard Inspection</v>
          </cell>
          <cell r="AR213">
            <v>41345</v>
          </cell>
          <cell r="AS213">
            <v>41347</v>
          </cell>
          <cell r="AT213">
            <v>41372</v>
          </cell>
          <cell r="AU213">
            <v>1</v>
          </cell>
          <cell r="AV213">
            <v>1</v>
          </cell>
          <cell r="AW213">
            <v>1</v>
          </cell>
          <cell r="AX213">
            <v>1</v>
          </cell>
          <cell r="AY213" t="str">
            <v>NULL</v>
          </cell>
          <cell r="AZ213" t="str">
            <v>NULL</v>
          </cell>
          <cell r="BA213" t="str">
            <v>NULL</v>
          </cell>
          <cell r="BB213" t="str">
            <v>NULL</v>
          </cell>
        </row>
        <row r="214">
          <cell r="D214">
            <v>122136</v>
          </cell>
          <cell r="E214">
            <v>9286039</v>
          </cell>
          <cell r="F214" t="str">
            <v>Cambian Potterspury Lodge School</v>
          </cell>
          <cell r="G214" t="str">
            <v>Other Independent Special School</v>
          </cell>
          <cell r="H214">
            <v>21144</v>
          </cell>
          <cell r="I214">
            <v>44</v>
          </cell>
          <cell r="J214" t="str">
            <v>East Midlands</v>
          </cell>
          <cell r="K214" t="str">
            <v>East Midlands</v>
          </cell>
          <cell r="L214" t="str">
            <v>Northamptonshire</v>
          </cell>
          <cell r="M214" t="str">
            <v>South Northamptonshire</v>
          </cell>
          <cell r="N214" t="str">
            <v>NN12 7LL</v>
          </cell>
          <cell r="O214" t="str">
            <v>Not applicable</v>
          </cell>
          <cell r="P214">
            <v>8</v>
          </cell>
          <cell r="Q214">
            <v>18</v>
          </cell>
          <cell r="R214" t="str">
            <v>None</v>
          </cell>
          <cell r="S214" t="str">
            <v>Ofsted</v>
          </cell>
          <cell r="T214" t="str">
            <v>NULL</v>
          </cell>
          <cell r="U214" t="str">
            <v>NULL</v>
          </cell>
          <cell r="V214" t="str">
            <v>NULL</v>
          </cell>
          <cell r="W214" t="str">
            <v>NULL</v>
          </cell>
          <cell r="X214" t="str">
            <v>NULL</v>
          </cell>
          <cell r="Y214" t="str">
            <v>NULL</v>
          </cell>
          <cell r="Z214" t="str">
            <v>NULL</v>
          </cell>
          <cell r="AA214">
            <v>10008939</v>
          </cell>
          <cell r="AB214" t="str">
            <v>Independent School standard inspection</v>
          </cell>
          <cell r="AC214" t="str">
            <v>Independent Standard Inspection</v>
          </cell>
          <cell r="AD214">
            <v>42402</v>
          </cell>
          <cell r="AE214">
            <v>42404</v>
          </cell>
          <cell r="AF214">
            <v>42479</v>
          </cell>
          <cell r="AG214">
            <v>2</v>
          </cell>
          <cell r="AH214">
            <v>2</v>
          </cell>
          <cell r="AI214">
            <v>2</v>
          </cell>
          <cell r="AJ214">
            <v>2</v>
          </cell>
          <cell r="AK214">
            <v>2</v>
          </cell>
          <cell r="AL214" t="str">
            <v>NULL</v>
          </cell>
          <cell r="AM214">
            <v>2</v>
          </cell>
          <cell r="AN214" t="str">
            <v>Yes</v>
          </cell>
          <cell r="AO214" t="str">
            <v>ITS393300</v>
          </cell>
          <cell r="AP214" t="str">
            <v xml:space="preserve">Independent School standard inspection - integrated </v>
          </cell>
          <cell r="AQ214" t="str">
            <v>Independent Standard Inspection</v>
          </cell>
          <cell r="AR214">
            <v>41081</v>
          </cell>
          <cell r="AS214">
            <v>41082</v>
          </cell>
          <cell r="AT214">
            <v>41113</v>
          </cell>
          <cell r="AU214">
            <v>2</v>
          </cell>
          <cell r="AV214">
            <v>2</v>
          </cell>
          <cell r="AW214">
            <v>2</v>
          </cell>
          <cell r="AX214" t="str">
            <v>NULL</v>
          </cell>
          <cell r="AY214" t="str">
            <v>NULL</v>
          </cell>
          <cell r="AZ214">
            <v>8</v>
          </cell>
          <cell r="BA214" t="str">
            <v>NULL</v>
          </cell>
          <cell r="BB214" t="str">
            <v>NULL</v>
          </cell>
        </row>
        <row r="215">
          <cell r="D215">
            <v>136740</v>
          </cell>
          <cell r="E215">
            <v>3136083</v>
          </cell>
          <cell r="F215" t="str">
            <v>PPP Community School</v>
          </cell>
          <cell r="G215" t="str">
            <v>Other Independent Special School</v>
          </cell>
          <cell r="H215">
            <v>40668</v>
          </cell>
          <cell r="I215">
            <v>32</v>
          </cell>
          <cell r="J215" t="str">
            <v>London</v>
          </cell>
          <cell r="K215" t="str">
            <v>London</v>
          </cell>
          <cell r="L215" t="str">
            <v>Hounslow</v>
          </cell>
          <cell r="M215" t="str">
            <v>Kensington</v>
          </cell>
          <cell r="N215" t="str">
            <v>W10 6TH</v>
          </cell>
          <cell r="O215" t="str">
            <v>Not applicable</v>
          </cell>
          <cell r="P215">
            <v>13</v>
          </cell>
          <cell r="Q215">
            <v>17</v>
          </cell>
          <cell r="R215" t="str">
            <v>None</v>
          </cell>
          <cell r="S215" t="str">
            <v>Ofsted</v>
          </cell>
          <cell r="T215" t="str">
            <v>NULL</v>
          </cell>
          <cell r="U215" t="str">
            <v>NULL</v>
          </cell>
          <cell r="V215" t="str">
            <v>NULL</v>
          </cell>
          <cell r="W215" t="str">
            <v>NULL</v>
          </cell>
          <cell r="X215" t="str">
            <v>NULL</v>
          </cell>
          <cell r="Y215" t="str">
            <v>NULL</v>
          </cell>
          <cell r="Z215" t="str">
            <v>NULL</v>
          </cell>
          <cell r="AA215">
            <v>10006126</v>
          </cell>
          <cell r="AB215" t="str">
            <v>Independent School standard inspection</v>
          </cell>
          <cell r="AC215" t="str">
            <v>Independent Standard Inspection</v>
          </cell>
          <cell r="AD215">
            <v>42353</v>
          </cell>
          <cell r="AE215">
            <v>42355</v>
          </cell>
          <cell r="AF215">
            <v>42389</v>
          </cell>
          <cell r="AG215">
            <v>2</v>
          </cell>
          <cell r="AH215">
            <v>2</v>
          </cell>
          <cell r="AI215">
            <v>2</v>
          </cell>
          <cell r="AJ215">
            <v>2</v>
          </cell>
          <cell r="AK215">
            <v>2</v>
          </cell>
          <cell r="AL215" t="str">
            <v>NULL</v>
          </cell>
          <cell r="AM215" t="str">
            <v>NULL</v>
          </cell>
          <cell r="AN215" t="str">
            <v>Yes</v>
          </cell>
          <cell r="AO215" t="str">
            <v>ITS393242</v>
          </cell>
          <cell r="AP215" t="str">
            <v>Independent school standard inspection - first</v>
          </cell>
          <cell r="AQ215" t="str">
            <v>Independent Standard Inspection</v>
          </cell>
          <cell r="AR215">
            <v>41024</v>
          </cell>
          <cell r="AS215">
            <v>41025</v>
          </cell>
          <cell r="AT215">
            <v>41050</v>
          </cell>
          <cell r="AU215">
            <v>3</v>
          </cell>
          <cell r="AV215">
            <v>3</v>
          </cell>
          <cell r="AW215">
            <v>3</v>
          </cell>
          <cell r="AX215" t="str">
            <v>NULL</v>
          </cell>
          <cell r="AY215" t="str">
            <v>NULL</v>
          </cell>
          <cell r="AZ215">
            <v>8</v>
          </cell>
          <cell r="BA215" t="str">
            <v>NULL</v>
          </cell>
          <cell r="BB215" t="str">
            <v>NULL</v>
          </cell>
        </row>
        <row r="216">
          <cell r="D216">
            <v>132735</v>
          </cell>
          <cell r="E216">
            <v>8606024</v>
          </cell>
          <cell r="F216" t="str">
            <v>Rugeley School</v>
          </cell>
          <cell r="G216" t="str">
            <v>Other Independent Special School</v>
          </cell>
          <cell r="H216">
            <v>36809</v>
          </cell>
          <cell r="I216">
            <v>47</v>
          </cell>
          <cell r="J216" t="str">
            <v>West Midlands</v>
          </cell>
          <cell r="K216" t="str">
            <v>West Midlands</v>
          </cell>
          <cell r="L216" t="str">
            <v>Staffordshire</v>
          </cell>
          <cell r="M216" t="str">
            <v>Lichfield</v>
          </cell>
          <cell r="N216" t="str">
            <v>WS15 3JQ</v>
          </cell>
          <cell r="O216" t="str">
            <v>Has a sixth form</v>
          </cell>
          <cell r="P216">
            <v>5</v>
          </cell>
          <cell r="Q216">
            <v>19</v>
          </cell>
          <cell r="R216" t="str">
            <v>None</v>
          </cell>
          <cell r="S216" t="str">
            <v>Ofsted</v>
          </cell>
          <cell r="T216" t="str">
            <v>NULL</v>
          </cell>
          <cell r="U216" t="str">
            <v>NULL</v>
          </cell>
          <cell r="V216" t="str">
            <v>NULL</v>
          </cell>
          <cell r="W216" t="str">
            <v>NULL</v>
          </cell>
          <cell r="X216" t="str">
            <v>NULL</v>
          </cell>
          <cell r="Y216" t="str">
            <v>NULL</v>
          </cell>
          <cell r="Z216" t="str">
            <v>NULL</v>
          </cell>
          <cell r="AA216">
            <v>10040663</v>
          </cell>
          <cell r="AB216" t="str">
            <v>Independent School standard inspection</v>
          </cell>
          <cell r="AC216" t="str">
            <v>Independent Standard Inspection</v>
          </cell>
          <cell r="AD216">
            <v>43018</v>
          </cell>
          <cell r="AE216">
            <v>43020</v>
          </cell>
          <cell r="AF216">
            <v>43048</v>
          </cell>
          <cell r="AG216">
            <v>3</v>
          </cell>
          <cell r="AH216">
            <v>3</v>
          </cell>
          <cell r="AI216">
            <v>3</v>
          </cell>
          <cell r="AJ216">
            <v>3</v>
          </cell>
          <cell r="AK216">
            <v>2</v>
          </cell>
          <cell r="AL216" t="str">
            <v>NULL</v>
          </cell>
          <cell r="AM216">
            <v>3</v>
          </cell>
          <cell r="AN216" t="str">
            <v>Yes</v>
          </cell>
          <cell r="AO216">
            <v>10006039</v>
          </cell>
          <cell r="AP216" t="str">
            <v>Independent school standard inspection - aligned with CH</v>
          </cell>
          <cell r="AQ216" t="str">
            <v>Independent Standard Inspection</v>
          </cell>
          <cell r="AR216">
            <v>42325</v>
          </cell>
          <cell r="AS216">
            <v>42327</v>
          </cell>
          <cell r="AT216">
            <v>42375</v>
          </cell>
          <cell r="AU216">
            <v>2</v>
          </cell>
          <cell r="AV216">
            <v>2</v>
          </cell>
          <cell r="AW216">
            <v>2</v>
          </cell>
          <cell r="AX216">
            <v>2</v>
          </cell>
          <cell r="AY216">
            <v>2</v>
          </cell>
          <cell r="AZ216" t="str">
            <v>NULL</v>
          </cell>
          <cell r="BA216">
            <v>2</v>
          </cell>
          <cell r="BB216" t="str">
            <v>Yes</v>
          </cell>
        </row>
        <row r="217">
          <cell r="D217">
            <v>101843</v>
          </cell>
          <cell r="E217">
            <v>3066078</v>
          </cell>
          <cell r="F217" t="str">
            <v>Rutherford School</v>
          </cell>
          <cell r="G217" t="str">
            <v>Other Independent Special School</v>
          </cell>
          <cell r="H217">
            <v>26098</v>
          </cell>
          <cell r="I217">
            <v>22</v>
          </cell>
          <cell r="J217" t="str">
            <v>London</v>
          </cell>
          <cell r="K217" t="str">
            <v>London</v>
          </cell>
          <cell r="L217" t="str">
            <v>Croydon</v>
          </cell>
          <cell r="M217" t="str">
            <v>Croydon South</v>
          </cell>
          <cell r="N217" t="str">
            <v>CR2 7HZ</v>
          </cell>
          <cell r="O217" t="str">
            <v>Has a sixth form</v>
          </cell>
          <cell r="P217">
            <v>3</v>
          </cell>
          <cell r="Q217">
            <v>19</v>
          </cell>
          <cell r="R217" t="str">
            <v>None</v>
          </cell>
          <cell r="S217" t="str">
            <v>Ofsted</v>
          </cell>
          <cell r="T217" t="str">
            <v>NULL</v>
          </cell>
          <cell r="U217" t="str">
            <v>NULL</v>
          </cell>
          <cell r="V217" t="str">
            <v>NULL</v>
          </cell>
          <cell r="W217" t="str">
            <v>NULL</v>
          </cell>
          <cell r="X217" t="str">
            <v>NULL</v>
          </cell>
          <cell r="Y217" t="str">
            <v>NULL</v>
          </cell>
          <cell r="Z217" t="str">
            <v>NULL</v>
          </cell>
          <cell r="AA217" t="str">
            <v>ITS462858</v>
          </cell>
          <cell r="AB217" t="str">
            <v>Independent School standard inspection</v>
          </cell>
          <cell r="AC217" t="str">
            <v>Independent Standard Inspection</v>
          </cell>
          <cell r="AD217">
            <v>42192</v>
          </cell>
          <cell r="AE217">
            <v>42194</v>
          </cell>
          <cell r="AF217">
            <v>42257</v>
          </cell>
          <cell r="AG217">
            <v>1</v>
          </cell>
          <cell r="AH217">
            <v>1</v>
          </cell>
          <cell r="AI217">
            <v>1</v>
          </cell>
          <cell r="AJ217">
            <v>1</v>
          </cell>
          <cell r="AK217" t="str">
            <v>NULL</v>
          </cell>
          <cell r="AL217">
            <v>9</v>
          </cell>
          <cell r="AM217">
            <v>2</v>
          </cell>
          <cell r="AN217" t="str">
            <v>NULL</v>
          </cell>
          <cell r="AO217" t="str">
            <v>ITS386878</v>
          </cell>
          <cell r="AP217" t="str">
            <v>Independent School standard inspection</v>
          </cell>
          <cell r="AQ217" t="str">
            <v>Independent Standard Inspection</v>
          </cell>
          <cell r="AR217">
            <v>40926</v>
          </cell>
          <cell r="AS217">
            <v>40927</v>
          </cell>
          <cell r="AT217">
            <v>41236</v>
          </cell>
          <cell r="AU217">
            <v>1</v>
          </cell>
          <cell r="AV217">
            <v>1</v>
          </cell>
          <cell r="AW217">
            <v>1</v>
          </cell>
          <cell r="AX217" t="str">
            <v>NULL</v>
          </cell>
          <cell r="AY217" t="str">
            <v>NULL</v>
          </cell>
          <cell r="AZ217">
            <v>8</v>
          </cell>
          <cell r="BA217" t="str">
            <v>NULL</v>
          </cell>
          <cell r="BB217" t="str">
            <v>NULL</v>
          </cell>
        </row>
        <row r="218">
          <cell r="D218">
            <v>136233</v>
          </cell>
          <cell r="E218">
            <v>8746036</v>
          </cell>
          <cell r="F218" t="str">
            <v>Sacrewell Lodge School</v>
          </cell>
          <cell r="G218" t="str">
            <v>Other Independent Special School</v>
          </cell>
          <cell r="H218">
            <v>40436</v>
          </cell>
          <cell r="I218">
            <v>0</v>
          </cell>
          <cell r="J218" t="str">
            <v>East of England</v>
          </cell>
          <cell r="K218" t="str">
            <v>East of England</v>
          </cell>
          <cell r="L218" t="str">
            <v>Peterborough</v>
          </cell>
          <cell r="M218" t="str">
            <v>North West Cambridgeshire</v>
          </cell>
          <cell r="N218" t="str">
            <v>PE8 6HJ</v>
          </cell>
          <cell r="O218" t="str">
            <v>Not applicable</v>
          </cell>
          <cell r="P218">
            <v>8</v>
          </cell>
          <cell r="Q218">
            <v>16</v>
          </cell>
          <cell r="R218" t="str">
            <v>None</v>
          </cell>
          <cell r="S218" t="str">
            <v>Ofsted</v>
          </cell>
          <cell r="T218" t="str">
            <v>NULL</v>
          </cell>
          <cell r="U218" t="str">
            <v>NULL</v>
          </cell>
          <cell r="V218" t="str">
            <v>NULL</v>
          </cell>
          <cell r="W218" t="str">
            <v>NULL</v>
          </cell>
          <cell r="X218" t="str">
            <v>NULL</v>
          </cell>
          <cell r="Y218" t="str">
            <v>NULL</v>
          </cell>
          <cell r="Z218" t="str">
            <v>NULL</v>
          </cell>
          <cell r="AA218">
            <v>10026073</v>
          </cell>
          <cell r="AB218" t="str">
            <v>Independent School standard inspection</v>
          </cell>
          <cell r="AC218" t="str">
            <v>Independent Standard Inspection</v>
          </cell>
          <cell r="AD218">
            <v>43130</v>
          </cell>
          <cell r="AE218">
            <v>43132</v>
          </cell>
          <cell r="AF218">
            <v>43172</v>
          </cell>
          <cell r="AG218">
            <v>3</v>
          </cell>
          <cell r="AH218">
            <v>3</v>
          </cell>
          <cell r="AI218">
            <v>3</v>
          </cell>
          <cell r="AJ218">
            <v>3</v>
          </cell>
          <cell r="AK218">
            <v>3</v>
          </cell>
          <cell r="AL218" t="str">
            <v>NULL</v>
          </cell>
          <cell r="AM218" t="str">
            <v>NULL</v>
          </cell>
          <cell r="AN218" t="str">
            <v>Yes</v>
          </cell>
          <cell r="AO218" t="str">
            <v>ITS434039</v>
          </cell>
          <cell r="AP218" t="str">
            <v>Independent school standard inspection - first</v>
          </cell>
          <cell r="AQ218" t="str">
            <v>Independent Standard Inspection</v>
          </cell>
          <cell r="AR218">
            <v>41619</v>
          </cell>
          <cell r="AS218">
            <v>41620</v>
          </cell>
          <cell r="AT218">
            <v>41652</v>
          </cell>
          <cell r="AU218">
            <v>4</v>
          </cell>
          <cell r="AV218">
            <v>4</v>
          </cell>
          <cell r="AW218">
            <v>4</v>
          </cell>
          <cell r="AX218">
            <v>4</v>
          </cell>
          <cell r="AY218" t="str">
            <v>NULL</v>
          </cell>
          <cell r="AZ218" t="str">
            <v>NULL</v>
          </cell>
          <cell r="BA218" t="str">
            <v>NULL</v>
          </cell>
          <cell r="BB218" t="str">
            <v>NULL</v>
          </cell>
        </row>
        <row r="219">
          <cell r="D219">
            <v>137795</v>
          </cell>
          <cell r="E219">
            <v>8866137</v>
          </cell>
          <cell r="F219" t="str">
            <v>Sallygate School</v>
          </cell>
          <cell r="G219" t="str">
            <v>Other Independent Special School</v>
          </cell>
          <cell r="H219">
            <v>40886</v>
          </cell>
          <cell r="I219">
            <v>16</v>
          </cell>
          <cell r="J219" t="str">
            <v>South East</v>
          </cell>
          <cell r="K219" t="str">
            <v>South East</v>
          </cell>
          <cell r="L219" t="str">
            <v>Kent</v>
          </cell>
          <cell r="M219" t="str">
            <v>Dover</v>
          </cell>
          <cell r="N219" t="str">
            <v>CT17 0RX</v>
          </cell>
          <cell r="O219" t="str">
            <v>Not applicable</v>
          </cell>
          <cell r="P219">
            <v>8</v>
          </cell>
          <cell r="Q219">
            <v>17</v>
          </cell>
          <cell r="R219" t="str">
            <v>None</v>
          </cell>
          <cell r="S219" t="str">
            <v>Ofsted</v>
          </cell>
          <cell r="T219" t="str">
            <v>NULL</v>
          </cell>
          <cell r="U219" t="str">
            <v>NULL</v>
          </cell>
          <cell r="V219" t="str">
            <v>NULL</v>
          </cell>
          <cell r="W219" t="str">
            <v>NULL</v>
          </cell>
          <cell r="X219" t="str">
            <v>NULL</v>
          </cell>
          <cell r="Y219" t="str">
            <v>NULL</v>
          </cell>
          <cell r="Z219" t="str">
            <v>NULL</v>
          </cell>
          <cell r="AA219">
            <v>10008591</v>
          </cell>
          <cell r="AB219" t="str">
            <v>Independent School standard inspection</v>
          </cell>
          <cell r="AC219" t="str">
            <v>Independent Standard Inspection</v>
          </cell>
          <cell r="AD219">
            <v>43074</v>
          </cell>
          <cell r="AE219">
            <v>43076</v>
          </cell>
          <cell r="AF219">
            <v>43111</v>
          </cell>
          <cell r="AG219">
            <v>2</v>
          </cell>
          <cell r="AH219">
            <v>2</v>
          </cell>
          <cell r="AI219">
            <v>2</v>
          </cell>
          <cell r="AJ219">
            <v>2</v>
          </cell>
          <cell r="AK219">
            <v>1</v>
          </cell>
          <cell r="AL219" t="str">
            <v>NULL</v>
          </cell>
          <cell r="AM219" t="str">
            <v>NULL</v>
          </cell>
          <cell r="AN219" t="str">
            <v>Yes</v>
          </cell>
          <cell r="AO219" t="str">
            <v>ITS397702</v>
          </cell>
          <cell r="AP219" t="str">
            <v>Independent school standard inspection - first</v>
          </cell>
          <cell r="AQ219" t="str">
            <v>Independent Standard Inspection</v>
          </cell>
          <cell r="AR219">
            <v>41317</v>
          </cell>
          <cell r="AS219">
            <v>41318</v>
          </cell>
          <cell r="AT219">
            <v>41338</v>
          </cell>
          <cell r="AU219">
            <v>3</v>
          </cell>
          <cell r="AV219">
            <v>3</v>
          </cell>
          <cell r="AW219">
            <v>3</v>
          </cell>
          <cell r="AX219">
            <v>3</v>
          </cell>
          <cell r="AY219" t="str">
            <v>NULL</v>
          </cell>
          <cell r="AZ219" t="str">
            <v>NULL</v>
          </cell>
          <cell r="BA219" t="str">
            <v>NULL</v>
          </cell>
          <cell r="BB219" t="str">
            <v>NULL</v>
          </cell>
        </row>
        <row r="220">
          <cell r="D220">
            <v>109342</v>
          </cell>
          <cell r="E220">
            <v>8016008</v>
          </cell>
          <cell r="F220" t="str">
            <v>Aurora St Christopher's School</v>
          </cell>
          <cell r="G220" t="str">
            <v>Other Independent Special School</v>
          </cell>
          <cell r="H220">
            <v>21111</v>
          </cell>
          <cell r="I220">
            <v>27</v>
          </cell>
          <cell r="J220" t="str">
            <v>South West</v>
          </cell>
          <cell r="K220" t="str">
            <v>South West</v>
          </cell>
          <cell r="L220" t="str">
            <v>Bristol</v>
          </cell>
          <cell r="M220" t="str">
            <v>Bristol North West</v>
          </cell>
          <cell r="N220" t="str">
            <v>BS6 7JE</v>
          </cell>
          <cell r="O220" t="str">
            <v>Has a sixth form</v>
          </cell>
          <cell r="P220">
            <v>5</v>
          </cell>
          <cell r="Q220">
            <v>19</v>
          </cell>
          <cell r="R220" t="str">
            <v>None</v>
          </cell>
          <cell r="S220" t="str">
            <v>Ofsted</v>
          </cell>
          <cell r="T220">
            <v>2</v>
          </cell>
          <cell r="U220">
            <v>10040215</v>
          </cell>
          <cell r="V220" t="str">
            <v>Independent school Progress Monitoring inspection</v>
          </cell>
          <cell r="W220">
            <v>43018</v>
          </cell>
          <cell r="X220">
            <v>43018</v>
          </cell>
          <cell r="Y220">
            <v>43045</v>
          </cell>
          <cell r="Z220" t="str">
            <v>Met all standards that were checked</v>
          </cell>
          <cell r="AA220">
            <v>10006037</v>
          </cell>
          <cell r="AB220" t="str">
            <v>Independent School standard inspection</v>
          </cell>
          <cell r="AC220" t="str">
            <v>Independent Standard Inspection</v>
          </cell>
          <cell r="AD220">
            <v>42758</v>
          </cell>
          <cell r="AE220">
            <v>42760</v>
          </cell>
          <cell r="AF220">
            <v>42794</v>
          </cell>
          <cell r="AG220">
            <v>3</v>
          </cell>
          <cell r="AH220">
            <v>3</v>
          </cell>
          <cell r="AI220">
            <v>3</v>
          </cell>
          <cell r="AJ220">
            <v>3</v>
          </cell>
          <cell r="AK220">
            <v>2</v>
          </cell>
          <cell r="AL220" t="str">
            <v>NULL</v>
          </cell>
          <cell r="AM220">
            <v>3</v>
          </cell>
          <cell r="AN220" t="str">
            <v>Yes</v>
          </cell>
          <cell r="AO220" t="str">
            <v>ITS397750</v>
          </cell>
          <cell r="AP220" t="str">
            <v xml:space="preserve">Independent School standard inspection - integrated </v>
          </cell>
          <cell r="AQ220" t="str">
            <v>Independent Standard Inspection</v>
          </cell>
          <cell r="AR220">
            <v>41247</v>
          </cell>
          <cell r="AS220">
            <v>41248</v>
          </cell>
          <cell r="AT220">
            <v>41269</v>
          </cell>
          <cell r="AU220">
            <v>2</v>
          </cell>
          <cell r="AV220">
            <v>2</v>
          </cell>
          <cell r="AW220">
            <v>2</v>
          </cell>
          <cell r="AX220" t="str">
            <v>NULL</v>
          </cell>
          <cell r="AY220" t="str">
            <v>NULL</v>
          </cell>
          <cell r="AZ220">
            <v>8</v>
          </cell>
          <cell r="BA220" t="str">
            <v>NULL</v>
          </cell>
          <cell r="BB220" t="str">
            <v>NULL</v>
          </cell>
        </row>
        <row r="221">
          <cell r="D221">
            <v>116584</v>
          </cell>
          <cell r="E221">
            <v>8506032</v>
          </cell>
          <cell r="F221" t="str">
            <v>St Edward's School</v>
          </cell>
          <cell r="G221" t="str">
            <v>Other Independent Special School</v>
          </cell>
          <cell r="H221">
            <v>29516</v>
          </cell>
          <cell r="I221">
            <v>43</v>
          </cell>
          <cell r="J221" t="str">
            <v>South East</v>
          </cell>
          <cell r="K221" t="str">
            <v>South East</v>
          </cell>
          <cell r="L221" t="str">
            <v>Hampshire</v>
          </cell>
          <cell r="M221" t="str">
            <v>Romsey and Southampton North</v>
          </cell>
          <cell r="N221" t="str">
            <v>SO51 6ZR</v>
          </cell>
          <cell r="O221" t="str">
            <v>Not applicable</v>
          </cell>
          <cell r="P221">
            <v>9</v>
          </cell>
          <cell r="Q221">
            <v>18</v>
          </cell>
          <cell r="R221" t="str">
            <v>None</v>
          </cell>
          <cell r="S221" t="str">
            <v>Ofsted</v>
          </cell>
          <cell r="T221" t="str">
            <v>NULL</v>
          </cell>
          <cell r="U221" t="str">
            <v>NULL</v>
          </cell>
          <cell r="V221" t="str">
            <v>NULL</v>
          </cell>
          <cell r="W221" t="str">
            <v>NULL</v>
          </cell>
          <cell r="X221" t="str">
            <v>NULL</v>
          </cell>
          <cell r="Y221" t="str">
            <v>NULL</v>
          </cell>
          <cell r="Z221" t="str">
            <v>NULL</v>
          </cell>
          <cell r="AA221" t="str">
            <v>ITS461519</v>
          </cell>
          <cell r="AB221" t="str">
            <v>Independent School standard inspection</v>
          </cell>
          <cell r="AC221" t="str">
            <v>Independent Standard Inspection</v>
          </cell>
          <cell r="AD221">
            <v>42073</v>
          </cell>
          <cell r="AE221">
            <v>42075</v>
          </cell>
          <cell r="AF221">
            <v>42121</v>
          </cell>
          <cell r="AG221">
            <v>1</v>
          </cell>
          <cell r="AH221">
            <v>1</v>
          </cell>
          <cell r="AI221">
            <v>1</v>
          </cell>
          <cell r="AJ221">
            <v>1</v>
          </cell>
          <cell r="AK221" t="str">
            <v>NULL</v>
          </cell>
          <cell r="AL221">
            <v>9</v>
          </cell>
          <cell r="AM221">
            <v>1</v>
          </cell>
          <cell r="AN221" t="str">
            <v>NULL</v>
          </cell>
          <cell r="AO221" t="str">
            <v>ITS386891</v>
          </cell>
          <cell r="AP221" t="str">
            <v>Independent School standard inspection</v>
          </cell>
          <cell r="AQ221" t="str">
            <v>Independent Standard Inspection</v>
          </cell>
          <cell r="AR221">
            <v>40925</v>
          </cell>
          <cell r="AS221">
            <v>40926</v>
          </cell>
          <cell r="AT221">
            <v>41236</v>
          </cell>
          <cell r="AU221">
            <v>2</v>
          </cell>
          <cell r="AV221">
            <v>2</v>
          </cell>
          <cell r="AW221">
            <v>2</v>
          </cell>
          <cell r="AX221" t="str">
            <v>NULL</v>
          </cell>
          <cell r="AY221" t="str">
            <v>NULL</v>
          </cell>
          <cell r="AZ221">
            <v>8</v>
          </cell>
          <cell r="BA221" t="str">
            <v>NULL</v>
          </cell>
          <cell r="BB221" t="str">
            <v>NULL</v>
          </cell>
        </row>
        <row r="222">
          <cell r="D222">
            <v>135208</v>
          </cell>
          <cell r="E222">
            <v>3306115</v>
          </cell>
          <cell r="F222" t="str">
            <v>St Paul's</v>
          </cell>
          <cell r="G222" t="str">
            <v>Other Independent Special School</v>
          </cell>
          <cell r="H222">
            <v>39169</v>
          </cell>
          <cell r="I222">
            <v>23</v>
          </cell>
          <cell r="J222" t="str">
            <v>West Midlands</v>
          </cell>
          <cell r="K222" t="str">
            <v>West Midlands</v>
          </cell>
          <cell r="L222" t="str">
            <v>Birmingham</v>
          </cell>
          <cell r="M222" t="str">
            <v>Birmingham, Hall Green</v>
          </cell>
          <cell r="N222" t="str">
            <v>B12 8NJ</v>
          </cell>
          <cell r="O222" t="str">
            <v>Has a sixth form</v>
          </cell>
          <cell r="P222">
            <v>10</v>
          </cell>
          <cell r="Q222">
            <v>19</v>
          </cell>
          <cell r="R222" t="str">
            <v>None</v>
          </cell>
          <cell r="S222" t="str">
            <v>Ofsted</v>
          </cell>
          <cell r="T222" t="str">
            <v>NULL</v>
          </cell>
          <cell r="U222" t="str">
            <v>NULL</v>
          </cell>
          <cell r="V222" t="str">
            <v>NULL</v>
          </cell>
          <cell r="W222" t="str">
            <v>NULL</v>
          </cell>
          <cell r="X222" t="str">
            <v>NULL</v>
          </cell>
          <cell r="Y222" t="str">
            <v>NULL</v>
          </cell>
          <cell r="Z222" t="str">
            <v>NULL</v>
          </cell>
          <cell r="AA222">
            <v>10033570</v>
          </cell>
          <cell r="AB222" t="str">
            <v>Independent School standard inspection</v>
          </cell>
          <cell r="AC222" t="str">
            <v>Independent Standard Inspection</v>
          </cell>
          <cell r="AD222">
            <v>42892</v>
          </cell>
          <cell r="AE222">
            <v>42894</v>
          </cell>
          <cell r="AF222">
            <v>42916</v>
          </cell>
          <cell r="AG222">
            <v>3</v>
          </cell>
          <cell r="AH222">
            <v>3</v>
          </cell>
          <cell r="AI222">
            <v>3</v>
          </cell>
          <cell r="AJ222">
            <v>3</v>
          </cell>
          <cell r="AK222">
            <v>3</v>
          </cell>
          <cell r="AL222" t="str">
            <v>NULL</v>
          </cell>
          <cell r="AM222" t="str">
            <v>NULL</v>
          </cell>
          <cell r="AN222" t="str">
            <v>Yes</v>
          </cell>
          <cell r="AO222" t="str">
            <v>ITS462931</v>
          </cell>
          <cell r="AP222" t="str">
            <v>Independent School standard inspection</v>
          </cell>
          <cell r="AQ222" t="str">
            <v>Independent Standard Inspection</v>
          </cell>
          <cell r="AR222">
            <v>42108</v>
          </cell>
          <cell r="AS222">
            <v>42110</v>
          </cell>
          <cell r="AT222">
            <v>42138</v>
          </cell>
          <cell r="AU222">
            <v>3</v>
          </cell>
          <cell r="AV222">
            <v>3</v>
          </cell>
          <cell r="AW222">
            <v>3</v>
          </cell>
          <cell r="AX222">
            <v>3</v>
          </cell>
          <cell r="AY222" t="str">
            <v>NULL</v>
          </cell>
          <cell r="AZ222">
            <v>9</v>
          </cell>
          <cell r="BA222">
            <v>9</v>
          </cell>
          <cell r="BB222" t="str">
            <v>NULL</v>
          </cell>
        </row>
        <row r="223">
          <cell r="D223">
            <v>134634</v>
          </cell>
          <cell r="E223">
            <v>8456054</v>
          </cell>
          <cell r="F223" t="str">
            <v>Step By Step School</v>
          </cell>
          <cell r="G223" t="str">
            <v>Other Independent Special School</v>
          </cell>
          <cell r="H223">
            <v>38029</v>
          </cell>
          <cell r="I223">
            <v>28</v>
          </cell>
          <cell r="J223" t="str">
            <v>South East</v>
          </cell>
          <cell r="K223" t="str">
            <v>South East</v>
          </cell>
          <cell r="L223" t="str">
            <v>East Sussex</v>
          </cell>
          <cell r="M223" t="str">
            <v>Mid Sussex</v>
          </cell>
          <cell r="N223" t="str">
            <v>RH19 4HP</v>
          </cell>
          <cell r="O223" t="str">
            <v>Not applicable</v>
          </cell>
          <cell r="P223">
            <v>4</v>
          </cell>
          <cell r="Q223">
            <v>19</v>
          </cell>
          <cell r="R223" t="str">
            <v>None</v>
          </cell>
          <cell r="S223" t="str">
            <v>Ofsted</v>
          </cell>
          <cell r="T223" t="str">
            <v>NULL</v>
          </cell>
          <cell r="U223" t="str">
            <v>NULL</v>
          </cell>
          <cell r="V223" t="str">
            <v>NULL</v>
          </cell>
          <cell r="W223" t="str">
            <v>NULL</v>
          </cell>
          <cell r="X223" t="str">
            <v>NULL</v>
          </cell>
          <cell r="Y223" t="str">
            <v>NULL</v>
          </cell>
          <cell r="Z223" t="str">
            <v>NULL</v>
          </cell>
          <cell r="AA223" t="str">
            <v>ITS463916</v>
          </cell>
          <cell r="AB223" t="str">
            <v>Independent School standard inspection</v>
          </cell>
          <cell r="AC223" t="str">
            <v>Independent Standard Inspection</v>
          </cell>
          <cell r="AD223">
            <v>42164</v>
          </cell>
          <cell r="AE223">
            <v>42166</v>
          </cell>
          <cell r="AF223">
            <v>42198</v>
          </cell>
          <cell r="AG223">
            <v>2</v>
          </cell>
          <cell r="AH223">
            <v>1</v>
          </cell>
          <cell r="AI223">
            <v>1</v>
          </cell>
          <cell r="AJ223">
            <v>2</v>
          </cell>
          <cell r="AK223" t="str">
            <v>NULL</v>
          </cell>
          <cell r="AL223">
            <v>1</v>
          </cell>
          <cell r="AM223">
            <v>9</v>
          </cell>
          <cell r="AN223" t="str">
            <v>NULL</v>
          </cell>
          <cell r="AO223" t="str">
            <v>ITS393296</v>
          </cell>
          <cell r="AP223" t="str">
            <v>Independent School standard inspection</v>
          </cell>
          <cell r="AQ223" t="str">
            <v>Independent Standard Inspection</v>
          </cell>
          <cell r="AR223">
            <v>41024</v>
          </cell>
          <cell r="AS223">
            <v>41025</v>
          </cell>
          <cell r="AT223">
            <v>41047</v>
          </cell>
          <cell r="AU223">
            <v>1</v>
          </cell>
          <cell r="AV223">
            <v>1</v>
          </cell>
          <cell r="AW223">
            <v>1</v>
          </cell>
          <cell r="AX223" t="str">
            <v>NULL</v>
          </cell>
          <cell r="AY223" t="str">
            <v>NULL</v>
          </cell>
          <cell r="AZ223">
            <v>8</v>
          </cell>
          <cell r="BA223" t="str">
            <v>NULL</v>
          </cell>
          <cell r="BB223" t="str">
            <v>NULL</v>
          </cell>
        </row>
        <row r="224">
          <cell r="D224">
            <v>120330</v>
          </cell>
          <cell r="E224">
            <v>8556010</v>
          </cell>
          <cell r="F224" t="str">
            <v>The Grange Therapeutic School</v>
          </cell>
          <cell r="G224" t="str">
            <v>Other Independent Special School</v>
          </cell>
          <cell r="H224">
            <v>28251</v>
          </cell>
          <cell r="I224">
            <v>72</v>
          </cell>
          <cell r="J224" t="str">
            <v>East Midlands</v>
          </cell>
          <cell r="K224" t="str">
            <v>East Midlands</v>
          </cell>
          <cell r="L224" t="str">
            <v>Leicestershire</v>
          </cell>
          <cell r="M224" t="str">
            <v>Rutland and Melton</v>
          </cell>
          <cell r="N224" t="str">
            <v>LE15 8LY</v>
          </cell>
          <cell r="O224" t="str">
            <v>Not applicable</v>
          </cell>
          <cell r="P224">
            <v>8</v>
          </cell>
          <cell r="Q224">
            <v>17</v>
          </cell>
          <cell r="R224" t="str">
            <v>None</v>
          </cell>
          <cell r="S224" t="str">
            <v>Ofsted</v>
          </cell>
          <cell r="T224">
            <v>1</v>
          </cell>
          <cell r="U224">
            <v>10020684</v>
          </cell>
          <cell r="V224" t="str">
            <v xml:space="preserve">Independent school emergency inspection -integrated </v>
          </cell>
          <cell r="W224">
            <v>42563</v>
          </cell>
          <cell r="X224">
            <v>42563</v>
          </cell>
          <cell r="Y224" t="str">
            <v>NULL</v>
          </cell>
          <cell r="Z224" t="str">
            <v>No unmet standards</v>
          </cell>
          <cell r="AA224">
            <v>10007699</v>
          </cell>
          <cell r="AB224" t="str">
            <v>Independent School standard inspection</v>
          </cell>
          <cell r="AC224" t="str">
            <v>Independent Standard Inspection</v>
          </cell>
          <cell r="AD224">
            <v>42352</v>
          </cell>
          <cell r="AE224">
            <v>42354</v>
          </cell>
          <cell r="AF224">
            <v>42391</v>
          </cell>
          <cell r="AG224">
            <v>3</v>
          </cell>
          <cell r="AH224">
            <v>2</v>
          </cell>
          <cell r="AI224">
            <v>2</v>
          </cell>
          <cell r="AJ224">
            <v>3</v>
          </cell>
          <cell r="AK224">
            <v>2</v>
          </cell>
          <cell r="AL224" t="str">
            <v>NULL</v>
          </cell>
          <cell r="AM224" t="str">
            <v>NULL</v>
          </cell>
          <cell r="AN224" t="str">
            <v>Yes</v>
          </cell>
          <cell r="AO224" t="str">
            <v>ITS397763</v>
          </cell>
          <cell r="AP224" t="str">
            <v xml:space="preserve">Independent School standard inspection - integrated </v>
          </cell>
          <cell r="AQ224" t="str">
            <v>Independent Standard Inspection</v>
          </cell>
          <cell r="AR224">
            <v>41108</v>
          </cell>
          <cell r="AS224">
            <v>41109</v>
          </cell>
          <cell r="AT224">
            <v>41171</v>
          </cell>
          <cell r="AU224">
            <v>1</v>
          </cell>
          <cell r="AV224">
            <v>1</v>
          </cell>
          <cell r="AW224">
            <v>1</v>
          </cell>
          <cell r="AX224" t="str">
            <v>NULL</v>
          </cell>
          <cell r="AY224" t="str">
            <v>NULL</v>
          </cell>
          <cell r="AZ224">
            <v>8</v>
          </cell>
          <cell r="BA224" t="str">
            <v>NULL</v>
          </cell>
          <cell r="BB224" t="str">
            <v>NULL</v>
          </cell>
        </row>
        <row r="225">
          <cell r="D225">
            <v>136263</v>
          </cell>
          <cell r="E225">
            <v>3026201</v>
          </cell>
          <cell r="F225" t="str">
            <v>The Holmewood School London</v>
          </cell>
          <cell r="G225" t="str">
            <v>Other Independent Special School</v>
          </cell>
          <cell r="H225">
            <v>40512</v>
          </cell>
          <cell r="I225">
            <v>41</v>
          </cell>
          <cell r="J225" t="str">
            <v>London</v>
          </cell>
          <cell r="K225" t="str">
            <v>London</v>
          </cell>
          <cell r="L225" t="str">
            <v>Barnet</v>
          </cell>
          <cell r="M225" t="str">
            <v>Chipping Barnet</v>
          </cell>
          <cell r="N225" t="str">
            <v>N12 8SH</v>
          </cell>
          <cell r="O225" t="str">
            <v>Not applicable</v>
          </cell>
          <cell r="P225">
            <v>7</v>
          </cell>
          <cell r="Q225">
            <v>19</v>
          </cell>
          <cell r="R225" t="str">
            <v>None</v>
          </cell>
          <cell r="S225" t="str">
            <v>Ofsted</v>
          </cell>
          <cell r="T225" t="str">
            <v>NULL</v>
          </cell>
          <cell r="U225" t="str">
            <v>NULL</v>
          </cell>
          <cell r="V225" t="str">
            <v>NULL</v>
          </cell>
          <cell r="W225" t="str">
            <v>NULL</v>
          </cell>
          <cell r="X225" t="str">
            <v>NULL</v>
          </cell>
          <cell r="Y225" t="str">
            <v>NULL</v>
          </cell>
          <cell r="Z225" t="str">
            <v>NULL</v>
          </cell>
          <cell r="AA225">
            <v>10041401</v>
          </cell>
          <cell r="AB225" t="str">
            <v>Independent School standard inspection</v>
          </cell>
          <cell r="AC225" t="str">
            <v>Independent Standard Inspection</v>
          </cell>
          <cell r="AD225">
            <v>43123</v>
          </cell>
          <cell r="AE225">
            <v>43125</v>
          </cell>
          <cell r="AF225">
            <v>43145</v>
          </cell>
          <cell r="AG225">
            <v>2</v>
          </cell>
          <cell r="AH225">
            <v>2</v>
          </cell>
          <cell r="AI225">
            <v>2</v>
          </cell>
          <cell r="AJ225">
            <v>1</v>
          </cell>
          <cell r="AK225">
            <v>1</v>
          </cell>
          <cell r="AL225" t="str">
            <v>NULL</v>
          </cell>
          <cell r="AM225">
            <v>1</v>
          </cell>
          <cell r="AN225" t="str">
            <v>Yes</v>
          </cell>
          <cell r="AO225" t="str">
            <v>ITS454298</v>
          </cell>
          <cell r="AP225" t="str">
            <v>Independent School standard inspection</v>
          </cell>
          <cell r="AQ225" t="str">
            <v>Independent Standard Inspection</v>
          </cell>
          <cell r="AR225">
            <v>42017</v>
          </cell>
          <cell r="AS225">
            <v>42019</v>
          </cell>
          <cell r="AT225">
            <v>42066</v>
          </cell>
          <cell r="AU225">
            <v>2</v>
          </cell>
          <cell r="AV225">
            <v>2</v>
          </cell>
          <cell r="AW225">
            <v>2</v>
          </cell>
          <cell r="AX225">
            <v>2</v>
          </cell>
          <cell r="AY225" t="str">
            <v>NULL</v>
          </cell>
          <cell r="AZ225">
            <v>9</v>
          </cell>
          <cell r="BA225">
            <v>2</v>
          </cell>
          <cell r="BB225" t="str">
            <v>NULL</v>
          </cell>
        </row>
        <row r="226">
          <cell r="D226">
            <v>135453</v>
          </cell>
          <cell r="E226">
            <v>3346010</v>
          </cell>
          <cell r="F226" t="str">
            <v>The Island Project School</v>
          </cell>
          <cell r="G226" t="str">
            <v>Other Independent Special School</v>
          </cell>
          <cell r="H226">
            <v>39400</v>
          </cell>
          <cell r="I226">
            <v>32</v>
          </cell>
          <cell r="J226" t="str">
            <v>West Midlands</v>
          </cell>
          <cell r="K226" t="str">
            <v>West Midlands</v>
          </cell>
          <cell r="L226" t="str">
            <v>Solihull</v>
          </cell>
          <cell r="M226" t="str">
            <v>Meriden</v>
          </cell>
          <cell r="N226" t="str">
            <v>CV7 7HQ</v>
          </cell>
          <cell r="O226" t="str">
            <v>Has a sixth form</v>
          </cell>
          <cell r="P226">
            <v>5</v>
          </cell>
          <cell r="Q226">
            <v>19</v>
          </cell>
          <cell r="R226" t="str">
            <v>None</v>
          </cell>
          <cell r="S226" t="str">
            <v>Ofsted</v>
          </cell>
          <cell r="T226">
            <v>3</v>
          </cell>
          <cell r="U226">
            <v>10017613</v>
          </cell>
          <cell r="V226" t="str">
            <v>Independent school Progress Monitoring inspection</v>
          </cell>
          <cell r="W226">
            <v>42586</v>
          </cell>
          <cell r="X226">
            <v>42586</v>
          </cell>
          <cell r="Y226">
            <v>42643</v>
          </cell>
          <cell r="Z226" t="str">
            <v>Standards met</v>
          </cell>
          <cell r="AA226" t="str">
            <v>ITS455552</v>
          </cell>
          <cell r="AB226" t="str">
            <v>Independent School standard inspection</v>
          </cell>
          <cell r="AC226" t="str">
            <v>Independent Standard Inspection</v>
          </cell>
          <cell r="AD226">
            <v>42024</v>
          </cell>
          <cell r="AE226">
            <v>42026</v>
          </cell>
          <cell r="AF226">
            <v>42048</v>
          </cell>
          <cell r="AG226">
            <v>2</v>
          </cell>
          <cell r="AH226">
            <v>2</v>
          </cell>
          <cell r="AI226">
            <v>2</v>
          </cell>
          <cell r="AJ226">
            <v>2</v>
          </cell>
          <cell r="AK226" t="str">
            <v>NULL</v>
          </cell>
          <cell r="AL226">
            <v>9</v>
          </cell>
          <cell r="AM226">
            <v>2</v>
          </cell>
          <cell r="AN226" t="str">
            <v>NULL</v>
          </cell>
          <cell r="AO226" t="str">
            <v>ITS386876</v>
          </cell>
          <cell r="AP226" t="str">
            <v>Independent School standard inspection</v>
          </cell>
          <cell r="AQ226" t="str">
            <v>Independent Standard Inspection</v>
          </cell>
          <cell r="AR226">
            <v>40926</v>
          </cell>
          <cell r="AS226">
            <v>40927</v>
          </cell>
          <cell r="AT226">
            <v>40948</v>
          </cell>
          <cell r="AU226">
            <v>1</v>
          </cell>
          <cell r="AV226">
            <v>1</v>
          </cell>
          <cell r="AW226">
            <v>1</v>
          </cell>
          <cell r="AX226" t="str">
            <v>NULL</v>
          </cell>
          <cell r="AY226" t="str">
            <v>NULL</v>
          </cell>
          <cell r="AZ226">
            <v>8</v>
          </cell>
          <cell r="BA226" t="str">
            <v>NULL</v>
          </cell>
          <cell r="BB226" t="str">
            <v>NULL</v>
          </cell>
        </row>
        <row r="227">
          <cell r="D227">
            <v>131976</v>
          </cell>
          <cell r="E227">
            <v>9366579</v>
          </cell>
          <cell r="F227" t="str">
            <v>Jigsaw CABAS School</v>
          </cell>
          <cell r="G227" t="str">
            <v>Other Independent Special School</v>
          </cell>
          <cell r="H227">
            <v>36445</v>
          </cell>
          <cell r="I227">
            <v>53</v>
          </cell>
          <cell r="J227" t="str">
            <v>South East</v>
          </cell>
          <cell r="K227" t="str">
            <v>South East</v>
          </cell>
          <cell r="L227" t="str">
            <v>Surrey</v>
          </cell>
          <cell r="M227" t="str">
            <v>Guildford</v>
          </cell>
          <cell r="N227" t="str">
            <v>GU6 8TB</v>
          </cell>
          <cell r="O227" t="str">
            <v>Has a sixth form</v>
          </cell>
          <cell r="P227">
            <v>4</v>
          </cell>
          <cell r="Q227">
            <v>19</v>
          </cell>
          <cell r="R227" t="str">
            <v>None</v>
          </cell>
          <cell r="S227" t="str">
            <v>Ofsted</v>
          </cell>
          <cell r="T227">
            <v>1</v>
          </cell>
          <cell r="U227">
            <v>10039740</v>
          </cell>
          <cell r="V227" t="str">
            <v>Independent school Material Change inspection</v>
          </cell>
          <cell r="W227">
            <v>42941</v>
          </cell>
          <cell r="X227">
            <v>42941</v>
          </cell>
          <cell r="Y227" t="str">
            <v>NULL</v>
          </cell>
          <cell r="Z227" t="str">
            <v>Likely to meet relevant standards</v>
          </cell>
          <cell r="AA227">
            <v>10020834</v>
          </cell>
          <cell r="AB227" t="str">
            <v>Independent School standard inspection</v>
          </cell>
          <cell r="AC227" t="str">
            <v>Independent Standard Inspection</v>
          </cell>
          <cell r="AD227">
            <v>42626</v>
          </cell>
          <cell r="AE227">
            <v>42628</v>
          </cell>
          <cell r="AF227">
            <v>42654</v>
          </cell>
          <cell r="AG227">
            <v>1</v>
          </cell>
          <cell r="AH227">
            <v>1</v>
          </cell>
          <cell r="AI227">
            <v>1</v>
          </cell>
          <cell r="AJ227">
            <v>1</v>
          </cell>
          <cell r="AK227">
            <v>1</v>
          </cell>
          <cell r="AL227" t="str">
            <v>NULL</v>
          </cell>
          <cell r="AM227">
            <v>1</v>
          </cell>
          <cell r="AN227" t="str">
            <v>Yes</v>
          </cell>
          <cell r="AO227" t="str">
            <v>ITS422738</v>
          </cell>
          <cell r="AP227" t="str">
            <v>Independent School standard inspection</v>
          </cell>
          <cell r="AQ227" t="str">
            <v>Independent Standard Inspection</v>
          </cell>
          <cell r="AR227">
            <v>41548</v>
          </cell>
          <cell r="AS227">
            <v>41550</v>
          </cell>
          <cell r="AT227">
            <v>41570</v>
          </cell>
          <cell r="AU227">
            <v>1</v>
          </cell>
          <cell r="AV227">
            <v>1</v>
          </cell>
          <cell r="AW227">
            <v>1</v>
          </cell>
          <cell r="AX227">
            <v>1</v>
          </cell>
          <cell r="AY227" t="str">
            <v>NULL</v>
          </cell>
          <cell r="AZ227" t="str">
            <v>NULL</v>
          </cell>
          <cell r="BA227" t="str">
            <v>NULL</v>
          </cell>
          <cell r="BB227" t="str">
            <v>NULL</v>
          </cell>
        </row>
        <row r="228">
          <cell r="D228">
            <v>123322</v>
          </cell>
          <cell r="E228">
            <v>9316109</v>
          </cell>
          <cell r="F228" t="str">
            <v>The Unicorn School</v>
          </cell>
          <cell r="G228" t="str">
            <v>Other Independent Special School</v>
          </cell>
          <cell r="H228">
            <v>33619</v>
          </cell>
          <cell r="I228">
            <v>75</v>
          </cell>
          <cell r="J228" t="str">
            <v>South East</v>
          </cell>
          <cell r="K228" t="str">
            <v>South East</v>
          </cell>
          <cell r="L228" t="str">
            <v>Oxfordshire</v>
          </cell>
          <cell r="M228" t="str">
            <v>Oxford West and Abingdon</v>
          </cell>
          <cell r="N228" t="str">
            <v>OX14 1AA</v>
          </cell>
          <cell r="O228" t="str">
            <v>Not applicable</v>
          </cell>
          <cell r="P228">
            <v>6</v>
          </cell>
          <cell r="Q228">
            <v>16</v>
          </cell>
          <cell r="R228" t="str">
            <v>None</v>
          </cell>
          <cell r="S228" t="str">
            <v>Ofsted</v>
          </cell>
          <cell r="T228" t="str">
            <v>NULL</v>
          </cell>
          <cell r="U228" t="str">
            <v>NULL</v>
          </cell>
          <cell r="V228" t="str">
            <v>NULL</v>
          </cell>
          <cell r="W228" t="str">
            <v>NULL</v>
          </cell>
          <cell r="X228" t="str">
            <v>NULL</v>
          </cell>
          <cell r="Y228" t="str">
            <v>NULL</v>
          </cell>
          <cell r="Z228" t="str">
            <v>NULL</v>
          </cell>
          <cell r="AA228">
            <v>10033948</v>
          </cell>
          <cell r="AB228" t="str">
            <v>Independent School standard inspection</v>
          </cell>
          <cell r="AC228" t="str">
            <v>Independent Standard Inspection</v>
          </cell>
          <cell r="AD228">
            <v>42913</v>
          </cell>
          <cell r="AE228">
            <v>42915</v>
          </cell>
          <cell r="AF228">
            <v>42990</v>
          </cell>
          <cell r="AG228">
            <v>2</v>
          </cell>
          <cell r="AH228">
            <v>2</v>
          </cell>
          <cell r="AI228">
            <v>2</v>
          </cell>
          <cell r="AJ228">
            <v>2</v>
          </cell>
          <cell r="AK228">
            <v>1</v>
          </cell>
          <cell r="AL228" t="str">
            <v>NULL</v>
          </cell>
          <cell r="AM228" t="str">
            <v>NULL</v>
          </cell>
          <cell r="AN228" t="str">
            <v>Yes</v>
          </cell>
          <cell r="AO228" t="str">
            <v>ITS462870</v>
          </cell>
          <cell r="AP228" t="str">
            <v>Independent School standard inspection</v>
          </cell>
          <cell r="AQ228" t="str">
            <v>Independent Standard Inspection</v>
          </cell>
          <cell r="AR228">
            <v>42122</v>
          </cell>
          <cell r="AS228">
            <v>42124</v>
          </cell>
          <cell r="AT228">
            <v>42163</v>
          </cell>
          <cell r="AU228">
            <v>3</v>
          </cell>
          <cell r="AV228">
            <v>3</v>
          </cell>
          <cell r="AW228">
            <v>3</v>
          </cell>
          <cell r="AX228">
            <v>3</v>
          </cell>
          <cell r="AY228" t="str">
            <v>NULL</v>
          </cell>
          <cell r="AZ228">
            <v>9</v>
          </cell>
          <cell r="BA228">
            <v>9</v>
          </cell>
          <cell r="BB228" t="str">
            <v>NULL</v>
          </cell>
        </row>
        <row r="229">
          <cell r="D229">
            <v>131260</v>
          </cell>
          <cell r="E229">
            <v>8736039</v>
          </cell>
          <cell r="F229" t="str">
            <v>Kingsmere School</v>
          </cell>
          <cell r="G229" t="str">
            <v>Other Independent Special School</v>
          </cell>
          <cell r="H229">
            <v>38755</v>
          </cell>
          <cell r="I229">
            <v>4</v>
          </cell>
          <cell r="J229" t="str">
            <v>East Midlands</v>
          </cell>
          <cell r="K229" t="str">
            <v>East Midlands</v>
          </cell>
          <cell r="L229" t="str">
            <v>Cambridgeshire</v>
          </cell>
          <cell r="M229" t="str">
            <v>Hammersmith</v>
          </cell>
          <cell r="N229" t="str">
            <v>W14 8UD</v>
          </cell>
          <cell r="O229" t="str">
            <v>Not applicable</v>
          </cell>
          <cell r="P229">
            <v>11</v>
          </cell>
          <cell r="Q229">
            <v>16</v>
          </cell>
          <cell r="R229" t="str">
            <v>None</v>
          </cell>
          <cell r="S229" t="str">
            <v>Ofsted</v>
          </cell>
          <cell r="T229">
            <v>1</v>
          </cell>
          <cell r="U229" t="str">
            <v>ITS443626</v>
          </cell>
          <cell r="V229" t="str">
            <v xml:space="preserve">Independent School material change inspection - Integrated </v>
          </cell>
          <cell r="W229">
            <v>41842</v>
          </cell>
          <cell r="X229">
            <v>41842</v>
          </cell>
          <cell r="Y229" t="str">
            <v>NULL</v>
          </cell>
          <cell r="Z229" t="str">
            <v>NULL</v>
          </cell>
          <cell r="AA229" t="str">
            <v>ITS397656</v>
          </cell>
          <cell r="AB229" t="str">
            <v xml:space="preserve">Independent School standard inspection - integrated </v>
          </cell>
          <cell r="AC229" t="str">
            <v>Independent Standard Inspection</v>
          </cell>
          <cell r="AD229">
            <v>41241</v>
          </cell>
          <cell r="AE229">
            <v>41242</v>
          </cell>
          <cell r="AF229">
            <v>41264</v>
          </cell>
          <cell r="AG229">
            <v>2</v>
          </cell>
          <cell r="AH229">
            <v>2</v>
          </cell>
          <cell r="AI229">
            <v>2</v>
          </cell>
          <cell r="AJ229" t="str">
            <v>NULL</v>
          </cell>
          <cell r="AK229" t="str">
            <v>NULL</v>
          </cell>
          <cell r="AL229">
            <v>8</v>
          </cell>
          <cell r="AM229" t="str">
            <v>NULL</v>
          </cell>
          <cell r="AN229" t="str">
            <v>NULL</v>
          </cell>
          <cell r="AO229" t="str">
            <v>ITS334284</v>
          </cell>
          <cell r="AP229" t="str">
            <v xml:space="preserve">Independent School standard inspection - integrated </v>
          </cell>
          <cell r="AQ229" t="str">
            <v>Independent Standard Inspection</v>
          </cell>
          <cell r="AR229">
            <v>39982</v>
          </cell>
          <cell r="AS229">
            <v>39983</v>
          </cell>
          <cell r="AT229">
            <v>40007</v>
          </cell>
          <cell r="AU229">
            <v>2</v>
          </cell>
          <cell r="AV229">
            <v>3</v>
          </cell>
          <cell r="AW229">
            <v>2</v>
          </cell>
          <cell r="AX229" t="str">
            <v>NULL</v>
          </cell>
          <cell r="AY229" t="str">
            <v>NULL</v>
          </cell>
          <cell r="AZ229">
            <v>0</v>
          </cell>
          <cell r="BA229" t="str">
            <v>NULL</v>
          </cell>
          <cell r="BB229" t="str">
            <v>NULL</v>
          </cell>
        </row>
        <row r="230">
          <cell r="D230">
            <v>134398</v>
          </cell>
          <cell r="E230">
            <v>8816048</v>
          </cell>
          <cell r="F230" t="str">
            <v>The Yellow House School</v>
          </cell>
          <cell r="G230" t="str">
            <v>Other Independent Special School</v>
          </cell>
          <cell r="H230">
            <v>37853</v>
          </cell>
          <cell r="I230">
            <v>17</v>
          </cell>
          <cell r="J230" t="str">
            <v>East of England</v>
          </cell>
          <cell r="K230" t="str">
            <v>East of England</v>
          </cell>
          <cell r="L230" t="str">
            <v>Essex</v>
          </cell>
          <cell r="M230" t="str">
            <v>Braintree</v>
          </cell>
          <cell r="N230" t="str">
            <v>CO9 3HX</v>
          </cell>
          <cell r="O230" t="str">
            <v>Has a sixth form</v>
          </cell>
          <cell r="P230">
            <v>13</v>
          </cell>
          <cell r="Q230">
            <v>17</v>
          </cell>
          <cell r="R230" t="str">
            <v>None</v>
          </cell>
          <cell r="S230" t="str">
            <v>Ofsted</v>
          </cell>
          <cell r="T230">
            <v>1</v>
          </cell>
          <cell r="U230">
            <v>10048947</v>
          </cell>
          <cell r="V230" t="str">
            <v>Independent school evaluation of school action plan</v>
          </cell>
          <cell r="W230">
            <v>43164</v>
          </cell>
          <cell r="X230">
            <v>43164</v>
          </cell>
          <cell r="Y230" t="str">
            <v>NULL</v>
          </cell>
          <cell r="Z230" t="str">
            <v>Action plan is not acceptable</v>
          </cell>
          <cell r="AA230">
            <v>10026066</v>
          </cell>
          <cell r="AB230" t="str">
            <v>Independent School standard inspection</v>
          </cell>
          <cell r="AC230" t="str">
            <v>Independent Standard Inspection</v>
          </cell>
          <cell r="AD230">
            <v>43067</v>
          </cell>
          <cell r="AE230">
            <v>43069</v>
          </cell>
          <cell r="AF230">
            <v>43117</v>
          </cell>
          <cell r="AG230">
            <v>3</v>
          </cell>
          <cell r="AH230">
            <v>2</v>
          </cell>
          <cell r="AI230">
            <v>2</v>
          </cell>
          <cell r="AJ230">
            <v>3</v>
          </cell>
          <cell r="AK230">
            <v>2</v>
          </cell>
          <cell r="AL230" t="str">
            <v>NULL</v>
          </cell>
          <cell r="AM230" t="str">
            <v>NULL</v>
          </cell>
          <cell r="AN230" t="str">
            <v>Yes</v>
          </cell>
          <cell r="AO230" t="str">
            <v>ITS422762</v>
          </cell>
          <cell r="AP230" t="str">
            <v>Independent School standard inspection</v>
          </cell>
          <cell r="AQ230" t="str">
            <v>Independent Standard Inspection</v>
          </cell>
          <cell r="AR230">
            <v>41611</v>
          </cell>
          <cell r="AS230">
            <v>41613</v>
          </cell>
          <cell r="AT230">
            <v>41628</v>
          </cell>
          <cell r="AU230">
            <v>2</v>
          </cell>
          <cell r="AV230">
            <v>2</v>
          </cell>
          <cell r="AW230">
            <v>2</v>
          </cell>
          <cell r="AX230">
            <v>2</v>
          </cell>
          <cell r="AY230" t="str">
            <v>NULL</v>
          </cell>
          <cell r="AZ230" t="str">
            <v>NULL</v>
          </cell>
          <cell r="BA230" t="str">
            <v>NULL</v>
          </cell>
          <cell r="BB230" t="str">
            <v>NULL</v>
          </cell>
        </row>
        <row r="231">
          <cell r="D231">
            <v>108877</v>
          </cell>
          <cell r="E231">
            <v>3946015</v>
          </cell>
          <cell r="F231" t="str">
            <v>Thornhill Park School</v>
          </cell>
          <cell r="G231" t="str">
            <v>Other Independent Special School</v>
          </cell>
          <cell r="H231">
            <v>29629</v>
          </cell>
          <cell r="I231">
            <v>26</v>
          </cell>
          <cell r="J231" t="str">
            <v>North East, Yorkshire and the Humber</v>
          </cell>
          <cell r="K231" t="str">
            <v>North East</v>
          </cell>
          <cell r="L231" t="str">
            <v>Sunderland</v>
          </cell>
          <cell r="M231" t="str">
            <v>Sunderland Central</v>
          </cell>
          <cell r="N231" t="str">
            <v>SR2 7LA</v>
          </cell>
          <cell r="O231" t="str">
            <v>Not applicable</v>
          </cell>
          <cell r="P231">
            <v>4</v>
          </cell>
          <cell r="Q231">
            <v>19</v>
          </cell>
          <cell r="R231" t="str">
            <v>None</v>
          </cell>
          <cell r="S231" t="str">
            <v>Ofsted</v>
          </cell>
          <cell r="T231" t="str">
            <v>NULL</v>
          </cell>
          <cell r="U231" t="str">
            <v>NULL</v>
          </cell>
          <cell r="V231" t="str">
            <v>NULL</v>
          </cell>
          <cell r="W231" t="str">
            <v>NULL</v>
          </cell>
          <cell r="X231" t="str">
            <v>NULL</v>
          </cell>
          <cell r="Y231" t="str">
            <v>NULL</v>
          </cell>
          <cell r="Z231" t="str">
            <v>NULL</v>
          </cell>
          <cell r="AA231">
            <v>10008894</v>
          </cell>
          <cell r="AB231" t="str">
            <v>Independent School standard inspection</v>
          </cell>
          <cell r="AC231" t="str">
            <v>Independent Standard Inspection</v>
          </cell>
          <cell r="AD231">
            <v>42346</v>
          </cell>
          <cell r="AE231">
            <v>42348</v>
          </cell>
          <cell r="AF231">
            <v>42390</v>
          </cell>
          <cell r="AG231">
            <v>2</v>
          </cell>
          <cell r="AH231">
            <v>2</v>
          </cell>
          <cell r="AI231">
            <v>2</v>
          </cell>
          <cell r="AJ231">
            <v>2</v>
          </cell>
          <cell r="AK231">
            <v>2</v>
          </cell>
          <cell r="AL231">
            <v>2</v>
          </cell>
          <cell r="AM231">
            <v>2</v>
          </cell>
          <cell r="AN231" t="str">
            <v>Yes</v>
          </cell>
          <cell r="AO231" t="str">
            <v>ITS393318</v>
          </cell>
          <cell r="AP231" t="str">
            <v xml:space="preserve">Independent School standard inspection - integrated </v>
          </cell>
          <cell r="AQ231" t="str">
            <v>Independent Standard Inspection</v>
          </cell>
          <cell r="AR231">
            <v>41093</v>
          </cell>
          <cell r="AS231">
            <v>41094</v>
          </cell>
          <cell r="AT231">
            <v>41115</v>
          </cell>
          <cell r="AU231">
            <v>2</v>
          </cell>
          <cell r="AV231">
            <v>2</v>
          </cell>
          <cell r="AW231">
            <v>2</v>
          </cell>
          <cell r="AX231" t="str">
            <v>NULL</v>
          </cell>
          <cell r="AY231" t="str">
            <v>NULL</v>
          </cell>
          <cell r="AZ231">
            <v>8</v>
          </cell>
          <cell r="BA231" t="str">
            <v>NULL</v>
          </cell>
          <cell r="BB231" t="str">
            <v>NULL</v>
          </cell>
        </row>
        <row r="232">
          <cell r="D232">
            <v>133522</v>
          </cell>
          <cell r="E232">
            <v>9336210</v>
          </cell>
          <cell r="F232" t="str">
            <v>Wessex College</v>
          </cell>
          <cell r="G232" t="str">
            <v>Other Independent Special School</v>
          </cell>
          <cell r="H232">
            <v>37214</v>
          </cell>
          <cell r="I232">
            <v>13</v>
          </cell>
          <cell r="J232" t="str">
            <v>South West</v>
          </cell>
          <cell r="K232" t="str">
            <v>South West</v>
          </cell>
          <cell r="L232" t="str">
            <v>Somerset</v>
          </cell>
          <cell r="M232" t="str">
            <v>Somerton and Frome</v>
          </cell>
          <cell r="N232" t="str">
            <v>BA11 4LA</v>
          </cell>
          <cell r="O232" t="str">
            <v>Not applicable</v>
          </cell>
          <cell r="P232">
            <v>11</v>
          </cell>
          <cell r="Q232">
            <v>16</v>
          </cell>
          <cell r="R232" t="str">
            <v>None</v>
          </cell>
          <cell r="S232" t="str">
            <v>Ofsted</v>
          </cell>
          <cell r="T232" t="str">
            <v>NULL</v>
          </cell>
          <cell r="U232" t="str">
            <v>NULL</v>
          </cell>
          <cell r="V232" t="str">
            <v>NULL</v>
          </cell>
          <cell r="W232" t="str">
            <v>NULL</v>
          </cell>
          <cell r="X232" t="str">
            <v>NULL</v>
          </cell>
          <cell r="Y232" t="str">
            <v>NULL</v>
          </cell>
          <cell r="Z232" t="str">
            <v>NULL</v>
          </cell>
          <cell r="AA232" t="str">
            <v>ITS446282</v>
          </cell>
          <cell r="AB232" t="str">
            <v>Independent School standard inspection</v>
          </cell>
          <cell r="AC232" t="str">
            <v>Independent Standard Inspection</v>
          </cell>
          <cell r="AD232">
            <v>42074</v>
          </cell>
          <cell r="AE232">
            <v>42076</v>
          </cell>
          <cell r="AF232">
            <v>42115</v>
          </cell>
          <cell r="AG232">
            <v>2</v>
          </cell>
          <cell r="AH232">
            <v>2</v>
          </cell>
          <cell r="AI232">
            <v>2</v>
          </cell>
          <cell r="AJ232">
            <v>2</v>
          </cell>
          <cell r="AK232" t="str">
            <v>NULL</v>
          </cell>
          <cell r="AL232">
            <v>9</v>
          </cell>
          <cell r="AM232">
            <v>9</v>
          </cell>
          <cell r="AN232" t="str">
            <v>NULL</v>
          </cell>
          <cell r="AO232" t="str">
            <v>ITS385169</v>
          </cell>
          <cell r="AP232" t="str">
            <v>Independent School standard inspection</v>
          </cell>
          <cell r="AQ232" t="str">
            <v>Independent Standard Inspection</v>
          </cell>
          <cell r="AR232">
            <v>40850</v>
          </cell>
          <cell r="AS232">
            <v>40851</v>
          </cell>
          <cell r="AT232">
            <v>40886</v>
          </cell>
          <cell r="AU232">
            <v>4</v>
          </cell>
          <cell r="AV232">
            <v>4</v>
          </cell>
          <cell r="AW232">
            <v>4</v>
          </cell>
          <cell r="AX232" t="str">
            <v>NULL</v>
          </cell>
          <cell r="AY232" t="str">
            <v>NULL</v>
          </cell>
          <cell r="AZ232">
            <v>8</v>
          </cell>
          <cell r="BA232" t="str">
            <v>NULL</v>
          </cell>
          <cell r="BB232" t="str">
            <v>NULL</v>
          </cell>
        </row>
        <row r="233">
          <cell r="D233">
            <v>138138</v>
          </cell>
          <cell r="E233">
            <v>9266002</v>
          </cell>
          <cell r="F233" t="str">
            <v>Westfield House School</v>
          </cell>
          <cell r="G233" t="str">
            <v>Other Independent Special School</v>
          </cell>
          <cell r="H233">
            <v>41030</v>
          </cell>
          <cell r="I233">
            <v>23</v>
          </cell>
          <cell r="J233" t="str">
            <v>East of England</v>
          </cell>
          <cell r="K233" t="str">
            <v>East of England</v>
          </cell>
          <cell r="L233" t="str">
            <v>Norfolk</v>
          </cell>
          <cell r="M233" t="str">
            <v>North West Norfolk</v>
          </cell>
          <cell r="N233" t="str">
            <v>PE34 4EX</v>
          </cell>
          <cell r="O233" t="str">
            <v>Not applicable</v>
          </cell>
          <cell r="P233">
            <v>10</v>
          </cell>
          <cell r="Q233">
            <v>18</v>
          </cell>
          <cell r="R233" t="str">
            <v>None</v>
          </cell>
          <cell r="S233" t="str">
            <v>Ofsted</v>
          </cell>
          <cell r="T233">
            <v>3</v>
          </cell>
          <cell r="U233">
            <v>10047101</v>
          </cell>
          <cell r="V233" t="str">
            <v>Independent school evaluation of school action plan</v>
          </cell>
          <cell r="W233">
            <v>43154</v>
          </cell>
          <cell r="X233">
            <v>43154</v>
          </cell>
          <cell r="Y233" t="str">
            <v>NULL</v>
          </cell>
          <cell r="Z233" t="str">
            <v>Action plan is acceptable with modifications</v>
          </cell>
          <cell r="AA233">
            <v>10012965</v>
          </cell>
          <cell r="AB233" t="str">
            <v>Independent school standard inspection - aligned with CH</v>
          </cell>
          <cell r="AC233" t="str">
            <v>Independent Standard Inspection</v>
          </cell>
          <cell r="AD233">
            <v>42556</v>
          </cell>
          <cell r="AE233">
            <v>42558</v>
          </cell>
          <cell r="AF233">
            <v>43028</v>
          </cell>
          <cell r="AG233">
            <v>3</v>
          </cell>
          <cell r="AH233">
            <v>3</v>
          </cell>
          <cell r="AI233">
            <v>3</v>
          </cell>
          <cell r="AJ233">
            <v>2</v>
          </cell>
          <cell r="AK233">
            <v>2</v>
          </cell>
          <cell r="AL233" t="str">
            <v>NULL</v>
          </cell>
          <cell r="AM233" t="str">
            <v>NULL</v>
          </cell>
          <cell r="AN233" t="str">
            <v>Yes</v>
          </cell>
          <cell r="AO233" t="str">
            <v>ITS420275</v>
          </cell>
          <cell r="AP233" t="str">
            <v xml:space="preserve">Independent school standard inspection - integrated - first </v>
          </cell>
          <cell r="AQ233" t="str">
            <v>Independent Standard Inspection</v>
          </cell>
          <cell r="AR233">
            <v>41388</v>
          </cell>
          <cell r="AS233">
            <v>41389</v>
          </cell>
          <cell r="AT233">
            <v>41411</v>
          </cell>
          <cell r="AU233">
            <v>4</v>
          </cell>
          <cell r="AV233">
            <v>4</v>
          </cell>
          <cell r="AW233">
            <v>4</v>
          </cell>
          <cell r="AX233">
            <v>4</v>
          </cell>
          <cell r="AY233" t="str">
            <v>NULL</v>
          </cell>
          <cell r="AZ233" t="str">
            <v>NULL</v>
          </cell>
          <cell r="BA233" t="str">
            <v>NULL</v>
          </cell>
          <cell r="BB233" t="str">
            <v>NULL</v>
          </cell>
        </row>
        <row r="234">
          <cell r="D234">
            <v>132828</v>
          </cell>
          <cell r="E234">
            <v>8886048</v>
          </cell>
          <cell r="F234" t="str">
            <v>Westmorland School</v>
          </cell>
          <cell r="G234" t="str">
            <v>Other Independent Special School</v>
          </cell>
          <cell r="H234">
            <v>36896</v>
          </cell>
          <cell r="I234">
            <v>49</v>
          </cell>
          <cell r="J234" t="str">
            <v>North West</v>
          </cell>
          <cell r="K234" t="str">
            <v>North West</v>
          </cell>
          <cell r="L234" t="str">
            <v>Lancashire</v>
          </cell>
          <cell r="M234" t="str">
            <v>Chorley</v>
          </cell>
          <cell r="N234" t="str">
            <v>PR7 3NQ</v>
          </cell>
          <cell r="O234" t="str">
            <v>Not applicable</v>
          </cell>
          <cell r="P234">
            <v>5</v>
          </cell>
          <cell r="Q234">
            <v>11</v>
          </cell>
          <cell r="R234" t="str">
            <v>None</v>
          </cell>
          <cell r="S234" t="str">
            <v>Ofsted</v>
          </cell>
          <cell r="T234">
            <v>1</v>
          </cell>
          <cell r="U234">
            <v>10006412</v>
          </cell>
          <cell r="V234" t="str">
            <v>Independent school emergency inspection</v>
          </cell>
          <cell r="W234">
            <v>42276</v>
          </cell>
          <cell r="X234">
            <v>42276</v>
          </cell>
          <cell r="Y234" t="str">
            <v>NULL</v>
          </cell>
          <cell r="Z234" t="str">
            <v>No unmet standards</v>
          </cell>
          <cell r="AA234" t="str">
            <v>ITS454264</v>
          </cell>
          <cell r="AB234" t="str">
            <v>Independent School standard inspection</v>
          </cell>
          <cell r="AC234" t="str">
            <v>Independent Standard Inspection</v>
          </cell>
          <cell r="AD234">
            <v>42059</v>
          </cell>
          <cell r="AE234">
            <v>42061</v>
          </cell>
          <cell r="AF234">
            <v>42096</v>
          </cell>
          <cell r="AG234">
            <v>1</v>
          </cell>
          <cell r="AH234">
            <v>1</v>
          </cell>
          <cell r="AI234">
            <v>1</v>
          </cell>
          <cell r="AJ234">
            <v>1</v>
          </cell>
          <cell r="AK234" t="str">
            <v>NULL</v>
          </cell>
          <cell r="AL234">
            <v>9</v>
          </cell>
          <cell r="AM234">
            <v>9</v>
          </cell>
          <cell r="AN234" t="str">
            <v>NULL</v>
          </cell>
          <cell r="AO234" t="str">
            <v>ITS386023</v>
          </cell>
          <cell r="AP234" t="str">
            <v>Independent School standard inspection</v>
          </cell>
          <cell r="AQ234" t="str">
            <v>Independent Standard Inspection</v>
          </cell>
          <cell r="AR234">
            <v>40855</v>
          </cell>
          <cell r="AS234">
            <v>40856</v>
          </cell>
          <cell r="AT234">
            <v>40877</v>
          </cell>
          <cell r="AU234">
            <v>2</v>
          </cell>
          <cell r="AV234">
            <v>2</v>
          </cell>
          <cell r="AW234">
            <v>2</v>
          </cell>
          <cell r="AX234" t="str">
            <v>NULL</v>
          </cell>
          <cell r="AY234" t="str">
            <v>NULL</v>
          </cell>
          <cell r="AZ234">
            <v>8</v>
          </cell>
          <cell r="BA234" t="str">
            <v>NULL</v>
          </cell>
          <cell r="BB234" t="str">
            <v>NULL</v>
          </cell>
        </row>
        <row r="235">
          <cell r="D235">
            <v>135749</v>
          </cell>
          <cell r="E235">
            <v>8766013</v>
          </cell>
          <cell r="F235" t="str">
            <v>Weston Point College</v>
          </cell>
          <cell r="G235" t="str">
            <v>Other Independent Special School</v>
          </cell>
          <cell r="H235">
            <v>39764</v>
          </cell>
          <cell r="I235">
            <v>18</v>
          </cell>
          <cell r="J235" t="str">
            <v>North West</v>
          </cell>
          <cell r="K235" t="str">
            <v>North West</v>
          </cell>
          <cell r="L235" t="str">
            <v>Halton</v>
          </cell>
          <cell r="M235" t="str">
            <v>Halton</v>
          </cell>
          <cell r="N235" t="str">
            <v>WA7 4UN</v>
          </cell>
          <cell r="O235" t="str">
            <v>Not applicable</v>
          </cell>
          <cell r="P235">
            <v>11</v>
          </cell>
          <cell r="Q235">
            <v>18</v>
          </cell>
          <cell r="R235" t="str">
            <v>None</v>
          </cell>
          <cell r="S235" t="str">
            <v>Ofsted</v>
          </cell>
          <cell r="T235">
            <v>1</v>
          </cell>
          <cell r="U235">
            <v>10043776</v>
          </cell>
          <cell r="V235" t="str">
            <v>Independent school Material Change inspection</v>
          </cell>
          <cell r="W235">
            <v>43130</v>
          </cell>
          <cell r="X235">
            <v>43130</v>
          </cell>
          <cell r="Y235" t="str">
            <v>NULL</v>
          </cell>
          <cell r="Z235" t="str">
            <v>Likely to meet relevant standards</v>
          </cell>
          <cell r="AA235">
            <v>10008531</v>
          </cell>
          <cell r="AB235" t="str">
            <v>Independent School standard inspection</v>
          </cell>
          <cell r="AC235" t="str">
            <v>Independent Standard Inspection</v>
          </cell>
          <cell r="AD235">
            <v>42864</v>
          </cell>
          <cell r="AE235">
            <v>42866</v>
          </cell>
          <cell r="AF235">
            <v>42892</v>
          </cell>
          <cell r="AG235">
            <v>2</v>
          </cell>
          <cell r="AH235">
            <v>2</v>
          </cell>
          <cell r="AI235">
            <v>2</v>
          </cell>
          <cell r="AJ235">
            <v>2</v>
          </cell>
          <cell r="AK235">
            <v>2</v>
          </cell>
          <cell r="AL235" t="str">
            <v>NULL</v>
          </cell>
          <cell r="AM235" t="str">
            <v>NULL</v>
          </cell>
          <cell r="AN235" t="str">
            <v>Yes</v>
          </cell>
          <cell r="AO235" t="str">
            <v>ITS408744</v>
          </cell>
          <cell r="AP235" t="str">
            <v>Independent School standard inspection</v>
          </cell>
          <cell r="AQ235" t="str">
            <v>Independent Standard Inspection</v>
          </cell>
          <cell r="AR235">
            <v>41345</v>
          </cell>
          <cell r="AS235">
            <v>41346</v>
          </cell>
          <cell r="AT235">
            <v>41372</v>
          </cell>
          <cell r="AU235">
            <v>2</v>
          </cell>
          <cell r="AV235">
            <v>2</v>
          </cell>
          <cell r="AW235">
            <v>2</v>
          </cell>
          <cell r="AX235">
            <v>2</v>
          </cell>
          <cell r="AY235" t="str">
            <v>NULL</v>
          </cell>
          <cell r="AZ235" t="str">
            <v>NULL</v>
          </cell>
          <cell r="BA235" t="str">
            <v>NULL</v>
          </cell>
          <cell r="BB235" t="str">
            <v>NULL</v>
          </cell>
        </row>
        <row r="236">
          <cell r="D236">
            <v>103595</v>
          </cell>
          <cell r="E236">
            <v>3306088</v>
          </cell>
          <cell r="F236" t="str">
            <v>Al Huda Girls' School</v>
          </cell>
          <cell r="G236" t="str">
            <v>Other Independent School</v>
          </cell>
          <cell r="H236">
            <v>33932</v>
          </cell>
          <cell r="I236">
            <v>62</v>
          </cell>
          <cell r="J236" t="str">
            <v>West Midlands</v>
          </cell>
          <cell r="K236" t="str">
            <v>West Midlands</v>
          </cell>
          <cell r="L236" t="str">
            <v>Birmingham</v>
          </cell>
          <cell r="M236" t="str">
            <v>Birmingham, Hodge Hill</v>
          </cell>
          <cell r="N236" t="str">
            <v>B8 1RD</v>
          </cell>
          <cell r="O236" t="str">
            <v>Has a sixth form</v>
          </cell>
          <cell r="P236">
            <v>11</v>
          </cell>
          <cell r="Q236">
            <v>17</v>
          </cell>
          <cell r="R236" t="str">
            <v>None</v>
          </cell>
          <cell r="S236" t="str">
            <v>Ofsted</v>
          </cell>
          <cell r="T236" t="str">
            <v>NULL</v>
          </cell>
          <cell r="U236" t="str">
            <v>NULL</v>
          </cell>
          <cell r="V236" t="str">
            <v>NULL</v>
          </cell>
          <cell r="W236" t="str">
            <v>NULL</v>
          </cell>
          <cell r="X236" t="str">
            <v>NULL</v>
          </cell>
          <cell r="Y236" t="str">
            <v>NULL</v>
          </cell>
          <cell r="Z236" t="str">
            <v>NULL</v>
          </cell>
          <cell r="AA236">
            <v>10020735</v>
          </cell>
          <cell r="AB236" t="str">
            <v>Independent School standard inspection</v>
          </cell>
          <cell r="AC236" t="str">
            <v>Independent Standard Inspection</v>
          </cell>
          <cell r="AD236">
            <v>42878</v>
          </cell>
          <cell r="AE236">
            <v>42880</v>
          </cell>
          <cell r="AF236">
            <v>42907</v>
          </cell>
          <cell r="AG236">
            <v>2</v>
          </cell>
          <cell r="AH236">
            <v>2</v>
          </cell>
          <cell r="AI236">
            <v>2</v>
          </cell>
          <cell r="AJ236">
            <v>2</v>
          </cell>
          <cell r="AK236">
            <v>2</v>
          </cell>
          <cell r="AL236" t="str">
            <v>NULL</v>
          </cell>
          <cell r="AM236" t="str">
            <v>NULL</v>
          </cell>
          <cell r="AN236" t="str">
            <v>Yes</v>
          </cell>
          <cell r="AO236" t="str">
            <v>ITS455486</v>
          </cell>
          <cell r="AP236" t="str">
            <v>Independent School standard inspection</v>
          </cell>
          <cell r="AQ236" t="str">
            <v>Independent Standard Inspection</v>
          </cell>
          <cell r="AR236">
            <v>42038</v>
          </cell>
          <cell r="AS236">
            <v>42040</v>
          </cell>
          <cell r="AT236">
            <v>42068</v>
          </cell>
          <cell r="AU236">
            <v>3</v>
          </cell>
          <cell r="AV236">
            <v>2</v>
          </cell>
          <cell r="AW236">
            <v>3</v>
          </cell>
          <cell r="AX236">
            <v>3</v>
          </cell>
          <cell r="AY236" t="str">
            <v>NULL</v>
          </cell>
          <cell r="AZ236">
            <v>9</v>
          </cell>
          <cell r="BA236">
            <v>9</v>
          </cell>
          <cell r="BB236" t="str">
            <v>NULL</v>
          </cell>
        </row>
        <row r="237">
          <cell r="D237">
            <v>119856</v>
          </cell>
          <cell r="E237">
            <v>8896004</v>
          </cell>
          <cell r="F237" t="str">
            <v>Al Islah Girls' High School</v>
          </cell>
          <cell r="G237" t="str">
            <v>Other Independent School</v>
          </cell>
          <cell r="H237">
            <v>34996</v>
          </cell>
          <cell r="I237">
            <v>64</v>
          </cell>
          <cell r="J237" t="str">
            <v>North West</v>
          </cell>
          <cell r="K237" t="str">
            <v>North West</v>
          </cell>
          <cell r="L237" t="str">
            <v>Blackburn with Darwen</v>
          </cell>
          <cell r="M237" t="str">
            <v>Blackburn</v>
          </cell>
          <cell r="N237" t="str">
            <v>BB1 1TF</v>
          </cell>
          <cell r="O237" t="str">
            <v>Does not have a sixth form</v>
          </cell>
          <cell r="P237">
            <v>11</v>
          </cell>
          <cell r="Q237">
            <v>16</v>
          </cell>
          <cell r="R237" t="str">
            <v>Islam</v>
          </cell>
          <cell r="S237" t="str">
            <v>Ofsted</v>
          </cell>
          <cell r="T237">
            <v>2</v>
          </cell>
          <cell r="U237">
            <v>10039827</v>
          </cell>
          <cell r="V237" t="str">
            <v>Independent school Progress Monitoring inspection</v>
          </cell>
          <cell r="W237">
            <v>43054</v>
          </cell>
          <cell r="X237">
            <v>43054</v>
          </cell>
          <cell r="Y237">
            <v>43082</v>
          </cell>
          <cell r="Z237" t="str">
            <v>Met all standards that were checked</v>
          </cell>
          <cell r="AA237">
            <v>10020804</v>
          </cell>
          <cell r="AB237" t="str">
            <v>Independent School standard inspection</v>
          </cell>
          <cell r="AC237" t="str">
            <v>Independent Standard Inspection</v>
          </cell>
          <cell r="AD237">
            <v>42690</v>
          </cell>
          <cell r="AE237">
            <v>42692</v>
          </cell>
          <cell r="AF237">
            <v>42773</v>
          </cell>
          <cell r="AG237">
            <v>4</v>
          </cell>
          <cell r="AH237">
            <v>2</v>
          </cell>
          <cell r="AI237">
            <v>2</v>
          </cell>
          <cell r="AJ237">
            <v>4</v>
          </cell>
          <cell r="AK237">
            <v>4</v>
          </cell>
          <cell r="AL237" t="str">
            <v>NULL</v>
          </cell>
          <cell r="AM237" t="str">
            <v>NULL</v>
          </cell>
          <cell r="AN237" t="str">
            <v>No</v>
          </cell>
          <cell r="AO237" t="str">
            <v>ITS422709</v>
          </cell>
          <cell r="AP237" t="str">
            <v>Independent School standard inspection</v>
          </cell>
          <cell r="AQ237" t="str">
            <v>Independent Standard Inspection</v>
          </cell>
          <cell r="AR237">
            <v>41611</v>
          </cell>
          <cell r="AS237">
            <v>41613</v>
          </cell>
          <cell r="AT237">
            <v>41635</v>
          </cell>
          <cell r="AU237">
            <v>3</v>
          </cell>
          <cell r="AV237">
            <v>3</v>
          </cell>
          <cell r="AW237">
            <v>3</v>
          </cell>
          <cell r="AX237">
            <v>3</v>
          </cell>
          <cell r="AY237" t="str">
            <v>NULL</v>
          </cell>
          <cell r="AZ237" t="str">
            <v>NULL</v>
          </cell>
          <cell r="BA237" t="str">
            <v>NULL</v>
          </cell>
          <cell r="BB237" t="str">
            <v>NULL</v>
          </cell>
        </row>
        <row r="238">
          <cell r="D238">
            <v>130285</v>
          </cell>
          <cell r="E238">
            <v>3506017</v>
          </cell>
          <cell r="F238" t="str">
            <v>Al Jamiatul Islamiyah</v>
          </cell>
          <cell r="G238" t="str">
            <v>Other Independent School</v>
          </cell>
          <cell r="H238">
            <v>35016</v>
          </cell>
          <cell r="I238">
            <v>277</v>
          </cell>
          <cell r="J238" t="str">
            <v>North West</v>
          </cell>
          <cell r="K238" t="str">
            <v>North West</v>
          </cell>
          <cell r="L238" t="str">
            <v>Bolton</v>
          </cell>
          <cell r="M238" t="str">
            <v>Bolton South East</v>
          </cell>
          <cell r="N238" t="str">
            <v>BL3 4HF</v>
          </cell>
          <cell r="O238" t="str">
            <v>Has a sixth form</v>
          </cell>
          <cell r="P238">
            <v>11</v>
          </cell>
          <cell r="Q238">
            <v>21</v>
          </cell>
          <cell r="R238" t="str">
            <v>None</v>
          </cell>
          <cell r="S238" t="str">
            <v>Ofsted</v>
          </cell>
          <cell r="T238">
            <v>2</v>
          </cell>
          <cell r="U238">
            <v>10030979</v>
          </cell>
          <cell r="V238" t="str">
            <v>Independent school Progress Monitoring inspection</v>
          </cell>
          <cell r="W238">
            <v>42873</v>
          </cell>
          <cell r="X238">
            <v>42873</v>
          </cell>
          <cell r="Y238">
            <v>42909</v>
          </cell>
          <cell r="Z238" t="str">
            <v>Met all standards that were checked</v>
          </cell>
          <cell r="AA238">
            <v>10007715</v>
          </cell>
          <cell r="AB238" t="str">
            <v xml:space="preserve">Independent School standard inspection - integrated </v>
          </cell>
          <cell r="AC238" t="str">
            <v>Independent Standard Inspection</v>
          </cell>
          <cell r="AD238">
            <v>42437</v>
          </cell>
          <cell r="AE238">
            <v>42439</v>
          </cell>
          <cell r="AF238">
            <v>42478</v>
          </cell>
          <cell r="AG238">
            <v>3</v>
          </cell>
          <cell r="AH238">
            <v>3</v>
          </cell>
          <cell r="AI238">
            <v>3</v>
          </cell>
          <cell r="AJ238">
            <v>3</v>
          </cell>
          <cell r="AK238">
            <v>3</v>
          </cell>
          <cell r="AL238" t="str">
            <v>NULL</v>
          </cell>
          <cell r="AM238">
            <v>4</v>
          </cell>
          <cell r="AN238" t="str">
            <v>Yes</v>
          </cell>
          <cell r="AO238" t="str">
            <v>ITS344437</v>
          </cell>
          <cell r="AP238" t="str">
            <v xml:space="preserve">Independent School standard inspection - integrated </v>
          </cell>
          <cell r="AQ238" t="str">
            <v>Independent Standard Inspection</v>
          </cell>
          <cell r="AR238">
            <v>40204</v>
          </cell>
          <cell r="AS238">
            <v>40205</v>
          </cell>
          <cell r="AT238">
            <v>40245</v>
          </cell>
          <cell r="AU238">
            <v>3</v>
          </cell>
          <cell r="AV238">
            <v>3</v>
          </cell>
          <cell r="AW238">
            <v>3</v>
          </cell>
          <cell r="AX238" t="str">
            <v>NULL</v>
          </cell>
          <cell r="AY238" t="str">
            <v>NULL</v>
          </cell>
          <cell r="AZ238">
            <v>8</v>
          </cell>
          <cell r="BA238" t="str">
            <v>NULL</v>
          </cell>
          <cell r="BB238" t="str">
            <v>NULL</v>
          </cell>
        </row>
        <row r="239">
          <cell r="D239">
            <v>141001</v>
          </cell>
          <cell r="E239">
            <v>3336006</v>
          </cell>
          <cell r="F239" t="str">
            <v>Al Khair School</v>
          </cell>
          <cell r="G239" t="str">
            <v>Other Independent School</v>
          </cell>
          <cell r="H239">
            <v>41794</v>
          </cell>
          <cell r="I239">
            <v>40</v>
          </cell>
          <cell r="J239" t="str">
            <v>West Midlands</v>
          </cell>
          <cell r="K239" t="str">
            <v>West Midlands</v>
          </cell>
          <cell r="L239" t="str">
            <v>Sandwell</v>
          </cell>
          <cell r="M239" t="str">
            <v>Warley</v>
          </cell>
          <cell r="N239" t="str">
            <v>B68 8LR</v>
          </cell>
          <cell r="O239" t="str">
            <v>Does not have a sixth form</v>
          </cell>
          <cell r="P239">
            <v>3</v>
          </cell>
          <cell r="Q239">
            <v>11</v>
          </cell>
          <cell r="R239" t="str">
            <v>None</v>
          </cell>
          <cell r="S239" t="str">
            <v>Ofsted</v>
          </cell>
          <cell r="T239" t="str">
            <v>NULL</v>
          </cell>
          <cell r="U239" t="str">
            <v>NULL</v>
          </cell>
          <cell r="V239" t="str">
            <v>NULL</v>
          </cell>
          <cell r="W239" t="str">
            <v>NULL</v>
          </cell>
          <cell r="X239" t="str">
            <v>NULL</v>
          </cell>
          <cell r="Y239" t="str">
            <v>NULL</v>
          </cell>
          <cell r="Z239" t="str">
            <v>NULL</v>
          </cell>
          <cell r="AA239" t="str">
            <v>ITS462980</v>
          </cell>
          <cell r="AB239" t="str">
            <v>Independent school standard inspection - first</v>
          </cell>
          <cell r="AC239" t="str">
            <v>Independent Standard Inspection</v>
          </cell>
          <cell r="AD239">
            <v>42109</v>
          </cell>
          <cell r="AE239">
            <v>42111</v>
          </cell>
          <cell r="AF239">
            <v>42135</v>
          </cell>
          <cell r="AG239">
            <v>2</v>
          </cell>
          <cell r="AH239">
            <v>2</v>
          </cell>
          <cell r="AI239">
            <v>2</v>
          </cell>
          <cell r="AJ239">
            <v>2</v>
          </cell>
          <cell r="AK239" t="str">
            <v>NULL</v>
          </cell>
          <cell r="AL239">
            <v>2</v>
          </cell>
          <cell r="AM239">
            <v>9</v>
          </cell>
          <cell r="AN239" t="str">
            <v>NULL</v>
          </cell>
          <cell r="AO239" t="str">
            <v>NULL</v>
          </cell>
          <cell r="AP239" t="str">
            <v>NULL</v>
          </cell>
          <cell r="AQ239" t="str">
            <v>NULL</v>
          </cell>
          <cell r="AR239" t="str">
            <v>NULL</v>
          </cell>
          <cell r="AS239" t="str">
            <v>NULL</v>
          </cell>
          <cell r="AT239" t="str">
            <v>NULL</v>
          </cell>
          <cell r="AU239" t="str">
            <v>NULL</v>
          </cell>
          <cell r="AV239" t="str">
            <v>NULL</v>
          </cell>
          <cell r="AW239" t="str">
            <v>NULL</v>
          </cell>
          <cell r="AX239" t="str">
            <v>NULL</v>
          </cell>
          <cell r="AY239" t="str">
            <v>NULL</v>
          </cell>
          <cell r="AZ239" t="str">
            <v>NULL</v>
          </cell>
          <cell r="BA239" t="str">
            <v>NULL</v>
          </cell>
          <cell r="BB239" t="str">
            <v>NULL</v>
          </cell>
        </row>
        <row r="240">
          <cell r="D240">
            <v>100372</v>
          </cell>
          <cell r="E240">
            <v>2056382</v>
          </cell>
          <cell r="F240" t="str">
            <v>Al-Muntada Islamic School</v>
          </cell>
          <cell r="G240" t="str">
            <v>Other Independent School</v>
          </cell>
          <cell r="H240">
            <v>32834</v>
          </cell>
          <cell r="I240">
            <v>89</v>
          </cell>
          <cell r="J240" t="str">
            <v>London</v>
          </cell>
          <cell r="K240" t="str">
            <v>London</v>
          </cell>
          <cell r="L240" t="str">
            <v>Hammersmith and Fulham</v>
          </cell>
          <cell r="M240" t="str">
            <v>Chelsea and Fulham</v>
          </cell>
          <cell r="N240" t="str">
            <v>SW6 4HW</v>
          </cell>
          <cell r="O240" t="str">
            <v>Does not have a sixth form</v>
          </cell>
          <cell r="P240">
            <v>3</v>
          </cell>
          <cell r="Q240">
            <v>11</v>
          </cell>
          <cell r="R240" t="str">
            <v>Islam</v>
          </cell>
          <cell r="S240" t="str">
            <v>Ofsted</v>
          </cell>
          <cell r="T240" t="str">
            <v>NULL</v>
          </cell>
          <cell r="U240" t="str">
            <v>NULL</v>
          </cell>
          <cell r="V240" t="str">
            <v>NULL</v>
          </cell>
          <cell r="W240" t="str">
            <v>NULL</v>
          </cell>
          <cell r="X240" t="str">
            <v>NULL</v>
          </cell>
          <cell r="Y240" t="str">
            <v>NULL</v>
          </cell>
          <cell r="Z240" t="str">
            <v>NULL</v>
          </cell>
          <cell r="AA240">
            <v>10035773</v>
          </cell>
          <cell r="AB240" t="str">
            <v>Independent School standard inspection</v>
          </cell>
          <cell r="AC240" t="str">
            <v>Independent Standard Inspection</v>
          </cell>
          <cell r="AD240">
            <v>42990</v>
          </cell>
          <cell r="AE240">
            <v>42992</v>
          </cell>
          <cell r="AF240">
            <v>43054</v>
          </cell>
          <cell r="AG240">
            <v>3</v>
          </cell>
          <cell r="AH240">
            <v>3</v>
          </cell>
          <cell r="AI240">
            <v>3</v>
          </cell>
          <cell r="AJ240">
            <v>3</v>
          </cell>
          <cell r="AK240">
            <v>3</v>
          </cell>
          <cell r="AL240">
            <v>3</v>
          </cell>
          <cell r="AM240" t="str">
            <v>NULL</v>
          </cell>
          <cell r="AN240" t="str">
            <v>Yes</v>
          </cell>
          <cell r="AO240" t="str">
            <v>ITS442980</v>
          </cell>
          <cell r="AP240" t="str">
            <v>Independent School standard inspection</v>
          </cell>
          <cell r="AQ240" t="str">
            <v>Independent Standard Inspection</v>
          </cell>
          <cell r="AR240">
            <v>41772</v>
          </cell>
          <cell r="AS240">
            <v>41774</v>
          </cell>
          <cell r="AT240">
            <v>41842</v>
          </cell>
          <cell r="AU240">
            <v>4</v>
          </cell>
          <cell r="AV240">
            <v>4</v>
          </cell>
          <cell r="AW240">
            <v>4</v>
          </cell>
          <cell r="AX240">
            <v>4</v>
          </cell>
          <cell r="AY240" t="str">
            <v>NULL</v>
          </cell>
          <cell r="AZ240" t="str">
            <v>NULL</v>
          </cell>
          <cell r="BA240" t="str">
            <v>NULL</v>
          </cell>
          <cell r="BB240" t="str">
            <v>NULL</v>
          </cell>
        </row>
        <row r="241">
          <cell r="D241">
            <v>136037</v>
          </cell>
          <cell r="E241">
            <v>3306130</v>
          </cell>
          <cell r="F241" t="str">
            <v>Al-Noor College</v>
          </cell>
          <cell r="G241" t="str">
            <v>Other Independent School</v>
          </cell>
          <cell r="H241">
            <v>40164</v>
          </cell>
          <cell r="I241">
            <v>31</v>
          </cell>
          <cell r="J241" t="str">
            <v>West Midlands</v>
          </cell>
          <cell r="K241" t="str">
            <v>West Midlands</v>
          </cell>
          <cell r="L241" t="str">
            <v>Birmingham</v>
          </cell>
          <cell r="M241" t="str">
            <v>Birmingham, Hall Green</v>
          </cell>
          <cell r="N241" t="str">
            <v>B11 4RU</v>
          </cell>
          <cell r="O241" t="str">
            <v>Does not have a sixth form</v>
          </cell>
          <cell r="P241">
            <v>11</v>
          </cell>
          <cell r="Q241">
            <v>16</v>
          </cell>
          <cell r="R241" t="str">
            <v>None</v>
          </cell>
          <cell r="S241" t="str">
            <v>Ofsted</v>
          </cell>
          <cell r="T241" t="str">
            <v>NULL</v>
          </cell>
          <cell r="U241" t="str">
            <v>NULL</v>
          </cell>
          <cell r="V241" t="str">
            <v>NULL</v>
          </cell>
          <cell r="W241" t="str">
            <v>NULL</v>
          </cell>
          <cell r="X241" t="str">
            <v>NULL</v>
          </cell>
          <cell r="Y241" t="str">
            <v>NULL</v>
          </cell>
          <cell r="Z241" t="str">
            <v>NULL</v>
          </cell>
          <cell r="AA241">
            <v>10033572</v>
          </cell>
          <cell r="AB241" t="str">
            <v>Independent School standard inspection</v>
          </cell>
          <cell r="AC241" t="str">
            <v>Independent Standard Inspection</v>
          </cell>
          <cell r="AD241">
            <v>42920</v>
          </cell>
          <cell r="AE241">
            <v>42922</v>
          </cell>
          <cell r="AF241">
            <v>42986</v>
          </cell>
          <cell r="AG241">
            <v>2</v>
          </cell>
          <cell r="AH241">
            <v>2</v>
          </cell>
          <cell r="AI241">
            <v>2</v>
          </cell>
          <cell r="AJ241">
            <v>2</v>
          </cell>
          <cell r="AK241">
            <v>2</v>
          </cell>
          <cell r="AL241" t="str">
            <v>NULL</v>
          </cell>
          <cell r="AM241" t="str">
            <v>NULL</v>
          </cell>
          <cell r="AN241" t="str">
            <v>Yes</v>
          </cell>
          <cell r="AO241" t="str">
            <v>ITS364144</v>
          </cell>
          <cell r="AP241" t="str">
            <v>Independent School standard inspection</v>
          </cell>
          <cell r="AQ241" t="str">
            <v>Independent Standard Inspection</v>
          </cell>
          <cell r="AR241">
            <v>40674</v>
          </cell>
          <cell r="AS241">
            <v>40675</v>
          </cell>
          <cell r="AT241">
            <v>40702</v>
          </cell>
          <cell r="AU241">
            <v>3</v>
          </cell>
          <cell r="AV241">
            <v>3</v>
          </cell>
          <cell r="AW241">
            <v>3</v>
          </cell>
          <cell r="AX241" t="str">
            <v>NULL</v>
          </cell>
          <cell r="AY241" t="str">
            <v>NULL</v>
          </cell>
          <cell r="AZ241">
            <v>8</v>
          </cell>
          <cell r="BA241" t="str">
            <v>NULL</v>
          </cell>
          <cell r="BB241" t="str">
            <v>NULL</v>
          </cell>
        </row>
        <row r="242">
          <cell r="D242">
            <v>134244</v>
          </cell>
          <cell r="E242">
            <v>3176076</v>
          </cell>
          <cell r="F242" t="str">
            <v>Al-Noor Primary School</v>
          </cell>
          <cell r="G242" t="str">
            <v>Other Independent School</v>
          </cell>
          <cell r="H242">
            <v>37802</v>
          </cell>
          <cell r="I242">
            <v>178</v>
          </cell>
          <cell r="J242" t="str">
            <v>London</v>
          </cell>
          <cell r="K242" t="str">
            <v>London</v>
          </cell>
          <cell r="L242" t="str">
            <v>Redbridge</v>
          </cell>
          <cell r="M242" t="str">
            <v>Ilford South</v>
          </cell>
          <cell r="N242" t="str">
            <v>RM6 5SD</v>
          </cell>
          <cell r="O242" t="str">
            <v>Does not have a sixth form</v>
          </cell>
          <cell r="P242">
            <v>4</v>
          </cell>
          <cell r="Q242">
            <v>11</v>
          </cell>
          <cell r="R242" t="str">
            <v>Muslim</v>
          </cell>
          <cell r="S242" t="str">
            <v>Ofsted</v>
          </cell>
          <cell r="T242" t="str">
            <v>NULL</v>
          </cell>
          <cell r="U242" t="str">
            <v>NULL</v>
          </cell>
          <cell r="V242" t="str">
            <v>NULL</v>
          </cell>
          <cell r="W242" t="str">
            <v>NULL</v>
          </cell>
          <cell r="X242" t="str">
            <v>NULL</v>
          </cell>
          <cell r="Y242" t="str">
            <v>NULL</v>
          </cell>
          <cell r="Z242" t="str">
            <v>NULL</v>
          </cell>
          <cell r="AA242">
            <v>10012977</v>
          </cell>
          <cell r="AB242" t="str">
            <v>Independent School standard inspection</v>
          </cell>
          <cell r="AC242" t="str">
            <v>Independent Standard Inspection</v>
          </cell>
          <cell r="AD242">
            <v>42711</v>
          </cell>
          <cell r="AE242">
            <v>42713</v>
          </cell>
          <cell r="AF242">
            <v>42739</v>
          </cell>
          <cell r="AG242">
            <v>2</v>
          </cell>
          <cell r="AH242">
            <v>2</v>
          </cell>
          <cell r="AI242">
            <v>2</v>
          </cell>
          <cell r="AJ242">
            <v>2</v>
          </cell>
          <cell r="AK242">
            <v>2</v>
          </cell>
          <cell r="AL242">
            <v>2</v>
          </cell>
          <cell r="AM242" t="str">
            <v>NULL</v>
          </cell>
          <cell r="AN242" t="str">
            <v>Yes</v>
          </cell>
          <cell r="AO242" t="str">
            <v>ITS301489</v>
          </cell>
          <cell r="AP242" t="str">
            <v>Independent School standard inspection</v>
          </cell>
          <cell r="AQ242" t="str">
            <v>Independent Standard Inspection</v>
          </cell>
          <cell r="AR242">
            <v>39266</v>
          </cell>
          <cell r="AS242">
            <v>39267</v>
          </cell>
          <cell r="AT242">
            <v>39288</v>
          </cell>
          <cell r="AU242">
            <v>2</v>
          </cell>
          <cell r="AV242">
            <v>2</v>
          </cell>
          <cell r="AW242">
            <v>2</v>
          </cell>
          <cell r="AX242" t="str">
            <v>NULL</v>
          </cell>
          <cell r="AY242" t="str">
            <v>NULL</v>
          </cell>
          <cell r="AZ242" t="str">
            <v>NULL</v>
          </cell>
          <cell r="BA242" t="str">
            <v>NULL</v>
          </cell>
          <cell r="BB242" t="str">
            <v>NULL</v>
          </cell>
        </row>
        <row r="243">
          <cell r="D243">
            <v>101090</v>
          </cell>
          <cell r="E243">
            <v>2126396</v>
          </cell>
          <cell r="F243" t="str">
            <v>Al Risalah Secondary School</v>
          </cell>
          <cell r="G243" t="str">
            <v>Other Independent School</v>
          </cell>
          <cell r="H243">
            <v>34284</v>
          </cell>
          <cell r="I243">
            <v>298</v>
          </cell>
          <cell r="J243" t="str">
            <v>London</v>
          </cell>
          <cell r="K243" t="str">
            <v>London</v>
          </cell>
          <cell r="L243" t="str">
            <v>Wandsworth</v>
          </cell>
          <cell r="M243" t="str">
            <v>Tooting</v>
          </cell>
          <cell r="N243" t="str">
            <v>SW17 7TJ</v>
          </cell>
          <cell r="O243" t="str">
            <v>Does not have a sixth form</v>
          </cell>
          <cell r="P243">
            <v>3</v>
          </cell>
          <cell r="Q243">
            <v>16</v>
          </cell>
          <cell r="R243" t="str">
            <v>None</v>
          </cell>
          <cell r="S243" t="str">
            <v>Ofsted</v>
          </cell>
          <cell r="T243" t="str">
            <v>NULL</v>
          </cell>
          <cell r="U243" t="str">
            <v>NULL</v>
          </cell>
          <cell r="V243" t="str">
            <v>NULL</v>
          </cell>
          <cell r="W243" t="str">
            <v>NULL</v>
          </cell>
          <cell r="X243" t="str">
            <v>NULL</v>
          </cell>
          <cell r="Y243" t="str">
            <v>NULL</v>
          </cell>
          <cell r="Z243" t="str">
            <v>NULL</v>
          </cell>
          <cell r="AA243">
            <v>10006123</v>
          </cell>
          <cell r="AB243" t="str">
            <v>Independent School standard inspection</v>
          </cell>
          <cell r="AC243" t="str">
            <v>Independent Standard Inspection</v>
          </cell>
          <cell r="AD243">
            <v>42353</v>
          </cell>
          <cell r="AE243">
            <v>42355</v>
          </cell>
          <cell r="AF243">
            <v>42384</v>
          </cell>
          <cell r="AG243">
            <v>2</v>
          </cell>
          <cell r="AH243">
            <v>2</v>
          </cell>
          <cell r="AI243">
            <v>2</v>
          </cell>
          <cell r="AJ243">
            <v>2</v>
          </cell>
          <cell r="AK243">
            <v>2</v>
          </cell>
          <cell r="AL243">
            <v>2</v>
          </cell>
          <cell r="AM243" t="str">
            <v>NULL</v>
          </cell>
          <cell r="AN243" t="str">
            <v>Yes</v>
          </cell>
          <cell r="AO243" t="str">
            <v>ITS393368</v>
          </cell>
          <cell r="AP243" t="str">
            <v>Independent School standard inspection</v>
          </cell>
          <cell r="AQ243" t="str">
            <v>Independent Standard Inspection</v>
          </cell>
          <cell r="AR243">
            <v>41044</v>
          </cell>
          <cell r="AS243">
            <v>41045</v>
          </cell>
          <cell r="AT243">
            <v>41066</v>
          </cell>
          <cell r="AU243">
            <v>3</v>
          </cell>
          <cell r="AV243">
            <v>3</v>
          </cell>
          <cell r="AW243">
            <v>3</v>
          </cell>
          <cell r="AX243" t="str">
            <v>NULL</v>
          </cell>
          <cell r="AY243" t="str">
            <v>NULL</v>
          </cell>
          <cell r="AZ243">
            <v>8</v>
          </cell>
          <cell r="BA243" t="str">
            <v>NULL</v>
          </cell>
          <cell r="BB243" t="str">
            <v>NULL</v>
          </cell>
        </row>
        <row r="244">
          <cell r="D244">
            <v>136117</v>
          </cell>
          <cell r="E244">
            <v>3556006</v>
          </cell>
          <cell r="F244" t="str">
            <v>Beis Malka Belz Girls School</v>
          </cell>
          <cell r="G244" t="str">
            <v>Other Independent School</v>
          </cell>
          <cell r="H244">
            <v>40323</v>
          </cell>
          <cell r="I244">
            <v>240</v>
          </cell>
          <cell r="J244" t="str">
            <v>North West</v>
          </cell>
          <cell r="K244" t="str">
            <v>North West</v>
          </cell>
          <cell r="L244" t="str">
            <v>Salford</v>
          </cell>
          <cell r="M244" t="str">
            <v>Blackley and Broughton</v>
          </cell>
          <cell r="N244" t="str">
            <v>M7 2BT</v>
          </cell>
          <cell r="O244" t="str">
            <v>Does not have a sixth form</v>
          </cell>
          <cell r="P244">
            <v>3</v>
          </cell>
          <cell r="Q244">
            <v>15</v>
          </cell>
          <cell r="R244" t="str">
            <v>Orthodox Jewish</v>
          </cell>
          <cell r="S244" t="str">
            <v>Ofsted</v>
          </cell>
          <cell r="T244" t="str">
            <v>NULL</v>
          </cell>
          <cell r="U244" t="str">
            <v>NULL</v>
          </cell>
          <cell r="V244" t="str">
            <v>NULL</v>
          </cell>
          <cell r="W244" t="str">
            <v>NULL</v>
          </cell>
          <cell r="X244" t="str">
            <v>NULL</v>
          </cell>
          <cell r="Y244" t="str">
            <v>NULL</v>
          </cell>
          <cell r="Z244" t="str">
            <v>NULL</v>
          </cell>
          <cell r="AA244">
            <v>10034031</v>
          </cell>
          <cell r="AB244" t="str">
            <v>Independent School standard inspection</v>
          </cell>
          <cell r="AC244" t="str">
            <v>Independent Standard Inspection</v>
          </cell>
          <cell r="AD244">
            <v>43053</v>
          </cell>
          <cell r="AE244">
            <v>43055</v>
          </cell>
          <cell r="AF244">
            <v>43090</v>
          </cell>
          <cell r="AG244">
            <v>2</v>
          </cell>
          <cell r="AH244">
            <v>3</v>
          </cell>
          <cell r="AI244">
            <v>2</v>
          </cell>
          <cell r="AJ244">
            <v>2</v>
          </cell>
          <cell r="AK244">
            <v>2</v>
          </cell>
          <cell r="AL244">
            <v>2</v>
          </cell>
          <cell r="AM244" t="str">
            <v>NULL</v>
          </cell>
          <cell r="AN244" t="str">
            <v>Yes</v>
          </cell>
          <cell r="AO244" t="str">
            <v>ITS447240</v>
          </cell>
          <cell r="AP244" t="str">
            <v>Independent School standard inspection</v>
          </cell>
          <cell r="AQ244" t="str">
            <v>Independent Standard Inspection</v>
          </cell>
          <cell r="AR244">
            <v>41828</v>
          </cell>
          <cell r="AS244">
            <v>41830</v>
          </cell>
          <cell r="AT244">
            <v>41850</v>
          </cell>
          <cell r="AU244">
            <v>3</v>
          </cell>
          <cell r="AV244">
            <v>3</v>
          </cell>
          <cell r="AW244">
            <v>3</v>
          </cell>
          <cell r="AX244">
            <v>3</v>
          </cell>
          <cell r="AY244" t="str">
            <v>NULL</v>
          </cell>
          <cell r="AZ244" t="str">
            <v>NULL</v>
          </cell>
          <cell r="BA244" t="str">
            <v>NULL</v>
          </cell>
          <cell r="BB244" t="str">
            <v>NULL</v>
          </cell>
        </row>
        <row r="245">
          <cell r="D245">
            <v>100295</v>
          </cell>
          <cell r="E245">
            <v>2046337</v>
          </cell>
          <cell r="F245" t="str">
            <v>Beis Malka Girls' School</v>
          </cell>
          <cell r="G245" t="str">
            <v>Other Independent School</v>
          </cell>
          <cell r="H245">
            <v>33231</v>
          </cell>
          <cell r="I245">
            <v>494</v>
          </cell>
          <cell r="J245" t="str">
            <v>London</v>
          </cell>
          <cell r="K245" t="str">
            <v>London</v>
          </cell>
          <cell r="L245" t="str">
            <v>Hackney</v>
          </cell>
          <cell r="M245" t="str">
            <v>Hackney North and Stoke Newington</v>
          </cell>
          <cell r="N245" t="str">
            <v>N16 6XD</v>
          </cell>
          <cell r="O245" t="str">
            <v>Does not have a sixth form</v>
          </cell>
          <cell r="P245">
            <v>2</v>
          </cell>
          <cell r="Q245">
            <v>16</v>
          </cell>
          <cell r="R245" t="str">
            <v>None</v>
          </cell>
          <cell r="S245" t="str">
            <v>Ofsted</v>
          </cell>
          <cell r="T245" t="str">
            <v>NULL</v>
          </cell>
          <cell r="U245" t="str">
            <v>NULL</v>
          </cell>
          <cell r="V245" t="str">
            <v>NULL</v>
          </cell>
          <cell r="W245" t="str">
            <v>NULL</v>
          </cell>
          <cell r="X245" t="str">
            <v>NULL</v>
          </cell>
          <cell r="Y245" t="str">
            <v>NULL</v>
          </cell>
          <cell r="Z245" t="str">
            <v>NULL</v>
          </cell>
          <cell r="AA245">
            <v>10020732</v>
          </cell>
          <cell r="AB245" t="str">
            <v>Independent School standard inspection</v>
          </cell>
          <cell r="AC245" t="str">
            <v>Independent Standard Inspection</v>
          </cell>
          <cell r="AD245">
            <v>42850</v>
          </cell>
          <cell r="AE245">
            <v>42852</v>
          </cell>
          <cell r="AF245">
            <v>42877</v>
          </cell>
          <cell r="AG245">
            <v>2</v>
          </cell>
          <cell r="AH245">
            <v>2</v>
          </cell>
          <cell r="AI245">
            <v>2</v>
          </cell>
          <cell r="AJ245">
            <v>2</v>
          </cell>
          <cell r="AK245">
            <v>2</v>
          </cell>
          <cell r="AL245">
            <v>2</v>
          </cell>
          <cell r="AM245" t="str">
            <v>NULL</v>
          </cell>
          <cell r="AN245" t="str">
            <v>Yes</v>
          </cell>
          <cell r="AO245" t="str">
            <v>ITS420196</v>
          </cell>
          <cell r="AP245" t="str">
            <v>Independent School standard inspection</v>
          </cell>
          <cell r="AQ245" t="str">
            <v>Independent Standard Inspection</v>
          </cell>
          <cell r="AR245">
            <v>41562</v>
          </cell>
          <cell r="AS245">
            <v>41564</v>
          </cell>
          <cell r="AT245">
            <v>41585</v>
          </cell>
          <cell r="AU245">
            <v>2</v>
          </cell>
          <cell r="AV245">
            <v>2</v>
          </cell>
          <cell r="AW245">
            <v>2</v>
          </cell>
          <cell r="AX245">
            <v>2</v>
          </cell>
          <cell r="AY245" t="str">
            <v>NULL</v>
          </cell>
          <cell r="AZ245" t="str">
            <v>NULL</v>
          </cell>
          <cell r="BA245" t="str">
            <v>NULL</v>
          </cell>
          <cell r="BB245" t="str">
            <v>NULL</v>
          </cell>
        </row>
        <row r="246">
          <cell r="D246">
            <v>140492</v>
          </cell>
          <cell r="E246">
            <v>3026007</v>
          </cell>
          <cell r="F246" t="str">
            <v>Beis Medrash Elyon</v>
          </cell>
          <cell r="G246" t="str">
            <v>Other Independent School</v>
          </cell>
          <cell r="H246">
            <v>41619</v>
          </cell>
          <cell r="I246">
            <v>70</v>
          </cell>
          <cell r="J246" t="str">
            <v>London</v>
          </cell>
          <cell r="K246" t="str">
            <v>London</v>
          </cell>
          <cell r="L246" t="str">
            <v>Barnet</v>
          </cell>
          <cell r="M246" t="str">
            <v>Hendon</v>
          </cell>
          <cell r="N246" t="str">
            <v>NW9 7DH</v>
          </cell>
          <cell r="O246" t="str">
            <v>Does not have a sixth form</v>
          </cell>
          <cell r="P246">
            <v>11</v>
          </cell>
          <cell r="Q246">
            <v>16</v>
          </cell>
          <cell r="R246" t="str">
            <v>None</v>
          </cell>
          <cell r="S246" t="str">
            <v>Ofsted</v>
          </cell>
          <cell r="T246">
            <v>1</v>
          </cell>
          <cell r="U246" t="str">
            <v>ITS464835</v>
          </cell>
          <cell r="V246" t="str">
            <v>Independent school evaluation of school action plan</v>
          </cell>
          <cell r="W246">
            <v>42142</v>
          </cell>
          <cell r="X246">
            <v>42142</v>
          </cell>
          <cell r="Y246" t="str">
            <v>NULL</v>
          </cell>
          <cell r="Z246" t="str">
            <v>Action plan is acceptable</v>
          </cell>
          <cell r="AA246" t="str">
            <v>ITS447235</v>
          </cell>
          <cell r="AB246" t="str">
            <v>Independent school standard inspection - first</v>
          </cell>
          <cell r="AC246" t="str">
            <v>Independent Standard Inspection</v>
          </cell>
          <cell r="AD246">
            <v>41975</v>
          </cell>
          <cell r="AE246">
            <v>41977</v>
          </cell>
          <cell r="AF246">
            <v>42053</v>
          </cell>
          <cell r="AG246">
            <v>3</v>
          </cell>
          <cell r="AH246">
            <v>2</v>
          </cell>
          <cell r="AI246">
            <v>2</v>
          </cell>
          <cell r="AJ246">
            <v>3</v>
          </cell>
          <cell r="AK246" t="str">
            <v>NULL</v>
          </cell>
          <cell r="AL246">
            <v>9</v>
          </cell>
          <cell r="AM246">
            <v>9</v>
          </cell>
          <cell r="AN246" t="str">
            <v>NULL</v>
          </cell>
          <cell r="AO246" t="str">
            <v>NULL</v>
          </cell>
          <cell r="AP246" t="str">
            <v>NULL</v>
          </cell>
          <cell r="AQ246" t="str">
            <v>NULL</v>
          </cell>
          <cell r="AR246" t="str">
            <v>NULL</v>
          </cell>
          <cell r="AS246" t="str">
            <v>NULL</v>
          </cell>
          <cell r="AT246" t="str">
            <v>NULL</v>
          </cell>
          <cell r="AU246" t="str">
            <v>NULL</v>
          </cell>
          <cell r="AV246" t="str">
            <v>NULL</v>
          </cell>
          <cell r="AW246" t="str">
            <v>NULL</v>
          </cell>
          <cell r="AX246" t="str">
            <v>NULL</v>
          </cell>
          <cell r="AY246" t="str">
            <v>NULL</v>
          </cell>
          <cell r="AZ246" t="str">
            <v>NULL</v>
          </cell>
          <cell r="BA246" t="str">
            <v>NULL</v>
          </cell>
          <cell r="BB246" t="str">
            <v>NULL</v>
          </cell>
        </row>
        <row r="247">
          <cell r="D247">
            <v>100293</v>
          </cell>
          <cell r="E247">
            <v>2046296</v>
          </cell>
          <cell r="F247" t="str">
            <v>Beis Rochel d'Satmar Girls' School</v>
          </cell>
          <cell r="G247" t="str">
            <v>Other Independent School</v>
          </cell>
          <cell r="H247">
            <v>28493</v>
          </cell>
          <cell r="I247">
            <v>1891</v>
          </cell>
          <cell r="J247" t="str">
            <v>London</v>
          </cell>
          <cell r="K247" t="str">
            <v>London</v>
          </cell>
          <cell r="L247" t="str">
            <v>Hackney</v>
          </cell>
          <cell r="M247" t="str">
            <v>Hackney North and Stoke Newington</v>
          </cell>
          <cell r="N247" t="str">
            <v>N16 5DL</v>
          </cell>
          <cell r="O247" t="str">
            <v>Has a sixth form</v>
          </cell>
          <cell r="P247">
            <v>3</v>
          </cell>
          <cell r="Q247">
            <v>19</v>
          </cell>
          <cell r="R247" t="str">
            <v>Jewish</v>
          </cell>
          <cell r="S247" t="str">
            <v>Ofsted</v>
          </cell>
          <cell r="T247">
            <v>3</v>
          </cell>
          <cell r="U247">
            <v>10020365</v>
          </cell>
          <cell r="V247" t="str">
            <v>Independent school Progress Monitoring inspection</v>
          </cell>
          <cell r="W247">
            <v>42565</v>
          </cell>
          <cell r="X247">
            <v>42565</v>
          </cell>
          <cell r="Y247">
            <v>42632</v>
          </cell>
          <cell r="Z247" t="str">
            <v>Standards met</v>
          </cell>
          <cell r="AA247" t="str">
            <v>ITS462854</v>
          </cell>
          <cell r="AB247" t="str">
            <v>Independent School standard inspection</v>
          </cell>
          <cell r="AC247" t="str">
            <v>Independent Standard Inspection</v>
          </cell>
          <cell r="AD247">
            <v>42157</v>
          </cell>
          <cell r="AE247">
            <v>42159</v>
          </cell>
          <cell r="AF247">
            <v>42389</v>
          </cell>
          <cell r="AG247">
            <v>4</v>
          </cell>
          <cell r="AH247">
            <v>4</v>
          </cell>
          <cell r="AI247">
            <v>4</v>
          </cell>
          <cell r="AJ247">
            <v>4</v>
          </cell>
          <cell r="AK247" t="str">
            <v>NULL</v>
          </cell>
          <cell r="AL247">
            <v>4</v>
          </cell>
          <cell r="AM247">
            <v>9</v>
          </cell>
          <cell r="AN247" t="str">
            <v>NULL</v>
          </cell>
          <cell r="AO247" t="str">
            <v>ITS386851</v>
          </cell>
          <cell r="AP247" t="str">
            <v>Independent School standard inspection</v>
          </cell>
          <cell r="AQ247" t="str">
            <v>Independent Standard Inspection</v>
          </cell>
          <cell r="AR247">
            <v>40946</v>
          </cell>
          <cell r="AS247">
            <v>40947</v>
          </cell>
          <cell r="AT247">
            <v>41236</v>
          </cell>
          <cell r="AU247">
            <v>2</v>
          </cell>
          <cell r="AV247">
            <v>2</v>
          </cell>
          <cell r="AW247">
            <v>2</v>
          </cell>
          <cell r="AX247" t="str">
            <v>NULL</v>
          </cell>
          <cell r="AY247" t="str">
            <v>NULL</v>
          </cell>
          <cell r="AZ247">
            <v>8</v>
          </cell>
          <cell r="BA247" t="str">
            <v>NULL</v>
          </cell>
          <cell r="BB247" t="str">
            <v>NULL</v>
          </cell>
        </row>
        <row r="248">
          <cell r="D248">
            <v>136015</v>
          </cell>
          <cell r="E248">
            <v>2046073</v>
          </cell>
          <cell r="F248" t="str">
            <v>Bnos Zion of Bobov</v>
          </cell>
          <cell r="G248" t="str">
            <v>Other Independent School</v>
          </cell>
          <cell r="H248">
            <v>40069</v>
          </cell>
          <cell r="I248">
            <v>195</v>
          </cell>
          <cell r="J248" t="str">
            <v>London</v>
          </cell>
          <cell r="K248" t="str">
            <v>London</v>
          </cell>
          <cell r="L248" t="str">
            <v>Hackney</v>
          </cell>
          <cell r="M248" t="str">
            <v>Hackney North and Stoke Newington</v>
          </cell>
          <cell r="N248" t="str">
            <v>N16 6TJ</v>
          </cell>
          <cell r="O248" t="str">
            <v>Does not have a sixth form</v>
          </cell>
          <cell r="P248">
            <v>3</v>
          </cell>
          <cell r="Q248">
            <v>13</v>
          </cell>
          <cell r="R248" t="str">
            <v>Orthodox Jewish</v>
          </cell>
          <cell r="S248" t="str">
            <v>Ofsted</v>
          </cell>
          <cell r="T248" t="str">
            <v>NULL</v>
          </cell>
          <cell r="U248" t="str">
            <v>NULL</v>
          </cell>
          <cell r="V248" t="str">
            <v>NULL</v>
          </cell>
          <cell r="W248" t="str">
            <v>NULL</v>
          </cell>
          <cell r="X248" t="str">
            <v>NULL</v>
          </cell>
          <cell r="Y248" t="str">
            <v>NULL</v>
          </cell>
          <cell r="Z248" t="str">
            <v>NULL</v>
          </cell>
          <cell r="AA248">
            <v>10035806</v>
          </cell>
          <cell r="AB248" t="str">
            <v>Independent School standard inspection</v>
          </cell>
          <cell r="AC248" t="str">
            <v>Independent Standard Inspection</v>
          </cell>
          <cell r="AD248">
            <v>43109</v>
          </cell>
          <cell r="AE248">
            <v>43111</v>
          </cell>
          <cell r="AF248">
            <v>43153</v>
          </cell>
          <cell r="AG248">
            <v>4</v>
          </cell>
          <cell r="AH248">
            <v>3</v>
          </cell>
          <cell r="AI248">
            <v>3</v>
          </cell>
          <cell r="AJ248">
            <v>4</v>
          </cell>
          <cell r="AK248">
            <v>3</v>
          </cell>
          <cell r="AL248">
            <v>3</v>
          </cell>
          <cell r="AM248" t="str">
            <v>NULL</v>
          </cell>
          <cell r="AN248" t="str">
            <v>Yes</v>
          </cell>
          <cell r="AO248" t="str">
            <v>ITS422821</v>
          </cell>
          <cell r="AP248" t="str">
            <v>Independent School standard inspection</v>
          </cell>
          <cell r="AQ248" t="str">
            <v>Independent Standard Inspection</v>
          </cell>
          <cell r="AR248">
            <v>41829</v>
          </cell>
          <cell r="AS248">
            <v>41831</v>
          </cell>
          <cell r="AT248">
            <v>41850</v>
          </cell>
          <cell r="AU248">
            <v>2</v>
          </cell>
          <cell r="AV248">
            <v>2</v>
          </cell>
          <cell r="AW248">
            <v>2</v>
          </cell>
          <cell r="AX248">
            <v>2</v>
          </cell>
          <cell r="AY248" t="str">
            <v>NULL</v>
          </cell>
          <cell r="AZ248" t="str">
            <v>NULL</v>
          </cell>
          <cell r="BA248" t="str">
            <v>NULL</v>
          </cell>
          <cell r="BB248" t="str">
            <v>NULL</v>
          </cell>
        </row>
        <row r="249">
          <cell r="D249">
            <v>138498</v>
          </cell>
          <cell r="E249">
            <v>3506001</v>
          </cell>
          <cell r="F249" t="str">
            <v>Bolton Islamic Girls School</v>
          </cell>
          <cell r="G249" t="str">
            <v>Other Independent School</v>
          </cell>
          <cell r="H249">
            <v>41120</v>
          </cell>
          <cell r="I249">
            <v>77</v>
          </cell>
          <cell r="J249" t="str">
            <v>North West</v>
          </cell>
          <cell r="K249" t="str">
            <v>North West</v>
          </cell>
          <cell r="L249" t="str">
            <v>Bolton</v>
          </cell>
          <cell r="M249" t="str">
            <v>Bolton South East</v>
          </cell>
          <cell r="N249" t="str">
            <v>BL3 2AW</v>
          </cell>
          <cell r="O249" t="str">
            <v>Does not have a sixth form</v>
          </cell>
          <cell r="P249">
            <v>11</v>
          </cell>
          <cell r="Q249">
            <v>16</v>
          </cell>
          <cell r="R249" t="str">
            <v>None</v>
          </cell>
          <cell r="S249" t="str">
            <v>Ofsted</v>
          </cell>
          <cell r="T249" t="str">
            <v>NULL</v>
          </cell>
          <cell r="U249" t="str">
            <v>NULL</v>
          </cell>
          <cell r="V249" t="str">
            <v>NULL</v>
          </cell>
          <cell r="W249" t="str">
            <v>NULL</v>
          </cell>
          <cell r="X249" t="str">
            <v>NULL</v>
          </cell>
          <cell r="Y249" t="str">
            <v>NULL</v>
          </cell>
          <cell r="Z249" t="str">
            <v>NULL</v>
          </cell>
          <cell r="AA249">
            <v>10012843</v>
          </cell>
          <cell r="AB249" t="str">
            <v>Independent School standard inspection</v>
          </cell>
          <cell r="AC249" t="str">
            <v>Independent Standard Inspection</v>
          </cell>
          <cell r="AD249">
            <v>42745</v>
          </cell>
          <cell r="AE249">
            <v>42747</v>
          </cell>
          <cell r="AF249">
            <v>42774</v>
          </cell>
          <cell r="AG249">
            <v>2</v>
          </cell>
          <cell r="AH249">
            <v>2</v>
          </cell>
          <cell r="AI249">
            <v>2</v>
          </cell>
          <cell r="AJ249">
            <v>2</v>
          </cell>
          <cell r="AK249">
            <v>2</v>
          </cell>
          <cell r="AL249" t="str">
            <v>NULL</v>
          </cell>
          <cell r="AM249" t="str">
            <v>NULL</v>
          </cell>
          <cell r="AN249" t="str">
            <v>Yes</v>
          </cell>
          <cell r="AO249" t="str">
            <v>ITS420256</v>
          </cell>
          <cell r="AP249" t="str">
            <v>Independent school standard inspection - first</v>
          </cell>
          <cell r="AQ249" t="str">
            <v>Independent Standard Inspection</v>
          </cell>
          <cell r="AR249">
            <v>41436</v>
          </cell>
          <cell r="AS249">
            <v>41437</v>
          </cell>
          <cell r="AT249">
            <v>41463</v>
          </cell>
          <cell r="AU249">
            <v>3</v>
          </cell>
          <cell r="AV249">
            <v>3</v>
          </cell>
          <cell r="AW249">
            <v>3</v>
          </cell>
          <cell r="AX249">
            <v>3</v>
          </cell>
          <cell r="AY249" t="str">
            <v>NULL</v>
          </cell>
          <cell r="AZ249" t="str">
            <v>NULL</v>
          </cell>
          <cell r="BA249" t="str">
            <v>NULL</v>
          </cell>
          <cell r="BB249" t="str">
            <v>NULL</v>
          </cell>
        </row>
        <row r="250">
          <cell r="D250">
            <v>141562</v>
          </cell>
          <cell r="E250">
            <v>2106006</v>
          </cell>
          <cell r="F250" t="str">
            <v>Bosco Centre College</v>
          </cell>
          <cell r="G250" t="str">
            <v>Other Independent School</v>
          </cell>
          <cell r="H250">
            <v>41962</v>
          </cell>
          <cell r="I250">
            <v>7</v>
          </cell>
          <cell r="J250" t="str">
            <v>London</v>
          </cell>
          <cell r="K250" t="str">
            <v>London</v>
          </cell>
          <cell r="L250" t="str">
            <v>Southwark</v>
          </cell>
          <cell r="M250" t="str">
            <v>Bermondsey and Old Southwark</v>
          </cell>
          <cell r="N250" t="str">
            <v>SE16 4RS</v>
          </cell>
          <cell r="O250" t="str">
            <v>Has a sixth form</v>
          </cell>
          <cell r="P250">
            <v>14</v>
          </cell>
          <cell r="Q250">
            <v>19</v>
          </cell>
          <cell r="R250" t="str">
            <v>None</v>
          </cell>
          <cell r="S250" t="str">
            <v>Ofsted</v>
          </cell>
          <cell r="T250" t="str">
            <v>NULL</v>
          </cell>
          <cell r="U250" t="str">
            <v>NULL</v>
          </cell>
          <cell r="V250" t="str">
            <v>NULL</v>
          </cell>
          <cell r="W250" t="str">
            <v>NULL</v>
          </cell>
          <cell r="X250" t="str">
            <v>NULL</v>
          </cell>
          <cell r="Y250" t="str">
            <v>NULL</v>
          </cell>
          <cell r="Z250" t="str">
            <v>NULL</v>
          </cell>
          <cell r="AA250">
            <v>10006137</v>
          </cell>
          <cell r="AB250" t="str">
            <v>Independent school standard inspection - first</v>
          </cell>
          <cell r="AC250" t="str">
            <v>Independent Standard Inspection</v>
          </cell>
          <cell r="AD250">
            <v>42703</v>
          </cell>
          <cell r="AE250">
            <v>42705</v>
          </cell>
          <cell r="AF250">
            <v>42752</v>
          </cell>
          <cell r="AG250">
            <v>2</v>
          </cell>
          <cell r="AH250">
            <v>2</v>
          </cell>
          <cell r="AI250">
            <v>2</v>
          </cell>
          <cell r="AJ250">
            <v>2</v>
          </cell>
          <cell r="AK250">
            <v>2</v>
          </cell>
          <cell r="AL250" t="str">
            <v>NULL</v>
          </cell>
          <cell r="AM250">
            <v>2</v>
          </cell>
          <cell r="AN250" t="str">
            <v>Yes</v>
          </cell>
          <cell r="AO250" t="str">
            <v>NULL</v>
          </cell>
          <cell r="AP250" t="str">
            <v>NULL</v>
          </cell>
          <cell r="AQ250" t="str">
            <v>NULL</v>
          </cell>
          <cell r="AR250" t="str">
            <v>NULL</v>
          </cell>
          <cell r="AS250" t="str">
            <v>NULL</v>
          </cell>
          <cell r="AT250" t="str">
            <v>NULL</v>
          </cell>
          <cell r="AU250" t="str">
            <v>NULL</v>
          </cell>
          <cell r="AV250" t="str">
            <v>NULL</v>
          </cell>
          <cell r="AW250" t="str">
            <v>NULL</v>
          </cell>
          <cell r="AX250" t="str">
            <v>NULL</v>
          </cell>
          <cell r="AY250" t="str">
            <v>NULL</v>
          </cell>
          <cell r="AZ250" t="str">
            <v>NULL</v>
          </cell>
          <cell r="BA250" t="str">
            <v>NULL</v>
          </cell>
          <cell r="BB250" t="str">
            <v>NULL</v>
          </cell>
        </row>
        <row r="251">
          <cell r="D251">
            <v>121757</v>
          </cell>
          <cell r="E251">
            <v>8156027</v>
          </cell>
          <cell r="F251" t="str">
            <v>Brackenfield School</v>
          </cell>
          <cell r="G251" t="str">
            <v>Other Independent School</v>
          </cell>
          <cell r="H251">
            <v>28415</v>
          </cell>
          <cell r="I251">
            <v>167</v>
          </cell>
          <cell r="J251" t="str">
            <v>North East, Yorkshire and the Humber</v>
          </cell>
          <cell r="K251" t="str">
            <v>Yorkshire and the Humber</v>
          </cell>
          <cell r="L251" t="str">
            <v>North Yorkshire</v>
          </cell>
          <cell r="M251" t="str">
            <v>Harrogate and Knaresborough</v>
          </cell>
          <cell r="N251" t="str">
            <v>HG1 2HE</v>
          </cell>
          <cell r="O251" t="str">
            <v>Does not have a sixth form</v>
          </cell>
          <cell r="P251">
            <v>2</v>
          </cell>
          <cell r="Q251">
            <v>11</v>
          </cell>
          <cell r="R251" t="str">
            <v>None</v>
          </cell>
          <cell r="S251" t="str">
            <v>Ofsted</v>
          </cell>
          <cell r="T251" t="str">
            <v>NULL</v>
          </cell>
          <cell r="U251" t="str">
            <v>NULL</v>
          </cell>
          <cell r="V251" t="str">
            <v>NULL</v>
          </cell>
          <cell r="W251" t="str">
            <v>NULL</v>
          </cell>
          <cell r="X251" t="str">
            <v>NULL</v>
          </cell>
          <cell r="Y251" t="str">
            <v>NULL</v>
          </cell>
          <cell r="Z251" t="str">
            <v>NULL</v>
          </cell>
          <cell r="AA251">
            <v>10008559</v>
          </cell>
          <cell r="AB251" t="str">
            <v>Independent School standard inspection</v>
          </cell>
          <cell r="AC251" t="str">
            <v>Independent Standard Inspection</v>
          </cell>
          <cell r="AD251">
            <v>42444</v>
          </cell>
          <cell r="AE251">
            <v>42446</v>
          </cell>
          <cell r="AF251">
            <v>42499</v>
          </cell>
          <cell r="AG251">
            <v>1</v>
          </cell>
          <cell r="AH251">
            <v>1</v>
          </cell>
          <cell r="AI251">
            <v>1</v>
          </cell>
          <cell r="AJ251">
            <v>1</v>
          </cell>
          <cell r="AK251">
            <v>1</v>
          </cell>
          <cell r="AL251">
            <v>1</v>
          </cell>
          <cell r="AM251" t="str">
            <v>NULL</v>
          </cell>
          <cell r="AN251" t="str">
            <v>Yes</v>
          </cell>
          <cell r="AO251" t="str">
            <v>ITS334994</v>
          </cell>
          <cell r="AP251" t="str">
            <v>Independent School standard inspection</v>
          </cell>
          <cell r="AQ251" t="str">
            <v>Independent Standard Inspection</v>
          </cell>
          <cell r="AR251">
            <v>40128</v>
          </cell>
          <cell r="AS251">
            <v>40129</v>
          </cell>
          <cell r="AT251">
            <v>40150</v>
          </cell>
          <cell r="AU251">
            <v>2</v>
          </cell>
          <cell r="AV251">
            <v>2</v>
          </cell>
          <cell r="AW251">
            <v>2</v>
          </cell>
          <cell r="AX251" t="str">
            <v>NULL</v>
          </cell>
          <cell r="AY251" t="str">
            <v>NULL</v>
          </cell>
          <cell r="AZ251">
            <v>2</v>
          </cell>
          <cell r="BA251" t="str">
            <v>NULL</v>
          </cell>
          <cell r="BB251" t="str">
            <v>NULL</v>
          </cell>
        </row>
        <row r="252">
          <cell r="D252">
            <v>126118</v>
          </cell>
          <cell r="E252">
            <v>9386072</v>
          </cell>
          <cell r="F252" t="str">
            <v>Conifers School</v>
          </cell>
          <cell r="G252" t="str">
            <v>Other Independent School</v>
          </cell>
          <cell r="H252">
            <v>19725</v>
          </cell>
          <cell r="I252">
            <v>88</v>
          </cell>
          <cell r="J252" t="str">
            <v>South East</v>
          </cell>
          <cell r="K252" t="str">
            <v>South East</v>
          </cell>
          <cell r="L252" t="str">
            <v>West Sussex</v>
          </cell>
          <cell r="M252" t="str">
            <v>Chichester</v>
          </cell>
          <cell r="N252" t="str">
            <v>GU29 9BG</v>
          </cell>
          <cell r="O252" t="str">
            <v>Does not have a sixth form</v>
          </cell>
          <cell r="P252">
            <v>2</v>
          </cell>
          <cell r="Q252">
            <v>13</v>
          </cell>
          <cell r="R252" t="str">
            <v>None</v>
          </cell>
          <cell r="S252" t="str">
            <v>Ofsted</v>
          </cell>
          <cell r="T252">
            <v>1</v>
          </cell>
          <cell r="U252">
            <v>10051927</v>
          </cell>
          <cell r="V252" t="str">
            <v>Independent school evaluation of school action plan</v>
          </cell>
          <cell r="W252">
            <v>43182</v>
          </cell>
          <cell r="X252">
            <v>43182</v>
          </cell>
          <cell r="Y252" t="str">
            <v>NULL</v>
          </cell>
          <cell r="Z252" t="str">
            <v>Action plan is acceptable with modifications</v>
          </cell>
          <cell r="AA252">
            <v>10020825</v>
          </cell>
          <cell r="AB252" t="str">
            <v>Independent School standard inspection</v>
          </cell>
          <cell r="AC252" t="str">
            <v>Independent Standard Inspection</v>
          </cell>
          <cell r="AD252">
            <v>43060</v>
          </cell>
          <cell r="AE252">
            <v>43062</v>
          </cell>
          <cell r="AF252">
            <v>43133</v>
          </cell>
          <cell r="AG252">
            <v>4</v>
          </cell>
          <cell r="AH252">
            <v>3</v>
          </cell>
          <cell r="AI252">
            <v>3</v>
          </cell>
          <cell r="AJ252">
            <v>4</v>
          </cell>
          <cell r="AK252">
            <v>4</v>
          </cell>
          <cell r="AL252">
            <v>4</v>
          </cell>
          <cell r="AM252" t="str">
            <v>NULL</v>
          </cell>
          <cell r="AN252" t="str">
            <v>No</v>
          </cell>
          <cell r="AO252" t="str">
            <v>ITS420187</v>
          </cell>
          <cell r="AP252" t="str">
            <v>Independent School standard inspection</v>
          </cell>
          <cell r="AQ252" t="str">
            <v>Independent Standard Inspection</v>
          </cell>
          <cell r="AR252">
            <v>41450</v>
          </cell>
          <cell r="AS252">
            <v>41452</v>
          </cell>
          <cell r="AT252">
            <v>41526</v>
          </cell>
          <cell r="AU252">
            <v>2</v>
          </cell>
          <cell r="AV252">
            <v>2</v>
          </cell>
          <cell r="AW252">
            <v>2</v>
          </cell>
          <cell r="AX252">
            <v>2</v>
          </cell>
          <cell r="AY252" t="str">
            <v>NULL</v>
          </cell>
          <cell r="AZ252" t="str">
            <v>NULL</v>
          </cell>
          <cell r="BA252" t="str">
            <v>NULL</v>
          </cell>
          <cell r="BB252" t="str">
            <v>NULL</v>
          </cell>
        </row>
        <row r="253">
          <cell r="D253">
            <v>101164</v>
          </cell>
          <cell r="E253">
            <v>2136129</v>
          </cell>
          <cell r="F253" t="str">
            <v>Connaught House School</v>
          </cell>
          <cell r="G253" t="str">
            <v>Other Independent School</v>
          </cell>
          <cell r="H253">
            <v>21352</v>
          </cell>
          <cell r="I253">
            <v>74</v>
          </cell>
          <cell r="J253" t="str">
            <v>London</v>
          </cell>
          <cell r="K253" t="str">
            <v>London</v>
          </cell>
          <cell r="L253" t="str">
            <v>Westminster</v>
          </cell>
          <cell r="M253" t="str">
            <v>Cities of London and Westminster</v>
          </cell>
          <cell r="N253" t="str">
            <v>W2 2HL</v>
          </cell>
          <cell r="O253" t="str">
            <v>Does not have a sixth form</v>
          </cell>
          <cell r="P253">
            <v>4</v>
          </cell>
          <cell r="Q253">
            <v>11</v>
          </cell>
          <cell r="R253" t="str">
            <v>None</v>
          </cell>
          <cell r="S253" t="str">
            <v>Ofsted</v>
          </cell>
          <cell r="T253" t="str">
            <v>NULL</v>
          </cell>
          <cell r="U253" t="str">
            <v>NULL</v>
          </cell>
          <cell r="V253" t="str">
            <v>NULL</v>
          </cell>
          <cell r="W253" t="str">
            <v>NULL</v>
          </cell>
          <cell r="X253" t="str">
            <v>NULL</v>
          </cell>
          <cell r="Y253" t="str">
            <v>NULL</v>
          </cell>
          <cell r="Z253" t="str">
            <v>NULL</v>
          </cell>
          <cell r="AA253" t="str">
            <v>ITS408702</v>
          </cell>
          <cell r="AB253" t="str">
            <v>Independent School standard inspection</v>
          </cell>
          <cell r="AC253" t="str">
            <v>Independent Standard Inspection</v>
          </cell>
          <cell r="AD253">
            <v>41338</v>
          </cell>
          <cell r="AE253">
            <v>41340</v>
          </cell>
          <cell r="AF253">
            <v>41361</v>
          </cell>
          <cell r="AG253">
            <v>2</v>
          </cell>
          <cell r="AH253">
            <v>2</v>
          </cell>
          <cell r="AI253">
            <v>2</v>
          </cell>
          <cell r="AJ253">
            <v>2</v>
          </cell>
          <cell r="AK253" t="str">
            <v>NULL</v>
          </cell>
          <cell r="AL253" t="str">
            <v>NULL</v>
          </cell>
          <cell r="AM253" t="str">
            <v>NULL</v>
          </cell>
          <cell r="AN253" t="str">
            <v>NULL</v>
          </cell>
          <cell r="AO253" t="str">
            <v>ITS341929</v>
          </cell>
          <cell r="AP253" t="str">
            <v>S162a - LTI Inspection Historic</v>
          </cell>
          <cell r="AQ253" t="str">
            <v>Independent Standard Inspection</v>
          </cell>
          <cell r="AR253">
            <v>40134</v>
          </cell>
          <cell r="AS253">
            <v>40134</v>
          </cell>
          <cell r="AT253">
            <v>40155</v>
          </cell>
          <cell r="AU253">
            <v>1</v>
          </cell>
          <cell r="AV253">
            <v>1</v>
          </cell>
          <cell r="AW253">
            <v>1</v>
          </cell>
          <cell r="AX253" t="str">
            <v>NULL</v>
          </cell>
          <cell r="AY253" t="str">
            <v>NULL</v>
          </cell>
          <cell r="AZ253">
            <v>2</v>
          </cell>
          <cell r="BA253" t="str">
            <v>NULL</v>
          </cell>
          <cell r="BB253" t="str">
            <v>NULL</v>
          </cell>
        </row>
        <row r="254">
          <cell r="D254">
            <v>106158</v>
          </cell>
          <cell r="E254">
            <v>3566021</v>
          </cell>
          <cell r="F254" t="str">
            <v>Covenant Christian School</v>
          </cell>
          <cell r="G254" t="str">
            <v>Other Independent School</v>
          </cell>
          <cell r="H254">
            <v>30223</v>
          </cell>
          <cell r="I254">
            <v>1</v>
          </cell>
          <cell r="J254" t="str">
            <v>North West</v>
          </cell>
          <cell r="K254" t="str">
            <v>North West</v>
          </cell>
          <cell r="L254" t="str">
            <v>Stockport</v>
          </cell>
          <cell r="M254" t="str">
            <v>Stockport</v>
          </cell>
          <cell r="N254" t="str">
            <v>SK4 4NX</v>
          </cell>
          <cell r="O254" t="str">
            <v>Does not have a sixth form</v>
          </cell>
          <cell r="P254">
            <v>5</v>
          </cell>
          <cell r="Q254">
            <v>16</v>
          </cell>
          <cell r="R254" t="str">
            <v>Christian/Evangelical</v>
          </cell>
          <cell r="S254" t="str">
            <v>Ofsted</v>
          </cell>
          <cell r="T254">
            <v>5</v>
          </cell>
          <cell r="U254">
            <v>10039949</v>
          </cell>
          <cell r="V254" t="str">
            <v>Independent school evaluation of school action plan</v>
          </cell>
          <cell r="W254">
            <v>42948</v>
          </cell>
          <cell r="X254">
            <v>42948</v>
          </cell>
          <cell r="Y254" t="str">
            <v>NULL</v>
          </cell>
          <cell r="Z254" t="str">
            <v>Action plan is acceptable with modifications</v>
          </cell>
          <cell r="AA254">
            <v>10007902</v>
          </cell>
          <cell r="AB254" t="str">
            <v>Independent School standard inspection</v>
          </cell>
          <cell r="AC254" t="str">
            <v>Independent Standard Inspection</v>
          </cell>
          <cell r="AD254">
            <v>42283</v>
          </cell>
          <cell r="AE254">
            <v>42284</v>
          </cell>
          <cell r="AF254">
            <v>42321</v>
          </cell>
          <cell r="AG254">
            <v>4</v>
          </cell>
          <cell r="AH254">
            <v>3</v>
          </cell>
          <cell r="AI254">
            <v>3</v>
          </cell>
          <cell r="AJ254">
            <v>4</v>
          </cell>
          <cell r="AK254">
            <v>4</v>
          </cell>
          <cell r="AL254" t="str">
            <v>NULL</v>
          </cell>
          <cell r="AM254" t="str">
            <v>NULL</v>
          </cell>
          <cell r="AN254" t="str">
            <v>No</v>
          </cell>
          <cell r="AO254" t="str">
            <v>NULL</v>
          </cell>
          <cell r="AP254" t="str">
            <v>NULL</v>
          </cell>
          <cell r="AQ254" t="str">
            <v>NULL</v>
          </cell>
          <cell r="AR254" t="str">
            <v>NULL</v>
          </cell>
          <cell r="AS254" t="str">
            <v>NULL</v>
          </cell>
          <cell r="AT254" t="str">
            <v>NULL</v>
          </cell>
          <cell r="AU254" t="str">
            <v>NULL</v>
          </cell>
          <cell r="AV254" t="str">
            <v>NULL</v>
          </cell>
          <cell r="AW254" t="str">
            <v>NULL</v>
          </cell>
          <cell r="AX254" t="str">
            <v>NULL</v>
          </cell>
          <cell r="AY254" t="str">
            <v>NULL</v>
          </cell>
          <cell r="AZ254" t="str">
            <v>NULL</v>
          </cell>
          <cell r="BA254" t="str">
            <v>NULL</v>
          </cell>
          <cell r="BB254" t="str">
            <v>NULL</v>
          </cell>
        </row>
        <row r="255">
          <cell r="D255">
            <v>103753</v>
          </cell>
          <cell r="E255">
            <v>3316022</v>
          </cell>
          <cell r="F255" t="str">
            <v>Lote Tree Primary School</v>
          </cell>
          <cell r="G255" t="str">
            <v>Other Independent School</v>
          </cell>
          <cell r="H255">
            <v>34254</v>
          </cell>
          <cell r="I255">
            <v>78</v>
          </cell>
          <cell r="J255" t="str">
            <v>West Midlands</v>
          </cell>
          <cell r="K255" t="str">
            <v>West Midlands</v>
          </cell>
          <cell r="L255" t="str">
            <v>Coventry</v>
          </cell>
          <cell r="M255" t="str">
            <v>Coventry North East</v>
          </cell>
          <cell r="N255" t="str">
            <v>CV6 5JQ</v>
          </cell>
          <cell r="O255" t="str">
            <v>Does not have a sixth form</v>
          </cell>
          <cell r="P255">
            <v>2</v>
          </cell>
          <cell r="Q255">
            <v>11</v>
          </cell>
          <cell r="R255" t="str">
            <v>Islam</v>
          </cell>
          <cell r="S255" t="str">
            <v>Ofsted</v>
          </cell>
          <cell r="T255" t="str">
            <v>NULL</v>
          </cell>
          <cell r="U255" t="str">
            <v>NULL</v>
          </cell>
          <cell r="V255" t="str">
            <v>NULL</v>
          </cell>
          <cell r="W255" t="str">
            <v>NULL</v>
          </cell>
          <cell r="X255" t="str">
            <v>NULL</v>
          </cell>
          <cell r="Y255" t="str">
            <v>NULL</v>
          </cell>
          <cell r="Z255" t="str">
            <v>NULL</v>
          </cell>
          <cell r="AA255">
            <v>10038826</v>
          </cell>
          <cell r="AB255" t="str">
            <v>Independent School standard inspection</v>
          </cell>
          <cell r="AC255" t="str">
            <v>Independent Standard Inspection</v>
          </cell>
          <cell r="AD255">
            <v>43018</v>
          </cell>
          <cell r="AE255">
            <v>43020</v>
          </cell>
          <cell r="AF255">
            <v>43059</v>
          </cell>
          <cell r="AG255">
            <v>3</v>
          </cell>
          <cell r="AH255">
            <v>3</v>
          </cell>
          <cell r="AI255">
            <v>3</v>
          </cell>
          <cell r="AJ255">
            <v>2</v>
          </cell>
          <cell r="AK255">
            <v>2</v>
          </cell>
          <cell r="AL255">
            <v>2</v>
          </cell>
          <cell r="AM255" t="str">
            <v>NULL</v>
          </cell>
          <cell r="AN255" t="str">
            <v>Yes</v>
          </cell>
          <cell r="AO255">
            <v>10007688</v>
          </cell>
          <cell r="AP255" t="str">
            <v>Independent School standard inspection</v>
          </cell>
          <cell r="AQ255" t="str">
            <v>Independent Standard Inspection</v>
          </cell>
          <cell r="AR255">
            <v>42283</v>
          </cell>
          <cell r="AS255">
            <v>42285</v>
          </cell>
          <cell r="AT255">
            <v>42325</v>
          </cell>
          <cell r="AU255">
            <v>3</v>
          </cell>
          <cell r="AV255">
            <v>3</v>
          </cell>
          <cell r="AW255">
            <v>3</v>
          </cell>
          <cell r="AX255">
            <v>3</v>
          </cell>
          <cell r="AY255">
            <v>2</v>
          </cell>
          <cell r="AZ255">
            <v>2</v>
          </cell>
          <cell r="BA255" t="str">
            <v>NULL</v>
          </cell>
          <cell r="BB255" t="str">
            <v>Yes</v>
          </cell>
        </row>
        <row r="256">
          <cell r="D256">
            <v>102869</v>
          </cell>
          <cell r="E256">
            <v>3176055</v>
          </cell>
          <cell r="F256" t="str">
            <v>Eastcourt Independent School</v>
          </cell>
          <cell r="G256" t="str">
            <v>Other Independent School</v>
          </cell>
          <cell r="H256">
            <v>21254</v>
          </cell>
          <cell r="I256">
            <v>301</v>
          </cell>
          <cell r="J256" t="str">
            <v>London</v>
          </cell>
          <cell r="K256" t="str">
            <v>London</v>
          </cell>
          <cell r="L256" t="str">
            <v>Redbridge</v>
          </cell>
          <cell r="M256" t="str">
            <v>Ilford South</v>
          </cell>
          <cell r="N256" t="str">
            <v>IG3 8UW</v>
          </cell>
          <cell r="O256" t="str">
            <v>Does not have a sixth form</v>
          </cell>
          <cell r="P256">
            <v>3</v>
          </cell>
          <cell r="Q256">
            <v>11</v>
          </cell>
          <cell r="R256" t="str">
            <v>None</v>
          </cell>
          <cell r="S256" t="str">
            <v>Ofsted</v>
          </cell>
          <cell r="T256" t="str">
            <v>NULL</v>
          </cell>
          <cell r="U256" t="str">
            <v>NULL</v>
          </cell>
          <cell r="V256" t="str">
            <v>NULL</v>
          </cell>
          <cell r="W256" t="str">
            <v>NULL</v>
          </cell>
          <cell r="X256" t="str">
            <v>NULL</v>
          </cell>
          <cell r="Y256" t="str">
            <v>NULL</v>
          </cell>
          <cell r="Z256" t="str">
            <v>NULL</v>
          </cell>
          <cell r="AA256" t="str">
            <v>ITS447187</v>
          </cell>
          <cell r="AB256" t="str">
            <v>Independent School standard inspection</v>
          </cell>
          <cell r="AC256" t="str">
            <v>Independent Standard Inspection</v>
          </cell>
          <cell r="AD256">
            <v>42045</v>
          </cell>
          <cell r="AE256">
            <v>42047</v>
          </cell>
          <cell r="AF256">
            <v>42082</v>
          </cell>
          <cell r="AG256">
            <v>2</v>
          </cell>
          <cell r="AH256">
            <v>2</v>
          </cell>
          <cell r="AI256">
            <v>2</v>
          </cell>
          <cell r="AJ256">
            <v>2</v>
          </cell>
          <cell r="AK256" t="str">
            <v>NULL</v>
          </cell>
          <cell r="AL256">
            <v>2</v>
          </cell>
          <cell r="AM256">
            <v>9</v>
          </cell>
          <cell r="AN256" t="str">
            <v>NULL</v>
          </cell>
          <cell r="AO256" t="str">
            <v>ITS364226</v>
          </cell>
          <cell r="AP256" t="str">
            <v>Independent School standard inspection</v>
          </cell>
          <cell r="AQ256" t="str">
            <v>Independent Standard Inspection</v>
          </cell>
          <cell r="AR256">
            <v>40730</v>
          </cell>
          <cell r="AS256">
            <v>40731</v>
          </cell>
          <cell r="AT256">
            <v>40802</v>
          </cell>
          <cell r="AU256">
            <v>2</v>
          </cell>
          <cell r="AV256">
            <v>2</v>
          </cell>
          <cell r="AW256">
            <v>2</v>
          </cell>
          <cell r="AX256" t="str">
            <v>NULL</v>
          </cell>
          <cell r="AY256" t="str">
            <v>NULL</v>
          </cell>
          <cell r="AZ256">
            <v>3</v>
          </cell>
          <cell r="BA256" t="str">
            <v>NULL</v>
          </cell>
          <cell r="BB256" t="str">
            <v>NULL</v>
          </cell>
        </row>
        <row r="257">
          <cell r="D257">
            <v>101160</v>
          </cell>
          <cell r="E257">
            <v>2136045</v>
          </cell>
          <cell r="F257" t="str">
            <v>Eaton House Belgravia Pre-Preparatory School</v>
          </cell>
          <cell r="G257" t="str">
            <v>Other Independent School</v>
          </cell>
          <cell r="H257">
            <v>15707</v>
          </cell>
          <cell r="I257">
            <v>234</v>
          </cell>
          <cell r="J257" t="str">
            <v>London</v>
          </cell>
          <cell r="K257" t="str">
            <v>London</v>
          </cell>
          <cell r="L257" t="str">
            <v>Westminster</v>
          </cell>
          <cell r="M257" t="str">
            <v>Cities of London and Westminster</v>
          </cell>
          <cell r="N257" t="str">
            <v>SW1W 9BA</v>
          </cell>
          <cell r="O257" t="str">
            <v>Does not have a sixth form</v>
          </cell>
          <cell r="P257">
            <v>4</v>
          </cell>
          <cell r="Q257">
            <v>8</v>
          </cell>
          <cell r="R257" t="str">
            <v>None</v>
          </cell>
          <cell r="S257" t="str">
            <v>Ofsted</v>
          </cell>
          <cell r="T257" t="str">
            <v>NULL</v>
          </cell>
          <cell r="U257" t="str">
            <v>NULL</v>
          </cell>
          <cell r="V257" t="str">
            <v>NULL</v>
          </cell>
          <cell r="W257" t="str">
            <v>NULL</v>
          </cell>
          <cell r="X257" t="str">
            <v>NULL</v>
          </cell>
          <cell r="Y257" t="str">
            <v>NULL</v>
          </cell>
          <cell r="Z257" t="str">
            <v>NULL</v>
          </cell>
          <cell r="AA257">
            <v>10020764</v>
          </cell>
          <cell r="AB257" t="str">
            <v>Independent School standard inspection</v>
          </cell>
          <cell r="AC257" t="str">
            <v>Independent Standard Inspection</v>
          </cell>
          <cell r="AD257">
            <v>43137</v>
          </cell>
          <cell r="AE257">
            <v>43139</v>
          </cell>
          <cell r="AF257">
            <v>43180</v>
          </cell>
          <cell r="AG257">
            <v>2</v>
          </cell>
          <cell r="AH257">
            <v>2</v>
          </cell>
          <cell r="AI257">
            <v>2</v>
          </cell>
          <cell r="AJ257">
            <v>2</v>
          </cell>
          <cell r="AK257">
            <v>1</v>
          </cell>
          <cell r="AL257">
            <v>2</v>
          </cell>
          <cell r="AM257" t="str">
            <v>NULL</v>
          </cell>
          <cell r="AN257" t="str">
            <v>Yes</v>
          </cell>
          <cell r="AO257" t="str">
            <v>ITS386759</v>
          </cell>
          <cell r="AP257" t="str">
            <v>Independent School standard inspection</v>
          </cell>
          <cell r="AQ257" t="str">
            <v>Independent Standard Inspection</v>
          </cell>
          <cell r="AR257">
            <v>40870</v>
          </cell>
          <cell r="AS257">
            <v>40871</v>
          </cell>
          <cell r="AT257">
            <v>40890</v>
          </cell>
          <cell r="AU257">
            <v>2</v>
          </cell>
          <cell r="AV257">
            <v>2</v>
          </cell>
          <cell r="AW257">
            <v>2</v>
          </cell>
          <cell r="AX257" t="str">
            <v>NULL</v>
          </cell>
          <cell r="AY257" t="str">
            <v>NULL</v>
          </cell>
          <cell r="AZ257">
            <v>2</v>
          </cell>
          <cell r="BA257" t="str">
            <v>NULL</v>
          </cell>
          <cell r="BB257" t="str">
            <v>NULL</v>
          </cell>
        </row>
        <row r="258">
          <cell r="D258">
            <v>100524</v>
          </cell>
          <cell r="E258">
            <v>2076241</v>
          </cell>
          <cell r="F258" t="str">
            <v>Eaton House Belgravia Preparatory School</v>
          </cell>
          <cell r="G258" t="str">
            <v>Other Independent School</v>
          </cell>
          <cell r="H258">
            <v>22705</v>
          </cell>
          <cell r="I258">
            <v>47</v>
          </cell>
          <cell r="J258" t="str">
            <v>London</v>
          </cell>
          <cell r="K258" t="str">
            <v>London</v>
          </cell>
          <cell r="L258" t="str">
            <v>Kensington and Chelsea</v>
          </cell>
          <cell r="M258" t="str">
            <v>Kensington</v>
          </cell>
          <cell r="N258" t="str">
            <v>SW7 5QH</v>
          </cell>
          <cell r="O258" t="str">
            <v>Does not have a sixth form</v>
          </cell>
          <cell r="P258">
            <v>2</v>
          </cell>
          <cell r="Q258">
            <v>11</v>
          </cell>
          <cell r="R258" t="str">
            <v>None</v>
          </cell>
          <cell r="S258" t="str">
            <v>Ofsted</v>
          </cell>
          <cell r="T258" t="str">
            <v>NULL</v>
          </cell>
          <cell r="U258" t="str">
            <v>NULL</v>
          </cell>
          <cell r="V258" t="str">
            <v>NULL</v>
          </cell>
          <cell r="W258" t="str">
            <v>NULL</v>
          </cell>
          <cell r="X258" t="str">
            <v>NULL</v>
          </cell>
          <cell r="Y258" t="str">
            <v>NULL</v>
          </cell>
          <cell r="Z258" t="str">
            <v>NULL</v>
          </cell>
          <cell r="AA258" t="str">
            <v>ITS441436</v>
          </cell>
          <cell r="AB258" t="str">
            <v>Independent School standard inspection</v>
          </cell>
          <cell r="AC258" t="str">
            <v>Independent Standard Inspection</v>
          </cell>
          <cell r="AD258">
            <v>41717</v>
          </cell>
          <cell r="AE258">
            <v>41719</v>
          </cell>
          <cell r="AF258">
            <v>41754</v>
          </cell>
          <cell r="AG258">
            <v>2</v>
          </cell>
          <cell r="AH258">
            <v>2</v>
          </cell>
          <cell r="AI258">
            <v>2</v>
          </cell>
          <cell r="AJ258">
            <v>2</v>
          </cell>
          <cell r="AK258" t="str">
            <v>NULL</v>
          </cell>
          <cell r="AL258" t="str">
            <v>NULL</v>
          </cell>
          <cell r="AM258" t="str">
            <v>NULL</v>
          </cell>
          <cell r="AN258" t="str">
            <v>NULL</v>
          </cell>
          <cell r="AO258" t="str">
            <v>ITS368252</v>
          </cell>
          <cell r="AP258" t="str">
            <v>Independent School standard inspection</v>
          </cell>
          <cell r="AQ258" t="str">
            <v>Independent Standard Inspection</v>
          </cell>
          <cell r="AR258">
            <v>40605</v>
          </cell>
          <cell r="AS258">
            <v>40606</v>
          </cell>
          <cell r="AT258">
            <v>40634</v>
          </cell>
          <cell r="AU258">
            <v>2</v>
          </cell>
          <cell r="AV258">
            <v>2</v>
          </cell>
          <cell r="AW258">
            <v>2</v>
          </cell>
          <cell r="AX258" t="str">
            <v>NULL</v>
          </cell>
          <cell r="AY258" t="str">
            <v>NULL</v>
          </cell>
          <cell r="AZ258">
            <v>2</v>
          </cell>
          <cell r="BA258" t="str">
            <v>NULL</v>
          </cell>
          <cell r="BB258" t="str">
            <v>NULL</v>
          </cell>
        </row>
        <row r="259">
          <cell r="D259">
            <v>100371</v>
          </cell>
          <cell r="E259">
            <v>2056359</v>
          </cell>
          <cell r="F259" t="str">
            <v>Ecole Francaise de Londres Jacques Prevert</v>
          </cell>
          <cell r="G259" t="str">
            <v>Other Independent School</v>
          </cell>
          <cell r="H259">
            <v>31735</v>
          </cell>
          <cell r="I259">
            <v>261</v>
          </cell>
          <cell r="J259" t="str">
            <v>London</v>
          </cell>
          <cell r="K259" t="str">
            <v>London</v>
          </cell>
          <cell r="L259" t="str">
            <v>Hammersmith and Fulham</v>
          </cell>
          <cell r="M259" t="str">
            <v>Hammersmith</v>
          </cell>
          <cell r="N259" t="str">
            <v>W6 7BE</v>
          </cell>
          <cell r="O259" t="str">
            <v>Not applicable</v>
          </cell>
          <cell r="P259">
            <v>3</v>
          </cell>
          <cell r="Q259">
            <v>11</v>
          </cell>
          <cell r="R259" t="str">
            <v>None</v>
          </cell>
          <cell r="S259" t="str">
            <v>Ofsted</v>
          </cell>
          <cell r="T259" t="str">
            <v>NULL</v>
          </cell>
          <cell r="U259" t="str">
            <v>NULL</v>
          </cell>
          <cell r="V259" t="str">
            <v>NULL</v>
          </cell>
          <cell r="W259" t="str">
            <v>NULL</v>
          </cell>
          <cell r="X259" t="str">
            <v>NULL</v>
          </cell>
          <cell r="Y259" t="str">
            <v>NULL</v>
          </cell>
          <cell r="Z259" t="str">
            <v>NULL</v>
          </cell>
          <cell r="AA259" t="str">
            <v>ITS385065</v>
          </cell>
          <cell r="AB259" t="str">
            <v>Independent School standard inspection</v>
          </cell>
          <cell r="AC259" t="str">
            <v>Independent Standard Inspection</v>
          </cell>
          <cell r="AD259">
            <v>40828</v>
          </cell>
          <cell r="AE259">
            <v>40829</v>
          </cell>
          <cell r="AF259">
            <v>40857</v>
          </cell>
          <cell r="AG259">
            <v>1</v>
          </cell>
          <cell r="AH259">
            <v>1</v>
          </cell>
          <cell r="AI259">
            <v>1</v>
          </cell>
          <cell r="AJ259" t="str">
            <v>NULL</v>
          </cell>
          <cell r="AK259" t="str">
            <v>NULL</v>
          </cell>
          <cell r="AL259">
            <v>2</v>
          </cell>
          <cell r="AM259" t="str">
            <v>NULL</v>
          </cell>
          <cell r="AN259" t="str">
            <v>NULL</v>
          </cell>
          <cell r="AO259" t="str">
            <v>ITS322040</v>
          </cell>
          <cell r="AP259" t="str">
            <v>Independent School standard inspection</v>
          </cell>
          <cell r="AQ259" t="str">
            <v>Independent Standard Inspection</v>
          </cell>
          <cell r="AR259">
            <v>39609</v>
          </cell>
          <cell r="AS259">
            <v>39610</v>
          </cell>
          <cell r="AT259">
            <v>39630</v>
          </cell>
          <cell r="AU259">
            <v>2</v>
          </cell>
          <cell r="AV259">
            <v>2</v>
          </cell>
          <cell r="AW259">
            <v>2</v>
          </cell>
          <cell r="AX259" t="str">
            <v>NULL</v>
          </cell>
          <cell r="AY259" t="str">
            <v>NULL</v>
          </cell>
          <cell r="AZ259" t="str">
            <v>NULL</v>
          </cell>
          <cell r="BA259" t="str">
            <v>NULL</v>
          </cell>
          <cell r="BB259" t="str">
            <v>NULL</v>
          </cell>
        </row>
        <row r="260">
          <cell r="D260">
            <v>136014</v>
          </cell>
          <cell r="E260">
            <v>3026122</v>
          </cell>
          <cell r="F260" t="str">
            <v>Edgware Jewish Girls - Beis Chinuch</v>
          </cell>
          <cell r="G260" t="str">
            <v>Other Independent School</v>
          </cell>
          <cell r="H260">
            <v>40069</v>
          </cell>
          <cell r="I260">
            <v>207</v>
          </cell>
          <cell r="J260" t="str">
            <v>London</v>
          </cell>
          <cell r="K260" t="str">
            <v>London</v>
          </cell>
          <cell r="L260" t="str">
            <v>Barnet</v>
          </cell>
          <cell r="M260" t="str">
            <v>Hendon</v>
          </cell>
          <cell r="N260" t="str">
            <v>HA8 8NP</v>
          </cell>
          <cell r="O260" t="str">
            <v>Does not have a sixth form</v>
          </cell>
          <cell r="P260">
            <v>3</v>
          </cell>
          <cell r="Q260">
            <v>11</v>
          </cell>
          <cell r="R260" t="str">
            <v>None</v>
          </cell>
          <cell r="S260" t="str">
            <v>Ofsted</v>
          </cell>
          <cell r="T260" t="str">
            <v>NULL</v>
          </cell>
          <cell r="U260" t="str">
            <v>NULL</v>
          </cell>
          <cell r="V260" t="str">
            <v>NULL</v>
          </cell>
          <cell r="W260" t="str">
            <v>NULL</v>
          </cell>
          <cell r="X260" t="str">
            <v>NULL</v>
          </cell>
          <cell r="Y260" t="str">
            <v>NULL</v>
          </cell>
          <cell r="Z260" t="str">
            <v>NULL</v>
          </cell>
          <cell r="AA260">
            <v>10035805</v>
          </cell>
          <cell r="AB260" t="str">
            <v>Independent School standard inspection</v>
          </cell>
          <cell r="AC260" t="str">
            <v>Independent Standard Inspection</v>
          </cell>
          <cell r="AD260">
            <v>43151</v>
          </cell>
          <cell r="AE260">
            <v>43153</v>
          </cell>
          <cell r="AF260">
            <v>43187</v>
          </cell>
          <cell r="AG260">
            <v>2</v>
          </cell>
          <cell r="AH260">
            <v>2</v>
          </cell>
          <cell r="AI260">
            <v>2</v>
          </cell>
          <cell r="AJ260">
            <v>2</v>
          </cell>
          <cell r="AK260">
            <v>2</v>
          </cell>
          <cell r="AL260">
            <v>2</v>
          </cell>
          <cell r="AM260" t="str">
            <v>NULL</v>
          </cell>
          <cell r="AN260" t="str">
            <v>Yes</v>
          </cell>
          <cell r="AO260" t="str">
            <v>ITS422820</v>
          </cell>
          <cell r="AP260" t="str">
            <v>Independent School standard inspection</v>
          </cell>
          <cell r="AQ260" t="str">
            <v>Independent Standard Inspection</v>
          </cell>
          <cell r="AR260">
            <v>41828</v>
          </cell>
          <cell r="AS260">
            <v>41830</v>
          </cell>
          <cell r="AT260">
            <v>41892</v>
          </cell>
          <cell r="AU260">
            <v>2</v>
          </cell>
          <cell r="AV260">
            <v>2</v>
          </cell>
          <cell r="AW260">
            <v>2</v>
          </cell>
          <cell r="AX260">
            <v>2</v>
          </cell>
          <cell r="AY260" t="str">
            <v>NULL</v>
          </cell>
          <cell r="AZ260" t="str">
            <v>NULL</v>
          </cell>
          <cell r="BA260" t="str">
            <v>NULL</v>
          </cell>
          <cell r="BB260" t="str">
            <v>NULL</v>
          </cell>
        </row>
        <row r="261">
          <cell r="D261">
            <v>118123</v>
          </cell>
          <cell r="E261">
            <v>8106000</v>
          </cell>
          <cell r="F261" t="str">
            <v>Froebel House School</v>
          </cell>
          <cell r="G261" t="str">
            <v>Other Independent School</v>
          </cell>
          <cell r="H261">
            <v>21110</v>
          </cell>
          <cell r="I261">
            <v>139</v>
          </cell>
          <cell r="J261" t="str">
            <v>North East, Yorkshire and the Humber</v>
          </cell>
          <cell r="K261" t="str">
            <v>Yorkshire and the Humber</v>
          </cell>
          <cell r="L261" t="str">
            <v>Kingston upon Hull</v>
          </cell>
          <cell r="M261" t="str">
            <v>Kingston upon Hull North</v>
          </cell>
          <cell r="N261" t="str">
            <v>HU5 3JP</v>
          </cell>
          <cell r="O261" t="str">
            <v>Does not have a sixth form</v>
          </cell>
          <cell r="P261">
            <v>3</v>
          </cell>
          <cell r="Q261">
            <v>11</v>
          </cell>
          <cell r="R261" t="str">
            <v>None</v>
          </cell>
          <cell r="S261" t="str">
            <v>Ofsted</v>
          </cell>
          <cell r="T261">
            <v>1</v>
          </cell>
          <cell r="U261">
            <v>10048767</v>
          </cell>
          <cell r="V261" t="str">
            <v>Independent school evaluation of school action plan</v>
          </cell>
          <cell r="W261">
            <v>43157</v>
          </cell>
          <cell r="X261">
            <v>43157</v>
          </cell>
          <cell r="Y261" t="str">
            <v>NULL</v>
          </cell>
          <cell r="Z261" t="str">
            <v>Action plan is not acceptable</v>
          </cell>
          <cell r="AA261">
            <v>10040141</v>
          </cell>
          <cell r="AB261" t="str">
            <v>Independent School standard inspection</v>
          </cell>
          <cell r="AC261" t="str">
            <v>Independent Standard Inspection</v>
          </cell>
          <cell r="AD261">
            <v>43025</v>
          </cell>
          <cell r="AE261">
            <v>43027</v>
          </cell>
          <cell r="AF261">
            <v>43066</v>
          </cell>
          <cell r="AG261">
            <v>3</v>
          </cell>
          <cell r="AH261">
            <v>2</v>
          </cell>
          <cell r="AI261">
            <v>2</v>
          </cell>
          <cell r="AJ261">
            <v>3</v>
          </cell>
          <cell r="AK261">
            <v>2</v>
          </cell>
          <cell r="AL261">
            <v>3</v>
          </cell>
          <cell r="AM261" t="str">
            <v>NULL</v>
          </cell>
          <cell r="AN261" t="str">
            <v>Yes</v>
          </cell>
          <cell r="AO261" t="str">
            <v>ITS452709</v>
          </cell>
          <cell r="AP261" t="str">
            <v>Independent School standard inspection</v>
          </cell>
          <cell r="AQ261" t="str">
            <v>Independent Standard Inspection</v>
          </cell>
          <cell r="AR261">
            <v>41913</v>
          </cell>
          <cell r="AS261">
            <v>41915</v>
          </cell>
          <cell r="AT261">
            <v>41936</v>
          </cell>
          <cell r="AU261">
            <v>2</v>
          </cell>
          <cell r="AV261">
            <v>1</v>
          </cell>
          <cell r="AW261">
            <v>1</v>
          </cell>
          <cell r="AX261">
            <v>2</v>
          </cell>
          <cell r="AY261" t="str">
            <v>NULL</v>
          </cell>
          <cell r="AZ261">
            <v>2</v>
          </cell>
          <cell r="BA261">
            <v>9</v>
          </cell>
          <cell r="BB261" t="str">
            <v>NULL</v>
          </cell>
        </row>
        <row r="262">
          <cell r="D262">
            <v>140226</v>
          </cell>
          <cell r="E262">
            <v>2036002</v>
          </cell>
          <cell r="F262" t="str">
            <v>Full Circle Education</v>
          </cell>
          <cell r="G262" t="str">
            <v>Other Independent School</v>
          </cell>
          <cell r="H262">
            <v>41543</v>
          </cell>
          <cell r="I262">
            <v>10</v>
          </cell>
          <cell r="J262" t="str">
            <v>London</v>
          </cell>
          <cell r="K262" t="str">
            <v>London</v>
          </cell>
          <cell r="L262" t="str">
            <v>Greenwich</v>
          </cell>
          <cell r="M262" t="str">
            <v>Eltham</v>
          </cell>
          <cell r="N262" t="str">
            <v>SE3 8ND</v>
          </cell>
          <cell r="O262" t="str">
            <v>Does not have a sixth form</v>
          </cell>
          <cell r="P262">
            <v>11</v>
          </cell>
          <cell r="Q262">
            <v>16</v>
          </cell>
          <cell r="R262" t="str">
            <v>None</v>
          </cell>
          <cell r="S262" t="str">
            <v>Ofsted</v>
          </cell>
          <cell r="T262" t="str">
            <v>NULL</v>
          </cell>
          <cell r="U262" t="str">
            <v>NULL</v>
          </cell>
          <cell r="V262" t="str">
            <v>NULL</v>
          </cell>
          <cell r="W262" t="str">
            <v>NULL</v>
          </cell>
          <cell r="X262" t="str">
            <v>NULL</v>
          </cell>
          <cell r="Y262" t="str">
            <v>NULL</v>
          </cell>
          <cell r="Z262" t="str">
            <v>NULL</v>
          </cell>
          <cell r="AA262" t="str">
            <v>ITS443035</v>
          </cell>
          <cell r="AB262" t="str">
            <v>Independent school standard inspection - first</v>
          </cell>
          <cell r="AC262" t="str">
            <v>Independent Standard Inspection</v>
          </cell>
          <cell r="AD262">
            <v>41793</v>
          </cell>
          <cell r="AE262">
            <v>41795</v>
          </cell>
          <cell r="AF262">
            <v>41814</v>
          </cell>
          <cell r="AG262">
            <v>2</v>
          </cell>
          <cell r="AH262">
            <v>2</v>
          </cell>
          <cell r="AI262">
            <v>2</v>
          </cell>
          <cell r="AJ262">
            <v>2</v>
          </cell>
          <cell r="AK262" t="str">
            <v>NULL</v>
          </cell>
          <cell r="AL262" t="str">
            <v>NULL</v>
          </cell>
          <cell r="AM262" t="str">
            <v>NULL</v>
          </cell>
          <cell r="AN262" t="str">
            <v>NULL</v>
          </cell>
          <cell r="AO262" t="str">
            <v>NULL</v>
          </cell>
          <cell r="AP262" t="str">
            <v>NULL</v>
          </cell>
          <cell r="AQ262" t="str">
            <v>NULL</v>
          </cell>
          <cell r="AR262" t="str">
            <v>NULL</v>
          </cell>
          <cell r="AS262" t="str">
            <v>NULL</v>
          </cell>
          <cell r="AT262" t="str">
            <v>NULL</v>
          </cell>
          <cell r="AU262" t="str">
            <v>NULL</v>
          </cell>
          <cell r="AV262" t="str">
            <v>NULL</v>
          </cell>
          <cell r="AW262" t="str">
            <v>NULL</v>
          </cell>
          <cell r="AX262" t="str">
            <v>NULL</v>
          </cell>
          <cell r="AY262" t="str">
            <v>NULL</v>
          </cell>
          <cell r="AZ262" t="str">
            <v>NULL</v>
          </cell>
          <cell r="BA262" t="str">
            <v>NULL</v>
          </cell>
          <cell r="BB262" t="str">
            <v>NULL</v>
          </cell>
        </row>
        <row r="263">
          <cell r="D263">
            <v>135422</v>
          </cell>
          <cell r="E263">
            <v>3306121</v>
          </cell>
          <cell r="F263" t="str">
            <v>Future First Independent School</v>
          </cell>
          <cell r="G263" t="str">
            <v>Other Independent School</v>
          </cell>
          <cell r="H263">
            <v>39352</v>
          </cell>
          <cell r="I263">
            <v>35</v>
          </cell>
          <cell r="J263" t="str">
            <v>West Midlands</v>
          </cell>
          <cell r="K263" t="str">
            <v>West Midlands</v>
          </cell>
          <cell r="L263" t="str">
            <v>Birmingham</v>
          </cell>
          <cell r="M263" t="str">
            <v>Birmingham, Ladywood</v>
          </cell>
          <cell r="N263" t="str">
            <v>B18 7RL</v>
          </cell>
          <cell r="O263" t="str">
            <v>Does not have a sixth form</v>
          </cell>
          <cell r="P263">
            <v>14</v>
          </cell>
          <cell r="Q263">
            <v>16</v>
          </cell>
          <cell r="R263" t="str">
            <v>None</v>
          </cell>
          <cell r="S263" t="str">
            <v>Ofsted</v>
          </cell>
          <cell r="T263" t="str">
            <v>NULL</v>
          </cell>
          <cell r="U263" t="str">
            <v>NULL</v>
          </cell>
          <cell r="V263" t="str">
            <v>NULL</v>
          </cell>
          <cell r="W263" t="str">
            <v>NULL</v>
          </cell>
          <cell r="X263" t="str">
            <v>NULL</v>
          </cell>
          <cell r="Y263" t="str">
            <v>NULL</v>
          </cell>
          <cell r="Z263" t="str">
            <v>NULL</v>
          </cell>
          <cell r="AA263">
            <v>10020740</v>
          </cell>
          <cell r="AB263" t="str">
            <v>Independent School standard inspection</v>
          </cell>
          <cell r="AC263" t="str">
            <v>Independent Standard Inspection</v>
          </cell>
          <cell r="AD263">
            <v>43060</v>
          </cell>
          <cell r="AE263">
            <v>43062</v>
          </cell>
          <cell r="AF263">
            <v>43084</v>
          </cell>
          <cell r="AG263">
            <v>2</v>
          </cell>
          <cell r="AH263">
            <v>2</v>
          </cell>
          <cell r="AI263">
            <v>2</v>
          </cell>
          <cell r="AJ263">
            <v>2</v>
          </cell>
          <cell r="AK263">
            <v>2</v>
          </cell>
          <cell r="AL263" t="str">
            <v>NULL</v>
          </cell>
          <cell r="AM263" t="str">
            <v>NULL</v>
          </cell>
          <cell r="AN263" t="str">
            <v>Yes</v>
          </cell>
          <cell r="AO263" t="str">
            <v>ITS386843</v>
          </cell>
          <cell r="AP263" t="str">
            <v>Independent School standard inspection</v>
          </cell>
          <cell r="AQ263" t="str">
            <v>Independent Standard Inspection</v>
          </cell>
          <cell r="AR263">
            <v>40918</v>
          </cell>
          <cell r="AS263">
            <v>40919</v>
          </cell>
          <cell r="AT263">
            <v>40941</v>
          </cell>
          <cell r="AU263">
            <v>2</v>
          </cell>
          <cell r="AV263">
            <v>2</v>
          </cell>
          <cell r="AW263">
            <v>2</v>
          </cell>
          <cell r="AX263" t="str">
            <v>NULL</v>
          </cell>
          <cell r="AY263" t="str">
            <v>NULL</v>
          </cell>
          <cell r="AZ263">
            <v>8</v>
          </cell>
          <cell r="BA263" t="str">
            <v>NULL</v>
          </cell>
          <cell r="BB263" t="str">
            <v>NULL</v>
          </cell>
        </row>
        <row r="264">
          <cell r="D264">
            <v>108414</v>
          </cell>
          <cell r="E264">
            <v>3906002</v>
          </cell>
          <cell r="F264" t="str">
            <v>Gateshead Jewish Boarding School</v>
          </cell>
          <cell r="G264" t="str">
            <v>Other Independent School</v>
          </cell>
          <cell r="H264">
            <v>21185</v>
          </cell>
          <cell r="I264">
            <v>135</v>
          </cell>
          <cell r="J264" t="str">
            <v>North East, Yorkshire and the Humber</v>
          </cell>
          <cell r="K264" t="str">
            <v>North East</v>
          </cell>
          <cell r="L264" t="str">
            <v>Gateshead</v>
          </cell>
          <cell r="M264" t="str">
            <v>Gateshead</v>
          </cell>
          <cell r="N264" t="str">
            <v>NE8 1HG</v>
          </cell>
          <cell r="O264" t="str">
            <v>Does not have a sixth form</v>
          </cell>
          <cell r="P264">
            <v>10</v>
          </cell>
          <cell r="Q264">
            <v>16</v>
          </cell>
          <cell r="R264" t="str">
            <v>None</v>
          </cell>
          <cell r="S264" t="str">
            <v>Ofsted</v>
          </cell>
          <cell r="T264">
            <v>2</v>
          </cell>
          <cell r="U264">
            <v>10034201</v>
          </cell>
          <cell r="V264" t="str">
            <v>Independent school Progress Monitoring inspection</v>
          </cell>
          <cell r="W264">
            <v>42850</v>
          </cell>
          <cell r="X264">
            <v>42850</v>
          </cell>
          <cell r="Y264">
            <v>42898</v>
          </cell>
          <cell r="Z264" t="str">
            <v>Met all standards that were checked</v>
          </cell>
          <cell r="AA264">
            <v>10008556</v>
          </cell>
          <cell r="AB264" t="str">
            <v>Independent School standard inspection</v>
          </cell>
          <cell r="AC264" t="str">
            <v>Independent Standard Inspection</v>
          </cell>
          <cell r="AD264">
            <v>42556</v>
          </cell>
          <cell r="AE264">
            <v>42558</v>
          </cell>
          <cell r="AF264">
            <v>42639</v>
          </cell>
          <cell r="AG264">
            <v>4</v>
          </cell>
          <cell r="AH264">
            <v>3</v>
          </cell>
          <cell r="AI264">
            <v>3</v>
          </cell>
          <cell r="AJ264">
            <v>4</v>
          </cell>
          <cell r="AK264">
            <v>3</v>
          </cell>
          <cell r="AL264" t="str">
            <v>NULL</v>
          </cell>
          <cell r="AM264" t="str">
            <v>NULL</v>
          </cell>
          <cell r="AN264" t="str">
            <v>Yes</v>
          </cell>
          <cell r="AO264" t="str">
            <v>ITS342463</v>
          </cell>
          <cell r="AP264" t="str">
            <v>S162a - LTI Inspection Historic</v>
          </cell>
          <cell r="AQ264" t="str">
            <v>Independent Standard Inspection</v>
          </cell>
          <cell r="AR264">
            <v>40148</v>
          </cell>
          <cell r="AS264">
            <v>40148</v>
          </cell>
          <cell r="AT264">
            <v>40185</v>
          </cell>
          <cell r="AU264">
            <v>2</v>
          </cell>
          <cell r="AV264">
            <v>2</v>
          </cell>
          <cell r="AW264">
            <v>2</v>
          </cell>
          <cell r="AX264" t="str">
            <v>NULL</v>
          </cell>
          <cell r="AY264" t="str">
            <v>NULL</v>
          </cell>
          <cell r="AZ264">
            <v>8</v>
          </cell>
          <cell r="BA264" t="str">
            <v>NULL</v>
          </cell>
          <cell r="BB264" t="str">
            <v>NULL</v>
          </cell>
        </row>
        <row r="265">
          <cell r="D265">
            <v>118962</v>
          </cell>
          <cell r="E265">
            <v>8866022</v>
          </cell>
          <cell r="F265" t="str">
            <v>Haddon Dene School</v>
          </cell>
          <cell r="G265" t="str">
            <v>Other Independent School</v>
          </cell>
          <cell r="H265">
            <v>21123</v>
          </cell>
          <cell r="I265">
            <v>128</v>
          </cell>
          <cell r="J265" t="str">
            <v>South East</v>
          </cell>
          <cell r="K265" t="str">
            <v>South East</v>
          </cell>
          <cell r="L265" t="str">
            <v>Kent</v>
          </cell>
          <cell r="M265" t="str">
            <v>South Thanet</v>
          </cell>
          <cell r="N265" t="str">
            <v>CT10 2HY</v>
          </cell>
          <cell r="O265" t="str">
            <v>Does not have a sixth form</v>
          </cell>
          <cell r="P265">
            <v>3</v>
          </cell>
          <cell r="Q265">
            <v>11</v>
          </cell>
          <cell r="R265" t="str">
            <v>None</v>
          </cell>
          <cell r="S265" t="str">
            <v>Ofsted</v>
          </cell>
          <cell r="T265" t="str">
            <v>NULL</v>
          </cell>
          <cell r="U265" t="str">
            <v>NULL</v>
          </cell>
          <cell r="V265" t="str">
            <v>NULL</v>
          </cell>
          <cell r="W265" t="str">
            <v>NULL</v>
          </cell>
          <cell r="X265" t="str">
            <v>NULL</v>
          </cell>
          <cell r="Y265" t="str">
            <v>NULL</v>
          </cell>
          <cell r="Z265" t="str">
            <v>NULL</v>
          </cell>
          <cell r="AA265">
            <v>10041265</v>
          </cell>
          <cell r="AB265" t="str">
            <v>Independent School standard inspection</v>
          </cell>
          <cell r="AC265" t="str">
            <v>Independent Standard Inspection</v>
          </cell>
          <cell r="AD265">
            <v>43060</v>
          </cell>
          <cell r="AE265">
            <v>43062</v>
          </cell>
          <cell r="AF265">
            <v>43081</v>
          </cell>
          <cell r="AG265">
            <v>2</v>
          </cell>
          <cell r="AH265">
            <v>2</v>
          </cell>
          <cell r="AI265">
            <v>2</v>
          </cell>
          <cell r="AJ265">
            <v>2</v>
          </cell>
          <cell r="AK265">
            <v>2</v>
          </cell>
          <cell r="AL265">
            <v>2</v>
          </cell>
          <cell r="AM265" t="str">
            <v>NULL</v>
          </cell>
          <cell r="AN265" t="str">
            <v>Yes</v>
          </cell>
          <cell r="AO265">
            <v>10012903</v>
          </cell>
          <cell r="AP265" t="str">
            <v>Independent School standard inspection</v>
          </cell>
          <cell r="AQ265" t="str">
            <v>Independent Standard Inspection</v>
          </cell>
          <cell r="AR265">
            <v>42682</v>
          </cell>
          <cell r="AS265">
            <v>42684</v>
          </cell>
          <cell r="AT265">
            <v>42711</v>
          </cell>
          <cell r="AU265">
            <v>3</v>
          </cell>
          <cell r="AV265">
            <v>3</v>
          </cell>
          <cell r="AW265">
            <v>3</v>
          </cell>
          <cell r="AX265">
            <v>3</v>
          </cell>
          <cell r="AY265">
            <v>3</v>
          </cell>
          <cell r="AZ265">
            <v>3</v>
          </cell>
          <cell r="BA265" t="str">
            <v>NULL</v>
          </cell>
          <cell r="BB265" t="str">
            <v>Yes</v>
          </cell>
        </row>
        <row r="266">
          <cell r="D266">
            <v>138801</v>
          </cell>
          <cell r="E266">
            <v>3166002</v>
          </cell>
          <cell r="F266" t="str">
            <v>Hafs Academy</v>
          </cell>
          <cell r="G266" t="str">
            <v>Other Independent School</v>
          </cell>
          <cell r="H266">
            <v>41177</v>
          </cell>
          <cell r="I266">
            <v>158</v>
          </cell>
          <cell r="J266" t="str">
            <v>London</v>
          </cell>
          <cell r="K266" t="str">
            <v>London</v>
          </cell>
          <cell r="L266" t="str">
            <v>Newham</v>
          </cell>
          <cell r="M266" t="str">
            <v>West Ham</v>
          </cell>
          <cell r="N266" t="str">
            <v>E15 1JW</v>
          </cell>
          <cell r="O266" t="str">
            <v>Does not have a sixth form</v>
          </cell>
          <cell r="P266">
            <v>7</v>
          </cell>
          <cell r="Q266">
            <v>14</v>
          </cell>
          <cell r="R266" t="str">
            <v>None</v>
          </cell>
          <cell r="S266" t="str">
            <v>Ofsted</v>
          </cell>
          <cell r="T266">
            <v>2</v>
          </cell>
          <cell r="U266">
            <v>10037571</v>
          </cell>
          <cell r="V266" t="str">
            <v>Independent school Progress Monitoring inspection</v>
          </cell>
          <cell r="W266">
            <v>43010</v>
          </cell>
          <cell r="X266">
            <v>43010</v>
          </cell>
          <cell r="Y266">
            <v>43047</v>
          </cell>
          <cell r="Z266" t="str">
            <v>Met all standards that were checked</v>
          </cell>
          <cell r="AA266">
            <v>10012828</v>
          </cell>
          <cell r="AB266" t="str">
            <v>Independent School standard inspection</v>
          </cell>
          <cell r="AC266" t="str">
            <v>Independent Standard Inspection</v>
          </cell>
          <cell r="AD266">
            <v>42703</v>
          </cell>
          <cell r="AE266">
            <v>42705</v>
          </cell>
          <cell r="AF266">
            <v>42851</v>
          </cell>
          <cell r="AG266">
            <v>4</v>
          </cell>
          <cell r="AH266">
            <v>3</v>
          </cell>
          <cell r="AI266">
            <v>3</v>
          </cell>
          <cell r="AJ266">
            <v>4</v>
          </cell>
          <cell r="AK266">
            <v>4</v>
          </cell>
          <cell r="AL266" t="str">
            <v>NULL</v>
          </cell>
          <cell r="AM266" t="str">
            <v>NULL</v>
          </cell>
          <cell r="AN266" t="str">
            <v>No</v>
          </cell>
          <cell r="AO266" t="str">
            <v>ITS420273</v>
          </cell>
          <cell r="AP266" t="str">
            <v>Independent school standard inspection - first</v>
          </cell>
          <cell r="AQ266" t="str">
            <v>Independent Standard Inspection</v>
          </cell>
          <cell r="AR266">
            <v>41450</v>
          </cell>
          <cell r="AS266">
            <v>41451</v>
          </cell>
          <cell r="AT266">
            <v>41471</v>
          </cell>
          <cell r="AU266">
            <v>3</v>
          </cell>
          <cell r="AV266">
            <v>3</v>
          </cell>
          <cell r="AW266">
            <v>3</v>
          </cell>
          <cell r="AX266">
            <v>3</v>
          </cell>
          <cell r="AY266" t="str">
            <v>NULL</v>
          </cell>
          <cell r="AZ266" t="str">
            <v>NULL</v>
          </cell>
          <cell r="BA266" t="str">
            <v>NULL</v>
          </cell>
          <cell r="BB266" t="str">
            <v>NULL</v>
          </cell>
        </row>
        <row r="267">
          <cell r="D267">
            <v>139415</v>
          </cell>
          <cell r="E267">
            <v>2136001</v>
          </cell>
          <cell r="F267" t="str">
            <v>Halcyon London International School</v>
          </cell>
          <cell r="G267" t="str">
            <v>Other Independent School</v>
          </cell>
          <cell r="H267">
            <v>41346</v>
          </cell>
          <cell r="I267">
            <v>127</v>
          </cell>
          <cell r="J267" t="str">
            <v>London</v>
          </cell>
          <cell r="K267" t="str">
            <v>London</v>
          </cell>
          <cell r="L267" t="str">
            <v>Westminster</v>
          </cell>
          <cell r="M267" t="str">
            <v>Cities of London and Westminster</v>
          </cell>
          <cell r="N267" t="str">
            <v>W1H 5AU</v>
          </cell>
          <cell r="O267" t="str">
            <v>Has a sixth form</v>
          </cell>
          <cell r="P267">
            <v>11</v>
          </cell>
          <cell r="Q267">
            <v>18</v>
          </cell>
          <cell r="R267" t="str">
            <v>None</v>
          </cell>
          <cell r="S267" t="str">
            <v>Ofsted</v>
          </cell>
          <cell r="T267" t="str">
            <v>NULL</v>
          </cell>
          <cell r="U267" t="str">
            <v>NULL</v>
          </cell>
          <cell r="V267" t="str">
            <v>NULL</v>
          </cell>
          <cell r="W267" t="str">
            <v>NULL</v>
          </cell>
          <cell r="X267" t="str">
            <v>NULL</v>
          </cell>
          <cell r="Y267" t="str">
            <v>NULL</v>
          </cell>
          <cell r="Z267" t="str">
            <v>NULL</v>
          </cell>
          <cell r="AA267">
            <v>10026298</v>
          </cell>
          <cell r="AB267" t="str">
            <v>Independent School standard inspection</v>
          </cell>
          <cell r="AC267" t="str">
            <v>Independent Standard Inspection</v>
          </cell>
          <cell r="AD267">
            <v>42829</v>
          </cell>
          <cell r="AE267">
            <v>42831</v>
          </cell>
          <cell r="AF267">
            <v>42865</v>
          </cell>
          <cell r="AG267">
            <v>1</v>
          </cell>
          <cell r="AH267">
            <v>1</v>
          </cell>
          <cell r="AI267">
            <v>1</v>
          </cell>
          <cell r="AJ267">
            <v>1</v>
          </cell>
          <cell r="AK267">
            <v>1</v>
          </cell>
          <cell r="AL267" t="str">
            <v>NULL</v>
          </cell>
          <cell r="AM267">
            <v>1</v>
          </cell>
          <cell r="AN267" t="str">
            <v>Yes</v>
          </cell>
          <cell r="AO267" t="str">
            <v>ITS422864</v>
          </cell>
          <cell r="AP267" t="str">
            <v>Independent school standard inspection - first</v>
          </cell>
          <cell r="AQ267" t="str">
            <v>Independent Standard Inspection</v>
          </cell>
          <cell r="AR267">
            <v>41653</v>
          </cell>
          <cell r="AS267">
            <v>41655</v>
          </cell>
          <cell r="AT267">
            <v>41675</v>
          </cell>
          <cell r="AU267">
            <v>2</v>
          </cell>
          <cell r="AV267">
            <v>2</v>
          </cell>
          <cell r="AW267">
            <v>2</v>
          </cell>
          <cell r="AX267">
            <v>2</v>
          </cell>
          <cell r="AY267" t="str">
            <v>NULL</v>
          </cell>
          <cell r="AZ267" t="str">
            <v>NULL</v>
          </cell>
          <cell r="BA267" t="str">
            <v>NULL</v>
          </cell>
          <cell r="BB267" t="str">
            <v>NULL</v>
          </cell>
        </row>
        <row r="268">
          <cell r="D268">
            <v>141860</v>
          </cell>
          <cell r="E268">
            <v>3846003</v>
          </cell>
          <cell r="F268" t="str">
            <v>Hall Cliffe School</v>
          </cell>
          <cell r="G268" t="str">
            <v>Other Independent School</v>
          </cell>
          <cell r="H268">
            <v>42059</v>
          </cell>
          <cell r="I268">
            <v>33</v>
          </cell>
          <cell r="J268" t="str">
            <v>North East, Yorkshire and the Humber</v>
          </cell>
          <cell r="K268" t="str">
            <v>Yorkshire and the Humber</v>
          </cell>
          <cell r="L268" t="str">
            <v>Wakefield</v>
          </cell>
          <cell r="M268" t="str">
            <v>Wakefield</v>
          </cell>
          <cell r="N268" t="str">
            <v>WF4 6BB</v>
          </cell>
          <cell r="O268" t="str">
            <v>Does not have a sixth form</v>
          </cell>
          <cell r="P268">
            <v>8</v>
          </cell>
          <cell r="Q268">
            <v>16</v>
          </cell>
          <cell r="R268" t="str">
            <v>None</v>
          </cell>
          <cell r="S268" t="str">
            <v>Ofsted</v>
          </cell>
          <cell r="T268" t="str">
            <v>NULL</v>
          </cell>
          <cell r="U268" t="str">
            <v>NULL</v>
          </cell>
          <cell r="V268" t="str">
            <v>NULL</v>
          </cell>
          <cell r="W268" t="str">
            <v>NULL</v>
          </cell>
          <cell r="X268" t="str">
            <v>NULL</v>
          </cell>
          <cell r="Y268" t="str">
            <v>NULL</v>
          </cell>
          <cell r="Z268" t="str">
            <v>NULL</v>
          </cell>
          <cell r="AA268">
            <v>10008622</v>
          </cell>
          <cell r="AB268" t="str">
            <v>Independent school standard inspection - first</v>
          </cell>
          <cell r="AC268" t="str">
            <v>Independent Standard Inspection</v>
          </cell>
          <cell r="AD268">
            <v>42409</v>
          </cell>
          <cell r="AE268">
            <v>42411</v>
          </cell>
          <cell r="AF268">
            <v>42453</v>
          </cell>
          <cell r="AG268">
            <v>2</v>
          </cell>
          <cell r="AH268">
            <v>2</v>
          </cell>
          <cell r="AI268">
            <v>2</v>
          </cell>
          <cell r="AJ268">
            <v>2</v>
          </cell>
          <cell r="AK268">
            <v>2</v>
          </cell>
          <cell r="AL268" t="str">
            <v>NULL</v>
          </cell>
          <cell r="AM268" t="str">
            <v>NULL</v>
          </cell>
          <cell r="AN268" t="str">
            <v>Yes</v>
          </cell>
          <cell r="AO268" t="str">
            <v>NULL</v>
          </cell>
          <cell r="AP268" t="str">
            <v>NULL</v>
          </cell>
          <cell r="AQ268" t="str">
            <v>NULL</v>
          </cell>
          <cell r="AR268" t="str">
            <v>NULL</v>
          </cell>
          <cell r="AS268" t="str">
            <v>NULL</v>
          </cell>
          <cell r="AT268" t="str">
            <v>NULL</v>
          </cell>
          <cell r="AU268" t="str">
            <v>NULL</v>
          </cell>
          <cell r="AV268" t="str">
            <v>NULL</v>
          </cell>
          <cell r="AW268" t="str">
            <v>NULL</v>
          </cell>
          <cell r="AX268" t="str">
            <v>NULL</v>
          </cell>
          <cell r="AY268" t="str">
            <v>NULL</v>
          </cell>
          <cell r="AZ268" t="str">
            <v>NULL</v>
          </cell>
          <cell r="BA268" t="str">
            <v>NULL</v>
          </cell>
          <cell r="BB268" t="str">
            <v>NULL</v>
          </cell>
        </row>
        <row r="269">
          <cell r="D269">
            <v>134441</v>
          </cell>
          <cell r="E269">
            <v>8016023</v>
          </cell>
          <cell r="F269" t="str">
            <v>Catch22 Include Bristol</v>
          </cell>
          <cell r="G269" t="str">
            <v>Other Independent School</v>
          </cell>
          <cell r="H269">
            <v>37862</v>
          </cell>
          <cell r="I269">
            <v>156</v>
          </cell>
          <cell r="J269" t="str">
            <v>South West</v>
          </cell>
          <cell r="K269" t="str">
            <v>South West</v>
          </cell>
          <cell r="L269" t="str">
            <v>Bristol</v>
          </cell>
          <cell r="M269" t="str">
            <v>Bristol West</v>
          </cell>
          <cell r="N269" t="str">
            <v>BS2 8SF</v>
          </cell>
          <cell r="O269" t="str">
            <v>Has a sixth form</v>
          </cell>
          <cell r="P269">
            <v>14</v>
          </cell>
          <cell r="Q269">
            <v>19</v>
          </cell>
          <cell r="R269" t="str">
            <v>None</v>
          </cell>
          <cell r="S269" t="str">
            <v>Ofsted</v>
          </cell>
          <cell r="T269">
            <v>2</v>
          </cell>
          <cell r="U269">
            <v>10048697</v>
          </cell>
          <cell r="V269" t="str">
            <v>Independent school evaluation of school action plan</v>
          </cell>
          <cell r="W269">
            <v>43147</v>
          </cell>
          <cell r="X269">
            <v>43147</v>
          </cell>
          <cell r="Y269" t="str">
            <v>NULL</v>
          </cell>
          <cell r="Z269" t="str">
            <v>Action plan is not acceptable</v>
          </cell>
          <cell r="AA269">
            <v>10017614</v>
          </cell>
          <cell r="AB269" t="str">
            <v>Independent School standard inspection</v>
          </cell>
          <cell r="AC269" t="str">
            <v>Independent Standard Inspection</v>
          </cell>
          <cell r="AD269">
            <v>42486</v>
          </cell>
          <cell r="AE269">
            <v>42488</v>
          </cell>
          <cell r="AF269">
            <v>42534</v>
          </cell>
          <cell r="AG269">
            <v>2</v>
          </cell>
          <cell r="AH269">
            <v>2</v>
          </cell>
          <cell r="AI269">
            <v>2</v>
          </cell>
          <cell r="AJ269">
            <v>2</v>
          </cell>
          <cell r="AK269">
            <v>2</v>
          </cell>
          <cell r="AL269" t="str">
            <v>NULL</v>
          </cell>
          <cell r="AM269">
            <v>2</v>
          </cell>
          <cell r="AN269" t="str">
            <v>Yes</v>
          </cell>
          <cell r="AO269" t="str">
            <v>ITS408730</v>
          </cell>
          <cell r="AP269" t="str">
            <v>Independent School standard inspection</v>
          </cell>
          <cell r="AQ269" t="str">
            <v>Independent Standard Inspection</v>
          </cell>
          <cell r="AR269">
            <v>41337</v>
          </cell>
          <cell r="AS269">
            <v>41339</v>
          </cell>
          <cell r="AT269">
            <v>41359</v>
          </cell>
          <cell r="AU269">
            <v>2</v>
          </cell>
          <cell r="AV269">
            <v>2</v>
          </cell>
          <cell r="AW269">
            <v>2</v>
          </cell>
          <cell r="AX269">
            <v>2</v>
          </cell>
          <cell r="AY269" t="str">
            <v>NULL</v>
          </cell>
          <cell r="AZ269" t="str">
            <v>NULL</v>
          </cell>
          <cell r="BA269" t="str">
            <v>NULL</v>
          </cell>
          <cell r="BB269" t="str">
            <v>NULL</v>
          </cell>
        </row>
        <row r="270">
          <cell r="D270">
            <v>134440</v>
          </cell>
          <cell r="E270">
            <v>9266150</v>
          </cell>
          <cell r="F270" t="str">
            <v>Include Schools Norfolk</v>
          </cell>
          <cell r="G270" t="str">
            <v>Other Independent School</v>
          </cell>
          <cell r="H270">
            <v>37862</v>
          </cell>
          <cell r="I270">
            <v>100</v>
          </cell>
          <cell r="J270" t="str">
            <v>East of England</v>
          </cell>
          <cell r="K270" t="str">
            <v>East of England</v>
          </cell>
          <cell r="L270" t="str">
            <v>Norfolk</v>
          </cell>
          <cell r="M270" t="str">
            <v>Norwich North</v>
          </cell>
          <cell r="N270" t="str">
            <v>NR3 3UA</v>
          </cell>
          <cell r="O270" t="str">
            <v>Does not have a sixth form</v>
          </cell>
          <cell r="P270">
            <v>14</v>
          </cell>
          <cell r="Q270">
            <v>16</v>
          </cell>
          <cell r="R270" t="str">
            <v>None</v>
          </cell>
          <cell r="S270" t="str">
            <v>Ofsted</v>
          </cell>
          <cell r="T270">
            <v>1</v>
          </cell>
          <cell r="U270">
            <v>10040443</v>
          </cell>
          <cell r="V270" t="str">
            <v>Independent school evaluation of school action plan</v>
          </cell>
          <cell r="W270">
            <v>42985</v>
          </cell>
          <cell r="X270">
            <v>42985</v>
          </cell>
          <cell r="Y270" t="str">
            <v>NULL</v>
          </cell>
          <cell r="Z270" t="str">
            <v>Action plan is not acceptable</v>
          </cell>
          <cell r="AA270">
            <v>10020816</v>
          </cell>
          <cell r="AB270" t="str">
            <v>Independent School standard inspection</v>
          </cell>
          <cell r="AC270" t="str">
            <v>Independent Standard Inspection</v>
          </cell>
          <cell r="AD270">
            <v>42864</v>
          </cell>
          <cell r="AE270">
            <v>42866</v>
          </cell>
          <cell r="AF270">
            <v>42907</v>
          </cell>
          <cell r="AG270">
            <v>3</v>
          </cell>
          <cell r="AH270">
            <v>3</v>
          </cell>
          <cell r="AI270">
            <v>3</v>
          </cell>
          <cell r="AJ270">
            <v>3</v>
          </cell>
          <cell r="AK270">
            <v>3</v>
          </cell>
          <cell r="AL270" t="str">
            <v>NULL</v>
          </cell>
          <cell r="AM270" t="str">
            <v>NULL</v>
          </cell>
          <cell r="AN270" t="str">
            <v>Yes</v>
          </cell>
          <cell r="AO270" t="str">
            <v>ITS361416</v>
          </cell>
          <cell r="AP270" t="str">
            <v>S162a - LTI Inspection Historic</v>
          </cell>
          <cell r="AQ270" t="str">
            <v>Independent Standard Inspection</v>
          </cell>
          <cell r="AR270">
            <v>40501</v>
          </cell>
          <cell r="AS270">
            <v>40501</v>
          </cell>
          <cell r="AT270">
            <v>40522</v>
          </cell>
          <cell r="AU270">
            <v>2</v>
          </cell>
          <cell r="AV270">
            <v>2</v>
          </cell>
          <cell r="AW270">
            <v>2</v>
          </cell>
          <cell r="AX270" t="str">
            <v>NULL</v>
          </cell>
          <cell r="AY270" t="str">
            <v>NULL</v>
          </cell>
          <cell r="AZ270">
            <v>8</v>
          </cell>
          <cell r="BA270" t="str">
            <v>NULL</v>
          </cell>
          <cell r="BB270" t="str">
            <v>NULL</v>
          </cell>
        </row>
        <row r="271">
          <cell r="D271">
            <v>138877</v>
          </cell>
          <cell r="E271">
            <v>9356002</v>
          </cell>
          <cell r="F271" t="str">
            <v>Catch 22 Include Primary School Suffolk</v>
          </cell>
          <cell r="G271" t="str">
            <v>Other Independent School</v>
          </cell>
          <cell r="H271">
            <v>41199</v>
          </cell>
          <cell r="I271">
            <v>48</v>
          </cell>
          <cell r="J271" t="str">
            <v>East of England</v>
          </cell>
          <cell r="K271" t="str">
            <v>East of England</v>
          </cell>
          <cell r="L271" t="str">
            <v>Suffolk</v>
          </cell>
          <cell r="M271" t="str">
            <v>South Suffolk</v>
          </cell>
          <cell r="N271" t="str">
            <v>IP8 3AS</v>
          </cell>
          <cell r="O271" t="str">
            <v>Does not have a sixth form</v>
          </cell>
          <cell r="P271">
            <v>5</v>
          </cell>
          <cell r="Q271">
            <v>11</v>
          </cell>
          <cell r="R271" t="str">
            <v>None</v>
          </cell>
          <cell r="S271" t="str">
            <v>Ofsted</v>
          </cell>
          <cell r="T271">
            <v>2</v>
          </cell>
          <cell r="U271">
            <v>10041239</v>
          </cell>
          <cell r="V271" t="str">
            <v>Independent school Progress Monitoring inspection</v>
          </cell>
          <cell r="W271">
            <v>43011</v>
          </cell>
          <cell r="X271">
            <v>43012</v>
          </cell>
          <cell r="Y271">
            <v>43070</v>
          </cell>
          <cell r="Z271" t="str">
            <v>Met all standards that were checked</v>
          </cell>
          <cell r="AA271">
            <v>10020806</v>
          </cell>
          <cell r="AB271" t="str">
            <v>Independent School standard inspection</v>
          </cell>
          <cell r="AC271" t="str">
            <v>Independent Standard Inspection</v>
          </cell>
          <cell r="AD271">
            <v>42808</v>
          </cell>
          <cell r="AE271">
            <v>42810</v>
          </cell>
          <cell r="AF271">
            <v>42850</v>
          </cell>
          <cell r="AG271">
            <v>3</v>
          </cell>
          <cell r="AH271">
            <v>3</v>
          </cell>
          <cell r="AI271">
            <v>3</v>
          </cell>
          <cell r="AJ271">
            <v>3</v>
          </cell>
          <cell r="AK271">
            <v>2</v>
          </cell>
          <cell r="AL271" t="str">
            <v>NULL</v>
          </cell>
          <cell r="AM271" t="str">
            <v>NULL</v>
          </cell>
          <cell r="AN271" t="str">
            <v>Yes</v>
          </cell>
          <cell r="AO271" t="str">
            <v>ITS422835</v>
          </cell>
          <cell r="AP271" t="str">
            <v>Independent school standard inspection - first</v>
          </cell>
          <cell r="AQ271" t="str">
            <v>Independent Standard Inspection</v>
          </cell>
          <cell r="AR271">
            <v>41562</v>
          </cell>
          <cell r="AS271">
            <v>41563</v>
          </cell>
          <cell r="AT271">
            <v>41586</v>
          </cell>
          <cell r="AU271">
            <v>2</v>
          </cell>
          <cell r="AV271">
            <v>2</v>
          </cell>
          <cell r="AW271">
            <v>2</v>
          </cell>
          <cell r="AX271">
            <v>2</v>
          </cell>
          <cell r="AY271" t="str">
            <v>NULL</v>
          </cell>
          <cell r="AZ271" t="str">
            <v>NULL</v>
          </cell>
          <cell r="BA271" t="str">
            <v>NULL</v>
          </cell>
          <cell r="BB271" t="str">
            <v>NULL</v>
          </cell>
        </row>
        <row r="272">
          <cell r="D272">
            <v>107791</v>
          </cell>
          <cell r="E272">
            <v>3826013</v>
          </cell>
          <cell r="F272" t="str">
            <v>Institute of Islamic Education</v>
          </cell>
          <cell r="G272" t="str">
            <v>Other Independent School</v>
          </cell>
          <cell r="H272">
            <v>30201</v>
          </cell>
          <cell r="I272">
            <v>260</v>
          </cell>
          <cell r="J272" t="str">
            <v>North East, Yorkshire and the Humber</v>
          </cell>
          <cell r="K272" t="str">
            <v>Yorkshire and the Humber</v>
          </cell>
          <cell r="L272" t="str">
            <v>Kirklees</v>
          </cell>
          <cell r="M272" t="str">
            <v>Dewsbury</v>
          </cell>
          <cell r="N272" t="str">
            <v>WF12 9NG</v>
          </cell>
          <cell r="O272" t="str">
            <v>Has a sixth form</v>
          </cell>
          <cell r="P272">
            <v>11</v>
          </cell>
          <cell r="Q272">
            <v>25</v>
          </cell>
          <cell r="R272" t="str">
            <v>None</v>
          </cell>
          <cell r="S272" t="str">
            <v>Ofsted</v>
          </cell>
          <cell r="T272" t="str">
            <v>NULL</v>
          </cell>
          <cell r="U272" t="str">
            <v>NULL</v>
          </cell>
          <cell r="V272" t="str">
            <v>NULL</v>
          </cell>
          <cell r="W272" t="str">
            <v>NULL</v>
          </cell>
          <cell r="X272" t="str">
            <v>NULL</v>
          </cell>
          <cell r="Y272" t="str">
            <v>NULL</v>
          </cell>
          <cell r="Z272" t="str">
            <v>NULL</v>
          </cell>
          <cell r="AA272">
            <v>10044408</v>
          </cell>
          <cell r="AB272" t="str">
            <v xml:space="preserve">Independent School standard inspection - integrated </v>
          </cell>
          <cell r="AC272" t="str">
            <v>Independent Standard Inspection</v>
          </cell>
          <cell r="AD272">
            <v>43067</v>
          </cell>
          <cell r="AE272">
            <v>43069</v>
          </cell>
          <cell r="AF272">
            <v>43115</v>
          </cell>
          <cell r="AG272">
            <v>2</v>
          </cell>
          <cell r="AH272">
            <v>2</v>
          </cell>
          <cell r="AI272">
            <v>2</v>
          </cell>
          <cell r="AJ272">
            <v>2</v>
          </cell>
          <cell r="AK272">
            <v>1</v>
          </cell>
          <cell r="AL272" t="str">
            <v>NULL</v>
          </cell>
          <cell r="AM272">
            <v>2</v>
          </cell>
          <cell r="AN272" t="str">
            <v>Yes</v>
          </cell>
          <cell r="AO272">
            <v>10007421</v>
          </cell>
          <cell r="AP272" t="str">
            <v xml:space="preserve">Independent School standard inspection - integrated </v>
          </cell>
          <cell r="AQ272" t="str">
            <v>Independent Standard Inspection</v>
          </cell>
          <cell r="AR272">
            <v>42283</v>
          </cell>
          <cell r="AS272">
            <v>42285</v>
          </cell>
          <cell r="AT272">
            <v>42353</v>
          </cell>
          <cell r="AU272">
            <v>4</v>
          </cell>
          <cell r="AV272">
            <v>3</v>
          </cell>
          <cell r="AW272">
            <v>3</v>
          </cell>
          <cell r="AX272">
            <v>4</v>
          </cell>
          <cell r="AY272">
            <v>3</v>
          </cell>
          <cell r="AZ272" t="str">
            <v>NULL</v>
          </cell>
          <cell r="BA272" t="str">
            <v>NULL</v>
          </cell>
          <cell r="BB272" t="str">
            <v>No</v>
          </cell>
        </row>
        <row r="273">
          <cell r="D273">
            <v>135633</v>
          </cell>
          <cell r="E273">
            <v>3556056</v>
          </cell>
          <cell r="F273" t="str">
            <v>Aim Habonim</v>
          </cell>
          <cell r="G273" t="str">
            <v>Other Independent Special School</v>
          </cell>
          <cell r="H273">
            <v>39650</v>
          </cell>
          <cell r="I273">
            <v>52</v>
          </cell>
          <cell r="J273" t="str">
            <v>North West</v>
          </cell>
          <cell r="K273" t="str">
            <v>North West</v>
          </cell>
          <cell r="L273" t="str">
            <v>Salford</v>
          </cell>
          <cell r="M273" t="str">
            <v>Blackley and Broughton</v>
          </cell>
          <cell r="N273" t="str">
            <v>M7 4NX</v>
          </cell>
          <cell r="O273" t="str">
            <v>Not applicable</v>
          </cell>
          <cell r="P273">
            <v>0</v>
          </cell>
          <cell r="Q273">
            <v>19</v>
          </cell>
          <cell r="R273" t="str">
            <v>Jewish</v>
          </cell>
          <cell r="S273" t="str">
            <v>Ofsted</v>
          </cell>
          <cell r="T273">
            <v>1</v>
          </cell>
          <cell r="U273">
            <v>10017314</v>
          </cell>
          <cell r="V273" t="str">
            <v>Independent school Material Change inspection</v>
          </cell>
          <cell r="W273">
            <v>42411</v>
          </cell>
          <cell r="X273">
            <v>42411</v>
          </cell>
          <cell r="Y273" t="str">
            <v>NULL</v>
          </cell>
          <cell r="Z273" t="str">
            <v>Likely to meet relevant standards</v>
          </cell>
          <cell r="AA273" t="str">
            <v>ITS464320</v>
          </cell>
          <cell r="AB273" t="str">
            <v>Independent School standard inspection</v>
          </cell>
          <cell r="AC273" t="str">
            <v>Independent Standard Inspection</v>
          </cell>
          <cell r="AD273">
            <v>42137</v>
          </cell>
          <cell r="AE273">
            <v>42139</v>
          </cell>
          <cell r="AF273">
            <v>42174</v>
          </cell>
          <cell r="AG273">
            <v>2</v>
          </cell>
          <cell r="AH273">
            <v>2</v>
          </cell>
          <cell r="AI273">
            <v>2</v>
          </cell>
          <cell r="AJ273">
            <v>2</v>
          </cell>
          <cell r="AK273" t="str">
            <v>NULL</v>
          </cell>
          <cell r="AL273">
            <v>2</v>
          </cell>
          <cell r="AM273">
            <v>9</v>
          </cell>
          <cell r="AN273" t="str">
            <v>NULL</v>
          </cell>
          <cell r="AO273" t="str">
            <v>ITS408732</v>
          </cell>
          <cell r="AP273" t="str">
            <v>Independent School standard inspection</v>
          </cell>
          <cell r="AQ273" t="str">
            <v>Independent Standard Inspection</v>
          </cell>
          <cell r="AR273">
            <v>41331</v>
          </cell>
          <cell r="AS273">
            <v>41332</v>
          </cell>
          <cell r="AT273">
            <v>41355</v>
          </cell>
          <cell r="AU273">
            <v>2</v>
          </cell>
          <cell r="AV273">
            <v>2</v>
          </cell>
          <cell r="AW273">
            <v>2</v>
          </cell>
          <cell r="AX273">
            <v>2</v>
          </cell>
          <cell r="AY273" t="str">
            <v>NULL</v>
          </cell>
          <cell r="AZ273" t="str">
            <v>NULL</v>
          </cell>
          <cell r="BA273" t="str">
            <v>NULL</v>
          </cell>
          <cell r="BB273" t="str">
            <v>NULL</v>
          </cell>
        </row>
        <row r="274">
          <cell r="D274">
            <v>113021</v>
          </cell>
          <cell r="E274">
            <v>8306016</v>
          </cell>
          <cell r="F274" t="str">
            <v>Alderwasley Hall School</v>
          </cell>
          <cell r="G274" t="str">
            <v>Other Independent Special School</v>
          </cell>
          <cell r="H274">
            <v>27790</v>
          </cell>
          <cell r="I274">
            <v>103</v>
          </cell>
          <cell r="J274" t="str">
            <v>East Midlands</v>
          </cell>
          <cell r="K274" t="str">
            <v>East Midlands</v>
          </cell>
          <cell r="L274" t="str">
            <v>Derbyshire</v>
          </cell>
          <cell r="M274" t="str">
            <v>Derbyshire Dales</v>
          </cell>
          <cell r="N274" t="str">
            <v>DE56 2SR</v>
          </cell>
          <cell r="O274" t="str">
            <v>Not applicable</v>
          </cell>
          <cell r="P274">
            <v>5</v>
          </cell>
          <cell r="Q274">
            <v>20</v>
          </cell>
          <cell r="R274" t="str">
            <v>None</v>
          </cell>
          <cell r="S274" t="str">
            <v>Ofsted</v>
          </cell>
          <cell r="T274">
            <v>1</v>
          </cell>
          <cell r="U274">
            <v>10017426</v>
          </cell>
          <cell r="V274" t="str">
            <v>Independent school emergency inspection</v>
          </cell>
          <cell r="W274">
            <v>42480</v>
          </cell>
          <cell r="X274">
            <v>42480</v>
          </cell>
          <cell r="Y274" t="str">
            <v>NULL</v>
          </cell>
          <cell r="Z274" t="str">
            <v>No unmet standards</v>
          </cell>
          <cell r="AA274" t="str">
            <v>ITS446380</v>
          </cell>
          <cell r="AB274" t="str">
            <v>Independent school standard inspection - aligned with CH</v>
          </cell>
          <cell r="AC274" t="str">
            <v>Independent Standard Inspection</v>
          </cell>
          <cell r="AD274">
            <v>41821</v>
          </cell>
          <cell r="AE274">
            <v>41898</v>
          </cell>
          <cell r="AF274">
            <v>41957</v>
          </cell>
          <cell r="AG274">
            <v>2</v>
          </cell>
          <cell r="AH274">
            <v>2</v>
          </cell>
          <cell r="AI274">
            <v>2</v>
          </cell>
          <cell r="AJ274">
            <v>2</v>
          </cell>
          <cell r="AK274" t="str">
            <v>NULL</v>
          </cell>
          <cell r="AL274" t="str">
            <v>NULL</v>
          </cell>
          <cell r="AM274" t="str">
            <v>NULL</v>
          </cell>
          <cell r="AN274" t="str">
            <v>NULL</v>
          </cell>
          <cell r="AO274" t="str">
            <v>ITS385203</v>
          </cell>
          <cell r="AP274" t="str">
            <v xml:space="preserve">Independent School standard inspection - integrated </v>
          </cell>
          <cell r="AQ274" t="str">
            <v>Independent Standard Inspection</v>
          </cell>
          <cell r="AR274">
            <v>40883</v>
          </cell>
          <cell r="AS274">
            <v>40884</v>
          </cell>
          <cell r="AT274">
            <v>40920</v>
          </cell>
          <cell r="AU274">
            <v>2</v>
          </cell>
          <cell r="AV274">
            <v>2</v>
          </cell>
          <cell r="AW274">
            <v>2</v>
          </cell>
          <cell r="AX274" t="str">
            <v>NULL</v>
          </cell>
          <cell r="AY274" t="str">
            <v>NULL</v>
          </cell>
          <cell r="AZ274">
            <v>8</v>
          </cell>
          <cell r="BA274" t="str">
            <v>NULL</v>
          </cell>
          <cell r="BB274" t="str">
            <v>NULL</v>
          </cell>
        </row>
        <row r="275">
          <cell r="D275">
            <v>138875</v>
          </cell>
          <cell r="E275">
            <v>8936030</v>
          </cell>
          <cell r="F275" t="str">
            <v>Amberleigh Therapeutic School</v>
          </cell>
          <cell r="G275" t="str">
            <v>Other Independent Special School</v>
          </cell>
          <cell r="H275">
            <v>41198</v>
          </cell>
          <cell r="I275">
            <v>5</v>
          </cell>
          <cell r="J275" t="str">
            <v>West Midlands</v>
          </cell>
          <cell r="K275" t="str">
            <v>West Midlands</v>
          </cell>
          <cell r="L275" t="str">
            <v>Shropshire</v>
          </cell>
          <cell r="M275" t="str">
            <v>The Wrekin</v>
          </cell>
          <cell r="N275" t="str">
            <v>TF2 9NZ</v>
          </cell>
          <cell r="O275" t="str">
            <v>Has a sixth form</v>
          </cell>
          <cell r="P275">
            <v>11</v>
          </cell>
          <cell r="Q275">
            <v>18</v>
          </cell>
          <cell r="R275" t="str">
            <v>None</v>
          </cell>
          <cell r="S275" t="str">
            <v>Ofsted</v>
          </cell>
          <cell r="T275">
            <v>1</v>
          </cell>
          <cell r="U275">
            <v>10047177</v>
          </cell>
          <cell r="V275" t="str">
            <v>Independent school evaluation of school action plan</v>
          </cell>
          <cell r="W275">
            <v>43160</v>
          </cell>
          <cell r="X275">
            <v>43160</v>
          </cell>
          <cell r="Y275" t="str">
            <v>NULL</v>
          </cell>
          <cell r="Z275" t="str">
            <v>Action plan is acceptable</v>
          </cell>
          <cell r="AA275">
            <v>10012924</v>
          </cell>
          <cell r="AB275" t="str">
            <v>Independent School standard inspection</v>
          </cell>
          <cell r="AC275" t="str">
            <v>Independent Standard Inspection</v>
          </cell>
          <cell r="AD275">
            <v>43011</v>
          </cell>
          <cell r="AE275">
            <v>43013</v>
          </cell>
          <cell r="AF275">
            <v>43060</v>
          </cell>
          <cell r="AG275">
            <v>4</v>
          </cell>
          <cell r="AH275">
            <v>3</v>
          </cell>
          <cell r="AI275">
            <v>3</v>
          </cell>
          <cell r="AJ275">
            <v>4</v>
          </cell>
          <cell r="AK275">
            <v>3</v>
          </cell>
          <cell r="AL275" t="str">
            <v>NULL</v>
          </cell>
          <cell r="AM275" t="str">
            <v>NULL</v>
          </cell>
          <cell r="AN275" t="str">
            <v>Yes</v>
          </cell>
          <cell r="AO275" t="str">
            <v>ITS422834</v>
          </cell>
          <cell r="AP275" t="str">
            <v>Independent school standard inspection - first</v>
          </cell>
          <cell r="AQ275" t="str">
            <v>Independent Standard Inspection</v>
          </cell>
          <cell r="AR275">
            <v>41562</v>
          </cell>
          <cell r="AS275">
            <v>41563</v>
          </cell>
          <cell r="AT275">
            <v>41584</v>
          </cell>
          <cell r="AU275">
            <v>3</v>
          </cell>
          <cell r="AV275">
            <v>2</v>
          </cell>
          <cell r="AW275">
            <v>2</v>
          </cell>
          <cell r="AX275">
            <v>3</v>
          </cell>
          <cell r="AY275" t="str">
            <v>NULL</v>
          </cell>
          <cell r="AZ275" t="str">
            <v>NULL</v>
          </cell>
          <cell r="BA275" t="str">
            <v>NULL</v>
          </cell>
          <cell r="BB275" t="str">
            <v>NULL</v>
          </cell>
        </row>
        <row r="276">
          <cell r="D276">
            <v>139657</v>
          </cell>
          <cell r="E276">
            <v>8456019</v>
          </cell>
          <cell r="F276" t="str">
            <v>Anderida Learning Centre</v>
          </cell>
          <cell r="G276" t="str">
            <v>Other Independent Special School</v>
          </cell>
          <cell r="H276">
            <v>41388</v>
          </cell>
          <cell r="I276">
            <v>5</v>
          </cell>
          <cell r="J276" t="str">
            <v>South East</v>
          </cell>
          <cell r="K276" t="str">
            <v>South East</v>
          </cell>
          <cell r="L276" t="str">
            <v>East Sussex</v>
          </cell>
          <cell r="M276" t="str">
            <v>Eastbourne</v>
          </cell>
          <cell r="N276" t="str">
            <v>BN22 8HR</v>
          </cell>
          <cell r="O276" t="str">
            <v>Not applicable</v>
          </cell>
          <cell r="P276">
            <v>11</v>
          </cell>
          <cell r="Q276">
            <v>18</v>
          </cell>
          <cell r="R276" t="str">
            <v>None</v>
          </cell>
          <cell r="S276" t="str">
            <v>Ofsted</v>
          </cell>
          <cell r="T276">
            <v>3</v>
          </cell>
          <cell r="U276">
            <v>10049146</v>
          </cell>
          <cell r="V276" t="str">
            <v>Independent school evaluation of school action plan</v>
          </cell>
          <cell r="W276">
            <v>43160</v>
          </cell>
          <cell r="X276">
            <v>43160</v>
          </cell>
          <cell r="Y276" t="str">
            <v>NULL</v>
          </cell>
          <cell r="Z276" t="str">
            <v>Action plan is acceptable</v>
          </cell>
          <cell r="AA276">
            <v>10033957</v>
          </cell>
          <cell r="AB276" t="str">
            <v>Independent School standard inspection</v>
          </cell>
          <cell r="AC276" t="str">
            <v>Independent Standard Inspection</v>
          </cell>
          <cell r="AD276">
            <v>42906</v>
          </cell>
          <cell r="AE276">
            <v>42908</v>
          </cell>
          <cell r="AF276">
            <v>42986</v>
          </cell>
          <cell r="AG276">
            <v>4</v>
          </cell>
          <cell r="AH276">
            <v>3</v>
          </cell>
          <cell r="AI276">
            <v>3</v>
          </cell>
          <cell r="AJ276">
            <v>4</v>
          </cell>
          <cell r="AK276">
            <v>4</v>
          </cell>
          <cell r="AL276" t="str">
            <v>NULL</v>
          </cell>
          <cell r="AM276" t="str">
            <v>NULL</v>
          </cell>
          <cell r="AN276" t="str">
            <v>No</v>
          </cell>
          <cell r="AO276" t="str">
            <v>ITS429466</v>
          </cell>
          <cell r="AP276" t="str">
            <v>Independent school standard inspection - first</v>
          </cell>
          <cell r="AQ276" t="str">
            <v>Independent Standard Inspection</v>
          </cell>
          <cell r="AR276">
            <v>41661</v>
          </cell>
          <cell r="AS276">
            <v>41662</v>
          </cell>
          <cell r="AT276">
            <v>41883</v>
          </cell>
          <cell r="AU276">
            <v>3</v>
          </cell>
          <cell r="AV276">
            <v>3</v>
          </cell>
          <cell r="AW276">
            <v>3</v>
          </cell>
          <cell r="AX276">
            <v>3</v>
          </cell>
          <cell r="AY276" t="str">
            <v>NULL</v>
          </cell>
          <cell r="AZ276" t="str">
            <v>NULL</v>
          </cell>
          <cell r="BA276" t="str">
            <v>NULL</v>
          </cell>
          <cell r="BB276" t="str">
            <v>NULL</v>
          </cell>
        </row>
        <row r="277">
          <cell r="D277">
            <v>105748</v>
          </cell>
          <cell r="E277">
            <v>3536015</v>
          </cell>
          <cell r="F277" t="str">
            <v>Bright Futures School for children with autism</v>
          </cell>
          <cell r="G277" t="str">
            <v>Other Independent Special School</v>
          </cell>
          <cell r="H277">
            <v>32646</v>
          </cell>
          <cell r="I277">
            <v>9</v>
          </cell>
          <cell r="J277" t="str">
            <v>North West</v>
          </cell>
          <cell r="K277" t="str">
            <v>North West</v>
          </cell>
          <cell r="L277" t="str">
            <v>Oldham</v>
          </cell>
          <cell r="M277" t="str">
            <v>Oldham East and Saddleworth</v>
          </cell>
          <cell r="N277" t="str">
            <v>OL4 4DW</v>
          </cell>
          <cell r="O277" t="str">
            <v>Not applicable</v>
          </cell>
          <cell r="P277">
            <v>5</v>
          </cell>
          <cell r="Q277">
            <v>18</v>
          </cell>
          <cell r="R277" t="str">
            <v>None</v>
          </cell>
          <cell r="S277" t="str">
            <v>Ofsted</v>
          </cell>
          <cell r="T277" t="str">
            <v>NULL</v>
          </cell>
          <cell r="U277" t="str">
            <v>NULL</v>
          </cell>
          <cell r="V277" t="str">
            <v>NULL</v>
          </cell>
          <cell r="W277" t="str">
            <v>NULL</v>
          </cell>
          <cell r="X277" t="str">
            <v>NULL</v>
          </cell>
          <cell r="Y277" t="str">
            <v>NULL</v>
          </cell>
          <cell r="Z277" t="str">
            <v>NULL</v>
          </cell>
          <cell r="AA277">
            <v>10008576</v>
          </cell>
          <cell r="AB277" t="str">
            <v>Independent School standard inspection</v>
          </cell>
          <cell r="AC277" t="str">
            <v>Independent Standard Inspection</v>
          </cell>
          <cell r="AD277">
            <v>42682</v>
          </cell>
          <cell r="AE277">
            <v>42684</v>
          </cell>
          <cell r="AF277">
            <v>42724</v>
          </cell>
          <cell r="AG277">
            <v>2</v>
          </cell>
          <cell r="AH277">
            <v>2</v>
          </cell>
          <cell r="AI277">
            <v>2</v>
          </cell>
          <cell r="AJ277">
            <v>2</v>
          </cell>
          <cell r="AK277">
            <v>2</v>
          </cell>
          <cell r="AL277" t="str">
            <v>NULL</v>
          </cell>
          <cell r="AM277">
            <v>3</v>
          </cell>
          <cell r="AN277" t="str">
            <v>Yes</v>
          </cell>
          <cell r="AO277" t="str">
            <v>ITS397592</v>
          </cell>
          <cell r="AP277" t="str">
            <v>Independent School standard inspection</v>
          </cell>
          <cell r="AQ277" t="str">
            <v>Independent Standard Inspection</v>
          </cell>
          <cell r="AR277">
            <v>41331</v>
          </cell>
          <cell r="AS277">
            <v>41332</v>
          </cell>
          <cell r="AT277">
            <v>41353</v>
          </cell>
          <cell r="AU277">
            <v>3</v>
          </cell>
          <cell r="AV277">
            <v>3</v>
          </cell>
          <cell r="AW277">
            <v>3</v>
          </cell>
          <cell r="AX277">
            <v>3</v>
          </cell>
          <cell r="AY277" t="str">
            <v>NULL</v>
          </cell>
          <cell r="AZ277" t="str">
            <v>NULL</v>
          </cell>
          <cell r="BA277" t="str">
            <v>NULL</v>
          </cell>
          <cell r="BB277" t="str">
            <v>NULL</v>
          </cell>
        </row>
        <row r="278">
          <cell r="D278">
            <v>134186</v>
          </cell>
          <cell r="E278">
            <v>8776001</v>
          </cell>
          <cell r="F278" t="str">
            <v>Bright Futures</v>
          </cell>
          <cell r="G278" t="str">
            <v>Other Independent Special School</v>
          </cell>
          <cell r="H278">
            <v>37727</v>
          </cell>
          <cell r="I278">
            <v>33</v>
          </cell>
          <cell r="J278" t="str">
            <v>North West</v>
          </cell>
          <cell r="K278" t="str">
            <v>North West</v>
          </cell>
          <cell r="L278" t="str">
            <v>Warrington</v>
          </cell>
          <cell r="M278" t="str">
            <v>Warrington South</v>
          </cell>
          <cell r="N278" t="str">
            <v>WA13 0GH</v>
          </cell>
          <cell r="O278" t="str">
            <v>Not applicable</v>
          </cell>
          <cell r="P278">
            <v>5</v>
          </cell>
          <cell r="Q278">
            <v>25</v>
          </cell>
          <cell r="R278" t="str">
            <v>None</v>
          </cell>
          <cell r="S278" t="str">
            <v>Ofsted</v>
          </cell>
          <cell r="T278" t="str">
            <v>NULL</v>
          </cell>
          <cell r="U278" t="str">
            <v>NULL</v>
          </cell>
          <cell r="V278" t="str">
            <v>NULL</v>
          </cell>
          <cell r="W278" t="str">
            <v>NULL</v>
          </cell>
          <cell r="X278" t="str">
            <v>NULL</v>
          </cell>
          <cell r="Y278" t="str">
            <v>NULL</v>
          </cell>
          <cell r="Z278" t="str">
            <v>NULL</v>
          </cell>
          <cell r="AA278">
            <v>10026010</v>
          </cell>
          <cell r="AB278" t="str">
            <v>Independent school standard inspection - aligned with CH</v>
          </cell>
          <cell r="AC278" t="str">
            <v>Independent Standard Inspection</v>
          </cell>
          <cell r="AD278">
            <v>43018</v>
          </cell>
          <cell r="AE278">
            <v>43020</v>
          </cell>
          <cell r="AF278">
            <v>43061</v>
          </cell>
          <cell r="AG278">
            <v>1</v>
          </cell>
          <cell r="AH278">
            <v>1</v>
          </cell>
          <cell r="AI278">
            <v>1</v>
          </cell>
          <cell r="AJ278">
            <v>1</v>
          </cell>
          <cell r="AK278">
            <v>1</v>
          </cell>
          <cell r="AL278" t="str">
            <v>NULL</v>
          </cell>
          <cell r="AM278">
            <v>1</v>
          </cell>
          <cell r="AN278" t="str">
            <v>Yes</v>
          </cell>
          <cell r="AO278" t="str">
            <v>ITS442990</v>
          </cell>
          <cell r="AP278" t="str">
            <v>Independent School standard inspection</v>
          </cell>
          <cell r="AQ278" t="str">
            <v>Independent Standard Inspection</v>
          </cell>
          <cell r="AR278">
            <v>41702</v>
          </cell>
          <cell r="AS278">
            <v>41704</v>
          </cell>
          <cell r="AT278">
            <v>41725</v>
          </cell>
          <cell r="AU278">
            <v>1</v>
          </cell>
          <cell r="AV278">
            <v>1</v>
          </cell>
          <cell r="AW278">
            <v>1</v>
          </cell>
          <cell r="AX278">
            <v>1</v>
          </cell>
          <cell r="AY278" t="str">
            <v>NULL</v>
          </cell>
          <cell r="AZ278" t="str">
            <v>NULL</v>
          </cell>
          <cell r="BA278" t="str">
            <v>NULL</v>
          </cell>
          <cell r="BB278" t="str">
            <v>NULL</v>
          </cell>
        </row>
        <row r="279">
          <cell r="D279">
            <v>135303</v>
          </cell>
          <cell r="E279">
            <v>8886099</v>
          </cell>
          <cell r="F279" t="str">
            <v>Broadclough Lodge</v>
          </cell>
          <cell r="G279" t="str">
            <v>Other Independent Special School</v>
          </cell>
          <cell r="H279">
            <v>39247</v>
          </cell>
          <cell r="I279">
            <v>3</v>
          </cell>
          <cell r="J279" t="str">
            <v>North West</v>
          </cell>
          <cell r="K279" t="str">
            <v>North West</v>
          </cell>
          <cell r="L279" t="str">
            <v>Lancashire</v>
          </cell>
          <cell r="M279" t="str">
            <v>Rossendale and Darwen</v>
          </cell>
          <cell r="N279" t="str">
            <v>OL13 8DF</v>
          </cell>
          <cell r="O279" t="str">
            <v>Not applicable</v>
          </cell>
          <cell r="P279">
            <v>8</v>
          </cell>
          <cell r="Q279">
            <v>18</v>
          </cell>
          <cell r="R279" t="str">
            <v>None</v>
          </cell>
          <cell r="S279" t="str">
            <v>Ofsted</v>
          </cell>
          <cell r="T279" t="str">
            <v>NULL</v>
          </cell>
          <cell r="U279" t="str">
            <v>NULL</v>
          </cell>
          <cell r="V279" t="str">
            <v>NULL</v>
          </cell>
          <cell r="W279" t="str">
            <v>NULL</v>
          </cell>
          <cell r="X279" t="str">
            <v>NULL</v>
          </cell>
          <cell r="Y279" t="str">
            <v>NULL</v>
          </cell>
          <cell r="Z279" t="str">
            <v>NULL</v>
          </cell>
          <cell r="AA279">
            <v>10038928</v>
          </cell>
          <cell r="AB279" t="str">
            <v>Independent school standard inspection - aligned with CH</v>
          </cell>
          <cell r="AC279" t="str">
            <v>Independent Standard Inspection</v>
          </cell>
          <cell r="AD279">
            <v>43075</v>
          </cell>
          <cell r="AE279">
            <v>43076</v>
          </cell>
          <cell r="AF279">
            <v>43126</v>
          </cell>
          <cell r="AG279">
            <v>3</v>
          </cell>
          <cell r="AH279">
            <v>2</v>
          </cell>
          <cell r="AI279">
            <v>2</v>
          </cell>
          <cell r="AJ279">
            <v>3</v>
          </cell>
          <cell r="AK279">
            <v>2</v>
          </cell>
          <cell r="AL279" t="str">
            <v>NULL</v>
          </cell>
          <cell r="AM279" t="str">
            <v>NULL</v>
          </cell>
          <cell r="AN279" t="str">
            <v>Yes</v>
          </cell>
          <cell r="AO279" t="str">
            <v>ITS446281</v>
          </cell>
          <cell r="AP279" t="str">
            <v>Independent school standard inspection - aligned with CH</v>
          </cell>
          <cell r="AQ279" t="str">
            <v>Independent Standard Inspection</v>
          </cell>
          <cell r="AR279">
            <v>41955</v>
          </cell>
          <cell r="AS279">
            <v>41956</v>
          </cell>
          <cell r="AT279">
            <v>41989</v>
          </cell>
          <cell r="AU279">
            <v>3</v>
          </cell>
          <cell r="AV279">
            <v>2</v>
          </cell>
          <cell r="AW279">
            <v>2</v>
          </cell>
          <cell r="AX279">
            <v>3</v>
          </cell>
          <cell r="AY279" t="str">
            <v>NULL</v>
          </cell>
          <cell r="AZ279">
            <v>9</v>
          </cell>
          <cell r="BA279">
            <v>9</v>
          </cell>
          <cell r="BB279" t="str">
            <v>NULL</v>
          </cell>
        </row>
        <row r="280">
          <cell r="D280">
            <v>135252</v>
          </cell>
          <cell r="E280">
            <v>9356086</v>
          </cell>
          <cell r="F280" t="str">
            <v>Broadlands Hall</v>
          </cell>
          <cell r="G280" t="str">
            <v>Other Independent Special School</v>
          </cell>
          <cell r="H280">
            <v>39203</v>
          </cell>
          <cell r="I280">
            <v>15</v>
          </cell>
          <cell r="J280" t="str">
            <v>East of England</v>
          </cell>
          <cell r="K280" t="str">
            <v>East of England</v>
          </cell>
          <cell r="L280" t="str">
            <v>Suffolk</v>
          </cell>
          <cell r="M280" t="str">
            <v>West Suffolk</v>
          </cell>
          <cell r="N280" t="str">
            <v>CB9 7UD</v>
          </cell>
          <cell r="O280" t="str">
            <v>Not applicable</v>
          </cell>
          <cell r="P280">
            <v>11</v>
          </cell>
          <cell r="Q280">
            <v>20</v>
          </cell>
          <cell r="R280" t="str">
            <v>None</v>
          </cell>
          <cell r="S280" t="str">
            <v>Ofsted</v>
          </cell>
          <cell r="T280" t="str">
            <v>NULL</v>
          </cell>
          <cell r="U280" t="str">
            <v>NULL</v>
          </cell>
          <cell r="V280" t="str">
            <v>NULL</v>
          </cell>
          <cell r="W280" t="str">
            <v>NULL</v>
          </cell>
          <cell r="X280" t="str">
            <v>NULL</v>
          </cell>
          <cell r="Y280" t="str">
            <v>NULL</v>
          </cell>
          <cell r="Z280" t="str">
            <v>NULL</v>
          </cell>
          <cell r="AA280">
            <v>10030847</v>
          </cell>
          <cell r="AB280" t="str">
            <v>Independent school standard inspection - aligned with CH</v>
          </cell>
          <cell r="AC280" t="str">
            <v>Independent Standard Inspection</v>
          </cell>
          <cell r="AD280">
            <v>42864</v>
          </cell>
          <cell r="AE280">
            <v>42866</v>
          </cell>
          <cell r="AF280">
            <v>42907</v>
          </cell>
          <cell r="AG280">
            <v>2</v>
          </cell>
          <cell r="AH280">
            <v>2</v>
          </cell>
          <cell r="AI280">
            <v>2</v>
          </cell>
          <cell r="AJ280">
            <v>2</v>
          </cell>
          <cell r="AK280">
            <v>1</v>
          </cell>
          <cell r="AL280" t="str">
            <v>NULL</v>
          </cell>
          <cell r="AM280">
            <v>2</v>
          </cell>
          <cell r="AN280" t="str">
            <v>Yes</v>
          </cell>
          <cell r="AO280" t="str">
            <v>ITS446244</v>
          </cell>
          <cell r="AP280" t="str">
            <v>Independent School standard inspection</v>
          </cell>
          <cell r="AQ280" t="str">
            <v>Independent Standard Inspection</v>
          </cell>
          <cell r="AR280">
            <v>41968</v>
          </cell>
          <cell r="AS280">
            <v>41970</v>
          </cell>
          <cell r="AT280">
            <v>42017</v>
          </cell>
          <cell r="AU280">
            <v>4</v>
          </cell>
          <cell r="AV280">
            <v>4</v>
          </cell>
          <cell r="AW280">
            <v>4</v>
          </cell>
          <cell r="AX280">
            <v>4</v>
          </cell>
          <cell r="AY280" t="str">
            <v>NULL</v>
          </cell>
          <cell r="AZ280">
            <v>9</v>
          </cell>
          <cell r="BA280">
            <v>4</v>
          </cell>
          <cell r="BB280" t="str">
            <v>NULL</v>
          </cell>
        </row>
        <row r="281">
          <cell r="D281">
            <v>133989</v>
          </cell>
          <cell r="E281">
            <v>8606026</v>
          </cell>
          <cell r="F281" t="str">
            <v>Draycott Moor College</v>
          </cell>
          <cell r="G281" t="str">
            <v>Other Independent Special School</v>
          </cell>
          <cell r="H281">
            <v>37554</v>
          </cell>
          <cell r="I281">
            <v>29</v>
          </cell>
          <cell r="J281" t="str">
            <v>West Midlands</v>
          </cell>
          <cell r="K281" t="str">
            <v>West Midlands</v>
          </cell>
          <cell r="L281" t="str">
            <v>Staffordshire</v>
          </cell>
          <cell r="M281" t="str">
            <v>Stone</v>
          </cell>
          <cell r="N281" t="str">
            <v>ST11 9AH</v>
          </cell>
          <cell r="O281" t="str">
            <v>Not applicable</v>
          </cell>
          <cell r="P281">
            <v>10</v>
          </cell>
          <cell r="Q281">
            <v>17</v>
          </cell>
          <cell r="R281" t="str">
            <v>None</v>
          </cell>
          <cell r="S281" t="str">
            <v>Ofsted</v>
          </cell>
          <cell r="T281">
            <v>2</v>
          </cell>
          <cell r="U281">
            <v>10040567</v>
          </cell>
          <cell r="V281" t="str">
            <v>Independent school Progress Monitoring inspection</v>
          </cell>
          <cell r="W281">
            <v>42998</v>
          </cell>
          <cell r="X281">
            <v>42998</v>
          </cell>
          <cell r="Y281">
            <v>43025</v>
          </cell>
          <cell r="Z281" t="str">
            <v>Met all standards that were checked</v>
          </cell>
          <cell r="AA281">
            <v>10006319</v>
          </cell>
          <cell r="AB281" t="str">
            <v>Independent School standard inspection</v>
          </cell>
          <cell r="AC281" t="str">
            <v>Independent Standard Inspection</v>
          </cell>
          <cell r="AD281">
            <v>42759</v>
          </cell>
          <cell r="AE281">
            <v>42761</v>
          </cell>
          <cell r="AF281">
            <v>42816</v>
          </cell>
          <cell r="AG281">
            <v>4</v>
          </cell>
          <cell r="AH281">
            <v>3</v>
          </cell>
          <cell r="AI281">
            <v>3</v>
          </cell>
          <cell r="AJ281">
            <v>4</v>
          </cell>
          <cell r="AK281">
            <v>4</v>
          </cell>
          <cell r="AL281" t="str">
            <v>NULL</v>
          </cell>
          <cell r="AM281" t="str">
            <v>NULL</v>
          </cell>
          <cell r="AN281" t="str">
            <v>No</v>
          </cell>
          <cell r="AO281" t="str">
            <v>ITS397562</v>
          </cell>
          <cell r="AP281" t="str">
            <v>Independent School standard inspection</v>
          </cell>
          <cell r="AQ281" t="str">
            <v>Independent Standard Inspection</v>
          </cell>
          <cell r="AR281">
            <v>41030</v>
          </cell>
          <cell r="AS281">
            <v>41031</v>
          </cell>
          <cell r="AT281">
            <v>41054</v>
          </cell>
          <cell r="AU281">
            <v>2</v>
          </cell>
          <cell r="AV281">
            <v>2</v>
          </cell>
          <cell r="AW281">
            <v>2</v>
          </cell>
          <cell r="AX281" t="str">
            <v>NULL</v>
          </cell>
          <cell r="AY281" t="str">
            <v>NULL</v>
          </cell>
          <cell r="AZ281">
            <v>8</v>
          </cell>
          <cell r="BA281" t="str">
            <v>NULL</v>
          </cell>
          <cell r="BB281" t="str">
            <v>NULL</v>
          </cell>
        </row>
        <row r="282">
          <cell r="D282">
            <v>134594</v>
          </cell>
          <cell r="E282">
            <v>3156081</v>
          </cell>
          <cell r="F282" t="str">
            <v>Eagle House School</v>
          </cell>
          <cell r="G282" t="str">
            <v>Other Independent Special School</v>
          </cell>
          <cell r="H282">
            <v>37972</v>
          </cell>
          <cell r="I282">
            <v>61</v>
          </cell>
          <cell r="J282" t="str">
            <v>London</v>
          </cell>
          <cell r="K282" t="str">
            <v>London</v>
          </cell>
          <cell r="L282" t="str">
            <v>Merton</v>
          </cell>
          <cell r="M282" t="str">
            <v>Mitcham and Morden</v>
          </cell>
          <cell r="N282" t="str">
            <v>CR4 3HD</v>
          </cell>
          <cell r="O282" t="str">
            <v>Not applicable</v>
          </cell>
          <cell r="P282">
            <v>4</v>
          </cell>
          <cell r="Q282">
            <v>12</v>
          </cell>
          <cell r="R282" t="str">
            <v>None</v>
          </cell>
          <cell r="S282" t="str">
            <v>Ofsted</v>
          </cell>
          <cell r="T282" t="str">
            <v>NULL</v>
          </cell>
          <cell r="U282" t="str">
            <v>NULL</v>
          </cell>
          <cell r="V282" t="str">
            <v>NULL</v>
          </cell>
          <cell r="W282" t="str">
            <v>NULL</v>
          </cell>
          <cell r="X282" t="str">
            <v>NULL</v>
          </cell>
          <cell r="Y282" t="str">
            <v>NULL</v>
          </cell>
          <cell r="Z282" t="str">
            <v>NULL</v>
          </cell>
          <cell r="AA282">
            <v>10038170</v>
          </cell>
          <cell r="AB282" t="str">
            <v>Independent School standard inspection</v>
          </cell>
          <cell r="AC282" t="str">
            <v>Independent Standard Inspection</v>
          </cell>
          <cell r="AD282">
            <v>43053</v>
          </cell>
          <cell r="AE282">
            <v>43055</v>
          </cell>
          <cell r="AF282">
            <v>43089</v>
          </cell>
          <cell r="AG282">
            <v>2</v>
          </cell>
          <cell r="AH282">
            <v>2</v>
          </cell>
          <cell r="AI282">
            <v>2</v>
          </cell>
          <cell r="AJ282">
            <v>2</v>
          </cell>
          <cell r="AK282">
            <v>2</v>
          </cell>
          <cell r="AL282">
            <v>2</v>
          </cell>
          <cell r="AM282" t="str">
            <v>NULL</v>
          </cell>
          <cell r="AN282" t="str">
            <v>Yes</v>
          </cell>
          <cell r="AO282" t="str">
            <v>ITS451960</v>
          </cell>
          <cell r="AP282" t="str">
            <v>Independent School standard inspection</v>
          </cell>
          <cell r="AQ282" t="str">
            <v>Independent Standard Inspection</v>
          </cell>
          <cell r="AR282">
            <v>41961</v>
          </cell>
          <cell r="AS282">
            <v>41963</v>
          </cell>
          <cell r="AT282">
            <v>42039</v>
          </cell>
          <cell r="AU282">
            <v>2</v>
          </cell>
          <cell r="AV282">
            <v>2</v>
          </cell>
          <cell r="AW282">
            <v>2</v>
          </cell>
          <cell r="AX282">
            <v>1</v>
          </cell>
          <cell r="AY282" t="str">
            <v>NULL</v>
          </cell>
          <cell r="AZ282">
            <v>2</v>
          </cell>
          <cell r="BA282">
            <v>9</v>
          </cell>
          <cell r="BB282" t="str">
            <v>NULL</v>
          </cell>
        </row>
        <row r="283">
          <cell r="D283">
            <v>135801</v>
          </cell>
          <cell r="E283">
            <v>3196074</v>
          </cell>
          <cell r="F283" t="str">
            <v>Eagle House School Sutton</v>
          </cell>
          <cell r="G283" t="str">
            <v>Other Independent Special School</v>
          </cell>
          <cell r="H283">
            <v>39861</v>
          </cell>
          <cell r="I283">
            <v>74</v>
          </cell>
          <cell r="J283" t="str">
            <v>London</v>
          </cell>
          <cell r="K283" t="str">
            <v>London</v>
          </cell>
          <cell r="L283" t="str">
            <v>Sutton</v>
          </cell>
          <cell r="M283" t="str">
            <v>Sutton and Cheam</v>
          </cell>
          <cell r="N283" t="str">
            <v>SM2 5SJ</v>
          </cell>
          <cell r="O283" t="str">
            <v>Has a sixth form</v>
          </cell>
          <cell r="P283">
            <v>11</v>
          </cell>
          <cell r="Q283">
            <v>19</v>
          </cell>
          <cell r="R283" t="str">
            <v>None</v>
          </cell>
          <cell r="S283" t="str">
            <v>Ofsted</v>
          </cell>
          <cell r="T283" t="str">
            <v>NULL</v>
          </cell>
          <cell r="U283" t="str">
            <v>NULL</v>
          </cell>
          <cell r="V283" t="str">
            <v>NULL</v>
          </cell>
          <cell r="W283" t="str">
            <v>NULL</v>
          </cell>
          <cell r="X283" t="str">
            <v>NULL</v>
          </cell>
          <cell r="Y283" t="str">
            <v>NULL</v>
          </cell>
          <cell r="Z283" t="str">
            <v>NULL</v>
          </cell>
          <cell r="AA283" t="str">
            <v>ITS420201</v>
          </cell>
          <cell r="AB283" t="str">
            <v>Independent School standard inspection</v>
          </cell>
          <cell r="AC283" t="str">
            <v>Independent Standard Inspection</v>
          </cell>
          <cell r="AD283">
            <v>41527</v>
          </cell>
          <cell r="AE283">
            <v>41529</v>
          </cell>
          <cell r="AF283">
            <v>41549</v>
          </cell>
          <cell r="AG283">
            <v>2</v>
          </cell>
          <cell r="AH283">
            <v>2</v>
          </cell>
          <cell r="AI283">
            <v>2</v>
          </cell>
          <cell r="AJ283">
            <v>2</v>
          </cell>
          <cell r="AK283" t="str">
            <v>NULL</v>
          </cell>
          <cell r="AL283" t="str">
            <v>NULL</v>
          </cell>
          <cell r="AM283" t="str">
            <v>NULL</v>
          </cell>
          <cell r="AN283" t="str">
            <v>NULL</v>
          </cell>
          <cell r="AO283" t="str">
            <v>ITS345386</v>
          </cell>
          <cell r="AP283" t="str">
            <v>Independent School standard inspection</v>
          </cell>
          <cell r="AQ283" t="str">
            <v>Independent Standard Inspection</v>
          </cell>
          <cell r="AR283">
            <v>40247</v>
          </cell>
          <cell r="AS283">
            <v>40248</v>
          </cell>
          <cell r="AT283">
            <v>40270</v>
          </cell>
          <cell r="AU283">
            <v>3</v>
          </cell>
          <cell r="AV283">
            <v>3</v>
          </cell>
          <cell r="AW283">
            <v>3</v>
          </cell>
          <cell r="AX283" t="str">
            <v>NULL</v>
          </cell>
          <cell r="AY283" t="str">
            <v>NULL</v>
          </cell>
          <cell r="AZ283">
            <v>8</v>
          </cell>
          <cell r="BA283" t="str">
            <v>NULL</v>
          </cell>
          <cell r="BB283" t="str">
            <v>NULL</v>
          </cell>
        </row>
        <row r="284">
          <cell r="D284">
            <v>136052</v>
          </cell>
          <cell r="E284">
            <v>3166072</v>
          </cell>
          <cell r="F284" t="str">
            <v>East London Independent Special School</v>
          </cell>
          <cell r="G284" t="str">
            <v>Other Independent Special School</v>
          </cell>
          <cell r="H284">
            <v>40183</v>
          </cell>
          <cell r="I284">
            <v>68</v>
          </cell>
          <cell r="J284" t="str">
            <v>London</v>
          </cell>
          <cell r="K284" t="str">
            <v>London</v>
          </cell>
          <cell r="L284" t="str">
            <v>Newham</v>
          </cell>
          <cell r="M284" t="str">
            <v>West Ham</v>
          </cell>
          <cell r="N284" t="str">
            <v>E15 4HT</v>
          </cell>
          <cell r="O284" t="str">
            <v>Not applicable</v>
          </cell>
          <cell r="P284">
            <v>7</v>
          </cell>
          <cell r="Q284">
            <v>19</v>
          </cell>
          <cell r="R284" t="str">
            <v>None</v>
          </cell>
          <cell r="S284" t="str">
            <v>Ofsted</v>
          </cell>
          <cell r="T284">
            <v>2</v>
          </cell>
          <cell r="U284">
            <v>10021165</v>
          </cell>
          <cell r="V284" t="str">
            <v>Independent school emergency inspection</v>
          </cell>
          <cell r="W284">
            <v>42620</v>
          </cell>
          <cell r="X284">
            <v>42620</v>
          </cell>
          <cell r="Y284">
            <v>42642</v>
          </cell>
          <cell r="Z284" t="str">
            <v>No unmet standards</v>
          </cell>
          <cell r="AA284" t="str">
            <v>ITS422826</v>
          </cell>
          <cell r="AB284" t="str">
            <v>Independent School standard inspection</v>
          </cell>
          <cell r="AC284" t="str">
            <v>Independent Standard Inspection</v>
          </cell>
          <cell r="AD284">
            <v>41723</v>
          </cell>
          <cell r="AE284">
            <v>41725</v>
          </cell>
          <cell r="AF284">
            <v>41757</v>
          </cell>
          <cell r="AG284">
            <v>1</v>
          </cell>
          <cell r="AH284">
            <v>1</v>
          </cell>
          <cell r="AI284">
            <v>1</v>
          </cell>
          <cell r="AJ284">
            <v>1</v>
          </cell>
          <cell r="AK284" t="str">
            <v>NULL</v>
          </cell>
          <cell r="AL284" t="str">
            <v>NULL</v>
          </cell>
          <cell r="AM284" t="str">
            <v>NULL</v>
          </cell>
          <cell r="AN284" t="str">
            <v>NULL</v>
          </cell>
          <cell r="AO284" t="str">
            <v>ITS364149</v>
          </cell>
          <cell r="AP284" t="str">
            <v>Independent School standard inspection</v>
          </cell>
          <cell r="AQ284" t="str">
            <v>Independent Standard Inspection</v>
          </cell>
          <cell r="AR284">
            <v>40492</v>
          </cell>
          <cell r="AS284">
            <v>40493</v>
          </cell>
          <cell r="AT284">
            <v>40514</v>
          </cell>
          <cell r="AU284">
            <v>2</v>
          </cell>
          <cell r="AV284">
            <v>2</v>
          </cell>
          <cell r="AW284">
            <v>2</v>
          </cell>
          <cell r="AX284" t="str">
            <v>NULL</v>
          </cell>
          <cell r="AY284" t="str">
            <v>NULL</v>
          </cell>
          <cell r="AZ284">
            <v>8</v>
          </cell>
          <cell r="BA284" t="str">
            <v>NULL</v>
          </cell>
          <cell r="BB284" t="str">
            <v>NULL</v>
          </cell>
        </row>
        <row r="285">
          <cell r="D285">
            <v>131780</v>
          </cell>
          <cell r="E285">
            <v>8866084</v>
          </cell>
          <cell r="F285" t="str">
            <v>Greenfields School</v>
          </cell>
          <cell r="G285" t="str">
            <v>Other Independent Special School</v>
          </cell>
          <cell r="H285">
            <v>36234</v>
          </cell>
          <cell r="I285">
            <v>12</v>
          </cell>
          <cell r="J285" t="str">
            <v>South East</v>
          </cell>
          <cell r="K285" t="str">
            <v>South East</v>
          </cell>
          <cell r="L285" t="str">
            <v>Kent</v>
          </cell>
          <cell r="M285" t="str">
            <v>Ashford</v>
          </cell>
          <cell r="N285" t="str">
            <v>TN27 8BE</v>
          </cell>
          <cell r="O285" t="str">
            <v>Not applicable</v>
          </cell>
          <cell r="P285">
            <v>5</v>
          </cell>
          <cell r="Q285">
            <v>14</v>
          </cell>
          <cell r="R285" t="str">
            <v>None</v>
          </cell>
          <cell r="S285" t="str">
            <v>Ofsted</v>
          </cell>
          <cell r="T285" t="str">
            <v>NULL</v>
          </cell>
          <cell r="U285" t="str">
            <v>NULL</v>
          </cell>
          <cell r="V285" t="str">
            <v>NULL</v>
          </cell>
          <cell r="W285" t="str">
            <v>NULL</v>
          </cell>
          <cell r="X285" t="str">
            <v>NULL</v>
          </cell>
          <cell r="Y285" t="str">
            <v>NULL</v>
          </cell>
          <cell r="Z285" t="str">
            <v>NULL</v>
          </cell>
          <cell r="AA285">
            <v>10006331</v>
          </cell>
          <cell r="AB285" t="str">
            <v>Independent School standard inspection</v>
          </cell>
          <cell r="AC285" t="str">
            <v>Independent Standard Inspection</v>
          </cell>
          <cell r="AD285">
            <v>42913</v>
          </cell>
          <cell r="AE285">
            <v>42915</v>
          </cell>
          <cell r="AF285">
            <v>42936</v>
          </cell>
          <cell r="AG285">
            <v>2</v>
          </cell>
          <cell r="AH285">
            <v>2</v>
          </cell>
          <cell r="AI285">
            <v>2</v>
          </cell>
          <cell r="AJ285">
            <v>2</v>
          </cell>
          <cell r="AK285">
            <v>2</v>
          </cell>
          <cell r="AL285" t="str">
            <v>NULL</v>
          </cell>
          <cell r="AM285" t="str">
            <v>NULL</v>
          </cell>
          <cell r="AN285" t="str">
            <v>Yes</v>
          </cell>
          <cell r="AO285" t="str">
            <v>ITS393322</v>
          </cell>
          <cell r="AP285" t="str">
            <v>Independent School standard inspection</v>
          </cell>
          <cell r="AQ285" t="str">
            <v>Independent Standard Inspection</v>
          </cell>
          <cell r="AR285">
            <v>41044</v>
          </cell>
          <cell r="AS285">
            <v>41045</v>
          </cell>
          <cell r="AT285">
            <v>41066</v>
          </cell>
          <cell r="AU285">
            <v>2</v>
          </cell>
          <cell r="AV285">
            <v>2</v>
          </cell>
          <cell r="AW285">
            <v>2</v>
          </cell>
          <cell r="AX285" t="str">
            <v>NULL</v>
          </cell>
          <cell r="AY285" t="str">
            <v>NULL</v>
          </cell>
          <cell r="AZ285">
            <v>8</v>
          </cell>
          <cell r="BA285" t="str">
            <v>NULL</v>
          </cell>
          <cell r="BB285" t="str">
            <v>NULL</v>
          </cell>
        </row>
        <row r="286">
          <cell r="D286">
            <v>136047</v>
          </cell>
          <cell r="E286">
            <v>8736048</v>
          </cell>
          <cell r="F286" t="str">
            <v>Gretton School</v>
          </cell>
          <cell r="G286" t="str">
            <v>Other Independent Special School</v>
          </cell>
          <cell r="H286">
            <v>40183</v>
          </cell>
          <cell r="I286">
            <v>91</v>
          </cell>
          <cell r="J286" t="str">
            <v>East of England</v>
          </cell>
          <cell r="K286" t="str">
            <v>East of England</v>
          </cell>
          <cell r="L286" t="str">
            <v>Cambridgeshire</v>
          </cell>
          <cell r="M286" t="str">
            <v>South Cambridgeshire</v>
          </cell>
          <cell r="N286" t="str">
            <v>CB3 0RX</v>
          </cell>
          <cell r="O286" t="str">
            <v>Has a sixth form</v>
          </cell>
          <cell r="P286">
            <v>5</v>
          </cell>
          <cell r="Q286">
            <v>19</v>
          </cell>
          <cell r="R286" t="str">
            <v>None</v>
          </cell>
          <cell r="S286" t="str">
            <v>Ofsted</v>
          </cell>
          <cell r="T286" t="str">
            <v>NULL</v>
          </cell>
          <cell r="U286" t="str">
            <v>NULL</v>
          </cell>
          <cell r="V286" t="str">
            <v>NULL</v>
          </cell>
          <cell r="W286" t="str">
            <v>NULL</v>
          </cell>
          <cell r="X286" t="str">
            <v>NULL</v>
          </cell>
          <cell r="Y286" t="str">
            <v>NULL</v>
          </cell>
          <cell r="Z286" t="str">
            <v>NULL</v>
          </cell>
          <cell r="AA286">
            <v>10020939</v>
          </cell>
          <cell r="AB286" t="str">
            <v xml:space="preserve">Independent School standard inspection - integrated </v>
          </cell>
          <cell r="AC286" t="str">
            <v>Independent Standard Inspection</v>
          </cell>
          <cell r="AD286">
            <v>42788</v>
          </cell>
          <cell r="AE286">
            <v>42790</v>
          </cell>
          <cell r="AF286">
            <v>42850</v>
          </cell>
          <cell r="AG286">
            <v>2</v>
          </cell>
          <cell r="AH286">
            <v>2</v>
          </cell>
          <cell r="AI286">
            <v>2</v>
          </cell>
          <cell r="AJ286">
            <v>2</v>
          </cell>
          <cell r="AK286">
            <v>2</v>
          </cell>
          <cell r="AL286" t="str">
            <v>NULL</v>
          </cell>
          <cell r="AM286">
            <v>2</v>
          </cell>
          <cell r="AN286" t="str">
            <v>Yes</v>
          </cell>
          <cell r="AO286" t="str">
            <v>ITS422825</v>
          </cell>
          <cell r="AP286" t="str">
            <v xml:space="preserve">Independent School standard inspection - integrated </v>
          </cell>
          <cell r="AQ286" t="str">
            <v>Independent Standard Inspection</v>
          </cell>
          <cell r="AR286">
            <v>41590</v>
          </cell>
          <cell r="AS286">
            <v>41592</v>
          </cell>
          <cell r="AT286">
            <v>41618</v>
          </cell>
          <cell r="AU286">
            <v>2</v>
          </cell>
          <cell r="AV286">
            <v>2</v>
          </cell>
          <cell r="AW286">
            <v>2</v>
          </cell>
          <cell r="AX286">
            <v>2</v>
          </cell>
          <cell r="AY286" t="str">
            <v>NULL</v>
          </cell>
          <cell r="AZ286" t="str">
            <v>NULL</v>
          </cell>
          <cell r="BA286" t="str">
            <v>NULL</v>
          </cell>
          <cell r="BB286" t="str">
            <v>NULL</v>
          </cell>
        </row>
        <row r="287">
          <cell r="D287">
            <v>135530</v>
          </cell>
          <cell r="E287">
            <v>8556041</v>
          </cell>
          <cell r="F287" t="str">
            <v>Gryphon School</v>
          </cell>
          <cell r="G287" t="str">
            <v>Other Independent Special School</v>
          </cell>
          <cell r="H287">
            <v>39527</v>
          </cell>
          <cell r="I287">
            <v>44</v>
          </cell>
          <cell r="J287" t="str">
            <v>East Midlands</v>
          </cell>
          <cell r="K287" t="str">
            <v>East Midlands</v>
          </cell>
          <cell r="L287" t="str">
            <v>Leicestershire</v>
          </cell>
          <cell r="M287" t="str">
            <v>Loughborough</v>
          </cell>
          <cell r="N287" t="str">
            <v>LE12 8BQ</v>
          </cell>
          <cell r="O287" t="str">
            <v>Has a sixth form</v>
          </cell>
          <cell r="P287">
            <v>6</v>
          </cell>
          <cell r="Q287">
            <v>17</v>
          </cell>
          <cell r="R287" t="str">
            <v>None</v>
          </cell>
          <cell r="S287" t="str">
            <v>Ofsted</v>
          </cell>
          <cell r="T287" t="str">
            <v>NULL</v>
          </cell>
          <cell r="U287" t="str">
            <v>NULL</v>
          </cell>
          <cell r="V287" t="str">
            <v>NULL</v>
          </cell>
          <cell r="W287" t="str">
            <v>NULL</v>
          </cell>
          <cell r="X287" t="str">
            <v>NULL</v>
          </cell>
          <cell r="Y287" t="str">
            <v>NULL</v>
          </cell>
          <cell r="Z287" t="str">
            <v>NULL</v>
          </cell>
          <cell r="AA287">
            <v>10006067</v>
          </cell>
          <cell r="AB287" t="str">
            <v>Independent School standard inspection</v>
          </cell>
          <cell r="AC287" t="str">
            <v>Independent Standard Inspection</v>
          </cell>
          <cell r="AD287">
            <v>42507</v>
          </cell>
          <cell r="AE287">
            <v>42509</v>
          </cell>
          <cell r="AF287">
            <v>42534</v>
          </cell>
          <cell r="AG287">
            <v>1</v>
          </cell>
          <cell r="AH287">
            <v>1</v>
          </cell>
          <cell r="AI287">
            <v>1</v>
          </cell>
          <cell r="AJ287">
            <v>1</v>
          </cell>
          <cell r="AK287">
            <v>1</v>
          </cell>
          <cell r="AL287" t="str">
            <v>NULL</v>
          </cell>
          <cell r="AM287" t="str">
            <v>NULL</v>
          </cell>
          <cell r="AN287" t="str">
            <v>Yes</v>
          </cell>
          <cell r="AO287" t="str">
            <v>ITS397662</v>
          </cell>
          <cell r="AP287" t="str">
            <v>Independent School standard inspection</v>
          </cell>
          <cell r="AQ287" t="str">
            <v>Independent Standard Inspection</v>
          </cell>
          <cell r="AR287">
            <v>41191</v>
          </cell>
          <cell r="AS287">
            <v>41192</v>
          </cell>
          <cell r="AT287">
            <v>41214</v>
          </cell>
          <cell r="AU287">
            <v>1</v>
          </cell>
          <cell r="AV287">
            <v>1</v>
          </cell>
          <cell r="AW287">
            <v>1</v>
          </cell>
          <cell r="AX287" t="str">
            <v>NULL</v>
          </cell>
          <cell r="AY287" t="str">
            <v>NULL</v>
          </cell>
          <cell r="AZ287">
            <v>8</v>
          </cell>
          <cell r="BA287" t="str">
            <v>NULL</v>
          </cell>
          <cell r="BB287" t="str">
            <v>NULL</v>
          </cell>
        </row>
        <row r="288">
          <cell r="D288">
            <v>135512</v>
          </cell>
          <cell r="E288">
            <v>8766012</v>
          </cell>
          <cell r="F288" t="str">
            <v>Halton House School</v>
          </cell>
          <cell r="G288" t="str">
            <v>Other Independent Special School</v>
          </cell>
          <cell r="H288">
            <v>39503</v>
          </cell>
          <cell r="I288">
            <v>8</v>
          </cell>
          <cell r="J288" t="str">
            <v>North West</v>
          </cell>
          <cell r="K288" t="str">
            <v>North West</v>
          </cell>
          <cell r="L288" t="str">
            <v>Halton</v>
          </cell>
          <cell r="M288" t="str">
            <v>Weaver Vale</v>
          </cell>
          <cell r="N288" t="str">
            <v>WA7 3EW</v>
          </cell>
          <cell r="O288" t="str">
            <v>Not applicable</v>
          </cell>
          <cell r="P288">
            <v>8</v>
          </cell>
          <cell r="Q288">
            <v>18</v>
          </cell>
          <cell r="R288" t="str">
            <v>None</v>
          </cell>
          <cell r="S288" t="str">
            <v>Ofsted</v>
          </cell>
          <cell r="T288">
            <v>1</v>
          </cell>
          <cell r="U288">
            <v>10021331</v>
          </cell>
          <cell r="V288" t="str">
            <v>Independent school Material Change inspection</v>
          </cell>
          <cell r="W288">
            <v>42564</v>
          </cell>
          <cell r="X288">
            <v>42564</v>
          </cell>
          <cell r="Y288" t="str">
            <v>NULL</v>
          </cell>
          <cell r="Z288" t="str">
            <v>Likely to meet relevant standards</v>
          </cell>
          <cell r="AA288">
            <v>10006040</v>
          </cell>
          <cell r="AB288" t="str">
            <v>Independent School standard inspection</v>
          </cell>
          <cell r="AC288" t="str">
            <v>Independent Standard Inspection</v>
          </cell>
          <cell r="AD288">
            <v>42347</v>
          </cell>
          <cell r="AE288">
            <v>42349</v>
          </cell>
          <cell r="AF288">
            <v>42380</v>
          </cell>
          <cell r="AG288">
            <v>2</v>
          </cell>
          <cell r="AH288">
            <v>2</v>
          </cell>
          <cell r="AI288">
            <v>2</v>
          </cell>
          <cell r="AJ288">
            <v>2</v>
          </cell>
          <cell r="AK288">
            <v>2</v>
          </cell>
          <cell r="AL288" t="str">
            <v>NULL</v>
          </cell>
          <cell r="AM288">
            <v>0</v>
          </cell>
          <cell r="AN288" t="str">
            <v>Yes</v>
          </cell>
          <cell r="AO288" t="str">
            <v>ITS397654</v>
          </cell>
          <cell r="AP288" t="str">
            <v xml:space="preserve">Independent School standard inspection - integrated </v>
          </cell>
          <cell r="AQ288" t="str">
            <v>Independent Standard Inspection</v>
          </cell>
          <cell r="AR288">
            <v>41178</v>
          </cell>
          <cell r="AS288">
            <v>41179</v>
          </cell>
          <cell r="AT288">
            <v>41200</v>
          </cell>
          <cell r="AU288">
            <v>2</v>
          </cell>
          <cell r="AV288">
            <v>2</v>
          </cell>
          <cell r="AW288">
            <v>2</v>
          </cell>
          <cell r="AX288" t="str">
            <v>NULL</v>
          </cell>
          <cell r="AY288" t="str">
            <v>NULL</v>
          </cell>
          <cell r="AZ288">
            <v>8</v>
          </cell>
          <cell r="BA288" t="str">
            <v>NULL</v>
          </cell>
          <cell r="BB288" t="str">
            <v>NULL</v>
          </cell>
        </row>
        <row r="289">
          <cell r="D289">
            <v>135410</v>
          </cell>
          <cell r="E289">
            <v>9096056</v>
          </cell>
          <cell r="F289" t="str">
            <v>Kirby Moor School</v>
          </cell>
          <cell r="G289" t="str">
            <v>Other Independent Special School</v>
          </cell>
          <cell r="H289">
            <v>39339</v>
          </cell>
          <cell r="I289">
            <v>33</v>
          </cell>
          <cell r="J289" t="str">
            <v>North West</v>
          </cell>
          <cell r="K289" t="str">
            <v>North West</v>
          </cell>
          <cell r="L289" t="str">
            <v>Cumbria</v>
          </cell>
          <cell r="M289" t="str">
            <v>Penrith and The Border</v>
          </cell>
          <cell r="N289" t="str">
            <v>CA8 2AB</v>
          </cell>
          <cell r="O289" t="str">
            <v>Not applicable</v>
          </cell>
          <cell r="P289">
            <v>9</v>
          </cell>
          <cell r="Q289">
            <v>18</v>
          </cell>
          <cell r="R289" t="str">
            <v>None</v>
          </cell>
          <cell r="S289" t="str">
            <v>Ofsted</v>
          </cell>
          <cell r="T289" t="str">
            <v>NULL</v>
          </cell>
          <cell r="U289" t="str">
            <v>NULL</v>
          </cell>
          <cell r="V289" t="str">
            <v>NULL</v>
          </cell>
          <cell r="W289" t="str">
            <v>NULL</v>
          </cell>
          <cell r="X289" t="str">
            <v>NULL</v>
          </cell>
          <cell r="Y289" t="str">
            <v>NULL</v>
          </cell>
          <cell r="Z289" t="str">
            <v>NULL</v>
          </cell>
          <cell r="AA289">
            <v>10038929</v>
          </cell>
          <cell r="AB289" t="str">
            <v>Independent school standard inspection - aligned with CH</v>
          </cell>
          <cell r="AC289" t="str">
            <v>Independent Standard Inspection</v>
          </cell>
          <cell r="AD289">
            <v>43081</v>
          </cell>
          <cell r="AE289">
            <v>43083</v>
          </cell>
          <cell r="AF289">
            <v>43129</v>
          </cell>
          <cell r="AG289">
            <v>1</v>
          </cell>
          <cell r="AH289">
            <v>1</v>
          </cell>
          <cell r="AI289">
            <v>1</v>
          </cell>
          <cell r="AJ289">
            <v>1</v>
          </cell>
          <cell r="AK289">
            <v>1</v>
          </cell>
          <cell r="AL289" t="str">
            <v>NULL</v>
          </cell>
          <cell r="AM289" t="str">
            <v>NULL</v>
          </cell>
          <cell r="AN289" t="str">
            <v>Yes</v>
          </cell>
          <cell r="AO289" t="str">
            <v>ITS446284</v>
          </cell>
          <cell r="AP289" t="str">
            <v>Independent school standard inspection - aligned with CH</v>
          </cell>
          <cell r="AQ289" t="str">
            <v>Independent Standard Inspection</v>
          </cell>
          <cell r="AR289">
            <v>41926</v>
          </cell>
          <cell r="AS289">
            <v>41928</v>
          </cell>
          <cell r="AT289">
            <v>41962</v>
          </cell>
          <cell r="AU289">
            <v>1</v>
          </cell>
          <cell r="AV289">
            <v>1</v>
          </cell>
          <cell r="AW289">
            <v>1</v>
          </cell>
          <cell r="AX289">
            <v>1</v>
          </cell>
          <cell r="AY289" t="str">
            <v>NULL</v>
          </cell>
          <cell r="AZ289">
            <v>9</v>
          </cell>
          <cell r="BA289">
            <v>9</v>
          </cell>
          <cell r="BB289" t="str">
            <v>NULL</v>
          </cell>
        </row>
        <row r="290">
          <cell r="D290">
            <v>101386</v>
          </cell>
          <cell r="E290">
            <v>3026085</v>
          </cell>
          <cell r="F290" t="str">
            <v>Kisharon School</v>
          </cell>
          <cell r="G290" t="str">
            <v>Other Independent Special School</v>
          </cell>
          <cell r="H290">
            <v>28023</v>
          </cell>
          <cell r="I290">
            <v>32</v>
          </cell>
          <cell r="J290" t="str">
            <v>London</v>
          </cell>
          <cell r="K290" t="str">
            <v>London</v>
          </cell>
          <cell r="L290" t="str">
            <v>Barnet</v>
          </cell>
          <cell r="M290" t="str">
            <v>Finchley and Golders Green</v>
          </cell>
          <cell r="N290" t="str">
            <v>NW11 7HB</v>
          </cell>
          <cell r="O290" t="str">
            <v>Does not have a sixth form</v>
          </cell>
          <cell r="P290">
            <v>4</v>
          </cell>
          <cell r="Q290">
            <v>19</v>
          </cell>
          <cell r="R290" t="str">
            <v>None</v>
          </cell>
          <cell r="S290" t="str">
            <v>Ofsted</v>
          </cell>
          <cell r="T290" t="str">
            <v>NULL</v>
          </cell>
          <cell r="U290" t="str">
            <v>NULL</v>
          </cell>
          <cell r="V290" t="str">
            <v>NULL</v>
          </cell>
          <cell r="W290" t="str">
            <v>NULL</v>
          </cell>
          <cell r="X290" t="str">
            <v>NULL</v>
          </cell>
          <cell r="Y290" t="str">
            <v>NULL</v>
          </cell>
          <cell r="Z290" t="str">
            <v>NULL</v>
          </cell>
          <cell r="AA290" t="str">
            <v>ITS441640</v>
          </cell>
          <cell r="AB290" t="str">
            <v>Independent School standard inspection</v>
          </cell>
          <cell r="AC290" t="str">
            <v>Independent Standard Inspection</v>
          </cell>
          <cell r="AD290">
            <v>41696</v>
          </cell>
          <cell r="AE290">
            <v>41698</v>
          </cell>
          <cell r="AF290">
            <v>41731</v>
          </cell>
          <cell r="AG290">
            <v>2</v>
          </cell>
          <cell r="AH290">
            <v>2</v>
          </cell>
          <cell r="AI290">
            <v>2</v>
          </cell>
          <cell r="AJ290">
            <v>2</v>
          </cell>
          <cell r="AK290" t="str">
            <v>NULL</v>
          </cell>
          <cell r="AL290" t="str">
            <v>NULL</v>
          </cell>
          <cell r="AM290" t="str">
            <v>NULL</v>
          </cell>
          <cell r="AN290" t="str">
            <v>NULL</v>
          </cell>
          <cell r="AO290" t="str">
            <v>ITS420167</v>
          </cell>
          <cell r="AP290" t="str">
            <v>Independent School standard inspection</v>
          </cell>
          <cell r="AQ290" t="str">
            <v>Independent Standard Inspection</v>
          </cell>
          <cell r="AR290">
            <v>41415</v>
          </cell>
          <cell r="AS290">
            <v>41417</v>
          </cell>
          <cell r="AT290">
            <v>41438</v>
          </cell>
          <cell r="AU290">
            <v>2</v>
          </cell>
          <cell r="AV290">
            <v>2</v>
          </cell>
          <cell r="AW290">
            <v>2</v>
          </cell>
          <cell r="AX290">
            <v>2</v>
          </cell>
          <cell r="AY290" t="str">
            <v>NULL</v>
          </cell>
          <cell r="AZ290" t="str">
            <v>NULL</v>
          </cell>
          <cell r="BA290" t="str">
            <v>NULL</v>
          </cell>
          <cell r="BB290" t="str">
            <v>NULL</v>
          </cell>
        </row>
        <row r="291">
          <cell r="D291">
            <v>120740</v>
          </cell>
          <cell r="E291">
            <v>9256034</v>
          </cell>
          <cell r="F291" t="str">
            <v>Kisimul School</v>
          </cell>
          <cell r="G291" t="str">
            <v>Other Independent Special School</v>
          </cell>
          <cell r="H291">
            <v>28408</v>
          </cell>
          <cell r="I291">
            <v>80</v>
          </cell>
          <cell r="J291" t="str">
            <v>East Midlands</v>
          </cell>
          <cell r="K291" t="str">
            <v>East Midlands</v>
          </cell>
          <cell r="L291" t="str">
            <v>Lincolnshire</v>
          </cell>
          <cell r="M291" t="str">
            <v>Sleaford and North Hykeham</v>
          </cell>
          <cell r="N291" t="str">
            <v>LN6 9LU</v>
          </cell>
          <cell r="O291" t="str">
            <v>Has a sixth form</v>
          </cell>
          <cell r="P291">
            <v>8</v>
          </cell>
          <cell r="Q291">
            <v>19</v>
          </cell>
          <cell r="R291" t="str">
            <v>None</v>
          </cell>
          <cell r="S291" t="str">
            <v>Ofsted</v>
          </cell>
          <cell r="T291" t="str">
            <v>NULL</v>
          </cell>
          <cell r="U291" t="str">
            <v>NULL</v>
          </cell>
          <cell r="V291" t="str">
            <v>NULL</v>
          </cell>
          <cell r="W291" t="str">
            <v>NULL</v>
          </cell>
          <cell r="X291" t="str">
            <v>NULL</v>
          </cell>
          <cell r="Y291" t="str">
            <v>NULL</v>
          </cell>
          <cell r="Z291" t="str">
            <v>NULL</v>
          </cell>
          <cell r="AA291">
            <v>10006047</v>
          </cell>
          <cell r="AB291" t="str">
            <v>Independent school standard inspection - aligned with CH</v>
          </cell>
          <cell r="AC291" t="str">
            <v>Independent Standard Inspection</v>
          </cell>
          <cell r="AD291">
            <v>42536</v>
          </cell>
          <cell r="AE291">
            <v>42538</v>
          </cell>
          <cell r="AF291">
            <v>42626</v>
          </cell>
          <cell r="AG291">
            <v>1</v>
          </cell>
          <cell r="AH291">
            <v>1</v>
          </cell>
          <cell r="AI291">
            <v>1</v>
          </cell>
          <cell r="AJ291">
            <v>1</v>
          </cell>
          <cell r="AK291">
            <v>1</v>
          </cell>
          <cell r="AL291" t="str">
            <v>NULL</v>
          </cell>
          <cell r="AM291">
            <v>1</v>
          </cell>
          <cell r="AN291" t="str">
            <v>Yes</v>
          </cell>
          <cell r="AO291" t="str">
            <v>ITS397608</v>
          </cell>
          <cell r="AP291" t="str">
            <v xml:space="preserve">Independent School standard inspection - integrated </v>
          </cell>
          <cell r="AQ291" t="str">
            <v>Independent Standard Inspection</v>
          </cell>
          <cell r="AR291">
            <v>41240</v>
          </cell>
          <cell r="AS291">
            <v>41241</v>
          </cell>
          <cell r="AT291">
            <v>41261</v>
          </cell>
          <cell r="AU291">
            <v>1</v>
          </cell>
          <cell r="AV291">
            <v>1</v>
          </cell>
          <cell r="AW291">
            <v>1</v>
          </cell>
          <cell r="AX291" t="str">
            <v>NULL</v>
          </cell>
          <cell r="AY291" t="str">
            <v>NULL</v>
          </cell>
          <cell r="AZ291">
            <v>8</v>
          </cell>
          <cell r="BA291" t="str">
            <v>NULL</v>
          </cell>
          <cell r="BB291" t="str">
            <v>NULL</v>
          </cell>
        </row>
        <row r="292">
          <cell r="D292">
            <v>135577</v>
          </cell>
          <cell r="E292">
            <v>9366593</v>
          </cell>
          <cell r="F292" t="str">
            <v>Kisimul School</v>
          </cell>
          <cell r="G292" t="str">
            <v>Other Independent Special School</v>
          </cell>
          <cell r="H292">
            <v>39583</v>
          </cell>
          <cell r="I292">
            <v>53</v>
          </cell>
          <cell r="J292" t="str">
            <v>South East</v>
          </cell>
          <cell r="K292" t="str">
            <v>South East</v>
          </cell>
          <cell r="L292" t="str">
            <v>Surrey</v>
          </cell>
          <cell r="M292" t="str">
            <v>Esher and Walton</v>
          </cell>
          <cell r="N292" t="str">
            <v>KT6 5HN</v>
          </cell>
          <cell r="O292" t="str">
            <v>Has a sixth form</v>
          </cell>
          <cell r="P292">
            <v>8</v>
          </cell>
          <cell r="Q292">
            <v>19</v>
          </cell>
          <cell r="R292" t="str">
            <v>None</v>
          </cell>
          <cell r="S292" t="str">
            <v>Ofsted</v>
          </cell>
          <cell r="T292" t="str">
            <v>NULL</v>
          </cell>
          <cell r="U292" t="str">
            <v>NULL</v>
          </cell>
          <cell r="V292" t="str">
            <v>NULL</v>
          </cell>
          <cell r="W292" t="str">
            <v>NULL</v>
          </cell>
          <cell r="X292" t="str">
            <v>NULL</v>
          </cell>
          <cell r="Y292" t="str">
            <v>NULL</v>
          </cell>
          <cell r="Z292" t="str">
            <v>NULL</v>
          </cell>
          <cell r="AA292">
            <v>10006049</v>
          </cell>
          <cell r="AB292" t="str">
            <v>Independent school standard inspection - aligned with CH</v>
          </cell>
          <cell r="AC292" t="str">
            <v>Independent Standard Inspection</v>
          </cell>
          <cell r="AD292">
            <v>42647</v>
          </cell>
          <cell r="AE292">
            <v>42649</v>
          </cell>
          <cell r="AF292">
            <v>42674</v>
          </cell>
          <cell r="AG292">
            <v>2</v>
          </cell>
          <cell r="AH292">
            <v>2</v>
          </cell>
          <cell r="AI292">
            <v>2</v>
          </cell>
          <cell r="AJ292">
            <v>2</v>
          </cell>
          <cell r="AK292">
            <v>2</v>
          </cell>
          <cell r="AL292" t="str">
            <v>NULL</v>
          </cell>
          <cell r="AM292">
            <v>2</v>
          </cell>
          <cell r="AN292" t="str">
            <v>Yes</v>
          </cell>
          <cell r="AO292" t="str">
            <v>ITS397640</v>
          </cell>
          <cell r="AP292" t="str">
            <v xml:space="preserve">Independent School standard inspection - integrated </v>
          </cell>
          <cell r="AQ292" t="str">
            <v>Independent Standard Inspection</v>
          </cell>
          <cell r="AR292">
            <v>41233</v>
          </cell>
          <cell r="AS292">
            <v>41234</v>
          </cell>
          <cell r="AT292">
            <v>41255</v>
          </cell>
          <cell r="AU292">
            <v>2</v>
          </cell>
          <cell r="AV292">
            <v>2</v>
          </cell>
          <cell r="AW292">
            <v>2</v>
          </cell>
          <cell r="AX292" t="str">
            <v>NULL</v>
          </cell>
          <cell r="AY292" t="str">
            <v>NULL</v>
          </cell>
          <cell r="AZ292">
            <v>8</v>
          </cell>
          <cell r="BA292" t="str">
            <v>NULL</v>
          </cell>
          <cell r="BB292" t="str">
            <v>NULL</v>
          </cell>
        </row>
        <row r="293">
          <cell r="D293">
            <v>131802</v>
          </cell>
          <cell r="E293">
            <v>9286067</v>
          </cell>
          <cell r="F293" t="str">
            <v>Cambian Northampton School</v>
          </cell>
          <cell r="G293" t="str">
            <v>Other Independent Special School</v>
          </cell>
          <cell r="H293">
            <v>36271</v>
          </cell>
          <cell r="I293">
            <v>16</v>
          </cell>
          <cell r="J293" t="str">
            <v>East Midlands</v>
          </cell>
          <cell r="K293" t="str">
            <v>East Midlands</v>
          </cell>
          <cell r="L293" t="str">
            <v>Northamptonshire</v>
          </cell>
          <cell r="M293" t="str">
            <v>Northampton North</v>
          </cell>
          <cell r="N293" t="str">
            <v>NN2 6LR</v>
          </cell>
          <cell r="O293" t="str">
            <v>Not applicable</v>
          </cell>
          <cell r="P293">
            <v>11</v>
          </cell>
          <cell r="Q293">
            <v>18</v>
          </cell>
          <cell r="R293" t="str">
            <v>None</v>
          </cell>
          <cell r="S293" t="str">
            <v>Ofsted</v>
          </cell>
          <cell r="T293">
            <v>2</v>
          </cell>
          <cell r="U293">
            <v>10043120</v>
          </cell>
          <cell r="V293" t="str">
            <v>Independent school Progress Monitoring inspection</v>
          </cell>
          <cell r="W293">
            <v>43013</v>
          </cell>
          <cell r="X293">
            <v>43013</v>
          </cell>
          <cell r="Y293">
            <v>43045</v>
          </cell>
          <cell r="Z293" t="str">
            <v>Did not meet all standards that were checked</v>
          </cell>
          <cell r="AA293">
            <v>10026048</v>
          </cell>
          <cell r="AB293" t="str">
            <v>Independent School standard inspection</v>
          </cell>
          <cell r="AC293" t="str">
            <v>Independent Standard Inspection</v>
          </cell>
          <cell r="AD293">
            <v>42822</v>
          </cell>
          <cell r="AE293">
            <v>42824</v>
          </cell>
          <cell r="AF293">
            <v>42857</v>
          </cell>
          <cell r="AG293">
            <v>3</v>
          </cell>
          <cell r="AH293">
            <v>3</v>
          </cell>
          <cell r="AI293">
            <v>3</v>
          </cell>
          <cell r="AJ293">
            <v>3</v>
          </cell>
          <cell r="AK293">
            <v>3</v>
          </cell>
          <cell r="AL293" t="str">
            <v>NULL</v>
          </cell>
          <cell r="AM293" t="str">
            <v>NULL</v>
          </cell>
          <cell r="AN293" t="str">
            <v>Yes</v>
          </cell>
          <cell r="AO293" t="str">
            <v>ITS422735</v>
          </cell>
          <cell r="AP293" t="str">
            <v>Independent School standard inspection</v>
          </cell>
          <cell r="AQ293" t="str">
            <v>Independent Standard Inspection</v>
          </cell>
          <cell r="AR293">
            <v>41695</v>
          </cell>
          <cell r="AS293">
            <v>41697</v>
          </cell>
          <cell r="AT293">
            <v>41716</v>
          </cell>
          <cell r="AU293">
            <v>3</v>
          </cell>
          <cell r="AV293">
            <v>3</v>
          </cell>
          <cell r="AW293">
            <v>3</v>
          </cell>
          <cell r="AX293">
            <v>3</v>
          </cell>
          <cell r="AY293" t="str">
            <v>NULL</v>
          </cell>
          <cell r="AZ293" t="str">
            <v>NULL</v>
          </cell>
          <cell r="BA293" t="str">
            <v>NULL</v>
          </cell>
          <cell r="BB293" t="str">
            <v>NULL</v>
          </cell>
        </row>
        <row r="294">
          <cell r="D294">
            <v>114645</v>
          </cell>
          <cell r="E294">
            <v>8456028</v>
          </cell>
          <cell r="F294" t="str">
            <v>Northease Manor School</v>
          </cell>
          <cell r="G294" t="str">
            <v>Other Independent Special School</v>
          </cell>
          <cell r="H294">
            <v>23046</v>
          </cell>
          <cell r="I294">
            <v>77</v>
          </cell>
          <cell r="J294" t="str">
            <v>South East</v>
          </cell>
          <cell r="K294" t="str">
            <v>South East</v>
          </cell>
          <cell r="L294" t="str">
            <v>East Sussex</v>
          </cell>
          <cell r="M294" t="str">
            <v>Lewes</v>
          </cell>
          <cell r="N294" t="str">
            <v>BN7 3EY</v>
          </cell>
          <cell r="O294" t="str">
            <v>Not applicable</v>
          </cell>
          <cell r="P294">
            <v>7</v>
          </cell>
          <cell r="Q294">
            <v>18</v>
          </cell>
          <cell r="R294" t="str">
            <v>None</v>
          </cell>
          <cell r="S294" t="str">
            <v>Ofsted</v>
          </cell>
          <cell r="T294">
            <v>4</v>
          </cell>
          <cell r="U294">
            <v>10025690</v>
          </cell>
          <cell r="V294" t="str">
            <v xml:space="preserve">Independent school progress monitoring inspection - Integrated </v>
          </cell>
          <cell r="W294">
            <v>42690</v>
          </cell>
          <cell r="X294">
            <v>42690</v>
          </cell>
          <cell r="Y294">
            <v>42746</v>
          </cell>
          <cell r="Z294" t="str">
            <v>Met all standards that were checked</v>
          </cell>
          <cell r="AA294" t="str">
            <v>ITS446382</v>
          </cell>
          <cell r="AB294" t="str">
            <v xml:space="preserve">Independent School standard inspection - integrated </v>
          </cell>
          <cell r="AC294" t="str">
            <v>Independent Standard Inspection</v>
          </cell>
          <cell r="AD294">
            <v>41961</v>
          </cell>
          <cell r="AE294">
            <v>41963</v>
          </cell>
          <cell r="AF294">
            <v>42025</v>
          </cell>
          <cell r="AG294">
            <v>3</v>
          </cell>
          <cell r="AH294">
            <v>3</v>
          </cell>
          <cell r="AI294">
            <v>3</v>
          </cell>
          <cell r="AJ294">
            <v>3</v>
          </cell>
          <cell r="AK294" t="str">
            <v>NULL</v>
          </cell>
          <cell r="AL294">
            <v>9</v>
          </cell>
          <cell r="AM294">
            <v>2</v>
          </cell>
          <cell r="AN294" t="str">
            <v>NULL</v>
          </cell>
          <cell r="AO294" t="str">
            <v>ITS375470</v>
          </cell>
          <cell r="AP294" t="str">
            <v>Independent School standard inspection</v>
          </cell>
          <cell r="AQ294" t="str">
            <v>Independent Standard Inspection</v>
          </cell>
          <cell r="AR294">
            <v>40679</v>
          </cell>
          <cell r="AS294">
            <v>40680</v>
          </cell>
          <cell r="AT294">
            <v>40703</v>
          </cell>
          <cell r="AU294">
            <v>2</v>
          </cell>
          <cell r="AV294">
            <v>2</v>
          </cell>
          <cell r="AW294">
            <v>2</v>
          </cell>
          <cell r="AX294" t="str">
            <v>NULL</v>
          </cell>
          <cell r="AY294" t="str">
            <v>NULL</v>
          </cell>
          <cell r="AZ294">
            <v>8</v>
          </cell>
          <cell r="BA294" t="str">
            <v>NULL</v>
          </cell>
          <cell r="BB294" t="str">
            <v>NULL</v>
          </cell>
        </row>
        <row r="295">
          <cell r="D295">
            <v>136262</v>
          </cell>
          <cell r="E295">
            <v>8856040</v>
          </cell>
          <cell r="F295" t="str">
            <v>Norton College</v>
          </cell>
          <cell r="G295" t="str">
            <v>Other Independent Special School</v>
          </cell>
          <cell r="H295">
            <v>40512</v>
          </cell>
          <cell r="I295">
            <v>63</v>
          </cell>
          <cell r="J295" t="str">
            <v>West Midlands</v>
          </cell>
          <cell r="K295" t="str">
            <v>West Midlands</v>
          </cell>
          <cell r="L295" t="str">
            <v>Worcestershire</v>
          </cell>
          <cell r="M295" t="str">
            <v>Mid Worcestershire</v>
          </cell>
          <cell r="N295" t="str">
            <v>WR5 2PU</v>
          </cell>
          <cell r="O295" t="str">
            <v>Not applicable</v>
          </cell>
          <cell r="P295">
            <v>11</v>
          </cell>
          <cell r="Q295">
            <v>19</v>
          </cell>
          <cell r="R295" t="str">
            <v>None</v>
          </cell>
          <cell r="S295" t="str">
            <v>Ofsted</v>
          </cell>
          <cell r="T295" t="str">
            <v>NULL</v>
          </cell>
          <cell r="U295" t="str">
            <v>NULL</v>
          </cell>
          <cell r="V295" t="str">
            <v>NULL</v>
          </cell>
          <cell r="W295" t="str">
            <v>NULL</v>
          </cell>
          <cell r="X295" t="str">
            <v>NULL</v>
          </cell>
          <cell r="Y295" t="str">
            <v>NULL</v>
          </cell>
          <cell r="Z295" t="str">
            <v>NULL</v>
          </cell>
          <cell r="AA295" t="str">
            <v>ITS452377</v>
          </cell>
          <cell r="AB295" t="str">
            <v>Independent School standard inspection</v>
          </cell>
          <cell r="AC295" t="str">
            <v>Independent Standard Inspection</v>
          </cell>
          <cell r="AD295">
            <v>41912</v>
          </cell>
          <cell r="AE295">
            <v>41914</v>
          </cell>
          <cell r="AF295">
            <v>41954</v>
          </cell>
          <cell r="AG295">
            <v>3</v>
          </cell>
          <cell r="AH295">
            <v>3</v>
          </cell>
          <cell r="AI295">
            <v>3</v>
          </cell>
          <cell r="AJ295">
            <v>3</v>
          </cell>
          <cell r="AK295" t="str">
            <v>NULL</v>
          </cell>
          <cell r="AL295">
            <v>9</v>
          </cell>
          <cell r="AM295">
            <v>3</v>
          </cell>
          <cell r="AN295" t="str">
            <v>NULL</v>
          </cell>
          <cell r="AO295" t="str">
            <v>ITS385136</v>
          </cell>
          <cell r="AP295" t="str">
            <v>Independent School standard inspection</v>
          </cell>
          <cell r="AQ295" t="str">
            <v>Independent Standard Inspection</v>
          </cell>
          <cell r="AR295">
            <v>40947</v>
          </cell>
          <cell r="AS295">
            <v>40948</v>
          </cell>
          <cell r="AT295">
            <v>40975</v>
          </cell>
          <cell r="AU295">
            <v>2</v>
          </cell>
          <cell r="AV295">
            <v>2</v>
          </cell>
          <cell r="AW295">
            <v>2</v>
          </cell>
          <cell r="AX295" t="str">
            <v>NULL</v>
          </cell>
          <cell r="AY295" t="str">
            <v>NULL</v>
          </cell>
          <cell r="AZ295">
            <v>8</v>
          </cell>
          <cell r="BA295" t="str">
            <v>NULL</v>
          </cell>
          <cell r="BB295" t="str">
            <v>NULL</v>
          </cell>
        </row>
        <row r="296">
          <cell r="D296">
            <v>104839</v>
          </cell>
          <cell r="E296">
            <v>3426004</v>
          </cell>
          <cell r="F296" t="str">
            <v>Nugent House School</v>
          </cell>
          <cell r="G296" t="str">
            <v>Other Independent Special School</v>
          </cell>
          <cell r="H296">
            <v>30365</v>
          </cell>
          <cell r="I296">
            <v>38</v>
          </cell>
          <cell r="J296" t="str">
            <v>North West</v>
          </cell>
          <cell r="K296" t="str">
            <v>North West</v>
          </cell>
          <cell r="L296" t="str">
            <v>St Helens</v>
          </cell>
          <cell r="M296" t="str">
            <v>St Helens North</v>
          </cell>
          <cell r="N296" t="str">
            <v>WN5 7TT</v>
          </cell>
          <cell r="O296" t="str">
            <v>Has a sixth form</v>
          </cell>
          <cell r="P296">
            <v>7</v>
          </cell>
          <cell r="Q296">
            <v>19</v>
          </cell>
          <cell r="R296" t="str">
            <v>None</v>
          </cell>
          <cell r="S296" t="str">
            <v>Ofsted</v>
          </cell>
          <cell r="T296" t="str">
            <v>NULL</v>
          </cell>
          <cell r="U296" t="str">
            <v>NULL</v>
          </cell>
          <cell r="V296" t="str">
            <v>NULL</v>
          </cell>
          <cell r="W296" t="str">
            <v>NULL</v>
          </cell>
          <cell r="X296" t="str">
            <v>NULL</v>
          </cell>
          <cell r="Y296" t="str">
            <v>NULL</v>
          </cell>
          <cell r="Z296" t="str">
            <v>NULL</v>
          </cell>
          <cell r="AA296">
            <v>10008860</v>
          </cell>
          <cell r="AB296" t="str">
            <v>Independent school standard inspection - aligned with CH</v>
          </cell>
          <cell r="AC296" t="str">
            <v>Independent Standard Inspection</v>
          </cell>
          <cell r="AD296">
            <v>42920</v>
          </cell>
          <cell r="AE296">
            <v>42922</v>
          </cell>
          <cell r="AF296">
            <v>42989</v>
          </cell>
          <cell r="AG296">
            <v>2</v>
          </cell>
          <cell r="AH296">
            <v>2</v>
          </cell>
          <cell r="AI296">
            <v>2</v>
          </cell>
          <cell r="AJ296">
            <v>2</v>
          </cell>
          <cell r="AK296">
            <v>2</v>
          </cell>
          <cell r="AL296" t="str">
            <v>NULL</v>
          </cell>
          <cell r="AM296">
            <v>2</v>
          </cell>
          <cell r="AN296" t="str">
            <v>Yes</v>
          </cell>
          <cell r="AO296" t="str">
            <v>ITS397755</v>
          </cell>
          <cell r="AP296" t="str">
            <v>Independent School standard inspection</v>
          </cell>
          <cell r="AQ296" t="str">
            <v>Independent Standard Inspection</v>
          </cell>
          <cell r="AR296">
            <v>41351</v>
          </cell>
          <cell r="AS296">
            <v>41353</v>
          </cell>
          <cell r="AT296">
            <v>41375</v>
          </cell>
          <cell r="AU296">
            <v>2</v>
          </cell>
          <cell r="AV296">
            <v>2</v>
          </cell>
          <cell r="AW296">
            <v>2</v>
          </cell>
          <cell r="AX296">
            <v>2</v>
          </cell>
          <cell r="AY296" t="str">
            <v>NULL</v>
          </cell>
          <cell r="AZ296" t="str">
            <v>NULL</v>
          </cell>
          <cell r="BA296" t="str">
            <v>NULL</v>
          </cell>
          <cell r="BB296" t="str">
            <v>NULL</v>
          </cell>
        </row>
        <row r="297">
          <cell r="D297">
            <v>131379</v>
          </cell>
          <cell r="E297">
            <v>3546036</v>
          </cell>
          <cell r="F297" t="str">
            <v>Cedar Lodge</v>
          </cell>
          <cell r="G297" t="str">
            <v>Other Independent Special School</v>
          </cell>
          <cell r="H297">
            <v>38784</v>
          </cell>
          <cell r="I297">
            <v>4</v>
          </cell>
          <cell r="J297" t="str">
            <v>North West</v>
          </cell>
          <cell r="K297" t="str">
            <v>North West</v>
          </cell>
          <cell r="L297" t="str">
            <v>Rochdale</v>
          </cell>
          <cell r="M297" t="str">
            <v>Preston</v>
          </cell>
          <cell r="N297" t="str">
            <v>PR2 2YQ</v>
          </cell>
          <cell r="O297" t="str">
            <v>Not applicable</v>
          </cell>
          <cell r="P297">
            <v>11</v>
          </cell>
          <cell r="Q297">
            <v>18</v>
          </cell>
          <cell r="R297" t="str">
            <v>None</v>
          </cell>
          <cell r="S297" t="str">
            <v>Ofsted</v>
          </cell>
          <cell r="T297" t="str">
            <v>NULL</v>
          </cell>
          <cell r="U297" t="str">
            <v>NULL</v>
          </cell>
          <cell r="V297" t="str">
            <v>NULL</v>
          </cell>
          <cell r="W297" t="str">
            <v>NULL</v>
          </cell>
          <cell r="X297" t="str">
            <v>NULL</v>
          </cell>
          <cell r="Y297" t="str">
            <v>NULL</v>
          </cell>
          <cell r="Z297" t="str">
            <v>NULL</v>
          </cell>
          <cell r="AA297">
            <v>10012914</v>
          </cell>
          <cell r="AB297" t="str">
            <v>Independent School standard inspection</v>
          </cell>
          <cell r="AC297" t="str">
            <v>Independent Standard Inspection</v>
          </cell>
          <cell r="AD297">
            <v>42795</v>
          </cell>
          <cell r="AE297">
            <v>42796</v>
          </cell>
          <cell r="AF297">
            <v>42816</v>
          </cell>
          <cell r="AG297">
            <v>2</v>
          </cell>
          <cell r="AH297">
            <v>2</v>
          </cell>
          <cell r="AI297">
            <v>2</v>
          </cell>
          <cell r="AJ297">
            <v>2</v>
          </cell>
          <cell r="AK297">
            <v>2</v>
          </cell>
          <cell r="AL297" t="str">
            <v>NULL</v>
          </cell>
          <cell r="AM297" t="str">
            <v>NULL</v>
          </cell>
          <cell r="AN297" t="str">
            <v>Yes</v>
          </cell>
          <cell r="AO297" t="str">
            <v>ITS420237</v>
          </cell>
          <cell r="AP297" t="str">
            <v xml:space="preserve">Independent School standard inspection - integrated </v>
          </cell>
          <cell r="AQ297" t="str">
            <v>Independent Standard Inspection</v>
          </cell>
          <cell r="AR297">
            <v>41443</v>
          </cell>
          <cell r="AS297">
            <v>41444</v>
          </cell>
          <cell r="AT297">
            <v>41465</v>
          </cell>
          <cell r="AU297">
            <v>2</v>
          </cell>
          <cell r="AV297">
            <v>2</v>
          </cell>
          <cell r="AW297">
            <v>2</v>
          </cell>
          <cell r="AX297">
            <v>2</v>
          </cell>
          <cell r="AY297" t="str">
            <v>NULL</v>
          </cell>
          <cell r="AZ297" t="str">
            <v>NULL</v>
          </cell>
          <cell r="BA297" t="str">
            <v>NULL</v>
          </cell>
          <cell r="BB297" t="str">
            <v>NULL</v>
          </cell>
        </row>
        <row r="298">
          <cell r="D298">
            <v>132003</v>
          </cell>
          <cell r="E298">
            <v>8696014</v>
          </cell>
          <cell r="F298" t="str">
            <v>Priors Court School</v>
          </cell>
          <cell r="G298" t="str">
            <v>Other Independent Special School</v>
          </cell>
          <cell r="H298">
            <v>36482</v>
          </cell>
          <cell r="I298">
            <v>56</v>
          </cell>
          <cell r="J298" t="str">
            <v>South East</v>
          </cell>
          <cell r="K298" t="str">
            <v>South East</v>
          </cell>
          <cell r="L298" t="str">
            <v>West Berkshire</v>
          </cell>
          <cell r="M298" t="str">
            <v>Newbury</v>
          </cell>
          <cell r="N298" t="str">
            <v>RG18 9NU</v>
          </cell>
          <cell r="O298" t="str">
            <v>Has a sixth form</v>
          </cell>
          <cell r="P298">
            <v>5</v>
          </cell>
          <cell r="Q298">
            <v>19</v>
          </cell>
          <cell r="R298" t="str">
            <v>None</v>
          </cell>
          <cell r="S298" t="str">
            <v>Ofsted</v>
          </cell>
          <cell r="T298" t="str">
            <v>NULL</v>
          </cell>
          <cell r="U298" t="str">
            <v>NULL</v>
          </cell>
          <cell r="V298" t="str">
            <v>NULL</v>
          </cell>
          <cell r="W298" t="str">
            <v>NULL</v>
          </cell>
          <cell r="X298" t="str">
            <v>NULL</v>
          </cell>
          <cell r="Y298" t="str">
            <v>NULL</v>
          </cell>
          <cell r="Z298" t="str">
            <v>NULL</v>
          </cell>
          <cell r="AA298">
            <v>10020923</v>
          </cell>
          <cell r="AB298" t="str">
            <v>Independent school standard inspection - aligned with CH</v>
          </cell>
          <cell r="AC298" t="str">
            <v>Independent Standard Inspection</v>
          </cell>
          <cell r="AD298">
            <v>43060</v>
          </cell>
          <cell r="AE298">
            <v>43062</v>
          </cell>
          <cell r="AF298">
            <v>43117</v>
          </cell>
          <cell r="AG298">
            <v>1</v>
          </cell>
          <cell r="AH298">
            <v>1</v>
          </cell>
          <cell r="AI298">
            <v>1</v>
          </cell>
          <cell r="AJ298">
            <v>1</v>
          </cell>
          <cell r="AK298">
            <v>1</v>
          </cell>
          <cell r="AL298" t="str">
            <v>NULL</v>
          </cell>
          <cell r="AM298">
            <v>1</v>
          </cell>
          <cell r="AN298" t="str">
            <v>Yes</v>
          </cell>
          <cell r="AO298" t="str">
            <v>ITS422740</v>
          </cell>
          <cell r="AP298" t="str">
            <v xml:space="preserve">Independent School standard inspection - integrated </v>
          </cell>
          <cell r="AQ298" t="str">
            <v>Independent Standard Inspection</v>
          </cell>
          <cell r="AR298">
            <v>41556</v>
          </cell>
          <cell r="AS298">
            <v>41558</v>
          </cell>
          <cell r="AT298">
            <v>41585</v>
          </cell>
          <cell r="AU298">
            <v>2</v>
          </cell>
          <cell r="AV298">
            <v>2</v>
          </cell>
          <cell r="AW298">
            <v>2</v>
          </cell>
          <cell r="AX298">
            <v>2</v>
          </cell>
          <cell r="AY298" t="str">
            <v>NULL</v>
          </cell>
          <cell r="AZ298" t="str">
            <v>NULL</v>
          </cell>
          <cell r="BA298" t="str">
            <v>NULL</v>
          </cell>
          <cell r="BB298" t="str">
            <v>NULL</v>
          </cell>
        </row>
        <row r="299">
          <cell r="D299">
            <v>137511</v>
          </cell>
          <cell r="E299">
            <v>8416006</v>
          </cell>
          <cell r="F299" t="str">
            <v>Priory Hurworth House</v>
          </cell>
          <cell r="G299" t="str">
            <v>Other Independent Special School</v>
          </cell>
          <cell r="H299">
            <v>40807</v>
          </cell>
          <cell r="I299">
            <v>46</v>
          </cell>
          <cell r="J299" t="str">
            <v>North East, Yorkshire and the Humber</v>
          </cell>
          <cell r="K299" t="str">
            <v>North East</v>
          </cell>
          <cell r="L299" t="str">
            <v>Darlington</v>
          </cell>
          <cell r="M299" t="str">
            <v>Sedgefield</v>
          </cell>
          <cell r="N299" t="str">
            <v>DL2 2AD</v>
          </cell>
          <cell r="O299" t="str">
            <v>Not applicable</v>
          </cell>
          <cell r="P299">
            <v>7</v>
          </cell>
          <cell r="Q299">
            <v>19</v>
          </cell>
          <cell r="R299" t="str">
            <v>None</v>
          </cell>
          <cell r="S299" t="str">
            <v>Ofsted</v>
          </cell>
          <cell r="T299" t="str">
            <v>NULL</v>
          </cell>
          <cell r="U299" t="str">
            <v>NULL</v>
          </cell>
          <cell r="V299" t="str">
            <v>NULL</v>
          </cell>
          <cell r="W299" t="str">
            <v>NULL</v>
          </cell>
          <cell r="X299" t="str">
            <v>NULL</v>
          </cell>
          <cell r="Y299" t="str">
            <v>NULL</v>
          </cell>
          <cell r="Z299" t="str">
            <v>NULL</v>
          </cell>
          <cell r="AA299">
            <v>10006132</v>
          </cell>
          <cell r="AB299" t="str">
            <v>Independent School standard inspection</v>
          </cell>
          <cell r="AC299" t="str">
            <v>Independent Standard Inspection</v>
          </cell>
          <cell r="AD299">
            <v>42311</v>
          </cell>
          <cell r="AE299">
            <v>42313</v>
          </cell>
          <cell r="AF299">
            <v>42345</v>
          </cell>
          <cell r="AG299">
            <v>2</v>
          </cell>
          <cell r="AH299">
            <v>2</v>
          </cell>
          <cell r="AI299">
            <v>2</v>
          </cell>
          <cell r="AJ299">
            <v>2</v>
          </cell>
          <cell r="AK299">
            <v>2</v>
          </cell>
          <cell r="AL299" t="str">
            <v>NULL</v>
          </cell>
          <cell r="AM299">
            <v>2</v>
          </cell>
          <cell r="AN299" t="str">
            <v>Yes</v>
          </cell>
          <cell r="AO299" t="str">
            <v>ITS393366</v>
          </cell>
          <cell r="AP299" t="str">
            <v>Independent school standard inspection - first</v>
          </cell>
          <cell r="AQ299" t="str">
            <v>Independent Standard Inspection</v>
          </cell>
          <cell r="AR299">
            <v>41023</v>
          </cell>
          <cell r="AS299">
            <v>41024</v>
          </cell>
          <cell r="AT299">
            <v>41046</v>
          </cell>
          <cell r="AU299">
            <v>3</v>
          </cell>
          <cell r="AV299">
            <v>3</v>
          </cell>
          <cell r="AW299">
            <v>3</v>
          </cell>
          <cell r="AX299" t="str">
            <v>NULL</v>
          </cell>
          <cell r="AY299" t="str">
            <v>NULL</v>
          </cell>
          <cell r="AZ299">
            <v>8</v>
          </cell>
          <cell r="BA299" t="str">
            <v>NULL</v>
          </cell>
          <cell r="BB299" t="str">
            <v>NULL</v>
          </cell>
        </row>
        <row r="300">
          <cell r="D300">
            <v>137785</v>
          </cell>
          <cell r="E300">
            <v>3806001</v>
          </cell>
          <cell r="F300" t="str">
            <v>Prism Independent School</v>
          </cell>
          <cell r="G300" t="str">
            <v>Other Independent Special School</v>
          </cell>
          <cell r="H300">
            <v>40884</v>
          </cell>
          <cell r="I300">
            <v>0</v>
          </cell>
          <cell r="J300" t="str">
            <v>North East, Yorkshire and the Humber</v>
          </cell>
          <cell r="K300" t="str">
            <v>Yorkshire and the Humber</v>
          </cell>
          <cell r="L300" t="str">
            <v>Bradford</v>
          </cell>
          <cell r="M300" t="str">
            <v>Bradford West</v>
          </cell>
          <cell r="N300" t="str">
            <v>BD8 9ES</v>
          </cell>
          <cell r="O300" t="str">
            <v>Not applicable</v>
          </cell>
          <cell r="P300">
            <v>11</v>
          </cell>
          <cell r="Q300">
            <v>19</v>
          </cell>
          <cell r="R300" t="str">
            <v>None</v>
          </cell>
          <cell r="S300" t="str">
            <v>Ofsted</v>
          </cell>
          <cell r="T300" t="str">
            <v>NULL</v>
          </cell>
          <cell r="U300" t="str">
            <v>NULL</v>
          </cell>
          <cell r="V300" t="str">
            <v>NULL</v>
          </cell>
          <cell r="W300" t="str">
            <v>NULL</v>
          </cell>
          <cell r="X300" t="str">
            <v>NULL</v>
          </cell>
          <cell r="Y300" t="str">
            <v>NULL</v>
          </cell>
          <cell r="Z300" t="str">
            <v>NULL</v>
          </cell>
          <cell r="AA300">
            <v>10006098</v>
          </cell>
          <cell r="AB300" t="str">
            <v>Independent School standard inspection</v>
          </cell>
          <cell r="AC300" t="str">
            <v>Independent Standard Inspection</v>
          </cell>
          <cell r="AD300">
            <v>42444</v>
          </cell>
          <cell r="AE300">
            <v>42446</v>
          </cell>
          <cell r="AF300">
            <v>42473</v>
          </cell>
          <cell r="AG300">
            <v>2</v>
          </cell>
          <cell r="AH300">
            <v>2</v>
          </cell>
          <cell r="AI300">
            <v>2</v>
          </cell>
          <cell r="AJ300">
            <v>2</v>
          </cell>
          <cell r="AK300">
            <v>2</v>
          </cell>
          <cell r="AL300" t="str">
            <v>NULL</v>
          </cell>
          <cell r="AM300" t="str">
            <v>NULL</v>
          </cell>
          <cell r="AN300" t="str">
            <v>Yes</v>
          </cell>
          <cell r="AO300" t="str">
            <v>ITS397701</v>
          </cell>
          <cell r="AP300" t="str">
            <v>Independent school standard inspection - first</v>
          </cell>
          <cell r="AQ300" t="str">
            <v>Independent Standard Inspection</v>
          </cell>
          <cell r="AR300">
            <v>41191</v>
          </cell>
          <cell r="AS300">
            <v>41192</v>
          </cell>
          <cell r="AT300">
            <v>41213</v>
          </cell>
          <cell r="AU300">
            <v>3</v>
          </cell>
          <cell r="AV300">
            <v>3</v>
          </cell>
          <cell r="AW300">
            <v>3</v>
          </cell>
          <cell r="AX300" t="str">
            <v>NULL</v>
          </cell>
          <cell r="AY300" t="str">
            <v>NULL</v>
          </cell>
          <cell r="AZ300">
            <v>8</v>
          </cell>
          <cell r="BA300" t="str">
            <v>NULL</v>
          </cell>
          <cell r="BB300" t="str">
            <v>NULL</v>
          </cell>
        </row>
        <row r="301">
          <cell r="D301">
            <v>134833</v>
          </cell>
          <cell r="E301">
            <v>9366584</v>
          </cell>
          <cell r="F301" t="str">
            <v>Stepping Stones School Hindhead</v>
          </cell>
          <cell r="G301" t="str">
            <v>Other Independent Special School</v>
          </cell>
          <cell r="H301">
            <v>38239</v>
          </cell>
          <cell r="I301">
            <v>64</v>
          </cell>
          <cell r="J301" t="str">
            <v>South East</v>
          </cell>
          <cell r="K301" t="str">
            <v>South East</v>
          </cell>
          <cell r="L301" t="str">
            <v>Surrey</v>
          </cell>
          <cell r="M301" t="str">
            <v>South West Surrey</v>
          </cell>
          <cell r="N301" t="str">
            <v>GU26 6SU</v>
          </cell>
          <cell r="O301" t="str">
            <v>Not applicable</v>
          </cell>
          <cell r="P301">
            <v>7</v>
          </cell>
          <cell r="Q301">
            <v>18</v>
          </cell>
          <cell r="R301" t="str">
            <v>None</v>
          </cell>
          <cell r="S301" t="str">
            <v>Ofsted</v>
          </cell>
          <cell r="T301">
            <v>1</v>
          </cell>
          <cell r="U301">
            <v>10020532</v>
          </cell>
          <cell r="V301" t="str">
            <v>Independent school Material Change inspection</v>
          </cell>
          <cell r="W301">
            <v>42558</v>
          </cell>
          <cell r="X301">
            <v>42558</v>
          </cell>
          <cell r="Y301" t="str">
            <v>NULL</v>
          </cell>
          <cell r="Z301" t="str">
            <v>Likely to meet relevant standards</v>
          </cell>
          <cell r="AA301">
            <v>10006326</v>
          </cell>
          <cell r="AB301" t="str">
            <v>Independent School standard inspection</v>
          </cell>
          <cell r="AC301" t="str">
            <v>Independent Standard Inspection</v>
          </cell>
          <cell r="AD301">
            <v>42535</v>
          </cell>
          <cell r="AE301">
            <v>42537</v>
          </cell>
          <cell r="AF301">
            <v>42557</v>
          </cell>
          <cell r="AG301">
            <v>2</v>
          </cell>
          <cell r="AH301">
            <v>2</v>
          </cell>
          <cell r="AI301">
            <v>2</v>
          </cell>
          <cell r="AJ301">
            <v>2</v>
          </cell>
          <cell r="AK301">
            <v>1</v>
          </cell>
          <cell r="AL301" t="str">
            <v>NULL</v>
          </cell>
          <cell r="AM301" t="str">
            <v>NULL</v>
          </cell>
          <cell r="AN301" t="str">
            <v>Yes</v>
          </cell>
          <cell r="AO301" t="str">
            <v>ITS393307</v>
          </cell>
          <cell r="AP301" t="str">
            <v>Independent School standard inspection</v>
          </cell>
          <cell r="AQ301" t="str">
            <v>Independent Standard Inspection</v>
          </cell>
          <cell r="AR301">
            <v>41052</v>
          </cell>
          <cell r="AS301">
            <v>41053</v>
          </cell>
          <cell r="AT301">
            <v>41085</v>
          </cell>
          <cell r="AU301">
            <v>1</v>
          </cell>
          <cell r="AV301">
            <v>1</v>
          </cell>
          <cell r="AW301">
            <v>2</v>
          </cell>
          <cell r="AX301" t="str">
            <v>NULL</v>
          </cell>
          <cell r="AY301" t="str">
            <v>NULL</v>
          </cell>
          <cell r="AZ301">
            <v>8</v>
          </cell>
          <cell r="BA301" t="str">
            <v>NULL</v>
          </cell>
          <cell r="BB301" t="str">
            <v>NULL</v>
          </cell>
        </row>
        <row r="302">
          <cell r="D302">
            <v>136244</v>
          </cell>
          <cell r="E302">
            <v>3176080</v>
          </cell>
          <cell r="F302" t="str">
            <v>Stradbroke</v>
          </cell>
          <cell r="G302" t="str">
            <v>Other Independent Special School</v>
          </cell>
          <cell r="H302">
            <v>40455</v>
          </cell>
          <cell r="I302">
            <v>0</v>
          </cell>
          <cell r="J302" t="str">
            <v>London</v>
          </cell>
          <cell r="K302" t="str">
            <v>London</v>
          </cell>
          <cell r="L302" t="str">
            <v>Redbridge</v>
          </cell>
          <cell r="M302" t="str">
            <v>Ilford North</v>
          </cell>
          <cell r="N302" t="str">
            <v>IG8 8HD</v>
          </cell>
          <cell r="O302" t="str">
            <v>Not applicable</v>
          </cell>
          <cell r="P302">
            <v>8</v>
          </cell>
          <cell r="Q302">
            <v>16</v>
          </cell>
          <cell r="R302" t="str">
            <v>None</v>
          </cell>
          <cell r="S302" t="str">
            <v>Ofsted</v>
          </cell>
          <cell r="T302" t="str">
            <v>NULL</v>
          </cell>
          <cell r="U302" t="str">
            <v>NULL</v>
          </cell>
          <cell r="V302" t="str">
            <v>NULL</v>
          </cell>
          <cell r="W302" t="str">
            <v>NULL</v>
          </cell>
          <cell r="X302" t="str">
            <v>NULL</v>
          </cell>
          <cell r="Y302" t="str">
            <v>NULL</v>
          </cell>
          <cell r="Z302" t="str">
            <v>NULL</v>
          </cell>
          <cell r="AA302" t="str">
            <v>ITS462888</v>
          </cell>
          <cell r="AB302" t="str">
            <v>Independent school standard inspection - aligned with CH</v>
          </cell>
          <cell r="AC302" t="str">
            <v>Independent Standard Inspection</v>
          </cell>
          <cell r="AD302">
            <v>42185</v>
          </cell>
          <cell r="AE302">
            <v>42186</v>
          </cell>
          <cell r="AF302">
            <v>42257</v>
          </cell>
          <cell r="AG302">
            <v>2</v>
          </cell>
          <cell r="AH302">
            <v>2</v>
          </cell>
          <cell r="AI302">
            <v>2</v>
          </cell>
          <cell r="AJ302">
            <v>2</v>
          </cell>
          <cell r="AK302" t="str">
            <v>NULL</v>
          </cell>
          <cell r="AL302">
            <v>9</v>
          </cell>
          <cell r="AM302">
            <v>9</v>
          </cell>
          <cell r="AN302" t="str">
            <v>NULL</v>
          </cell>
          <cell r="AO302" t="str">
            <v>ITS385128</v>
          </cell>
          <cell r="AP302" t="str">
            <v>Independent School standard inspection</v>
          </cell>
          <cell r="AQ302" t="str">
            <v>Independent Standard Inspection</v>
          </cell>
          <cell r="AR302">
            <v>40962</v>
          </cell>
          <cell r="AS302">
            <v>40963</v>
          </cell>
          <cell r="AT302">
            <v>41236</v>
          </cell>
          <cell r="AU302">
            <v>3</v>
          </cell>
          <cell r="AV302">
            <v>3</v>
          </cell>
          <cell r="AW302">
            <v>3</v>
          </cell>
          <cell r="AX302" t="str">
            <v>NULL</v>
          </cell>
          <cell r="AY302" t="str">
            <v>NULL</v>
          </cell>
          <cell r="AZ302">
            <v>8</v>
          </cell>
          <cell r="BA302" t="str">
            <v>NULL</v>
          </cell>
          <cell r="BB302" t="str">
            <v>NULL</v>
          </cell>
        </row>
        <row r="303">
          <cell r="D303">
            <v>117033</v>
          </cell>
          <cell r="E303">
            <v>8856024</v>
          </cell>
          <cell r="F303" t="str">
            <v>Sunfield Children's Home Limited</v>
          </cell>
          <cell r="G303" t="str">
            <v>Other Independent Special School</v>
          </cell>
          <cell r="H303">
            <v>26143</v>
          </cell>
          <cell r="I303">
            <v>37</v>
          </cell>
          <cell r="J303" t="str">
            <v>West Midlands</v>
          </cell>
          <cell r="K303" t="str">
            <v>West Midlands</v>
          </cell>
          <cell r="L303" t="str">
            <v>Worcestershire</v>
          </cell>
          <cell r="M303" t="str">
            <v>Bromsgrove</v>
          </cell>
          <cell r="N303" t="str">
            <v>DY9 9PB</v>
          </cell>
          <cell r="O303" t="str">
            <v>Has a sixth form</v>
          </cell>
          <cell r="P303">
            <v>6</v>
          </cell>
          <cell r="Q303">
            <v>19</v>
          </cell>
          <cell r="R303" t="str">
            <v>None</v>
          </cell>
          <cell r="S303" t="str">
            <v>Ofsted</v>
          </cell>
          <cell r="T303">
            <v>1</v>
          </cell>
          <cell r="U303">
            <v>10044656</v>
          </cell>
          <cell r="V303" t="str">
            <v xml:space="preserve">Independent school emergency inspection -integrated </v>
          </cell>
          <cell r="W303">
            <v>43074</v>
          </cell>
          <cell r="X303">
            <v>43074</v>
          </cell>
          <cell r="Y303">
            <v>43122</v>
          </cell>
          <cell r="Z303" t="str">
            <v xml:space="preserve">Did not meet all standards that were checked </v>
          </cell>
          <cell r="AA303">
            <v>10008859</v>
          </cell>
          <cell r="AB303" t="str">
            <v>Independent School standard inspection</v>
          </cell>
          <cell r="AC303" t="str">
            <v>Independent Standard Inspection</v>
          </cell>
          <cell r="AD303">
            <v>42346</v>
          </cell>
          <cell r="AE303">
            <v>42348</v>
          </cell>
          <cell r="AF303">
            <v>42398</v>
          </cell>
          <cell r="AG303">
            <v>2</v>
          </cell>
          <cell r="AH303">
            <v>2</v>
          </cell>
          <cell r="AI303">
            <v>2</v>
          </cell>
          <cell r="AJ303">
            <v>2</v>
          </cell>
          <cell r="AK303">
            <v>2</v>
          </cell>
          <cell r="AL303" t="str">
            <v>NULL</v>
          </cell>
          <cell r="AM303">
            <v>2</v>
          </cell>
          <cell r="AN303" t="str">
            <v>Yes</v>
          </cell>
          <cell r="AO303" t="str">
            <v>ITS397648</v>
          </cell>
          <cell r="AP303" t="str">
            <v xml:space="preserve">Independent School standard inspection - integrated </v>
          </cell>
          <cell r="AQ303" t="str">
            <v>Independent Standard Inspection</v>
          </cell>
          <cell r="AR303">
            <v>41255</v>
          </cell>
          <cell r="AS303">
            <v>41256</v>
          </cell>
          <cell r="AT303">
            <v>41283</v>
          </cell>
          <cell r="AU303">
            <v>2</v>
          </cell>
          <cell r="AV303">
            <v>2</v>
          </cell>
          <cell r="AW303">
            <v>2</v>
          </cell>
          <cell r="AX303" t="str">
            <v>NULL</v>
          </cell>
          <cell r="AY303" t="str">
            <v>NULL</v>
          </cell>
          <cell r="AZ303">
            <v>8</v>
          </cell>
          <cell r="BA303" t="str">
            <v>NULL</v>
          </cell>
          <cell r="BB303" t="str">
            <v>NULL</v>
          </cell>
        </row>
        <row r="304">
          <cell r="D304">
            <v>135405</v>
          </cell>
          <cell r="E304">
            <v>9086096</v>
          </cell>
          <cell r="F304" t="str">
            <v>T Plus Centre (Taliesin Education)</v>
          </cell>
          <cell r="G304" t="str">
            <v>Other Independent Special School</v>
          </cell>
          <cell r="H304">
            <v>39331</v>
          </cell>
          <cell r="I304">
            <v>14</v>
          </cell>
          <cell r="J304" t="str">
            <v>South West</v>
          </cell>
          <cell r="K304" t="str">
            <v>South West</v>
          </cell>
          <cell r="L304" t="str">
            <v>Cornwall</v>
          </cell>
          <cell r="M304" t="str">
            <v>South East Cornwall</v>
          </cell>
          <cell r="N304" t="str">
            <v>PL14 4DA</v>
          </cell>
          <cell r="O304" t="str">
            <v>Not applicable</v>
          </cell>
          <cell r="P304">
            <v>7</v>
          </cell>
          <cell r="Q304">
            <v>16</v>
          </cell>
          <cell r="R304" t="str">
            <v>None</v>
          </cell>
          <cell r="S304" t="str">
            <v>Ofsted</v>
          </cell>
          <cell r="T304" t="str">
            <v>NULL</v>
          </cell>
          <cell r="U304" t="str">
            <v>NULL</v>
          </cell>
          <cell r="V304" t="str">
            <v>NULL</v>
          </cell>
          <cell r="W304" t="str">
            <v>NULL</v>
          </cell>
          <cell r="X304" t="str">
            <v>NULL</v>
          </cell>
          <cell r="Y304" t="str">
            <v>NULL</v>
          </cell>
          <cell r="Z304" t="str">
            <v>NULL</v>
          </cell>
          <cell r="AA304" t="str">
            <v>ITS454283</v>
          </cell>
          <cell r="AB304" t="str">
            <v>Independent School standard inspection</v>
          </cell>
          <cell r="AC304" t="str">
            <v>Independent Standard Inspection</v>
          </cell>
          <cell r="AD304">
            <v>42074</v>
          </cell>
          <cell r="AE304">
            <v>42076</v>
          </cell>
          <cell r="AF304">
            <v>42138</v>
          </cell>
          <cell r="AG304">
            <v>2</v>
          </cell>
          <cell r="AH304">
            <v>2</v>
          </cell>
          <cell r="AI304">
            <v>2</v>
          </cell>
          <cell r="AJ304">
            <v>2</v>
          </cell>
          <cell r="AK304" t="str">
            <v>NULL</v>
          </cell>
          <cell r="AL304">
            <v>9</v>
          </cell>
          <cell r="AM304">
            <v>9</v>
          </cell>
          <cell r="AN304" t="str">
            <v>NULL</v>
          </cell>
          <cell r="AO304" t="str">
            <v>ITS385185</v>
          </cell>
          <cell r="AP304" t="str">
            <v>Independent School standard inspection</v>
          </cell>
          <cell r="AQ304" t="str">
            <v>Independent Standard Inspection</v>
          </cell>
          <cell r="AR304">
            <v>40855</v>
          </cell>
          <cell r="AS304">
            <v>40856</v>
          </cell>
          <cell r="AT304">
            <v>40886</v>
          </cell>
          <cell r="AU304">
            <v>3</v>
          </cell>
          <cell r="AV304">
            <v>3</v>
          </cell>
          <cell r="AW304">
            <v>3</v>
          </cell>
          <cell r="AX304" t="str">
            <v>NULL</v>
          </cell>
          <cell r="AY304" t="str">
            <v>NULL</v>
          </cell>
          <cell r="AZ304">
            <v>8</v>
          </cell>
          <cell r="BA304" t="str">
            <v>NULL</v>
          </cell>
          <cell r="BB304" t="str">
            <v>NULL</v>
          </cell>
        </row>
        <row r="305">
          <cell r="D305">
            <v>132069</v>
          </cell>
          <cell r="E305">
            <v>9386258</v>
          </cell>
          <cell r="F305" t="str">
            <v>Apple Orchard Slinfold</v>
          </cell>
          <cell r="G305" t="str">
            <v>Other Independent Special School</v>
          </cell>
          <cell r="H305">
            <v>36600</v>
          </cell>
          <cell r="I305">
            <v>27</v>
          </cell>
          <cell r="J305" t="str">
            <v>South East</v>
          </cell>
          <cell r="K305" t="str">
            <v>South East</v>
          </cell>
          <cell r="L305" t="str">
            <v>West Sussex</v>
          </cell>
          <cell r="M305" t="str">
            <v>Horsham</v>
          </cell>
          <cell r="N305" t="str">
            <v>RH13 0RQ</v>
          </cell>
          <cell r="O305" t="str">
            <v>Not applicable</v>
          </cell>
          <cell r="P305">
            <v>12</v>
          </cell>
          <cell r="Q305">
            <v>18</v>
          </cell>
          <cell r="R305" t="str">
            <v>None</v>
          </cell>
          <cell r="S305" t="str">
            <v>Ofsted</v>
          </cell>
          <cell r="T305" t="str">
            <v>NULL</v>
          </cell>
          <cell r="U305" t="str">
            <v>NULL</v>
          </cell>
          <cell r="V305" t="str">
            <v>NULL</v>
          </cell>
          <cell r="W305" t="str">
            <v>NULL</v>
          </cell>
          <cell r="X305" t="str">
            <v>NULL</v>
          </cell>
          <cell r="Y305" t="str">
            <v>NULL</v>
          </cell>
          <cell r="Z305" t="str">
            <v>NULL</v>
          </cell>
          <cell r="AA305">
            <v>10026017</v>
          </cell>
          <cell r="AB305" t="str">
            <v>Independent school standard inspection - aligned with CH</v>
          </cell>
          <cell r="AC305" t="str">
            <v>Independent Standard Inspection</v>
          </cell>
          <cell r="AD305">
            <v>43067</v>
          </cell>
          <cell r="AE305">
            <v>43069</v>
          </cell>
          <cell r="AF305">
            <v>43126</v>
          </cell>
          <cell r="AG305">
            <v>1</v>
          </cell>
          <cell r="AH305">
            <v>1</v>
          </cell>
          <cell r="AI305">
            <v>1</v>
          </cell>
          <cell r="AJ305">
            <v>1</v>
          </cell>
          <cell r="AK305">
            <v>1</v>
          </cell>
          <cell r="AL305" t="str">
            <v>NULL</v>
          </cell>
          <cell r="AM305">
            <v>1</v>
          </cell>
          <cell r="AN305" t="str">
            <v>Yes</v>
          </cell>
          <cell r="AO305" t="str">
            <v>ITS422741</v>
          </cell>
          <cell r="AP305" t="str">
            <v xml:space="preserve">Independent School standard inspection - integrated </v>
          </cell>
          <cell r="AQ305" t="str">
            <v>Independent Standard Inspection</v>
          </cell>
          <cell r="AR305">
            <v>41590</v>
          </cell>
          <cell r="AS305">
            <v>41592</v>
          </cell>
          <cell r="AT305">
            <v>41612</v>
          </cell>
          <cell r="AU305">
            <v>1</v>
          </cell>
          <cell r="AV305">
            <v>1</v>
          </cell>
          <cell r="AW305">
            <v>1</v>
          </cell>
          <cell r="AX305">
            <v>1</v>
          </cell>
          <cell r="AY305" t="str">
            <v>NULL</v>
          </cell>
          <cell r="AZ305" t="str">
            <v>NULL</v>
          </cell>
          <cell r="BA305" t="str">
            <v>NULL</v>
          </cell>
          <cell r="BB305" t="str">
            <v>NULL</v>
          </cell>
        </row>
        <row r="306">
          <cell r="D306">
            <v>130367</v>
          </cell>
          <cell r="E306">
            <v>9096048</v>
          </cell>
          <cell r="F306" t="str">
            <v>Appletree School</v>
          </cell>
          <cell r="G306" t="str">
            <v>Other Independent Special School</v>
          </cell>
          <cell r="H306">
            <v>35201</v>
          </cell>
          <cell r="I306">
            <v>16</v>
          </cell>
          <cell r="J306" t="str">
            <v>North West</v>
          </cell>
          <cell r="K306" t="str">
            <v>North West</v>
          </cell>
          <cell r="L306" t="str">
            <v>Cumbria</v>
          </cell>
          <cell r="M306" t="str">
            <v>Westmorland and Lonsdale</v>
          </cell>
          <cell r="N306" t="str">
            <v>LA9 7QS</v>
          </cell>
          <cell r="O306" t="str">
            <v>Not applicable</v>
          </cell>
          <cell r="P306">
            <v>6</v>
          </cell>
          <cell r="Q306">
            <v>12</v>
          </cell>
          <cell r="R306" t="str">
            <v>None</v>
          </cell>
          <cell r="S306" t="str">
            <v>Ofsted</v>
          </cell>
          <cell r="T306" t="str">
            <v>NULL</v>
          </cell>
          <cell r="U306" t="str">
            <v>NULL</v>
          </cell>
          <cell r="V306" t="str">
            <v>NULL</v>
          </cell>
          <cell r="W306" t="str">
            <v>NULL</v>
          </cell>
          <cell r="X306" t="str">
            <v>NULL</v>
          </cell>
          <cell r="Y306" t="str">
            <v>NULL</v>
          </cell>
          <cell r="Z306" t="str">
            <v>NULL</v>
          </cell>
          <cell r="AA306">
            <v>10033386</v>
          </cell>
          <cell r="AB306" t="str">
            <v>Independent School standard inspection</v>
          </cell>
          <cell r="AC306" t="str">
            <v>Independent Standard Inspection</v>
          </cell>
          <cell r="AD306">
            <v>42801</v>
          </cell>
          <cell r="AE306">
            <v>42803</v>
          </cell>
          <cell r="AF306">
            <v>42828</v>
          </cell>
          <cell r="AG306">
            <v>2</v>
          </cell>
          <cell r="AH306">
            <v>2</v>
          </cell>
          <cell r="AI306">
            <v>2</v>
          </cell>
          <cell r="AJ306">
            <v>2</v>
          </cell>
          <cell r="AK306">
            <v>1</v>
          </cell>
          <cell r="AL306" t="str">
            <v>NULL</v>
          </cell>
          <cell r="AM306" t="str">
            <v>NULL</v>
          </cell>
          <cell r="AN306" t="str">
            <v>Yes</v>
          </cell>
          <cell r="AO306" t="str">
            <v>ITS446264</v>
          </cell>
          <cell r="AP306" t="str">
            <v>Independent school standard inspection - aligned with CH</v>
          </cell>
          <cell r="AQ306" t="str">
            <v>Independent Standard Inspection</v>
          </cell>
          <cell r="AR306">
            <v>41919</v>
          </cell>
          <cell r="AS306">
            <v>41921</v>
          </cell>
          <cell r="AT306">
            <v>41957</v>
          </cell>
          <cell r="AU306">
            <v>2</v>
          </cell>
          <cell r="AV306">
            <v>2</v>
          </cell>
          <cell r="AW306">
            <v>2</v>
          </cell>
          <cell r="AX306">
            <v>2</v>
          </cell>
          <cell r="AY306" t="str">
            <v>NULL</v>
          </cell>
          <cell r="AZ306">
            <v>9</v>
          </cell>
          <cell r="BA306">
            <v>9</v>
          </cell>
          <cell r="BB306" t="str">
            <v>NULL</v>
          </cell>
        </row>
        <row r="307">
          <cell r="D307">
            <v>141607</v>
          </cell>
          <cell r="E307">
            <v>3086004</v>
          </cell>
          <cell r="F307" t="str">
            <v>Applied Educational Solutions</v>
          </cell>
          <cell r="G307" t="str">
            <v>Other Independent Special School</v>
          </cell>
          <cell r="H307">
            <v>41975</v>
          </cell>
          <cell r="I307">
            <v>9</v>
          </cell>
          <cell r="J307" t="str">
            <v>London</v>
          </cell>
          <cell r="K307" t="str">
            <v>London</v>
          </cell>
          <cell r="L307" t="str">
            <v>Enfield</v>
          </cell>
          <cell r="M307" t="str">
            <v>Enfield North</v>
          </cell>
          <cell r="N307" t="str">
            <v>EN3 7HG</v>
          </cell>
          <cell r="O307" t="str">
            <v>Not applicable</v>
          </cell>
          <cell r="P307">
            <v>8</v>
          </cell>
          <cell r="Q307">
            <v>14</v>
          </cell>
          <cell r="R307" t="str">
            <v>None</v>
          </cell>
          <cell r="S307" t="str">
            <v>Ofsted</v>
          </cell>
          <cell r="T307" t="str">
            <v>NULL</v>
          </cell>
          <cell r="U307" t="str">
            <v>NULL</v>
          </cell>
          <cell r="V307" t="str">
            <v>NULL</v>
          </cell>
          <cell r="W307" t="str">
            <v>NULL</v>
          </cell>
          <cell r="X307" t="str">
            <v>NULL</v>
          </cell>
          <cell r="Y307" t="str">
            <v>NULL</v>
          </cell>
          <cell r="Z307" t="str">
            <v>NULL</v>
          </cell>
          <cell r="AA307">
            <v>10006305</v>
          </cell>
          <cell r="AB307" t="str">
            <v>Independent school standard inspection - first</v>
          </cell>
          <cell r="AC307" t="str">
            <v>Independent Standard Inspection</v>
          </cell>
          <cell r="AD307">
            <v>42403</v>
          </cell>
          <cell r="AE307">
            <v>42405</v>
          </cell>
          <cell r="AF307">
            <v>42443</v>
          </cell>
          <cell r="AG307">
            <v>3</v>
          </cell>
          <cell r="AH307">
            <v>3</v>
          </cell>
          <cell r="AI307">
            <v>3</v>
          </cell>
          <cell r="AJ307">
            <v>3</v>
          </cell>
          <cell r="AK307">
            <v>2</v>
          </cell>
          <cell r="AL307" t="str">
            <v>NULL</v>
          </cell>
          <cell r="AM307" t="str">
            <v>NULL</v>
          </cell>
          <cell r="AN307" t="str">
            <v>Yes</v>
          </cell>
          <cell r="AO307" t="str">
            <v>NULL</v>
          </cell>
          <cell r="AP307" t="str">
            <v>NULL</v>
          </cell>
          <cell r="AQ307" t="str">
            <v>NULL</v>
          </cell>
          <cell r="AR307" t="str">
            <v>NULL</v>
          </cell>
          <cell r="AS307" t="str">
            <v>NULL</v>
          </cell>
          <cell r="AT307" t="str">
            <v>NULL</v>
          </cell>
          <cell r="AU307" t="str">
            <v>NULL</v>
          </cell>
          <cell r="AV307" t="str">
            <v>NULL</v>
          </cell>
          <cell r="AW307" t="str">
            <v>NULL</v>
          </cell>
          <cell r="AX307" t="str">
            <v>NULL</v>
          </cell>
          <cell r="AY307" t="str">
            <v>NULL</v>
          </cell>
          <cell r="AZ307" t="str">
            <v>NULL</v>
          </cell>
          <cell r="BA307" t="str">
            <v>NULL</v>
          </cell>
          <cell r="BB307" t="str">
            <v>NULL</v>
          </cell>
        </row>
        <row r="308">
          <cell r="D308">
            <v>141008</v>
          </cell>
          <cell r="E308">
            <v>9376012</v>
          </cell>
          <cell r="F308" t="str">
            <v>Arc School Ansley</v>
          </cell>
          <cell r="G308" t="str">
            <v>Other Independent Special School</v>
          </cell>
          <cell r="H308">
            <v>41796</v>
          </cell>
          <cell r="I308">
            <v>39</v>
          </cell>
          <cell r="J308" t="str">
            <v>West Midlands</v>
          </cell>
          <cell r="K308" t="str">
            <v>West Midlands</v>
          </cell>
          <cell r="L308" t="str">
            <v>Warwickshire</v>
          </cell>
          <cell r="M308" t="str">
            <v>Nuneaton</v>
          </cell>
          <cell r="N308" t="str">
            <v>CV10 9ND</v>
          </cell>
          <cell r="O308" t="str">
            <v>Not applicable</v>
          </cell>
          <cell r="P308">
            <v>11</v>
          </cell>
          <cell r="Q308">
            <v>16</v>
          </cell>
          <cell r="R308" t="str">
            <v>None</v>
          </cell>
          <cell r="S308" t="str">
            <v>Ofsted</v>
          </cell>
          <cell r="T308" t="str">
            <v>NULL</v>
          </cell>
          <cell r="U308" t="str">
            <v>NULL</v>
          </cell>
          <cell r="V308" t="str">
            <v>NULL</v>
          </cell>
          <cell r="W308" t="str">
            <v>NULL</v>
          </cell>
          <cell r="X308" t="str">
            <v>NULL</v>
          </cell>
          <cell r="Y308" t="str">
            <v>NULL</v>
          </cell>
          <cell r="Z308" t="str">
            <v>NULL</v>
          </cell>
          <cell r="AA308" t="str">
            <v>ITS462983</v>
          </cell>
          <cell r="AB308" t="str">
            <v>Independent school standard inspection - first</v>
          </cell>
          <cell r="AC308" t="str">
            <v>Independent Standard Inspection</v>
          </cell>
          <cell r="AD308">
            <v>42158</v>
          </cell>
          <cell r="AE308">
            <v>42160</v>
          </cell>
          <cell r="AF308">
            <v>42195</v>
          </cell>
          <cell r="AG308">
            <v>2</v>
          </cell>
          <cell r="AH308">
            <v>2</v>
          </cell>
          <cell r="AI308">
            <v>2</v>
          </cell>
          <cell r="AJ308">
            <v>2</v>
          </cell>
          <cell r="AK308" t="str">
            <v>NULL</v>
          </cell>
          <cell r="AL308">
            <v>9</v>
          </cell>
          <cell r="AM308">
            <v>9</v>
          </cell>
          <cell r="AN308" t="str">
            <v>NULL</v>
          </cell>
          <cell r="AO308" t="str">
            <v>NULL</v>
          </cell>
          <cell r="AP308" t="str">
            <v>NULL</v>
          </cell>
          <cell r="AQ308" t="str">
            <v>NULL</v>
          </cell>
          <cell r="AR308" t="str">
            <v>NULL</v>
          </cell>
          <cell r="AS308" t="str">
            <v>NULL</v>
          </cell>
          <cell r="AT308" t="str">
            <v>NULL</v>
          </cell>
          <cell r="AU308" t="str">
            <v>NULL</v>
          </cell>
          <cell r="AV308" t="str">
            <v>NULL</v>
          </cell>
          <cell r="AW308" t="str">
            <v>NULL</v>
          </cell>
          <cell r="AX308" t="str">
            <v>NULL</v>
          </cell>
          <cell r="AY308" t="str">
            <v>NULL</v>
          </cell>
          <cell r="AZ308" t="str">
            <v>NULL</v>
          </cell>
          <cell r="BA308" t="str">
            <v>NULL</v>
          </cell>
          <cell r="BB308" t="str">
            <v>NULL</v>
          </cell>
        </row>
        <row r="309">
          <cell r="D309">
            <v>136265</v>
          </cell>
          <cell r="E309">
            <v>3056082</v>
          </cell>
          <cell r="F309" t="str">
            <v>Baston House School</v>
          </cell>
          <cell r="G309" t="str">
            <v>Other Independent Special School</v>
          </cell>
          <cell r="H309">
            <v>40519</v>
          </cell>
          <cell r="I309">
            <v>63</v>
          </cell>
          <cell r="J309" t="str">
            <v>London</v>
          </cell>
          <cell r="K309" t="str">
            <v>London</v>
          </cell>
          <cell r="L309" t="str">
            <v>Bromley</v>
          </cell>
          <cell r="M309" t="str">
            <v>Beckenham</v>
          </cell>
          <cell r="N309" t="str">
            <v>BR2 7AB</v>
          </cell>
          <cell r="O309" t="str">
            <v>Not applicable</v>
          </cell>
          <cell r="P309">
            <v>5</v>
          </cell>
          <cell r="Q309">
            <v>19</v>
          </cell>
          <cell r="R309" t="str">
            <v>None</v>
          </cell>
          <cell r="S309" t="str">
            <v>Ofsted</v>
          </cell>
          <cell r="T309">
            <v>1</v>
          </cell>
          <cell r="U309">
            <v>10007303</v>
          </cell>
          <cell r="V309" t="str">
            <v>Independent school emergency inspection</v>
          </cell>
          <cell r="W309">
            <v>42257</v>
          </cell>
          <cell r="X309">
            <v>42257</v>
          </cell>
          <cell r="Y309" t="str">
            <v>NULL</v>
          </cell>
          <cell r="Z309" t="str">
            <v>No unmet standards</v>
          </cell>
          <cell r="AA309" t="str">
            <v>ITS447202</v>
          </cell>
          <cell r="AB309" t="str">
            <v>Independent School standard inspection</v>
          </cell>
          <cell r="AC309" t="str">
            <v>Independent Standard Inspection</v>
          </cell>
          <cell r="AD309">
            <v>41926</v>
          </cell>
          <cell r="AE309">
            <v>41928</v>
          </cell>
          <cell r="AF309">
            <v>41965</v>
          </cell>
          <cell r="AG309">
            <v>2</v>
          </cell>
          <cell r="AH309">
            <v>2</v>
          </cell>
          <cell r="AI309">
            <v>2</v>
          </cell>
          <cell r="AJ309">
            <v>2</v>
          </cell>
          <cell r="AK309" t="str">
            <v>NULL</v>
          </cell>
          <cell r="AL309">
            <v>9</v>
          </cell>
          <cell r="AM309">
            <v>9</v>
          </cell>
          <cell r="AN309" t="str">
            <v>NULL</v>
          </cell>
          <cell r="AO309" t="str">
            <v>ITS368392</v>
          </cell>
          <cell r="AP309" t="str">
            <v>Independent School standard inspection</v>
          </cell>
          <cell r="AQ309" t="str">
            <v>Independent Standard Inspection</v>
          </cell>
          <cell r="AR309">
            <v>40686</v>
          </cell>
          <cell r="AS309">
            <v>40687</v>
          </cell>
          <cell r="AT309">
            <v>40722</v>
          </cell>
          <cell r="AU309">
            <v>3</v>
          </cell>
          <cell r="AV309">
            <v>3</v>
          </cell>
          <cell r="AW309">
            <v>3</v>
          </cell>
          <cell r="AX309" t="str">
            <v>NULL</v>
          </cell>
          <cell r="AY309" t="str">
            <v>NULL</v>
          </cell>
          <cell r="AZ309">
            <v>8</v>
          </cell>
          <cell r="BA309" t="str">
            <v>NULL</v>
          </cell>
          <cell r="BB309" t="str">
            <v>NULL</v>
          </cell>
        </row>
        <row r="310">
          <cell r="D310">
            <v>131064</v>
          </cell>
          <cell r="E310">
            <v>9316125</v>
          </cell>
          <cell r="F310" t="str">
            <v>Chilworth House School</v>
          </cell>
          <cell r="G310" t="str">
            <v>Other Independent Special School</v>
          </cell>
          <cell r="H310">
            <v>38661</v>
          </cell>
          <cell r="I310">
            <v>30</v>
          </cell>
          <cell r="J310" t="str">
            <v>South East</v>
          </cell>
          <cell r="K310" t="str">
            <v>South East</v>
          </cell>
          <cell r="L310" t="str">
            <v>Oxfordshire</v>
          </cell>
          <cell r="M310" t="str">
            <v>Henley</v>
          </cell>
          <cell r="N310" t="str">
            <v>OX33 1JP</v>
          </cell>
          <cell r="O310" t="str">
            <v>Not applicable</v>
          </cell>
          <cell r="P310">
            <v>5</v>
          </cell>
          <cell r="Q310">
            <v>11</v>
          </cell>
          <cell r="R310" t="str">
            <v>None</v>
          </cell>
          <cell r="S310" t="str">
            <v>Ofsted</v>
          </cell>
          <cell r="T310" t="str">
            <v>NULL</v>
          </cell>
          <cell r="U310" t="str">
            <v>NULL</v>
          </cell>
          <cell r="V310" t="str">
            <v>NULL</v>
          </cell>
          <cell r="W310" t="str">
            <v>NULL</v>
          </cell>
          <cell r="X310" t="str">
            <v>NULL</v>
          </cell>
          <cell r="Y310" t="str">
            <v>NULL</v>
          </cell>
          <cell r="Z310" t="str">
            <v>NULL</v>
          </cell>
          <cell r="AA310">
            <v>10008615</v>
          </cell>
          <cell r="AB310" t="str">
            <v>Independent School standard inspection</v>
          </cell>
          <cell r="AC310" t="str">
            <v>Independent Standard Inspection</v>
          </cell>
          <cell r="AD310">
            <v>42648</v>
          </cell>
          <cell r="AE310">
            <v>42650</v>
          </cell>
          <cell r="AF310">
            <v>42682</v>
          </cell>
          <cell r="AG310">
            <v>2</v>
          </cell>
          <cell r="AH310">
            <v>2</v>
          </cell>
          <cell r="AI310">
            <v>2</v>
          </cell>
          <cell r="AJ310">
            <v>2</v>
          </cell>
          <cell r="AK310">
            <v>2</v>
          </cell>
          <cell r="AL310" t="str">
            <v>NULL</v>
          </cell>
          <cell r="AM310" t="str">
            <v>NULL</v>
          </cell>
          <cell r="AN310" t="str">
            <v>Yes</v>
          </cell>
          <cell r="AO310" t="str">
            <v>ITS393338</v>
          </cell>
          <cell r="AP310" t="str">
            <v>Independent School standard inspection</v>
          </cell>
          <cell r="AQ310" t="str">
            <v>Independent Standard Inspection</v>
          </cell>
          <cell r="AR310">
            <v>41080</v>
          </cell>
          <cell r="AS310">
            <v>41081</v>
          </cell>
          <cell r="AT310">
            <v>41102</v>
          </cell>
          <cell r="AU310">
            <v>2</v>
          </cell>
          <cell r="AV310">
            <v>2</v>
          </cell>
          <cell r="AW310">
            <v>2</v>
          </cell>
          <cell r="AX310" t="str">
            <v>NULL</v>
          </cell>
          <cell r="AY310" t="str">
            <v>NULL</v>
          </cell>
          <cell r="AZ310">
            <v>8</v>
          </cell>
          <cell r="BA310" t="str">
            <v>NULL</v>
          </cell>
          <cell r="BB310" t="str">
            <v>NULL</v>
          </cell>
        </row>
        <row r="311">
          <cell r="D311">
            <v>137334</v>
          </cell>
          <cell r="E311">
            <v>9316000</v>
          </cell>
          <cell r="F311" t="str">
            <v>Chilworth House Upper School</v>
          </cell>
          <cell r="G311" t="str">
            <v>Other Independent Special School</v>
          </cell>
          <cell r="H311">
            <v>40787</v>
          </cell>
          <cell r="I311">
            <v>63</v>
          </cell>
          <cell r="J311" t="str">
            <v>South East</v>
          </cell>
          <cell r="K311" t="str">
            <v>South East</v>
          </cell>
          <cell r="L311" t="str">
            <v>Oxfordshire</v>
          </cell>
          <cell r="M311" t="str">
            <v>Henley</v>
          </cell>
          <cell r="N311" t="str">
            <v>OX33 1JP</v>
          </cell>
          <cell r="O311" t="str">
            <v>Not applicable</v>
          </cell>
          <cell r="P311">
            <v>11</v>
          </cell>
          <cell r="Q311">
            <v>18</v>
          </cell>
          <cell r="R311" t="str">
            <v>None</v>
          </cell>
          <cell r="S311" t="str">
            <v>Ofsted</v>
          </cell>
          <cell r="T311" t="str">
            <v>NULL</v>
          </cell>
          <cell r="U311" t="str">
            <v>NULL</v>
          </cell>
          <cell r="V311" t="str">
            <v>NULL</v>
          </cell>
          <cell r="W311" t="str">
            <v>NULL</v>
          </cell>
          <cell r="X311" t="str">
            <v>NULL</v>
          </cell>
          <cell r="Y311" t="str">
            <v>NULL</v>
          </cell>
          <cell r="Z311" t="str">
            <v>NULL</v>
          </cell>
          <cell r="AA311">
            <v>10008614</v>
          </cell>
          <cell r="AB311" t="str">
            <v>Independent School standard inspection</v>
          </cell>
          <cell r="AC311" t="str">
            <v>Independent Standard Inspection</v>
          </cell>
          <cell r="AD311">
            <v>42640</v>
          </cell>
          <cell r="AE311">
            <v>42642</v>
          </cell>
          <cell r="AF311">
            <v>42675</v>
          </cell>
          <cell r="AG311">
            <v>2</v>
          </cell>
          <cell r="AH311">
            <v>2</v>
          </cell>
          <cell r="AI311">
            <v>2</v>
          </cell>
          <cell r="AJ311">
            <v>2</v>
          </cell>
          <cell r="AK311">
            <v>2</v>
          </cell>
          <cell r="AL311" t="str">
            <v>NULL</v>
          </cell>
          <cell r="AM311">
            <v>2</v>
          </cell>
          <cell r="AN311" t="str">
            <v>Yes</v>
          </cell>
          <cell r="AO311" t="str">
            <v>ITS393276</v>
          </cell>
          <cell r="AP311" t="str">
            <v>Independent school standard inspection - first</v>
          </cell>
          <cell r="AQ311" t="str">
            <v>Independent Standard Inspection</v>
          </cell>
          <cell r="AR311">
            <v>41079</v>
          </cell>
          <cell r="AS311">
            <v>41080</v>
          </cell>
          <cell r="AT311">
            <v>41102</v>
          </cell>
          <cell r="AU311">
            <v>2</v>
          </cell>
          <cell r="AV311">
            <v>2</v>
          </cell>
          <cell r="AW311">
            <v>2</v>
          </cell>
          <cell r="AX311" t="str">
            <v>NULL</v>
          </cell>
          <cell r="AY311" t="str">
            <v>NULL</v>
          </cell>
          <cell r="AZ311">
            <v>8</v>
          </cell>
          <cell r="BA311" t="str">
            <v>NULL</v>
          </cell>
          <cell r="BB311" t="str">
            <v>NULL</v>
          </cell>
        </row>
        <row r="312">
          <cell r="D312">
            <v>138378</v>
          </cell>
          <cell r="E312">
            <v>3056005</v>
          </cell>
          <cell r="F312" t="str">
            <v>Clannad Education Centre</v>
          </cell>
          <cell r="G312" t="str">
            <v>Other Independent Special School</v>
          </cell>
          <cell r="H312">
            <v>41095</v>
          </cell>
          <cell r="I312">
            <v>4</v>
          </cell>
          <cell r="J312" t="str">
            <v>London</v>
          </cell>
          <cell r="K312" t="str">
            <v>London</v>
          </cell>
          <cell r="L312" t="str">
            <v>Bromley</v>
          </cell>
          <cell r="M312" t="str">
            <v>Salisbury</v>
          </cell>
          <cell r="N312" t="str">
            <v>SP1 3UT</v>
          </cell>
          <cell r="O312" t="str">
            <v>Not applicable</v>
          </cell>
          <cell r="P312">
            <v>11</v>
          </cell>
          <cell r="Q312">
            <v>16</v>
          </cell>
          <cell r="R312" t="str">
            <v>None</v>
          </cell>
          <cell r="S312" t="str">
            <v>Ofsted</v>
          </cell>
          <cell r="T312" t="str">
            <v>NULL</v>
          </cell>
          <cell r="U312" t="str">
            <v>NULL</v>
          </cell>
          <cell r="V312" t="str">
            <v>NULL</v>
          </cell>
          <cell r="W312" t="str">
            <v>NULL</v>
          </cell>
          <cell r="X312" t="str">
            <v>NULL</v>
          </cell>
          <cell r="Y312" t="str">
            <v>NULL</v>
          </cell>
          <cell r="Z312" t="str">
            <v>NULL</v>
          </cell>
          <cell r="AA312">
            <v>10012826</v>
          </cell>
          <cell r="AB312" t="str">
            <v>Independent School standard inspection</v>
          </cell>
          <cell r="AC312" t="str">
            <v>Independent Standard Inspection</v>
          </cell>
          <cell r="AD312">
            <v>42809</v>
          </cell>
          <cell r="AE312">
            <v>42811</v>
          </cell>
          <cell r="AF312">
            <v>42858</v>
          </cell>
          <cell r="AG312">
            <v>2</v>
          </cell>
          <cell r="AH312">
            <v>2</v>
          </cell>
          <cell r="AI312">
            <v>2</v>
          </cell>
          <cell r="AJ312">
            <v>2</v>
          </cell>
          <cell r="AK312">
            <v>1</v>
          </cell>
          <cell r="AL312" t="str">
            <v>NULL</v>
          </cell>
          <cell r="AM312" t="str">
            <v>NULL</v>
          </cell>
          <cell r="AN312" t="str">
            <v>Yes</v>
          </cell>
          <cell r="AO312" t="str">
            <v>ITS420277</v>
          </cell>
          <cell r="AP312" t="str">
            <v xml:space="preserve">Independent school standard inspection - integrated - first </v>
          </cell>
          <cell r="AQ312" t="str">
            <v>Independent Standard Inspection</v>
          </cell>
          <cell r="AR312">
            <v>41436</v>
          </cell>
          <cell r="AS312">
            <v>41437</v>
          </cell>
          <cell r="AT312">
            <v>41457</v>
          </cell>
          <cell r="AU312">
            <v>2</v>
          </cell>
          <cell r="AV312">
            <v>2</v>
          </cell>
          <cell r="AW312">
            <v>2</v>
          </cell>
          <cell r="AX312">
            <v>2</v>
          </cell>
          <cell r="AY312" t="str">
            <v>NULL</v>
          </cell>
          <cell r="AZ312" t="str">
            <v>NULL</v>
          </cell>
          <cell r="BA312" t="str">
            <v>NULL</v>
          </cell>
          <cell r="BB312" t="str">
            <v>NULL</v>
          </cell>
        </row>
        <row r="313">
          <cell r="D313">
            <v>104975</v>
          </cell>
          <cell r="E313">
            <v>3436131</v>
          </cell>
          <cell r="F313" t="str">
            <v>Clarence High School</v>
          </cell>
          <cell r="G313" t="str">
            <v>Other Independent Special School</v>
          </cell>
          <cell r="H313">
            <v>31027</v>
          </cell>
          <cell r="I313">
            <v>21</v>
          </cell>
          <cell r="J313" t="str">
            <v>North West</v>
          </cell>
          <cell r="K313" t="str">
            <v>North West</v>
          </cell>
          <cell r="L313" t="str">
            <v>Sefton</v>
          </cell>
          <cell r="M313" t="str">
            <v>Sefton Central</v>
          </cell>
          <cell r="N313" t="str">
            <v>L37 7AZ</v>
          </cell>
          <cell r="O313" t="str">
            <v>Has a sixth form</v>
          </cell>
          <cell r="P313">
            <v>7</v>
          </cell>
          <cell r="Q313">
            <v>18</v>
          </cell>
          <cell r="R313" t="str">
            <v>None</v>
          </cell>
          <cell r="S313" t="str">
            <v>Ofsted</v>
          </cell>
          <cell r="T313" t="str">
            <v>NULL</v>
          </cell>
          <cell r="U313" t="str">
            <v>NULL</v>
          </cell>
          <cell r="V313" t="str">
            <v>NULL</v>
          </cell>
          <cell r="W313" t="str">
            <v>NULL</v>
          </cell>
          <cell r="X313" t="str">
            <v>NULL</v>
          </cell>
          <cell r="Y313" t="str">
            <v>NULL</v>
          </cell>
          <cell r="Z313" t="str">
            <v>NULL</v>
          </cell>
          <cell r="AA313">
            <v>10008521</v>
          </cell>
          <cell r="AB313" t="str">
            <v>Independent School standard inspection</v>
          </cell>
          <cell r="AC313" t="str">
            <v>Independent Standard Inspection</v>
          </cell>
          <cell r="AD313">
            <v>42906</v>
          </cell>
          <cell r="AE313">
            <v>42908</v>
          </cell>
          <cell r="AF313">
            <v>42986</v>
          </cell>
          <cell r="AG313">
            <v>2</v>
          </cell>
          <cell r="AH313">
            <v>2</v>
          </cell>
          <cell r="AI313">
            <v>2</v>
          </cell>
          <cell r="AJ313">
            <v>2</v>
          </cell>
          <cell r="AK313">
            <v>2</v>
          </cell>
          <cell r="AL313" t="str">
            <v>NULL</v>
          </cell>
          <cell r="AM313">
            <v>2</v>
          </cell>
          <cell r="AN313" t="str">
            <v>Yes</v>
          </cell>
          <cell r="AO313" t="str">
            <v>ITS408699</v>
          </cell>
          <cell r="AP313" t="str">
            <v xml:space="preserve">Independent School standard inspection - integrated </v>
          </cell>
          <cell r="AQ313" t="str">
            <v>Independent Standard Inspection</v>
          </cell>
          <cell r="AR313">
            <v>41254</v>
          </cell>
          <cell r="AS313">
            <v>41255</v>
          </cell>
          <cell r="AT313">
            <v>41284</v>
          </cell>
          <cell r="AU313">
            <v>2</v>
          </cell>
          <cell r="AV313">
            <v>2</v>
          </cell>
          <cell r="AW313">
            <v>2</v>
          </cell>
          <cell r="AX313" t="str">
            <v>NULL</v>
          </cell>
          <cell r="AY313" t="str">
            <v>NULL</v>
          </cell>
          <cell r="AZ313">
            <v>8</v>
          </cell>
          <cell r="BA313" t="str">
            <v>NULL</v>
          </cell>
          <cell r="BB313" t="str">
            <v>NULL</v>
          </cell>
        </row>
        <row r="314">
          <cell r="D314">
            <v>135510</v>
          </cell>
          <cell r="E314">
            <v>8866126</v>
          </cell>
          <cell r="F314" t="str">
            <v>Ferndearle</v>
          </cell>
          <cell r="G314" t="str">
            <v>Other Independent Special School</v>
          </cell>
          <cell r="H314">
            <v>39500</v>
          </cell>
          <cell r="I314">
            <v>12</v>
          </cell>
          <cell r="J314" t="str">
            <v>South East</v>
          </cell>
          <cell r="K314" t="str">
            <v>South East</v>
          </cell>
          <cell r="L314" t="str">
            <v>Kent</v>
          </cell>
          <cell r="M314" t="str">
            <v>Folkestone and Hythe</v>
          </cell>
          <cell r="N314" t="str">
            <v>CT19 5HH</v>
          </cell>
          <cell r="O314" t="str">
            <v>Not applicable</v>
          </cell>
          <cell r="P314">
            <v>5</v>
          </cell>
          <cell r="Q314">
            <v>16</v>
          </cell>
          <cell r="R314" t="str">
            <v>None</v>
          </cell>
          <cell r="S314" t="str">
            <v>Ofsted</v>
          </cell>
          <cell r="T314" t="str">
            <v>NULL</v>
          </cell>
          <cell r="U314" t="str">
            <v>NULL</v>
          </cell>
          <cell r="V314" t="str">
            <v>NULL</v>
          </cell>
          <cell r="W314" t="str">
            <v>NULL</v>
          </cell>
          <cell r="X314" t="str">
            <v>NULL</v>
          </cell>
          <cell r="Y314" t="str">
            <v>NULL</v>
          </cell>
          <cell r="Z314" t="str">
            <v>NULL</v>
          </cell>
          <cell r="AA314">
            <v>10008937</v>
          </cell>
          <cell r="AB314" t="str">
            <v>Independent School standard inspection</v>
          </cell>
          <cell r="AC314" t="str">
            <v>Independent Standard Inspection</v>
          </cell>
          <cell r="AD314">
            <v>42626</v>
          </cell>
          <cell r="AE314">
            <v>42628</v>
          </cell>
          <cell r="AF314">
            <v>42649</v>
          </cell>
          <cell r="AG314">
            <v>2</v>
          </cell>
          <cell r="AH314">
            <v>2</v>
          </cell>
          <cell r="AI314">
            <v>2</v>
          </cell>
          <cell r="AJ314">
            <v>2</v>
          </cell>
          <cell r="AK314">
            <v>2</v>
          </cell>
          <cell r="AL314" t="str">
            <v>NULL</v>
          </cell>
          <cell r="AM314" t="str">
            <v>NULL</v>
          </cell>
          <cell r="AN314" t="str">
            <v>Yes</v>
          </cell>
          <cell r="AO314" t="str">
            <v>ITS393299</v>
          </cell>
          <cell r="AP314" t="str">
            <v xml:space="preserve">Independent School standard inspection - integrated </v>
          </cell>
          <cell r="AQ314" t="str">
            <v>Independent Standard Inspection</v>
          </cell>
          <cell r="AR314">
            <v>41086</v>
          </cell>
          <cell r="AS314">
            <v>41087</v>
          </cell>
          <cell r="AT314">
            <v>41108</v>
          </cell>
          <cell r="AU314">
            <v>2</v>
          </cell>
          <cell r="AV314">
            <v>2</v>
          </cell>
          <cell r="AW314">
            <v>2</v>
          </cell>
          <cell r="AX314" t="str">
            <v>NULL</v>
          </cell>
          <cell r="AY314" t="str">
            <v>NULL</v>
          </cell>
          <cell r="AZ314">
            <v>8</v>
          </cell>
          <cell r="BA314" t="str">
            <v>NULL</v>
          </cell>
          <cell r="BB314" t="str">
            <v>NULL</v>
          </cell>
        </row>
        <row r="315">
          <cell r="D315">
            <v>142068</v>
          </cell>
          <cell r="E315">
            <v>3836003</v>
          </cell>
          <cell r="F315" t="str">
            <v>Fountain House School</v>
          </cell>
          <cell r="G315" t="str">
            <v>Other Independent Special School</v>
          </cell>
          <cell r="H315">
            <v>42122</v>
          </cell>
          <cell r="I315">
            <v>4</v>
          </cell>
          <cell r="J315" t="str">
            <v>North East, Yorkshire and the Humber</v>
          </cell>
          <cell r="K315" t="str">
            <v>Yorkshire and the Humber</v>
          </cell>
          <cell r="L315" t="str">
            <v>Leeds</v>
          </cell>
          <cell r="M315" t="str">
            <v>Salisbury</v>
          </cell>
          <cell r="N315" t="str">
            <v>SP1 3UT</v>
          </cell>
          <cell r="O315" t="str">
            <v>Not applicable</v>
          </cell>
          <cell r="P315">
            <v>7</v>
          </cell>
          <cell r="Q315">
            <v>11</v>
          </cell>
          <cell r="R315" t="str">
            <v>None</v>
          </cell>
          <cell r="S315" t="str">
            <v>Ofsted</v>
          </cell>
          <cell r="T315" t="str">
            <v>NULL</v>
          </cell>
          <cell r="U315" t="str">
            <v>NULL</v>
          </cell>
          <cell r="V315" t="str">
            <v>NULL</v>
          </cell>
          <cell r="W315" t="str">
            <v>NULL</v>
          </cell>
          <cell r="X315" t="str">
            <v>NULL</v>
          </cell>
          <cell r="Y315" t="str">
            <v>NULL</v>
          </cell>
          <cell r="Z315" t="str">
            <v>NULL</v>
          </cell>
          <cell r="AA315">
            <v>10008633</v>
          </cell>
          <cell r="AB315" t="str">
            <v>Independent school standard inspection - first</v>
          </cell>
          <cell r="AC315" t="str">
            <v>Independent Standard Inspection</v>
          </cell>
          <cell r="AD315">
            <v>42423</v>
          </cell>
          <cell r="AE315">
            <v>42424</v>
          </cell>
          <cell r="AF315">
            <v>42453</v>
          </cell>
          <cell r="AG315">
            <v>2</v>
          </cell>
          <cell r="AH315">
            <v>2</v>
          </cell>
          <cell r="AI315">
            <v>2</v>
          </cell>
          <cell r="AJ315">
            <v>2</v>
          </cell>
          <cell r="AK315">
            <v>2</v>
          </cell>
          <cell r="AL315" t="str">
            <v>NULL</v>
          </cell>
          <cell r="AM315" t="str">
            <v>NULL</v>
          </cell>
          <cell r="AN315" t="str">
            <v>Yes</v>
          </cell>
          <cell r="AO315" t="str">
            <v>NULL</v>
          </cell>
          <cell r="AP315" t="str">
            <v>NULL</v>
          </cell>
          <cell r="AQ315" t="str">
            <v>NULL</v>
          </cell>
          <cell r="AR315" t="str">
            <v>NULL</v>
          </cell>
          <cell r="AS315" t="str">
            <v>NULL</v>
          </cell>
          <cell r="AT315" t="str">
            <v>NULL</v>
          </cell>
          <cell r="AU315" t="str">
            <v>NULL</v>
          </cell>
          <cell r="AV315" t="str">
            <v>NULL</v>
          </cell>
          <cell r="AW315" t="str">
            <v>NULL</v>
          </cell>
          <cell r="AX315" t="str">
            <v>NULL</v>
          </cell>
          <cell r="AY315" t="str">
            <v>NULL</v>
          </cell>
          <cell r="AZ315" t="str">
            <v>NULL</v>
          </cell>
          <cell r="BA315" t="str">
            <v>NULL</v>
          </cell>
          <cell r="BB315" t="str">
            <v>NULL</v>
          </cell>
        </row>
        <row r="316">
          <cell r="D316">
            <v>114635</v>
          </cell>
          <cell r="E316">
            <v>8456002</v>
          </cell>
          <cell r="F316" t="str">
            <v>Frewen College</v>
          </cell>
          <cell r="G316" t="str">
            <v>Other Independent Special School</v>
          </cell>
          <cell r="H316">
            <v>21114</v>
          </cell>
          <cell r="I316">
            <v>110</v>
          </cell>
          <cell r="J316" t="str">
            <v>South East</v>
          </cell>
          <cell r="K316" t="str">
            <v>South East</v>
          </cell>
          <cell r="L316" t="str">
            <v>East Sussex</v>
          </cell>
          <cell r="M316" t="str">
            <v>Bexhill and Battle</v>
          </cell>
          <cell r="N316" t="str">
            <v>TN31 6NL</v>
          </cell>
          <cell r="O316" t="str">
            <v>Not applicable</v>
          </cell>
          <cell r="P316">
            <v>7</v>
          </cell>
          <cell r="Q316">
            <v>19</v>
          </cell>
          <cell r="R316" t="str">
            <v>None</v>
          </cell>
          <cell r="S316" t="str">
            <v>Ofsted</v>
          </cell>
          <cell r="T316" t="str">
            <v>NULL</v>
          </cell>
          <cell r="U316" t="str">
            <v>NULL</v>
          </cell>
          <cell r="V316" t="str">
            <v>NULL</v>
          </cell>
          <cell r="W316" t="str">
            <v>NULL</v>
          </cell>
          <cell r="X316" t="str">
            <v>NULL</v>
          </cell>
          <cell r="Y316" t="str">
            <v>NULL</v>
          </cell>
          <cell r="Z316" t="str">
            <v>NULL</v>
          </cell>
          <cell r="AA316">
            <v>10018187</v>
          </cell>
          <cell r="AB316" t="str">
            <v>Independent School standard inspection</v>
          </cell>
          <cell r="AC316" t="str">
            <v>Independent Standard Inspection</v>
          </cell>
          <cell r="AD316">
            <v>42535</v>
          </cell>
          <cell r="AE316">
            <v>42537</v>
          </cell>
          <cell r="AF316">
            <v>42558</v>
          </cell>
          <cell r="AG316">
            <v>2</v>
          </cell>
          <cell r="AH316">
            <v>2</v>
          </cell>
          <cell r="AI316">
            <v>2</v>
          </cell>
          <cell r="AJ316">
            <v>2</v>
          </cell>
          <cell r="AK316">
            <v>1</v>
          </cell>
          <cell r="AL316" t="str">
            <v>NULL</v>
          </cell>
          <cell r="AM316">
            <v>2</v>
          </cell>
          <cell r="AN316" t="str">
            <v>Yes</v>
          </cell>
          <cell r="AO316" t="str">
            <v>ITS393335</v>
          </cell>
          <cell r="AP316" t="str">
            <v xml:space="preserve">Independent School standard inspection - integrated </v>
          </cell>
          <cell r="AQ316" t="str">
            <v>Independent Standard Inspection</v>
          </cell>
          <cell r="AR316">
            <v>41046</v>
          </cell>
          <cell r="AS316">
            <v>41047</v>
          </cell>
          <cell r="AT316">
            <v>41074</v>
          </cell>
          <cell r="AU316">
            <v>2</v>
          </cell>
          <cell r="AV316">
            <v>2</v>
          </cell>
          <cell r="AW316">
            <v>2</v>
          </cell>
          <cell r="AX316" t="str">
            <v>NULL</v>
          </cell>
          <cell r="AY316" t="str">
            <v>NULL</v>
          </cell>
          <cell r="AZ316">
            <v>8</v>
          </cell>
          <cell r="BA316" t="str">
            <v>NULL</v>
          </cell>
          <cell r="BB316" t="str">
            <v>NULL</v>
          </cell>
        </row>
        <row r="317">
          <cell r="D317">
            <v>134649</v>
          </cell>
          <cell r="E317">
            <v>8916022</v>
          </cell>
          <cell r="F317" t="str">
            <v>Freyburg School</v>
          </cell>
          <cell r="G317" t="str">
            <v>Other Independent Special School</v>
          </cell>
          <cell r="H317">
            <v>37862</v>
          </cell>
          <cell r="I317">
            <v>3</v>
          </cell>
          <cell r="J317" t="str">
            <v>East Midlands</v>
          </cell>
          <cell r="K317" t="str">
            <v>East Midlands</v>
          </cell>
          <cell r="L317" t="str">
            <v>Nottinghamshire</v>
          </cell>
          <cell r="M317" t="str">
            <v>Bassetlaw</v>
          </cell>
          <cell r="N317" t="str">
            <v>S80 3BP</v>
          </cell>
          <cell r="O317" t="str">
            <v>Not applicable</v>
          </cell>
          <cell r="P317">
            <v>11</v>
          </cell>
          <cell r="Q317">
            <v>18</v>
          </cell>
          <cell r="R317" t="str">
            <v>None</v>
          </cell>
          <cell r="S317" t="str">
            <v>Ofsted</v>
          </cell>
          <cell r="T317" t="str">
            <v>NULL</v>
          </cell>
          <cell r="U317" t="str">
            <v>NULL</v>
          </cell>
          <cell r="V317" t="str">
            <v>NULL</v>
          </cell>
          <cell r="W317" t="str">
            <v>NULL</v>
          </cell>
          <cell r="X317" t="str">
            <v>NULL</v>
          </cell>
          <cell r="Y317" t="str">
            <v>NULL</v>
          </cell>
          <cell r="Z317" t="str">
            <v>NULL</v>
          </cell>
          <cell r="AA317" t="str">
            <v>ITS447295</v>
          </cell>
          <cell r="AB317" t="str">
            <v>Independent School standard inspection</v>
          </cell>
          <cell r="AC317" t="str">
            <v>Independent Standard Inspection</v>
          </cell>
          <cell r="AD317">
            <v>41898</v>
          </cell>
          <cell r="AE317">
            <v>41900</v>
          </cell>
          <cell r="AF317">
            <v>41921</v>
          </cell>
          <cell r="AG317">
            <v>2</v>
          </cell>
          <cell r="AH317">
            <v>2</v>
          </cell>
          <cell r="AI317">
            <v>2</v>
          </cell>
          <cell r="AJ317">
            <v>2</v>
          </cell>
          <cell r="AK317" t="str">
            <v>NULL</v>
          </cell>
          <cell r="AL317" t="str">
            <v>NULL</v>
          </cell>
          <cell r="AM317" t="str">
            <v>NULL</v>
          </cell>
          <cell r="AN317" t="str">
            <v>NULL</v>
          </cell>
          <cell r="AO317" t="str">
            <v>ITS364294</v>
          </cell>
          <cell r="AP317" t="str">
            <v>Independent School standard inspection</v>
          </cell>
          <cell r="AQ317" t="str">
            <v>Independent Standard Inspection</v>
          </cell>
          <cell r="AR317">
            <v>40736</v>
          </cell>
          <cell r="AS317">
            <v>40737</v>
          </cell>
          <cell r="AT317">
            <v>40799</v>
          </cell>
          <cell r="AU317">
            <v>4</v>
          </cell>
          <cell r="AV317">
            <v>4</v>
          </cell>
          <cell r="AW317">
            <v>3</v>
          </cell>
          <cell r="AX317" t="str">
            <v>NULL</v>
          </cell>
          <cell r="AY317" t="str">
            <v>NULL</v>
          </cell>
          <cell r="AZ317">
            <v>8</v>
          </cell>
          <cell r="BA317" t="str">
            <v>NULL</v>
          </cell>
          <cell r="BB317" t="str">
            <v>NULL</v>
          </cell>
        </row>
        <row r="318">
          <cell r="D318">
            <v>132855</v>
          </cell>
          <cell r="E318">
            <v>9296046</v>
          </cell>
          <cell r="F318" t="str">
            <v>Howard House</v>
          </cell>
          <cell r="G318" t="str">
            <v>Other Independent Special School</v>
          </cell>
          <cell r="H318">
            <v>38917</v>
          </cell>
          <cell r="I318">
            <v>7</v>
          </cell>
          <cell r="J318" t="str">
            <v>North East, Yorkshire and the Humber</v>
          </cell>
          <cell r="K318" t="str">
            <v>North East</v>
          </cell>
          <cell r="L318" t="str">
            <v>Northumberland</v>
          </cell>
          <cell r="M318" t="str">
            <v>Wansbeck</v>
          </cell>
          <cell r="N318" t="str">
            <v>NE22 6BB</v>
          </cell>
          <cell r="O318" t="str">
            <v>Not applicable</v>
          </cell>
          <cell r="P318">
            <v>10</v>
          </cell>
          <cell r="Q318">
            <v>18</v>
          </cell>
          <cell r="R318" t="str">
            <v>None</v>
          </cell>
          <cell r="S318" t="str">
            <v>Ofsted</v>
          </cell>
          <cell r="T318" t="str">
            <v>NULL</v>
          </cell>
          <cell r="U318" t="str">
            <v>NULL</v>
          </cell>
          <cell r="V318" t="str">
            <v>NULL</v>
          </cell>
          <cell r="W318" t="str">
            <v>NULL</v>
          </cell>
          <cell r="X318" t="str">
            <v>NULL</v>
          </cell>
          <cell r="Y318" t="str">
            <v>NULL</v>
          </cell>
          <cell r="Z318" t="str">
            <v>NULL</v>
          </cell>
          <cell r="AA318">
            <v>10012944</v>
          </cell>
          <cell r="AB318" t="str">
            <v>Independent school standard inspection - aligned with CH</v>
          </cell>
          <cell r="AC318" t="str">
            <v>Independent Standard Inspection</v>
          </cell>
          <cell r="AD318">
            <v>42675</v>
          </cell>
          <cell r="AE318">
            <v>42677</v>
          </cell>
          <cell r="AF318">
            <v>42717</v>
          </cell>
          <cell r="AG318">
            <v>2</v>
          </cell>
          <cell r="AH318">
            <v>2</v>
          </cell>
          <cell r="AI318">
            <v>2</v>
          </cell>
          <cell r="AJ318">
            <v>2</v>
          </cell>
          <cell r="AK318">
            <v>2</v>
          </cell>
          <cell r="AL318" t="str">
            <v>NULL</v>
          </cell>
          <cell r="AM318" t="str">
            <v>NULL</v>
          </cell>
          <cell r="AN318" t="str">
            <v>Yes</v>
          </cell>
          <cell r="AO318" t="str">
            <v>ITS420238</v>
          </cell>
          <cell r="AP318" t="str">
            <v xml:space="preserve">Independent School standard inspection - integrated </v>
          </cell>
          <cell r="AQ318" t="str">
            <v>Independent Standard Inspection</v>
          </cell>
          <cell r="AR318">
            <v>41464</v>
          </cell>
          <cell r="AS318">
            <v>41466</v>
          </cell>
          <cell r="AT318">
            <v>41526</v>
          </cell>
          <cell r="AU318">
            <v>2</v>
          </cell>
          <cell r="AV318">
            <v>2</v>
          </cell>
          <cell r="AW318">
            <v>2</v>
          </cell>
          <cell r="AX318">
            <v>2</v>
          </cell>
          <cell r="AY318" t="str">
            <v>NULL</v>
          </cell>
          <cell r="AZ318" t="str">
            <v>NULL</v>
          </cell>
          <cell r="BA318" t="str">
            <v>NULL</v>
          </cell>
          <cell r="BB318" t="str">
            <v>NULL</v>
          </cell>
        </row>
        <row r="319">
          <cell r="D319">
            <v>142011</v>
          </cell>
          <cell r="E319">
            <v>8856043</v>
          </cell>
          <cell r="F319" t="str">
            <v>Huntercombe Hospital School Cotswold Spa</v>
          </cell>
          <cell r="G319" t="str">
            <v>Other Independent Special School</v>
          </cell>
          <cell r="H319">
            <v>42117</v>
          </cell>
          <cell r="I319">
            <v>9</v>
          </cell>
          <cell r="J319" t="str">
            <v>West Midlands</v>
          </cell>
          <cell r="K319" t="str">
            <v>West Midlands</v>
          </cell>
          <cell r="L319" t="str">
            <v>Worcestershire</v>
          </cell>
          <cell r="M319" t="str">
            <v>Mid Worcestershire</v>
          </cell>
          <cell r="N319" t="str">
            <v>WR12 7DE</v>
          </cell>
          <cell r="O319" t="str">
            <v>Not applicable</v>
          </cell>
          <cell r="P319">
            <v>13</v>
          </cell>
          <cell r="Q319">
            <v>19</v>
          </cell>
          <cell r="R319" t="str">
            <v>None</v>
          </cell>
          <cell r="S319" t="str">
            <v>Ofsted</v>
          </cell>
          <cell r="T319" t="str">
            <v>NULL</v>
          </cell>
          <cell r="U319" t="str">
            <v>NULL</v>
          </cell>
          <cell r="V319" t="str">
            <v>NULL</v>
          </cell>
          <cell r="W319" t="str">
            <v>NULL</v>
          </cell>
          <cell r="X319" t="str">
            <v>NULL</v>
          </cell>
          <cell r="Y319" t="str">
            <v>NULL</v>
          </cell>
          <cell r="Z319" t="str">
            <v>NULL</v>
          </cell>
          <cell r="AA319">
            <v>10008631</v>
          </cell>
          <cell r="AB319" t="str">
            <v>Independent school standard inspection - first</v>
          </cell>
          <cell r="AC319" t="str">
            <v>Independent Standard Inspection</v>
          </cell>
          <cell r="AD319">
            <v>42472</v>
          </cell>
          <cell r="AE319">
            <v>42474</v>
          </cell>
          <cell r="AF319">
            <v>42508</v>
          </cell>
          <cell r="AG319">
            <v>2</v>
          </cell>
          <cell r="AH319">
            <v>2</v>
          </cell>
          <cell r="AI319">
            <v>2</v>
          </cell>
          <cell r="AJ319">
            <v>2</v>
          </cell>
          <cell r="AK319">
            <v>1</v>
          </cell>
          <cell r="AL319" t="str">
            <v>NULL</v>
          </cell>
          <cell r="AM319">
            <v>2</v>
          </cell>
          <cell r="AN319" t="str">
            <v>Yes</v>
          </cell>
          <cell r="AO319" t="str">
            <v>NULL</v>
          </cell>
          <cell r="AP319" t="str">
            <v>NULL</v>
          </cell>
          <cell r="AQ319" t="str">
            <v>NULL</v>
          </cell>
          <cell r="AR319" t="str">
            <v>NULL</v>
          </cell>
          <cell r="AS319" t="str">
            <v>NULL</v>
          </cell>
          <cell r="AT319" t="str">
            <v>NULL</v>
          </cell>
          <cell r="AU319" t="str">
            <v>NULL</v>
          </cell>
          <cell r="AV319" t="str">
            <v>NULL</v>
          </cell>
          <cell r="AW319" t="str">
            <v>NULL</v>
          </cell>
          <cell r="AX319" t="str">
            <v>NULL</v>
          </cell>
          <cell r="AY319" t="str">
            <v>NULL</v>
          </cell>
          <cell r="AZ319" t="str">
            <v>NULL</v>
          </cell>
          <cell r="BA319" t="str">
            <v>NULL</v>
          </cell>
          <cell r="BB319" t="str">
            <v>NULL</v>
          </cell>
        </row>
        <row r="320">
          <cell r="D320">
            <v>142013</v>
          </cell>
          <cell r="E320">
            <v>8606041</v>
          </cell>
          <cell r="F320" t="str">
            <v>Huntercombe Hospital School Stafford</v>
          </cell>
          <cell r="G320" t="str">
            <v>Other Independent Special School</v>
          </cell>
          <cell r="H320">
            <v>42121</v>
          </cell>
          <cell r="I320">
            <v>16</v>
          </cell>
          <cell r="J320" t="str">
            <v>West Midlands</v>
          </cell>
          <cell r="K320" t="str">
            <v>West Midlands</v>
          </cell>
          <cell r="L320" t="str">
            <v>Staffordshire</v>
          </cell>
          <cell r="M320" t="str">
            <v>Stafford</v>
          </cell>
          <cell r="N320" t="str">
            <v>ST19 9QT</v>
          </cell>
          <cell r="O320" t="str">
            <v>Not applicable</v>
          </cell>
          <cell r="P320">
            <v>11</v>
          </cell>
          <cell r="Q320">
            <v>18</v>
          </cell>
          <cell r="R320" t="str">
            <v>None</v>
          </cell>
          <cell r="S320" t="str">
            <v>Ofsted</v>
          </cell>
          <cell r="T320" t="str">
            <v>NULL</v>
          </cell>
          <cell r="U320" t="str">
            <v>NULL</v>
          </cell>
          <cell r="V320" t="str">
            <v>NULL</v>
          </cell>
          <cell r="W320" t="str">
            <v>NULL</v>
          </cell>
          <cell r="X320" t="str">
            <v>NULL</v>
          </cell>
          <cell r="Y320" t="str">
            <v>NULL</v>
          </cell>
          <cell r="Z320" t="str">
            <v>NULL</v>
          </cell>
          <cell r="AA320">
            <v>10008632</v>
          </cell>
          <cell r="AB320" t="str">
            <v>Independent school standard inspection - first</v>
          </cell>
          <cell r="AC320" t="str">
            <v>Independent Standard Inspection</v>
          </cell>
          <cell r="AD320">
            <v>42438</v>
          </cell>
          <cell r="AE320">
            <v>42440</v>
          </cell>
          <cell r="AF320">
            <v>42486</v>
          </cell>
          <cell r="AG320">
            <v>2</v>
          </cell>
          <cell r="AH320">
            <v>2</v>
          </cell>
          <cell r="AI320">
            <v>2</v>
          </cell>
          <cell r="AJ320">
            <v>2</v>
          </cell>
          <cell r="AK320">
            <v>1</v>
          </cell>
          <cell r="AL320" t="str">
            <v>NULL</v>
          </cell>
          <cell r="AM320">
            <v>2</v>
          </cell>
          <cell r="AN320" t="str">
            <v>Yes</v>
          </cell>
          <cell r="AO320" t="str">
            <v>NULL</v>
          </cell>
          <cell r="AP320" t="str">
            <v>NULL</v>
          </cell>
          <cell r="AQ320" t="str">
            <v>NULL</v>
          </cell>
          <cell r="AR320" t="str">
            <v>NULL</v>
          </cell>
          <cell r="AS320" t="str">
            <v>NULL</v>
          </cell>
          <cell r="AT320" t="str">
            <v>NULL</v>
          </cell>
          <cell r="AU320" t="str">
            <v>NULL</v>
          </cell>
          <cell r="AV320" t="str">
            <v>NULL</v>
          </cell>
          <cell r="AW320" t="str">
            <v>NULL</v>
          </cell>
          <cell r="AX320" t="str">
            <v>NULL</v>
          </cell>
          <cell r="AY320" t="str">
            <v>NULL</v>
          </cell>
          <cell r="AZ320" t="str">
            <v>NULL</v>
          </cell>
          <cell r="BA320" t="str">
            <v>NULL</v>
          </cell>
          <cell r="BB320" t="str">
            <v>NULL</v>
          </cell>
        </row>
        <row r="321">
          <cell r="D321">
            <v>134606</v>
          </cell>
          <cell r="E321">
            <v>8866107</v>
          </cell>
          <cell r="F321" t="str">
            <v>Hythe House Education</v>
          </cell>
          <cell r="G321" t="str">
            <v>Other Independent Special School</v>
          </cell>
          <cell r="H321">
            <v>38005</v>
          </cell>
          <cell r="I321">
            <v>4</v>
          </cell>
          <cell r="J321" t="str">
            <v>South East</v>
          </cell>
          <cell r="K321" t="str">
            <v>South East</v>
          </cell>
          <cell r="L321" t="str">
            <v>Kent</v>
          </cell>
          <cell r="M321" t="str">
            <v>Sittingbourne and Sheppey</v>
          </cell>
          <cell r="N321" t="str">
            <v>ME12 2AP</v>
          </cell>
          <cell r="O321" t="str">
            <v>Not applicable</v>
          </cell>
          <cell r="P321">
            <v>11</v>
          </cell>
          <cell r="Q321">
            <v>16</v>
          </cell>
          <cell r="R321" t="str">
            <v>None</v>
          </cell>
          <cell r="S321" t="str">
            <v>Ofsted</v>
          </cell>
          <cell r="T321" t="str">
            <v>NULL</v>
          </cell>
          <cell r="U321" t="str">
            <v>NULL</v>
          </cell>
          <cell r="V321" t="str">
            <v>NULL</v>
          </cell>
          <cell r="W321" t="str">
            <v>NULL</v>
          </cell>
          <cell r="X321" t="str">
            <v>NULL</v>
          </cell>
          <cell r="Y321" t="str">
            <v>NULL</v>
          </cell>
          <cell r="Z321" t="str">
            <v>NULL</v>
          </cell>
          <cell r="AA321" t="str">
            <v>ITS454271</v>
          </cell>
          <cell r="AB321" t="str">
            <v>Independent School standard inspection</v>
          </cell>
          <cell r="AC321" t="str">
            <v>Independent Standard Inspection</v>
          </cell>
          <cell r="AD321">
            <v>42067</v>
          </cell>
          <cell r="AE321">
            <v>42069</v>
          </cell>
          <cell r="AF321">
            <v>42096</v>
          </cell>
          <cell r="AG321">
            <v>2</v>
          </cell>
          <cell r="AH321">
            <v>2</v>
          </cell>
          <cell r="AI321">
            <v>2</v>
          </cell>
          <cell r="AJ321">
            <v>2</v>
          </cell>
          <cell r="AK321" t="str">
            <v>NULL</v>
          </cell>
          <cell r="AL321">
            <v>9</v>
          </cell>
          <cell r="AM321">
            <v>9</v>
          </cell>
          <cell r="AN321" t="str">
            <v>NULL</v>
          </cell>
          <cell r="AO321" t="str">
            <v>ITS385172</v>
          </cell>
          <cell r="AP321" t="str">
            <v>Independent School standard inspection</v>
          </cell>
          <cell r="AQ321" t="str">
            <v>Independent Standard Inspection</v>
          </cell>
          <cell r="AR321">
            <v>40850</v>
          </cell>
          <cell r="AS321">
            <v>40851</v>
          </cell>
          <cell r="AT321">
            <v>40886</v>
          </cell>
          <cell r="AU321">
            <v>2</v>
          </cell>
          <cell r="AV321">
            <v>2</v>
          </cell>
          <cell r="AW321">
            <v>2</v>
          </cell>
          <cell r="AX321" t="str">
            <v>NULL</v>
          </cell>
          <cell r="AY321" t="str">
            <v>NULL</v>
          </cell>
          <cell r="AZ321">
            <v>8</v>
          </cell>
          <cell r="BA321" t="str">
            <v>NULL</v>
          </cell>
          <cell r="BB321" t="str">
            <v>NULL</v>
          </cell>
        </row>
        <row r="322">
          <cell r="D322">
            <v>140960</v>
          </cell>
          <cell r="E322">
            <v>8866142</v>
          </cell>
          <cell r="F322" t="str">
            <v>Knole Development Centre</v>
          </cell>
          <cell r="G322" t="str">
            <v>Other Independent Special School</v>
          </cell>
          <cell r="H322">
            <v>41781</v>
          </cell>
          <cell r="I322">
            <v>23</v>
          </cell>
          <cell r="J322" t="str">
            <v>South East</v>
          </cell>
          <cell r="K322" t="str">
            <v>South East</v>
          </cell>
          <cell r="L322" t="str">
            <v>Kent</v>
          </cell>
          <cell r="M322" t="str">
            <v>Sevenoaks</v>
          </cell>
          <cell r="N322" t="str">
            <v>TN15 0JR</v>
          </cell>
          <cell r="O322" t="str">
            <v>Not applicable</v>
          </cell>
          <cell r="P322">
            <v>12</v>
          </cell>
          <cell r="Q322">
            <v>18</v>
          </cell>
          <cell r="R322" t="str">
            <v>None</v>
          </cell>
          <cell r="S322" t="str">
            <v>Ofsted</v>
          </cell>
          <cell r="T322" t="str">
            <v>NULL</v>
          </cell>
          <cell r="U322" t="str">
            <v>NULL</v>
          </cell>
          <cell r="V322" t="str">
            <v>NULL</v>
          </cell>
          <cell r="W322" t="str">
            <v>NULL</v>
          </cell>
          <cell r="X322" t="str">
            <v>NULL</v>
          </cell>
          <cell r="Y322" t="str">
            <v>NULL</v>
          </cell>
          <cell r="Z322" t="str">
            <v>NULL</v>
          </cell>
          <cell r="AA322">
            <v>10006351</v>
          </cell>
          <cell r="AB322" t="str">
            <v>Independent school standard inspection - first</v>
          </cell>
          <cell r="AC322" t="str">
            <v>Independent Standard Inspection</v>
          </cell>
          <cell r="AD322">
            <v>42277</v>
          </cell>
          <cell r="AE322">
            <v>42279</v>
          </cell>
          <cell r="AF322">
            <v>42412</v>
          </cell>
          <cell r="AG322">
            <v>3</v>
          </cell>
          <cell r="AH322">
            <v>3</v>
          </cell>
          <cell r="AI322">
            <v>3</v>
          </cell>
          <cell r="AJ322">
            <v>3</v>
          </cell>
          <cell r="AK322">
            <v>3</v>
          </cell>
          <cell r="AL322" t="str">
            <v>NULL</v>
          </cell>
          <cell r="AM322">
            <v>3</v>
          </cell>
          <cell r="AN322" t="str">
            <v>Yes</v>
          </cell>
          <cell r="AO322" t="str">
            <v>NULL</v>
          </cell>
          <cell r="AP322" t="str">
            <v>NULL</v>
          </cell>
          <cell r="AQ322" t="str">
            <v>NULL</v>
          </cell>
          <cell r="AR322" t="str">
            <v>NULL</v>
          </cell>
          <cell r="AS322" t="str">
            <v>NULL</v>
          </cell>
          <cell r="AT322" t="str">
            <v>NULL</v>
          </cell>
          <cell r="AU322" t="str">
            <v>NULL</v>
          </cell>
          <cell r="AV322" t="str">
            <v>NULL</v>
          </cell>
          <cell r="AW322" t="str">
            <v>NULL</v>
          </cell>
          <cell r="AX322" t="str">
            <v>NULL</v>
          </cell>
          <cell r="AY322" t="str">
            <v>NULL</v>
          </cell>
          <cell r="AZ322" t="str">
            <v>NULL</v>
          </cell>
          <cell r="BA322" t="str">
            <v>NULL</v>
          </cell>
          <cell r="BB322" t="str">
            <v>NULL</v>
          </cell>
        </row>
        <row r="323">
          <cell r="D323">
            <v>136069</v>
          </cell>
          <cell r="E323">
            <v>8886056</v>
          </cell>
          <cell r="F323" t="str">
            <v>Mountwood Academy</v>
          </cell>
          <cell r="G323" t="str">
            <v>Other Independent Special School</v>
          </cell>
          <cell r="H323">
            <v>40214</v>
          </cell>
          <cell r="I323">
            <v>9</v>
          </cell>
          <cell r="J323" t="str">
            <v>North West</v>
          </cell>
          <cell r="K323" t="str">
            <v>North West</v>
          </cell>
          <cell r="L323" t="str">
            <v>Lancashire</v>
          </cell>
          <cell r="M323" t="str">
            <v>Ribble Valley</v>
          </cell>
          <cell r="N323" t="str">
            <v>PR3 3YB</v>
          </cell>
          <cell r="O323" t="str">
            <v>Not applicable</v>
          </cell>
          <cell r="P323">
            <v>8</v>
          </cell>
          <cell r="Q323">
            <v>19</v>
          </cell>
          <cell r="R323" t="str">
            <v>None</v>
          </cell>
          <cell r="S323" t="str">
            <v>Ofsted</v>
          </cell>
          <cell r="T323" t="str">
            <v>NULL</v>
          </cell>
          <cell r="U323" t="str">
            <v>NULL</v>
          </cell>
          <cell r="V323" t="str">
            <v>NULL</v>
          </cell>
          <cell r="W323" t="str">
            <v>NULL</v>
          </cell>
          <cell r="X323" t="str">
            <v>NULL</v>
          </cell>
          <cell r="Y323" t="str">
            <v>NULL</v>
          </cell>
          <cell r="Z323" t="str">
            <v>NULL</v>
          </cell>
          <cell r="AA323">
            <v>10038930</v>
          </cell>
          <cell r="AB323" t="str">
            <v>Independent School standard inspection</v>
          </cell>
          <cell r="AC323" t="str">
            <v>Independent Standard Inspection</v>
          </cell>
          <cell r="AD323">
            <v>42990</v>
          </cell>
          <cell r="AE323">
            <v>42992</v>
          </cell>
          <cell r="AF323">
            <v>43014</v>
          </cell>
          <cell r="AG323">
            <v>3</v>
          </cell>
          <cell r="AH323">
            <v>3</v>
          </cell>
          <cell r="AI323">
            <v>3</v>
          </cell>
          <cell r="AJ323">
            <v>3</v>
          </cell>
          <cell r="AK323">
            <v>2</v>
          </cell>
          <cell r="AL323" t="str">
            <v>NULL</v>
          </cell>
          <cell r="AM323">
            <v>3</v>
          </cell>
          <cell r="AN323" t="str">
            <v>Yes</v>
          </cell>
          <cell r="AO323" t="str">
            <v>ITS446274</v>
          </cell>
          <cell r="AP323" t="str">
            <v>Independent school standard inspection - aligned with CH</v>
          </cell>
          <cell r="AQ323" t="str">
            <v>Independent Standard Inspection</v>
          </cell>
          <cell r="AR323">
            <v>41905</v>
          </cell>
          <cell r="AS323">
            <v>41907</v>
          </cell>
          <cell r="AT323">
            <v>41960</v>
          </cell>
          <cell r="AU323">
            <v>2</v>
          </cell>
          <cell r="AV323">
            <v>2</v>
          </cell>
          <cell r="AW323">
            <v>2</v>
          </cell>
          <cell r="AX323">
            <v>2</v>
          </cell>
          <cell r="AY323" t="str">
            <v>NULL</v>
          </cell>
          <cell r="AZ323" t="str">
            <v>NULL</v>
          </cell>
          <cell r="BA323" t="str">
            <v>NULL</v>
          </cell>
          <cell r="BB323" t="str">
            <v>NULL</v>
          </cell>
        </row>
        <row r="324">
          <cell r="D324">
            <v>135766</v>
          </cell>
          <cell r="E324">
            <v>8456057</v>
          </cell>
          <cell r="F324" t="str">
            <v>My Choice School - Oak House</v>
          </cell>
          <cell r="G324" t="str">
            <v>Other Independent Special School</v>
          </cell>
          <cell r="H324">
            <v>39800</v>
          </cell>
          <cell r="I324">
            <v>3</v>
          </cell>
          <cell r="J324" t="str">
            <v>South East</v>
          </cell>
          <cell r="K324" t="str">
            <v>South East</v>
          </cell>
          <cell r="L324" t="str">
            <v>East Sussex</v>
          </cell>
          <cell r="M324" t="str">
            <v>Mid Sussex</v>
          </cell>
          <cell r="N324" t="str">
            <v>RH16 1XQ</v>
          </cell>
          <cell r="O324" t="str">
            <v>Not applicable</v>
          </cell>
          <cell r="P324">
            <v>11</v>
          </cell>
          <cell r="Q324">
            <v>16</v>
          </cell>
          <cell r="R324" t="str">
            <v>None</v>
          </cell>
          <cell r="S324" t="str">
            <v>Ofsted</v>
          </cell>
          <cell r="T324" t="str">
            <v>NULL</v>
          </cell>
          <cell r="U324" t="str">
            <v>NULL</v>
          </cell>
          <cell r="V324" t="str">
            <v>NULL</v>
          </cell>
          <cell r="W324" t="str">
            <v>NULL</v>
          </cell>
          <cell r="X324" t="str">
            <v>NULL</v>
          </cell>
          <cell r="Y324" t="str">
            <v>NULL</v>
          </cell>
          <cell r="Z324" t="str">
            <v>NULL</v>
          </cell>
          <cell r="AA324">
            <v>10020899</v>
          </cell>
          <cell r="AB324" t="str">
            <v>Independent school standard inspection - aligned with CH</v>
          </cell>
          <cell r="AC324" t="str">
            <v>Independent Standard Inspection</v>
          </cell>
          <cell r="AD324">
            <v>42871</v>
          </cell>
          <cell r="AE324">
            <v>42873</v>
          </cell>
          <cell r="AF324">
            <v>42893</v>
          </cell>
          <cell r="AG324">
            <v>2</v>
          </cell>
          <cell r="AH324">
            <v>2</v>
          </cell>
          <cell r="AI324">
            <v>2</v>
          </cell>
          <cell r="AJ324">
            <v>2</v>
          </cell>
          <cell r="AK324">
            <v>2</v>
          </cell>
          <cell r="AL324" t="str">
            <v>NULL</v>
          </cell>
          <cell r="AM324" t="str">
            <v>NULL</v>
          </cell>
          <cell r="AN324" t="str">
            <v>Yes</v>
          </cell>
          <cell r="AO324" t="str">
            <v>ITS422793</v>
          </cell>
          <cell r="AP324" t="str">
            <v>Independent School standard inspection</v>
          </cell>
          <cell r="AQ324" t="str">
            <v>Independent Standard Inspection</v>
          </cell>
          <cell r="AR324">
            <v>41570</v>
          </cell>
          <cell r="AS324">
            <v>41571</v>
          </cell>
          <cell r="AT324">
            <v>41591</v>
          </cell>
          <cell r="AU324">
            <v>2</v>
          </cell>
          <cell r="AV324">
            <v>2</v>
          </cell>
          <cell r="AW324">
            <v>2</v>
          </cell>
          <cell r="AX324">
            <v>2</v>
          </cell>
          <cell r="AY324" t="str">
            <v>NULL</v>
          </cell>
          <cell r="AZ324" t="str">
            <v>NULL</v>
          </cell>
          <cell r="BA324" t="str">
            <v>NULL</v>
          </cell>
          <cell r="BB324" t="str">
            <v>NULL</v>
          </cell>
        </row>
        <row r="325">
          <cell r="D325">
            <v>135111</v>
          </cell>
          <cell r="E325">
            <v>9386272</v>
          </cell>
          <cell r="F325" t="str">
            <v>My Choice School-Ocean Pearl</v>
          </cell>
          <cell r="G325" t="str">
            <v>Other Independent Special School</v>
          </cell>
          <cell r="H325">
            <v>39041</v>
          </cell>
          <cell r="I325">
            <v>7</v>
          </cell>
          <cell r="J325" t="str">
            <v>South East</v>
          </cell>
          <cell r="K325" t="str">
            <v>South East</v>
          </cell>
          <cell r="L325" t="str">
            <v>West Sussex</v>
          </cell>
          <cell r="M325" t="str">
            <v>Mid Sussex</v>
          </cell>
          <cell r="N325" t="str">
            <v>RH16 1XQ</v>
          </cell>
          <cell r="O325" t="str">
            <v>Not applicable</v>
          </cell>
          <cell r="P325">
            <v>11</v>
          </cell>
          <cell r="Q325">
            <v>16</v>
          </cell>
          <cell r="R325" t="str">
            <v>None</v>
          </cell>
          <cell r="S325" t="str">
            <v>Ofsted</v>
          </cell>
          <cell r="T325" t="str">
            <v>NULL</v>
          </cell>
          <cell r="U325" t="str">
            <v>NULL</v>
          </cell>
          <cell r="V325" t="str">
            <v>NULL</v>
          </cell>
          <cell r="W325" t="str">
            <v>NULL</v>
          </cell>
          <cell r="X325" t="str">
            <v>NULL</v>
          </cell>
          <cell r="Y325" t="str">
            <v>NULL</v>
          </cell>
          <cell r="Z325" t="str">
            <v>NULL</v>
          </cell>
          <cell r="AA325">
            <v>10026024</v>
          </cell>
          <cell r="AB325" t="str">
            <v>Independent School standard inspection</v>
          </cell>
          <cell r="AC325" t="str">
            <v>Independent Standard Inspection</v>
          </cell>
          <cell r="AD325">
            <v>42997</v>
          </cell>
          <cell r="AE325">
            <v>42999</v>
          </cell>
          <cell r="AF325">
            <v>43020</v>
          </cell>
          <cell r="AG325">
            <v>2</v>
          </cell>
          <cell r="AH325">
            <v>2</v>
          </cell>
          <cell r="AI325">
            <v>2</v>
          </cell>
          <cell r="AJ325">
            <v>2</v>
          </cell>
          <cell r="AK325">
            <v>2</v>
          </cell>
          <cell r="AL325" t="str">
            <v>NULL</v>
          </cell>
          <cell r="AM325" t="str">
            <v>NULL</v>
          </cell>
          <cell r="AN325" t="str">
            <v>Yes</v>
          </cell>
          <cell r="AO325" t="str">
            <v>ITS422778</v>
          </cell>
          <cell r="AP325" t="str">
            <v>Independent School standard inspection</v>
          </cell>
          <cell r="AQ325" t="str">
            <v>Independent Standard Inspection</v>
          </cell>
          <cell r="AR325">
            <v>41605</v>
          </cell>
          <cell r="AS325">
            <v>41606</v>
          </cell>
          <cell r="AT325">
            <v>41626</v>
          </cell>
          <cell r="AU325">
            <v>2</v>
          </cell>
          <cell r="AV325">
            <v>2</v>
          </cell>
          <cell r="AW325">
            <v>2</v>
          </cell>
          <cell r="AX325">
            <v>2</v>
          </cell>
          <cell r="AY325" t="str">
            <v>NULL</v>
          </cell>
          <cell r="AZ325" t="str">
            <v>NULL</v>
          </cell>
          <cell r="BA325" t="str">
            <v>NULL</v>
          </cell>
          <cell r="BB325" t="str">
            <v>NULL</v>
          </cell>
        </row>
        <row r="326">
          <cell r="D326">
            <v>103588</v>
          </cell>
          <cell r="E326">
            <v>3306080</v>
          </cell>
          <cell r="F326" t="str">
            <v>National Institute for Conductive Education</v>
          </cell>
          <cell r="G326" t="str">
            <v>Other Independent Special School</v>
          </cell>
          <cell r="H326">
            <v>32412</v>
          </cell>
          <cell r="I326">
            <v>17</v>
          </cell>
          <cell r="J326" t="str">
            <v>West Midlands</v>
          </cell>
          <cell r="K326" t="str">
            <v>West Midlands</v>
          </cell>
          <cell r="L326" t="str">
            <v>Birmingham</v>
          </cell>
          <cell r="M326" t="str">
            <v>Birmingham, Hall Green</v>
          </cell>
          <cell r="N326" t="str">
            <v>B13 8RD</v>
          </cell>
          <cell r="O326" t="str">
            <v>Not applicable</v>
          </cell>
          <cell r="P326">
            <v>3</v>
          </cell>
          <cell r="Q326">
            <v>11</v>
          </cell>
          <cell r="R326" t="str">
            <v>None</v>
          </cell>
          <cell r="S326" t="str">
            <v>Ofsted</v>
          </cell>
          <cell r="T326" t="str">
            <v>NULL</v>
          </cell>
          <cell r="U326" t="str">
            <v>NULL</v>
          </cell>
          <cell r="V326" t="str">
            <v>NULL</v>
          </cell>
          <cell r="W326" t="str">
            <v>NULL</v>
          </cell>
          <cell r="X326" t="str">
            <v>NULL</v>
          </cell>
          <cell r="Y326" t="str">
            <v>NULL</v>
          </cell>
          <cell r="Z326" t="str">
            <v>NULL</v>
          </cell>
          <cell r="AA326">
            <v>10012864</v>
          </cell>
          <cell r="AB326" t="str">
            <v>Independent School standard inspection</v>
          </cell>
          <cell r="AC326" t="str">
            <v>Independent Standard Inspection</v>
          </cell>
          <cell r="AD326">
            <v>42514</v>
          </cell>
          <cell r="AE326">
            <v>42516</v>
          </cell>
          <cell r="AF326">
            <v>42569</v>
          </cell>
          <cell r="AG326">
            <v>1</v>
          </cell>
          <cell r="AH326">
            <v>1</v>
          </cell>
          <cell r="AI326">
            <v>1</v>
          </cell>
          <cell r="AJ326">
            <v>1</v>
          </cell>
          <cell r="AK326">
            <v>1</v>
          </cell>
          <cell r="AL326">
            <v>1</v>
          </cell>
          <cell r="AM326" t="str">
            <v>NULL</v>
          </cell>
          <cell r="AN326" t="str">
            <v>Yes</v>
          </cell>
          <cell r="AO326" t="str">
            <v>ITS422692</v>
          </cell>
          <cell r="AP326" t="str">
            <v>Independent School standard inspection</v>
          </cell>
          <cell r="AQ326" t="str">
            <v>Independent Standard Inspection</v>
          </cell>
          <cell r="AR326">
            <v>41457</v>
          </cell>
          <cell r="AS326">
            <v>41459</v>
          </cell>
          <cell r="AT326">
            <v>41522</v>
          </cell>
          <cell r="AU326">
            <v>1</v>
          </cell>
          <cell r="AV326">
            <v>1</v>
          </cell>
          <cell r="AW326">
            <v>1</v>
          </cell>
          <cell r="AX326">
            <v>1</v>
          </cell>
          <cell r="AY326" t="str">
            <v>NULL</v>
          </cell>
          <cell r="AZ326" t="str">
            <v>NULL</v>
          </cell>
          <cell r="BA326" t="str">
            <v>NULL</v>
          </cell>
          <cell r="BB326" t="str">
            <v>NULL</v>
          </cell>
        </row>
        <row r="327">
          <cell r="D327">
            <v>126141</v>
          </cell>
          <cell r="E327">
            <v>9386219</v>
          </cell>
          <cell r="F327" t="str">
            <v>Philpots Manor School</v>
          </cell>
          <cell r="G327" t="str">
            <v>Other Independent Special School</v>
          </cell>
          <cell r="H327">
            <v>21692</v>
          </cell>
          <cell r="I327">
            <v>39</v>
          </cell>
          <cell r="J327" t="str">
            <v>South East</v>
          </cell>
          <cell r="K327" t="str">
            <v>South East</v>
          </cell>
          <cell r="L327" t="str">
            <v>West Sussex</v>
          </cell>
          <cell r="M327" t="str">
            <v>Mid Sussex</v>
          </cell>
          <cell r="N327" t="str">
            <v>RH19 4PR</v>
          </cell>
          <cell r="O327" t="str">
            <v>Has a sixth form</v>
          </cell>
          <cell r="P327">
            <v>7</v>
          </cell>
          <cell r="Q327">
            <v>19</v>
          </cell>
          <cell r="R327" t="str">
            <v>None</v>
          </cell>
          <cell r="S327" t="str">
            <v>Ofsted</v>
          </cell>
          <cell r="T327" t="str">
            <v>NULL</v>
          </cell>
          <cell r="U327" t="str">
            <v>NULL</v>
          </cell>
          <cell r="V327" t="str">
            <v>NULL</v>
          </cell>
          <cell r="W327" t="str">
            <v>NULL</v>
          </cell>
          <cell r="X327" t="str">
            <v>NULL</v>
          </cell>
          <cell r="Y327" t="str">
            <v>NULL</v>
          </cell>
          <cell r="Z327" t="str">
            <v>NULL</v>
          </cell>
          <cell r="AA327">
            <v>10039159</v>
          </cell>
          <cell r="AB327" t="str">
            <v>Independent School standard inspection</v>
          </cell>
          <cell r="AC327" t="str">
            <v>Independent Standard Inspection</v>
          </cell>
          <cell r="AD327">
            <v>42997</v>
          </cell>
          <cell r="AE327">
            <v>42999</v>
          </cell>
          <cell r="AF327">
            <v>43025</v>
          </cell>
          <cell r="AG327">
            <v>3</v>
          </cell>
          <cell r="AH327">
            <v>3</v>
          </cell>
          <cell r="AI327">
            <v>3</v>
          </cell>
          <cell r="AJ327">
            <v>2</v>
          </cell>
          <cell r="AK327">
            <v>2</v>
          </cell>
          <cell r="AL327" t="str">
            <v>NULL</v>
          </cell>
          <cell r="AM327">
            <v>1</v>
          </cell>
          <cell r="AN327" t="str">
            <v>Yes</v>
          </cell>
          <cell r="AO327" t="str">
            <v>ITS446390</v>
          </cell>
          <cell r="AP327" t="str">
            <v>Independent School standard inspection</v>
          </cell>
          <cell r="AQ327" t="str">
            <v>Independent Standard Inspection</v>
          </cell>
          <cell r="AR327">
            <v>41954</v>
          </cell>
          <cell r="AS327">
            <v>41956</v>
          </cell>
          <cell r="AT327">
            <v>41984</v>
          </cell>
          <cell r="AU327">
            <v>2</v>
          </cell>
          <cell r="AV327">
            <v>2</v>
          </cell>
          <cell r="AW327">
            <v>2</v>
          </cell>
          <cell r="AX327">
            <v>2</v>
          </cell>
          <cell r="AY327" t="str">
            <v>NULL</v>
          </cell>
          <cell r="AZ327">
            <v>9</v>
          </cell>
          <cell r="BA327">
            <v>2</v>
          </cell>
          <cell r="BB327" t="str">
            <v>NULL</v>
          </cell>
        </row>
        <row r="328">
          <cell r="D328">
            <v>135673</v>
          </cell>
          <cell r="E328">
            <v>9336216</v>
          </cell>
          <cell r="F328" t="str">
            <v>Phoenix Academy</v>
          </cell>
          <cell r="G328" t="str">
            <v>Other Independent Special School</v>
          </cell>
          <cell r="H328">
            <v>39680</v>
          </cell>
          <cell r="I328">
            <v>1</v>
          </cell>
          <cell r="J328" t="str">
            <v>South West</v>
          </cell>
          <cell r="K328" t="str">
            <v>South West</v>
          </cell>
          <cell r="L328" t="str">
            <v>Somerset</v>
          </cell>
          <cell r="M328" t="str">
            <v>Bridgwater and West Somerset</v>
          </cell>
          <cell r="N328" t="str">
            <v>TA6 6NA</v>
          </cell>
          <cell r="O328" t="str">
            <v>Not applicable</v>
          </cell>
          <cell r="P328">
            <v>7</v>
          </cell>
          <cell r="Q328">
            <v>16</v>
          </cell>
          <cell r="R328" t="str">
            <v>None</v>
          </cell>
          <cell r="S328" t="str">
            <v>Ofsted</v>
          </cell>
          <cell r="T328">
            <v>5</v>
          </cell>
          <cell r="U328">
            <v>10047092</v>
          </cell>
          <cell r="V328" t="str">
            <v>Independent school evaluation of school action plan</v>
          </cell>
          <cell r="W328">
            <v>43143</v>
          </cell>
          <cell r="X328">
            <v>43143</v>
          </cell>
          <cell r="Y328" t="str">
            <v>NULL</v>
          </cell>
          <cell r="Z328" t="str">
            <v>Action plan is not acceptable</v>
          </cell>
          <cell r="AA328">
            <v>10008277</v>
          </cell>
          <cell r="AB328" t="str">
            <v>Independent School standard inspection</v>
          </cell>
          <cell r="AC328" t="str">
            <v>Independent Standard Inspection</v>
          </cell>
          <cell r="AD328">
            <v>42325</v>
          </cell>
          <cell r="AE328">
            <v>42327</v>
          </cell>
          <cell r="AF328">
            <v>42405</v>
          </cell>
          <cell r="AG328">
            <v>4</v>
          </cell>
          <cell r="AH328">
            <v>3</v>
          </cell>
          <cell r="AI328">
            <v>3</v>
          </cell>
          <cell r="AJ328">
            <v>4</v>
          </cell>
          <cell r="AK328">
            <v>4</v>
          </cell>
          <cell r="AL328" t="str">
            <v>NULL</v>
          </cell>
          <cell r="AM328" t="str">
            <v>NULL</v>
          </cell>
          <cell r="AN328" t="str">
            <v>No</v>
          </cell>
          <cell r="AO328" t="str">
            <v>ITS422791</v>
          </cell>
          <cell r="AP328" t="str">
            <v>Independent School standard inspection</v>
          </cell>
          <cell r="AQ328" t="str">
            <v>Independent Standard Inspection</v>
          </cell>
          <cell r="AR328">
            <v>41541</v>
          </cell>
          <cell r="AS328">
            <v>41543</v>
          </cell>
          <cell r="AT328">
            <v>41563</v>
          </cell>
          <cell r="AU328">
            <v>3</v>
          </cell>
          <cell r="AV328">
            <v>3</v>
          </cell>
          <cell r="AW328">
            <v>2</v>
          </cell>
          <cell r="AX328">
            <v>3</v>
          </cell>
          <cell r="AY328" t="str">
            <v>NULL</v>
          </cell>
          <cell r="AZ328" t="str">
            <v>NULL</v>
          </cell>
          <cell r="BA328" t="str">
            <v>NULL</v>
          </cell>
          <cell r="BB328" t="str">
            <v>NULL</v>
          </cell>
        </row>
        <row r="329">
          <cell r="D329">
            <v>141701</v>
          </cell>
          <cell r="E329">
            <v>2106007</v>
          </cell>
          <cell r="F329" t="str">
            <v>Phoenixplace</v>
          </cell>
          <cell r="G329" t="str">
            <v>Other Independent Special School</v>
          </cell>
          <cell r="H329">
            <v>42023</v>
          </cell>
          <cell r="I329">
            <v>10</v>
          </cell>
          <cell r="J329" t="str">
            <v>London</v>
          </cell>
          <cell r="K329" t="str">
            <v>London</v>
          </cell>
          <cell r="L329" t="str">
            <v>Southwark</v>
          </cell>
          <cell r="M329" t="str">
            <v>Camberwell and Peckham</v>
          </cell>
          <cell r="N329" t="str">
            <v>SE5 0NA</v>
          </cell>
          <cell r="O329" t="str">
            <v>Not applicable</v>
          </cell>
          <cell r="P329">
            <v>11</v>
          </cell>
          <cell r="Q329">
            <v>16</v>
          </cell>
          <cell r="R329" t="str">
            <v>None</v>
          </cell>
          <cell r="S329" t="str">
            <v>Ofsted</v>
          </cell>
          <cell r="T329">
            <v>3</v>
          </cell>
          <cell r="U329">
            <v>10034016</v>
          </cell>
          <cell r="V329" t="str">
            <v>Independent school Progress Monitoring inspection</v>
          </cell>
          <cell r="W329">
            <v>42845</v>
          </cell>
          <cell r="X329">
            <v>42845</v>
          </cell>
          <cell r="Y329">
            <v>42874</v>
          </cell>
          <cell r="Z329" t="str">
            <v>Met all standards that were checked</v>
          </cell>
          <cell r="AA329">
            <v>10006183</v>
          </cell>
          <cell r="AB329" t="str">
            <v>Independent school standard inspection - first</v>
          </cell>
          <cell r="AC329" t="str">
            <v>Independent Standard Inspection</v>
          </cell>
          <cell r="AD329">
            <v>42494</v>
          </cell>
          <cell r="AE329">
            <v>42496</v>
          </cell>
          <cell r="AF329">
            <v>42562</v>
          </cell>
          <cell r="AG329">
            <v>4</v>
          </cell>
          <cell r="AH329">
            <v>4</v>
          </cell>
          <cell r="AI329">
            <v>4</v>
          </cell>
          <cell r="AJ329">
            <v>4</v>
          </cell>
          <cell r="AK329">
            <v>4</v>
          </cell>
          <cell r="AL329" t="str">
            <v>NULL</v>
          </cell>
          <cell r="AM329">
            <v>4</v>
          </cell>
          <cell r="AN329" t="str">
            <v>Yes</v>
          </cell>
          <cell r="AO329" t="str">
            <v>NULL</v>
          </cell>
          <cell r="AP329" t="str">
            <v>NULL</v>
          </cell>
          <cell r="AQ329" t="str">
            <v>NULL</v>
          </cell>
          <cell r="AR329" t="str">
            <v>NULL</v>
          </cell>
          <cell r="AS329" t="str">
            <v>NULL</v>
          </cell>
          <cell r="AT329" t="str">
            <v>NULL</v>
          </cell>
          <cell r="AU329" t="str">
            <v>NULL</v>
          </cell>
          <cell r="AV329" t="str">
            <v>NULL</v>
          </cell>
          <cell r="AW329" t="str">
            <v>NULL</v>
          </cell>
          <cell r="AX329" t="str">
            <v>NULL</v>
          </cell>
          <cell r="AY329" t="str">
            <v>NULL</v>
          </cell>
          <cell r="AZ329" t="str">
            <v>NULL</v>
          </cell>
          <cell r="BA329" t="str">
            <v>NULL</v>
          </cell>
          <cell r="BB329" t="str">
            <v>NULL</v>
          </cell>
        </row>
        <row r="330">
          <cell r="D330">
            <v>138580</v>
          </cell>
          <cell r="E330">
            <v>8936029</v>
          </cell>
          <cell r="F330" t="str">
            <v>Physis Heathgates Academy</v>
          </cell>
          <cell r="G330" t="str">
            <v>Other Independent Special School</v>
          </cell>
          <cell r="H330">
            <v>41136</v>
          </cell>
          <cell r="I330">
            <v>5</v>
          </cell>
          <cell r="J330" t="str">
            <v>West Midlands</v>
          </cell>
          <cell r="K330" t="str">
            <v>West Midlands</v>
          </cell>
          <cell r="L330" t="str">
            <v>Shropshire</v>
          </cell>
          <cell r="M330" t="str">
            <v>North Shropshire</v>
          </cell>
          <cell r="N330" t="str">
            <v>SY13 9DE</v>
          </cell>
          <cell r="O330" t="str">
            <v>Not applicable</v>
          </cell>
          <cell r="P330">
            <v>10</v>
          </cell>
          <cell r="Q330">
            <v>18</v>
          </cell>
          <cell r="R330" t="str">
            <v>None</v>
          </cell>
          <cell r="S330" t="str">
            <v>Ofsted</v>
          </cell>
          <cell r="T330" t="str">
            <v>NULL</v>
          </cell>
          <cell r="U330" t="str">
            <v>NULL</v>
          </cell>
          <cell r="V330" t="str">
            <v>NULL</v>
          </cell>
          <cell r="W330" t="str">
            <v>NULL</v>
          </cell>
          <cell r="X330" t="str">
            <v>NULL</v>
          </cell>
          <cell r="Y330" t="str">
            <v>NULL</v>
          </cell>
          <cell r="Z330" t="str">
            <v>NULL</v>
          </cell>
          <cell r="AA330">
            <v>10012917</v>
          </cell>
          <cell r="AB330" t="str">
            <v>Independent school standard inspection - aligned with CH</v>
          </cell>
          <cell r="AC330" t="str">
            <v>Independent Standard Inspection</v>
          </cell>
          <cell r="AD330">
            <v>43137</v>
          </cell>
          <cell r="AE330">
            <v>43139</v>
          </cell>
          <cell r="AF330">
            <v>43173</v>
          </cell>
          <cell r="AG330">
            <v>3</v>
          </cell>
          <cell r="AH330">
            <v>2</v>
          </cell>
          <cell r="AI330">
            <v>2</v>
          </cell>
          <cell r="AJ330">
            <v>3</v>
          </cell>
          <cell r="AK330">
            <v>2</v>
          </cell>
          <cell r="AL330" t="str">
            <v>NULL</v>
          </cell>
          <cell r="AM330">
            <v>2</v>
          </cell>
          <cell r="AN330" t="str">
            <v>Yes</v>
          </cell>
          <cell r="AO330" t="str">
            <v>ITS420282</v>
          </cell>
          <cell r="AP330" t="str">
            <v xml:space="preserve">Independent school standard inspection - integrated - first </v>
          </cell>
          <cell r="AQ330" t="str">
            <v>Independent Standard Inspection</v>
          </cell>
          <cell r="AR330">
            <v>41478</v>
          </cell>
          <cell r="AS330">
            <v>41479</v>
          </cell>
          <cell r="AT330">
            <v>41499</v>
          </cell>
          <cell r="AU330">
            <v>3</v>
          </cell>
          <cell r="AV330">
            <v>3</v>
          </cell>
          <cell r="AW330">
            <v>3</v>
          </cell>
          <cell r="AX330">
            <v>3</v>
          </cell>
          <cell r="AY330" t="str">
            <v>NULL</v>
          </cell>
          <cell r="AZ330" t="str">
            <v>NULL</v>
          </cell>
          <cell r="BA330" t="str">
            <v>NULL</v>
          </cell>
          <cell r="BB330" t="str">
            <v>NULL</v>
          </cell>
        </row>
        <row r="331">
          <cell r="D331">
            <v>134000</v>
          </cell>
          <cell r="E331">
            <v>8936026</v>
          </cell>
          <cell r="F331" t="str">
            <v>Smallbrook School</v>
          </cell>
          <cell r="G331" t="str">
            <v>Other Independent Special School</v>
          </cell>
          <cell r="H331">
            <v>37572</v>
          </cell>
          <cell r="I331">
            <v>36</v>
          </cell>
          <cell r="J331" t="str">
            <v>West Midlands</v>
          </cell>
          <cell r="K331" t="str">
            <v>West Midlands</v>
          </cell>
          <cell r="L331" t="str">
            <v>Shropshire</v>
          </cell>
          <cell r="M331" t="str">
            <v>North Shropshire</v>
          </cell>
          <cell r="N331" t="str">
            <v>SY4 3HE</v>
          </cell>
          <cell r="O331" t="str">
            <v>Has a sixth form</v>
          </cell>
          <cell r="P331">
            <v>11</v>
          </cell>
          <cell r="Q331">
            <v>19</v>
          </cell>
          <cell r="R331" t="str">
            <v>None</v>
          </cell>
          <cell r="S331" t="str">
            <v>Ofsted</v>
          </cell>
          <cell r="T331">
            <v>1</v>
          </cell>
          <cell r="U331">
            <v>10044319</v>
          </cell>
          <cell r="V331" t="str">
            <v>Independent school emergency inspection</v>
          </cell>
          <cell r="W331">
            <v>43116</v>
          </cell>
          <cell r="X331">
            <v>43116</v>
          </cell>
          <cell r="Y331" t="str">
            <v>NULL</v>
          </cell>
          <cell r="Z331" t="str">
            <v>Met all standards that were checked</v>
          </cell>
          <cell r="AA331">
            <v>10012915</v>
          </cell>
          <cell r="AB331" t="str">
            <v>Independent School standard inspection</v>
          </cell>
          <cell r="AC331" t="str">
            <v>Independent Standard Inspection</v>
          </cell>
          <cell r="AD331">
            <v>42906</v>
          </cell>
          <cell r="AE331">
            <v>42908</v>
          </cell>
          <cell r="AF331">
            <v>42933</v>
          </cell>
          <cell r="AG331">
            <v>2</v>
          </cell>
          <cell r="AH331">
            <v>2</v>
          </cell>
          <cell r="AI331">
            <v>2</v>
          </cell>
          <cell r="AJ331">
            <v>2</v>
          </cell>
          <cell r="AK331">
            <v>2</v>
          </cell>
          <cell r="AL331" t="str">
            <v>NULL</v>
          </cell>
          <cell r="AM331">
            <v>2</v>
          </cell>
          <cell r="AN331" t="str">
            <v>Yes</v>
          </cell>
          <cell r="AO331" t="str">
            <v>ITS422758</v>
          </cell>
          <cell r="AP331" t="str">
            <v>Independent School standard inspection</v>
          </cell>
          <cell r="AQ331" t="str">
            <v>Independent Standard Inspection</v>
          </cell>
          <cell r="AR331">
            <v>41583</v>
          </cell>
          <cell r="AS331">
            <v>41585</v>
          </cell>
          <cell r="AT331">
            <v>41604</v>
          </cell>
          <cell r="AU331">
            <v>2</v>
          </cell>
          <cell r="AV331">
            <v>2</v>
          </cell>
          <cell r="AW331">
            <v>2</v>
          </cell>
          <cell r="AX331">
            <v>2</v>
          </cell>
          <cell r="AY331" t="str">
            <v>NULL</v>
          </cell>
          <cell r="AZ331" t="str">
            <v>NULL</v>
          </cell>
          <cell r="BA331" t="str">
            <v>NULL</v>
          </cell>
          <cell r="BB331" t="str">
            <v>NULL</v>
          </cell>
        </row>
        <row r="332">
          <cell r="D332">
            <v>135616</v>
          </cell>
          <cell r="E332">
            <v>2076408</v>
          </cell>
          <cell r="F332" t="str">
            <v>Snowflake School</v>
          </cell>
          <cell r="G332" t="str">
            <v>Other Independent Special School</v>
          </cell>
          <cell r="H332">
            <v>39637</v>
          </cell>
          <cell r="I332">
            <v>17</v>
          </cell>
          <cell r="J332" t="str">
            <v>London</v>
          </cell>
          <cell r="K332" t="str">
            <v>London</v>
          </cell>
          <cell r="L332" t="str">
            <v>Kensington and Chelsea</v>
          </cell>
          <cell r="M332" t="str">
            <v>Kensington</v>
          </cell>
          <cell r="N332" t="str">
            <v>SW5 9SJ</v>
          </cell>
          <cell r="O332" t="str">
            <v>Not applicable</v>
          </cell>
          <cell r="P332">
            <v>5</v>
          </cell>
          <cell r="Q332">
            <v>16</v>
          </cell>
          <cell r="R332" t="str">
            <v>None</v>
          </cell>
          <cell r="S332" t="str">
            <v>Ofsted</v>
          </cell>
          <cell r="T332" t="str">
            <v>NULL</v>
          </cell>
          <cell r="U332" t="str">
            <v>NULL</v>
          </cell>
          <cell r="V332" t="str">
            <v>NULL</v>
          </cell>
          <cell r="W332" t="str">
            <v>NULL</v>
          </cell>
          <cell r="X332" t="str">
            <v>NULL</v>
          </cell>
          <cell r="Y332" t="str">
            <v>NULL</v>
          </cell>
          <cell r="Z332" t="str">
            <v>NULL</v>
          </cell>
          <cell r="AA332">
            <v>10008525</v>
          </cell>
          <cell r="AB332" t="str">
            <v>Independent School standard inspection</v>
          </cell>
          <cell r="AC332" t="str">
            <v>Independent Standard Inspection</v>
          </cell>
          <cell r="AD332">
            <v>42381</v>
          </cell>
          <cell r="AE332">
            <v>42383</v>
          </cell>
          <cell r="AF332">
            <v>42403</v>
          </cell>
          <cell r="AG332">
            <v>1</v>
          </cell>
          <cell r="AH332">
            <v>1</v>
          </cell>
          <cell r="AI332">
            <v>1</v>
          </cell>
          <cell r="AJ332">
            <v>1</v>
          </cell>
          <cell r="AK332">
            <v>1</v>
          </cell>
          <cell r="AL332" t="str">
            <v>NULL</v>
          </cell>
          <cell r="AM332" t="str">
            <v>NULL</v>
          </cell>
          <cell r="AN332" t="str">
            <v>Yes</v>
          </cell>
          <cell r="AO332" t="str">
            <v>ITS397681</v>
          </cell>
          <cell r="AP332" t="str">
            <v>Independent School standard inspection</v>
          </cell>
          <cell r="AQ332" t="str">
            <v>Independent Standard Inspection</v>
          </cell>
          <cell r="AR332">
            <v>41353</v>
          </cell>
          <cell r="AS332">
            <v>41354</v>
          </cell>
          <cell r="AT332">
            <v>41387</v>
          </cell>
          <cell r="AU332">
            <v>1</v>
          </cell>
          <cell r="AV332">
            <v>1</v>
          </cell>
          <cell r="AW332">
            <v>1</v>
          </cell>
          <cell r="AX332">
            <v>1</v>
          </cell>
          <cell r="AY332" t="str">
            <v>NULL</v>
          </cell>
          <cell r="AZ332" t="str">
            <v>NULL</v>
          </cell>
          <cell r="BA332" t="str">
            <v>NULL</v>
          </cell>
          <cell r="BB332" t="str">
            <v>NULL</v>
          </cell>
        </row>
        <row r="333">
          <cell r="D333">
            <v>133527</v>
          </cell>
          <cell r="E333">
            <v>9336203</v>
          </cell>
          <cell r="F333" t="str">
            <v>Somerset Progressive School</v>
          </cell>
          <cell r="G333" t="str">
            <v>Other Independent Special School</v>
          </cell>
          <cell r="H333">
            <v>37222</v>
          </cell>
          <cell r="I333">
            <v>21</v>
          </cell>
          <cell r="J333" t="str">
            <v>South West</v>
          </cell>
          <cell r="K333" t="str">
            <v>South West</v>
          </cell>
          <cell r="L333" t="str">
            <v>Somerset</v>
          </cell>
          <cell r="M333" t="str">
            <v>Taunton Deane</v>
          </cell>
          <cell r="N333" t="str">
            <v>TA3 5RH</v>
          </cell>
          <cell r="O333" t="str">
            <v>Not applicable</v>
          </cell>
          <cell r="P333">
            <v>7</v>
          </cell>
          <cell r="Q333">
            <v>19</v>
          </cell>
          <cell r="R333" t="str">
            <v>None</v>
          </cell>
          <cell r="S333" t="str">
            <v>Ofsted</v>
          </cell>
          <cell r="T333" t="str">
            <v>NULL</v>
          </cell>
          <cell r="U333" t="str">
            <v>NULL</v>
          </cell>
          <cell r="V333" t="str">
            <v>NULL</v>
          </cell>
          <cell r="W333" t="str">
            <v>NULL</v>
          </cell>
          <cell r="X333" t="str">
            <v>NULL</v>
          </cell>
          <cell r="Y333" t="str">
            <v>NULL</v>
          </cell>
          <cell r="Z333" t="str">
            <v>NULL</v>
          </cell>
          <cell r="AA333">
            <v>10033891</v>
          </cell>
          <cell r="AB333" t="str">
            <v>Independent School standard inspection</v>
          </cell>
          <cell r="AC333" t="str">
            <v>Independent Standard Inspection</v>
          </cell>
          <cell r="AD333">
            <v>42990</v>
          </cell>
          <cell r="AE333">
            <v>42992</v>
          </cell>
          <cell r="AF333">
            <v>43019</v>
          </cell>
          <cell r="AG333">
            <v>2</v>
          </cell>
          <cell r="AH333">
            <v>2</v>
          </cell>
          <cell r="AI333">
            <v>2</v>
          </cell>
          <cell r="AJ333">
            <v>2</v>
          </cell>
          <cell r="AK333">
            <v>2</v>
          </cell>
          <cell r="AL333" t="str">
            <v>NULL</v>
          </cell>
          <cell r="AM333" t="str">
            <v>NULL</v>
          </cell>
          <cell r="AN333" t="str">
            <v>Yes</v>
          </cell>
          <cell r="AO333" t="str">
            <v>ITS447462</v>
          </cell>
          <cell r="AP333" t="str">
            <v>Independent School standard inspection</v>
          </cell>
          <cell r="AQ333" t="str">
            <v>Independent Standard Inspection</v>
          </cell>
          <cell r="AR333">
            <v>41828</v>
          </cell>
          <cell r="AS333">
            <v>41830</v>
          </cell>
          <cell r="AT333">
            <v>41843</v>
          </cell>
          <cell r="AU333">
            <v>1</v>
          </cell>
          <cell r="AV333">
            <v>1</v>
          </cell>
          <cell r="AW333">
            <v>1</v>
          </cell>
          <cell r="AX333">
            <v>1</v>
          </cell>
          <cell r="AY333" t="str">
            <v>NULL</v>
          </cell>
          <cell r="AZ333" t="str">
            <v>NULL</v>
          </cell>
          <cell r="BA333" t="str">
            <v>NULL</v>
          </cell>
          <cell r="BB333" t="str">
            <v>NULL</v>
          </cell>
        </row>
        <row r="334">
          <cell r="D334">
            <v>116564</v>
          </cell>
          <cell r="E334">
            <v>8506030</v>
          </cell>
          <cell r="F334" t="str">
            <v>Southlands School</v>
          </cell>
          <cell r="G334" t="str">
            <v>Other Independent Special School</v>
          </cell>
          <cell r="H334">
            <v>26228</v>
          </cell>
          <cell r="I334">
            <v>52</v>
          </cell>
          <cell r="J334" t="str">
            <v>South East</v>
          </cell>
          <cell r="K334" t="str">
            <v>South East</v>
          </cell>
          <cell r="L334" t="str">
            <v>Hampshire</v>
          </cell>
          <cell r="M334" t="str">
            <v>New Forest East</v>
          </cell>
          <cell r="N334" t="str">
            <v>SO41 5QB</v>
          </cell>
          <cell r="O334" t="str">
            <v>Not applicable</v>
          </cell>
          <cell r="P334">
            <v>7</v>
          </cell>
          <cell r="Q334">
            <v>19</v>
          </cell>
          <cell r="R334" t="str">
            <v>None</v>
          </cell>
          <cell r="S334" t="str">
            <v>Ofsted</v>
          </cell>
          <cell r="T334" t="str">
            <v>NULL</v>
          </cell>
          <cell r="U334" t="str">
            <v>NULL</v>
          </cell>
          <cell r="V334" t="str">
            <v>NULL</v>
          </cell>
          <cell r="W334" t="str">
            <v>NULL</v>
          </cell>
          <cell r="X334" t="str">
            <v>NULL</v>
          </cell>
          <cell r="Y334" t="str">
            <v>NULL</v>
          </cell>
          <cell r="Z334" t="str">
            <v>NULL</v>
          </cell>
          <cell r="AA334">
            <v>10035876</v>
          </cell>
          <cell r="AB334" t="str">
            <v>Independent school standard inspection - aligned with CH</v>
          </cell>
          <cell r="AC334" t="str">
            <v>Independent Standard Inspection</v>
          </cell>
          <cell r="AD334">
            <v>43011</v>
          </cell>
          <cell r="AE334">
            <v>43013</v>
          </cell>
          <cell r="AF334">
            <v>43053</v>
          </cell>
          <cell r="AG334">
            <v>2</v>
          </cell>
          <cell r="AH334">
            <v>2</v>
          </cell>
          <cell r="AI334">
            <v>2</v>
          </cell>
          <cell r="AJ334">
            <v>2</v>
          </cell>
          <cell r="AK334">
            <v>2</v>
          </cell>
          <cell r="AL334" t="str">
            <v>NULL</v>
          </cell>
          <cell r="AM334" t="str">
            <v>NULL</v>
          </cell>
          <cell r="AN334" t="str">
            <v>Yes</v>
          </cell>
          <cell r="AO334" t="str">
            <v>ITS446384</v>
          </cell>
          <cell r="AP334" t="str">
            <v>Independent School standard inspection</v>
          </cell>
          <cell r="AQ334" t="str">
            <v>Independent Standard Inspection</v>
          </cell>
          <cell r="AR334">
            <v>41962</v>
          </cell>
          <cell r="AS334">
            <v>41964</v>
          </cell>
          <cell r="AT334">
            <v>41991</v>
          </cell>
          <cell r="AU334">
            <v>3</v>
          </cell>
          <cell r="AV334">
            <v>3</v>
          </cell>
          <cell r="AW334">
            <v>3</v>
          </cell>
          <cell r="AX334">
            <v>3</v>
          </cell>
          <cell r="AY334" t="str">
            <v>NULL</v>
          </cell>
          <cell r="AZ334">
            <v>9</v>
          </cell>
          <cell r="BA334">
            <v>9</v>
          </cell>
          <cell r="BB334" t="str">
            <v>NULL</v>
          </cell>
        </row>
        <row r="335">
          <cell r="D335">
            <v>115809</v>
          </cell>
          <cell r="E335">
            <v>9166072</v>
          </cell>
          <cell r="F335" t="str">
            <v>The Marlowe School</v>
          </cell>
          <cell r="G335" t="str">
            <v>Other Independent Special School</v>
          </cell>
          <cell r="H335">
            <v>33928</v>
          </cell>
          <cell r="I335">
            <v>15</v>
          </cell>
          <cell r="J335" t="str">
            <v>South West</v>
          </cell>
          <cell r="K335" t="str">
            <v>South West</v>
          </cell>
          <cell r="L335" t="str">
            <v>Gloucestershire</v>
          </cell>
          <cell r="M335" t="str">
            <v>Forest of Dean</v>
          </cell>
          <cell r="N335" t="str">
            <v>GL19 3BG</v>
          </cell>
          <cell r="O335" t="str">
            <v>Not applicable</v>
          </cell>
          <cell r="P335">
            <v>7</v>
          </cell>
          <cell r="Q335">
            <v>18</v>
          </cell>
          <cell r="R335" t="str">
            <v>None</v>
          </cell>
          <cell r="S335" t="str">
            <v>Ofsted</v>
          </cell>
          <cell r="T335" t="str">
            <v>NULL</v>
          </cell>
          <cell r="U335" t="str">
            <v>NULL</v>
          </cell>
          <cell r="V335" t="str">
            <v>NULL</v>
          </cell>
          <cell r="W335" t="str">
            <v>NULL</v>
          </cell>
          <cell r="X335" t="str">
            <v>NULL</v>
          </cell>
          <cell r="Y335" t="str">
            <v>NULL</v>
          </cell>
          <cell r="Z335" t="str">
            <v>NULL</v>
          </cell>
          <cell r="AA335" t="str">
            <v>ITS462863</v>
          </cell>
          <cell r="AB335" t="str">
            <v>Independent School standard inspection</v>
          </cell>
          <cell r="AC335" t="str">
            <v>Independent Standard Inspection</v>
          </cell>
          <cell r="AD335">
            <v>42157</v>
          </cell>
          <cell r="AE335">
            <v>42159</v>
          </cell>
          <cell r="AF335">
            <v>42194</v>
          </cell>
          <cell r="AG335">
            <v>2</v>
          </cell>
          <cell r="AH335">
            <v>2</v>
          </cell>
          <cell r="AI335">
            <v>2</v>
          </cell>
          <cell r="AJ335">
            <v>2</v>
          </cell>
          <cell r="AK335" t="str">
            <v>NULL</v>
          </cell>
          <cell r="AL335">
            <v>9</v>
          </cell>
          <cell r="AM335">
            <v>9</v>
          </cell>
          <cell r="AN335" t="str">
            <v>NULL</v>
          </cell>
          <cell r="AO335" t="str">
            <v>ITS386874</v>
          </cell>
          <cell r="AP335" t="str">
            <v>Independent School standard inspection</v>
          </cell>
          <cell r="AQ335" t="str">
            <v>Independent Standard Inspection</v>
          </cell>
          <cell r="AR335">
            <v>40926</v>
          </cell>
          <cell r="AS335">
            <v>40927</v>
          </cell>
          <cell r="AT335">
            <v>41241</v>
          </cell>
          <cell r="AU335">
            <v>3</v>
          </cell>
          <cell r="AV335">
            <v>3</v>
          </cell>
          <cell r="AW335">
            <v>3</v>
          </cell>
          <cell r="AX335" t="str">
            <v>NULL</v>
          </cell>
          <cell r="AY335" t="str">
            <v>NULL</v>
          </cell>
          <cell r="AZ335">
            <v>8</v>
          </cell>
          <cell r="BA335" t="str">
            <v>NULL</v>
          </cell>
          <cell r="BB335" t="str">
            <v>NULL</v>
          </cell>
        </row>
        <row r="336">
          <cell r="D336">
            <v>135241</v>
          </cell>
          <cell r="E336">
            <v>8306035</v>
          </cell>
          <cell r="F336" t="str">
            <v>The Meadows</v>
          </cell>
          <cell r="G336" t="str">
            <v>Other Independent Special School</v>
          </cell>
          <cell r="H336">
            <v>39191</v>
          </cell>
          <cell r="I336">
            <v>4</v>
          </cell>
          <cell r="J336" t="str">
            <v>East Midlands</v>
          </cell>
          <cell r="K336" t="str">
            <v>East Midlands</v>
          </cell>
          <cell r="L336" t="str">
            <v>Derbyshire</v>
          </cell>
          <cell r="M336" t="str">
            <v>High Peak</v>
          </cell>
          <cell r="N336" t="str">
            <v>SK17 8DJ</v>
          </cell>
          <cell r="O336" t="str">
            <v>Not applicable</v>
          </cell>
          <cell r="P336">
            <v>11</v>
          </cell>
          <cell r="Q336">
            <v>18</v>
          </cell>
          <cell r="R336" t="str">
            <v>None</v>
          </cell>
          <cell r="S336" t="str">
            <v>Ofsted</v>
          </cell>
          <cell r="T336" t="str">
            <v>NULL</v>
          </cell>
          <cell r="U336" t="str">
            <v>NULL</v>
          </cell>
          <cell r="V336" t="str">
            <v>NULL</v>
          </cell>
          <cell r="W336" t="str">
            <v>NULL</v>
          </cell>
          <cell r="X336" t="str">
            <v>NULL</v>
          </cell>
          <cell r="Y336" t="str">
            <v>NULL</v>
          </cell>
          <cell r="Z336" t="str">
            <v>NULL</v>
          </cell>
          <cell r="AA336">
            <v>10006017</v>
          </cell>
          <cell r="AB336" t="str">
            <v>Independent School standard inspection</v>
          </cell>
          <cell r="AC336" t="str">
            <v>Independent Standard Inspection</v>
          </cell>
          <cell r="AD336">
            <v>42332</v>
          </cell>
          <cell r="AE336">
            <v>42333</v>
          </cell>
          <cell r="AF336">
            <v>42355</v>
          </cell>
          <cell r="AG336">
            <v>1</v>
          </cell>
          <cell r="AH336">
            <v>1</v>
          </cell>
          <cell r="AI336">
            <v>1</v>
          </cell>
          <cell r="AJ336">
            <v>1</v>
          </cell>
          <cell r="AK336">
            <v>1</v>
          </cell>
          <cell r="AL336" t="str">
            <v>NULL</v>
          </cell>
          <cell r="AM336" t="str">
            <v>NULL</v>
          </cell>
          <cell r="AN336" t="str">
            <v>Yes</v>
          </cell>
          <cell r="AO336" t="str">
            <v>ITS385176</v>
          </cell>
          <cell r="AP336" t="str">
            <v>Independent School standard inspection</v>
          </cell>
          <cell r="AQ336" t="str">
            <v>Independent Standard Inspection</v>
          </cell>
          <cell r="AR336">
            <v>40974</v>
          </cell>
          <cell r="AS336">
            <v>40975</v>
          </cell>
          <cell r="AT336">
            <v>40998</v>
          </cell>
          <cell r="AU336">
            <v>1</v>
          </cell>
          <cell r="AV336">
            <v>1</v>
          </cell>
          <cell r="AW336">
            <v>1</v>
          </cell>
          <cell r="AX336" t="str">
            <v>NULL</v>
          </cell>
          <cell r="AY336" t="str">
            <v>NULL</v>
          </cell>
          <cell r="AZ336">
            <v>8</v>
          </cell>
          <cell r="BA336" t="str">
            <v>NULL</v>
          </cell>
          <cell r="BB336" t="str">
            <v>NULL</v>
          </cell>
        </row>
        <row r="337">
          <cell r="D337">
            <v>131119</v>
          </cell>
          <cell r="E337">
            <v>8926012</v>
          </cell>
          <cell r="F337" t="str">
            <v>Jamia Al-Hudaa Residential College</v>
          </cell>
          <cell r="G337" t="str">
            <v>Other Independent School</v>
          </cell>
          <cell r="H337">
            <v>35383</v>
          </cell>
          <cell r="I337">
            <v>204</v>
          </cell>
          <cell r="J337" t="str">
            <v>East Midlands</v>
          </cell>
          <cell r="K337" t="str">
            <v>East Midlands</v>
          </cell>
          <cell r="L337" t="str">
            <v>Nottingham</v>
          </cell>
          <cell r="M337" t="str">
            <v>Nottingham East</v>
          </cell>
          <cell r="N337" t="str">
            <v>NG3 5TT</v>
          </cell>
          <cell r="O337" t="str">
            <v>Has a sixth form</v>
          </cell>
          <cell r="P337">
            <v>11</v>
          </cell>
          <cell r="Q337">
            <v>19</v>
          </cell>
          <cell r="R337" t="str">
            <v>None</v>
          </cell>
          <cell r="S337" t="str">
            <v>Ofsted</v>
          </cell>
          <cell r="T337" t="str">
            <v>NULL</v>
          </cell>
          <cell r="U337" t="str">
            <v>NULL</v>
          </cell>
          <cell r="V337" t="str">
            <v>NULL</v>
          </cell>
          <cell r="W337" t="str">
            <v>NULL</v>
          </cell>
          <cell r="X337" t="str">
            <v>NULL</v>
          </cell>
          <cell r="Y337" t="str">
            <v>NULL</v>
          </cell>
          <cell r="Z337" t="str">
            <v>NULL</v>
          </cell>
          <cell r="AA337">
            <v>10039183</v>
          </cell>
          <cell r="AB337" t="str">
            <v>Independent School standard inspection</v>
          </cell>
          <cell r="AC337" t="str">
            <v>Independent Standard Inspection</v>
          </cell>
          <cell r="AD337">
            <v>42997</v>
          </cell>
          <cell r="AE337">
            <v>42999</v>
          </cell>
          <cell r="AF337">
            <v>43019</v>
          </cell>
          <cell r="AG337">
            <v>2</v>
          </cell>
          <cell r="AH337">
            <v>2</v>
          </cell>
          <cell r="AI337">
            <v>2</v>
          </cell>
          <cell r="AJ337">
            <v>2</v>
          </cell>
          <cell r="AK337">
            <v>1</v>
          </cell>
          <cell r="AL337" t="str">
            <v>NULL</v>
          </cell>
          <cell r="AM337">
            <v>2</v>
          </cell>
          <cell r="AN337" t="str">
            <v>Yes</v>
          </cell>
          <cell r="AO337" t="str">
            <v>ITS463395</v>
          </cell>
          <cell r="AP337" t="str">
            <v xml:space="preserve">Independent School standard inspection - integrated </v>
          </cell>
          <cell r="AQ337" t="str">
            <v>Independent Standard Inspection</v>
          </cell>
          <cell r="AR337">
            <v>42121</v>
          </cell>
          <cell r="AS337">
            <v>42123</v>
          </cell>
          <cell r="AT337">
            <v>42174</v>
          </cell>
          <cell r="AU337">
            <v>4</v>
          </cell>
          <cell r="AV337">
            <v>3</v>
          </cell>
          <cell r="AW337">
            <v>3</v>
          </cell>
          <cell r="AX337">
            <v>4</v>
          </cell>
          <cell r="AY337" t="str">
            <v>NULL</v>
          </cell>
          <cell r="AZ337">
            <v>4</v>
          </cell>
          <cell r="BA337">
            <v>4</v>
          </cell>
          <cell r="BB337" t="str">
            <v>NULL</v>
          </cell>
        </row>
        <row r="338">
          <cell r="D338">
            <v>134571</v>
          </cell>
          <cell r="E338">
            <v>3306106</v>
          </cell>
          <cell r="F338" t="str">
            <v>Jamia Islamia Birmingham</v>
          </cell>
          <cell r="G338" t="str">
            <v>Other Independent School</v>
          </cell>
          <cell r="H338">
            <v>37862</v>
          </cell>
          <cell r="I338">
            <v>125</v>
          </cell>
          <cell r="J338" t="str">
            <v>West Midlands</v>
          </cell>
          <cell r="K338" t="str">
            <v>West Midlands</v>
          </cell>
          <cell r="L338" t="str">
            <v>Birmingham</v>
          </cell>
          <cell r="M338" t="str">
            <v>Birmingham, Hall Green</v>
          </cell>
          <cell r="N338" t="str">
            <v>B11 1PL</v>
          </cell>
          <cell r="O338" t="str">
            <v>Has a sixth form</v>
          </cell>
          <cell r="P338">
            <v>11</v>
          </cell>
          <cell r="Q338">
            <v>19</v>
          </cell>
          <cell r="R338" t="str">
            <v>None</v>
          </cell>
          <cell r="S338" t="str">
            <v>Ofsted</v>
          </cell>
          <cell r="T338">
            <v>1</v>
          </cell>
          <cell r="U338">
            <v>10048539</v>
          </cell>
          <cell r="V338" t="str">
            <v>Independent school evaluation of school action plan</v>
          </cell>
          <cell r="W338">
            <v>43140</v>
          </cell>
          <cell r="X338">
            <v>43140</v>
          </cell>
          <cell r="Y338" t="str">
            <v>NULL</v>
          </cell>
          <cell r="Z338" t="str">
            <v>Action plan is acceptable</v>
          </cell>
          <cell r="AA338">
            <v>10033569</v>
          </cell>
          <cell r="AB338" t="str">
            <v>Independent School standard inspection</v>
          </cell>
          <cell r="AC338" t="str">
            <v>Independent Standard Inspection</v>
          </cell>
          <cell r="AD338">
            <v>42927</v>
          </cell>
          <cell r="AE338">
            <v>42929</v>
          </cell>
          <cell r="AF338">
            <v>42999</v>
          </cell>
          <cell r="AG338">
            <v>3</v>
          </cell>
          <cell r="AH338">
            <v>3</v>
          </cell>
          <cell r="AI338">
            <v>3</v>
          </cell>
          <cell r="AJ338">
            <v>3</v>
          </cell>
          <cell r="AK338">
            <v>2</v>
          </cell>
          <cell r="AL338" t="str">
            <v>NULL</v>
          </cell>
          <cell r="AM338">
            <v>2</v>
          </cell>
          <cell r="AN338" t="str">
            <v>Yes</v>
          </cell>
          <cell r="AO338" t="str">
            <v>ITS462924</v>
          </cell>
          <cell r="AP338" t="str">
            <v>Independent School standard inspection</v>
          </cell>
          <cell r="AQ338" t="str">
            <v>Independent Standard Inspection</v>
          </cell>
          <cell r="AR338">
            <v>42129</v>
          </cell>
          <cell r="AS338">
            <v>42131</v>
          </cell>
          <cell r="AT338">
            <v>42185</v>
          </cell>
          <cell r="AU338">
            <v>4</v>
          </cell>
          <cell r="AV338">
            <v>4</v>
          </cell>
          <cell r="AW338">
            <v>4</v>
          </cell>
          <cell r="AX338">
            <v>4</v>
          </cell>
          <cell r="AY338" t="str">
            <v>NULL</v>
          </cell>
          <cell r="AZ338">
            <v>9</v>
          </cell>
          <cell r="BA338">
            <v>3</v>
          </cell>
          <cell r="BB338" t="str">
            <v>NULL</v>
          </cell>
        </row>
        <row r="339">
          <cell r="D339">
            <v>134591</v>
          </cell>
          <cell r="E339">
            <v>3166065</v>
          </cell>
          <cell r="F339" t="str">
            <v>Jamiah Madaniyah Primary School</v>
          </cell>
          <cell r="G339" t="str">
            <v>Other Independent School</v>
          </cell>
          <cell r="H339">
            <v>37862</v>
          </cell>
          <cell r="I339">
            <v>26</v>
          </cell>
          <cell r="J339" t="str">
            <v>London</v>
          </cell>
          <cell r="K339" t="str">
            <v>London</v>
          </cell>
          <cell r="L339" t="str">
            <v>Newham</v>
          </cell>
          <cell r="M339" t="str">
            <v>East Ham</v>
          </cell>
          <cell r="N339" t="str">
            <v>E7 8NN</v>
          </cell>
          <cell r="O339" t="str">
            <v>Does not have a sixth form</v>
          </cell>
          <cell r="P339">
            <v>5</v>
          </cell>
          <cell r="Q339">
            <v>11</v>
          </cell>
          <cell r="R339" t="str">
            <v>None</v>
          </cell>
          <cell r="S339" t="str">
            <v>Ofsted</v>
          </cell>
          <cell r="T339">
            <v>5</v>
          </cell>
          <cell r="U339">
            <v>10041234</v>
          </cell>
          <cell r="V339" t="str">
            <v>Independent school Progress Monitoring inspection</v>
          </cell>
          <cell r="W339">
            <v>43024</v>
          </cell>
          <cell r="X339">
            <v>43024</v>
          </cell>
          <cell r="Y339">
            <v>43066</v>
          </cell>
          <cell r="Z339" t="str">
            <v>Met all standards that were checked</v>
          </cell>
          <cell r="AA339">
            <v>10006015</v>
          </cell>
          <cell r="AB339" t="str">
            <v>Independent School standard inspection</v>
          </cell>
          <cell r="AC339" t="str">
            <v>Independent Standard Inspection</v>
          </cell>
          <cell r="AD339">
            <v>42633</v>
          </cell>
          <cell r="AE339">
            <v>42635</v>
          </cell>
          <cell r="AF339">
            <v>42675</v>
          </cell>
          <cell r="AG339">
            <v>4</v>
          </cell>
          <cell r="AH339">
            <v>4</v>
          </cell>
          <cell r="AI339">
            <v>4</v>
          </cell>
          <cell r="AJ339">
            <v>4</v>
          </cell>
          <cell r="AK339">
            <v>4</v>
          </cell>
          <cell r="AL339" t="str">
            <v>NULL</v>
          </cell>
          <cell r="AM339" t="str">
            <v>NULL</v>
          </cell>
          <cell r="AN339" t="str">
            <v>No</v>
          </cell>
          <cell r="AO339" t="str">
            <v>ITS388397</v>
          </cell>
          <cell r="AP339" t="str">
            <v>Independent School standard inspection</v>
          </cell>
          <cell r="AQ339" t="str">
            <v>Independent Standard Inspection</v>
          </cell>
          <cell r="AR339">
            <v>40982</v>
          </cell>
          <cell r="AS339">
            <v>40983</v>
          </cell>
          <cell r="AT339">
            <v>41236</v>
          </cell>
          <cell r="AU339">
            <v>3</v>
          </cell>
          <cell r="AV339">
            <v>3</v>
          </cell>
          <cell r="AW339">
            <v>3</v>
          </cell>
          <cell r="AX339" t="str">
            <v>NULL</v>
          </cell>
          <cell r="AY339" t="str">
            <v>NULL</v>
          </cell>
          <cell r="AZ339">
            <v>8</v>
          </cell>
          <cell r="BA339" t="str">
            <v>NULL</v>
          </cell>
          <cell r="BB339" t="str">
            <v>NULL</v>
          </cell>
        </row>
        <row r="340">
          <cell r="D340">
            <v>134805</v>
          </cell>
          <cell r="E340">
            <v>8216006</v>
          </cell>
          <cell r="F340" t="str">
            <v>Jamiatul Uloom Al - Islamia</v>
          </cell>
          <cell r="G340" t="str">
            <v>Other Independent School</v>
          </cell>
          <cell r="H340">
            <v>38222</v>
          </cell>
          <cell r="I340">
            <v>57</v>
          </cell>
          <cell r="J340" t="str">
            <v>East of England</v>
          </cell>
          <cell r="K340" t="str">
            <v>East of England</v>
          </cell>
          <cell r="L340" t="str">
            <v>Luton</v>
          </cell>
          <cell r="M340" t="str">
            <v>Luton North</v>
          </cell>
          <cell r="N340" t="str">
            <v>LU3 1RF</v>
          </cell>
          <cell r="O340" t="str">
            <v>Does not have a sixth form</v>
          </cell>
          <cell r="P340">
            <v>10</v>
          </cell>
          <cell r="Q340">
            <v>16</v>
          </cell>
          <cell r="R340" t="str">
            <v>None</v>
          </cell>
          <cell r="S340" t="str">
            <v>Ofsted</v>
          </cell>
          <cell r="T340">
            <v>1</v>
          </cell>
          <cell r="U340">
            <v>10044959</v>
          </cell>
          <cell r="V340" t="str">
            <v>Independent school Material Change inspection</v>
          </cell>
          <cell r="W340">
            <v>43115</v>
          </cell>
          <cell r="X340">
            <v>43115</v>
          </cell>
          <cell r="Y340" t="str">
            <v>NULL</v>
          </cell>
          <cell r="Z340" t="str">
            <v>Likely to meet relevant standards</v>
          </cell>
          <cell r="AA340">
            <v>10039334</v>
          </cell>
          <cell r="AB340" t="str">
            <v>Independent School standard inspection</v>
          </cell>
          <cell r="AC340" t="str">
            <v>Independent Standard Inspection</v>
          </cell>
          <cell r="AD340">
            <v>43018</v>
          </cell>
          <cell r="AE340">
            <v>43020</v>
          </cell>
          <cell r="AF340">
            <v>43055</v>
          </cell>
          <cell r="AG340">
            <v>2</v>
          </cell>
          <cell r="AH340">
            <v>2</v>
          </cell>
          <cell r="AI340">
            <v>2</v>
          </cell>
          <cell r="AJ340">
            <v>2</v>
          </cell>
          <cell r="AK340">
            <v>2</v>
          </cell>
          <cell r="AL340" t="str">
            <v>NULL</v>
          </cell>
          <cell r="AM340" t="str">
            <v>NULL</v>
          </cell>
          <cell r="AN340" t="str">
            <v>Yes</v>
          </cell>
          <cell r="AO340" t="str">
            <v>ITS454272</v>
          </cell>
          <cell r="AP340" t="str">
            <v>Independent School standard inspection</v>
          </cell>
          <cell r="AQ340" t="str">
            <v>Independent Standard Inspection</v>
          </cell>
          <cell r="AR340">
            <v>42024</v>
          </cell>
          <cell r="AS340">
            <v>42026</v>
          </cell>
          <cell r="AT340">
            <v>42046</v>
          </cell>
          <cell r="AU340">
            <v>2</v>
          </cell>
          <cell r="AV340">
            <v>2</v>
          </cell>
          <cell r="AW340">
            <v>2</v>
          </cell>
          <cell r="AX340">
            <v>2</v>
          </cell>
          <cell r="AY340" t="str">
            <v>NULL</v>
          </cell>
          <cell r="AZ340">
            <v>9</v>
          </cell>
          <cell r="BA340">
            <v>9</v>
          </cell>
          <cell r="BB340" t="str">
            <v>NULL</v>
          </cell>
        </row>
        <row r="341">
          <cell r="D341">
            <v>136746</v>
          </cell>
          <cell r="E341">
            <v>3016003</v>
          </cell>
          <cell r="F341" t="str">
            <v>Lady Aisha Academy</v>
          </cell>
          <cell r="G341" t="str">
            <v>Other Independent School</v>
          </cell>
          <cell r="H341">
            <v>40679</v>
          </cell>
          <cell r="I341">
            <v>79</v>
          </cell>
          <cell r="J341" t="str">
            <v>London</v>
          </cell>
          <cell r="K341" t="str">
            <v>London</v>
          </cell>
          <cell r="L341" t="str">
            <v>Barking and Dagenham</v>
          </cell>
          <cell r="M341" t="str">
            <v>Barking</v>
          </cell>
          <cell r="N341" t="str">
            <v>IG11 8PY</v>
          </cell>
          <cell r="O341" t="str">
            <v>Does not have a sixth form</v>
          </cell>
          <cell r="P341">
            <v>11</v>
          </cell>
          <cell r="Q341">
            <v>16</v>
          </cell>
          <cell r="R341" t="str">
            <v>None</v>
          </cell>
          <cell r="S341" t="str">
            <v>Ofsted</v>
          </cell>
          <cell r="T341" t="str">
            <v>NULL</v>
          </cell>
          <cell r="U341" t="str">
            <v>NULL</v>
          </cell>
          <cell r="V341" t="str">
            <v>NULL</v>
          </cell>
          <cell r="W341" t="str">
            <v>NULL</v>
          </cell>
          <cell r="X341" t="str">
            <v>NULL</v>
          </cell>
          <cell r="Y341" t="str">
            <v>NULL</v>
          </cell>
          <cell r="Z341" t="str">
            <v>NULL</v>
          </cell>
          <cell r="AA341">
            <v>10012827</v>
          </cell>
          <cell r="AB341" t="str">
            <v>Independent School standard inspection</v>
          </cell>
          <cell r="AC341" t="str">
            <v>Independent Standard Inspection</v>
          </cell>
          <cell r="AD341">
            <v>42479</v>
          </cell>
          <cell r="AE341">
            <v>42481</v>
          </cell>
          <cell r="AF341">
            <v>42509</v>
          </cell>
          <cell r="AG341">
            <v>2</v>
          </cell>
          <cell r="AH341">
            <v>2</v>
          </cell>
          <cell r="AI341">
            <v>2</v>
          </cell>
          <cell r="AJ341">
            <v>2</v>
          </cell>
          <cell r="AK341">
            <v>2</v>
          </cell>
          <cell r="AL341" t="str">
            <v>NULL</v>
          </cell>
          <cell r="AM341" t="str">
            <v>NULL</v>
          </cell>
          <cell r="AN341" t="str">
            <v>Yes</v>
          </cell>
          <cell r="AO341" t="str">
            <v>ITS393243</v>
          </cell>
          <cell r="AP341" t="str">
            <v>Independent school standard inspection - first</v>
          </cell>
          <cell r="AQ341" t="str">
            <v>Independent Standard Inspection</v>
          </cell>
          <cell r="AR341">
            <v>41023</v>
          </cell>
          <cell r="AS341">
            <v>41024</v>
          </cell>
          <cell r="AT341">
            <v>41050</v>
          </cell>
          <cell r="AU341">
            <v>2</v>
          </cell>
          <cell r="AV341">
            <v>2</v>
          </cell>
          <cell r="AW341">
            <v>2</v>
          </cell>
          <cell r="AX341" t="str">
            <v>NULL</v>
          </cell>
          <cell r="AY341" t="str">
            <v>NULL</v>
          </cell>
          <cell r="AZ341">
            <v>8</v>
          </cell>
          <cell r="BA341" t="str">
            <v>NULL</v>
          </cell>
          <cell r="BB341" t="str">
            <v>NULL</v>
          </cell>
        </row>
        <row r="342">
          <cell r="D342">
            <v>136046</v>
          </cell>
          <cell r="E342">
            <v>3136082</v>
          </cell>
          <cell r="F342" t="str">
            <v>Lady Nafisa Independent Secondary School for Girls</v>
          </cell>
          <cell r="G342" t="str">
            <v>Other Independent School</v>
          </cell>
          <cell r="H342">
            <v>40163</v>
          </cell>
          <cell r="I342">
            <v>57</v>
          </cell>
          <cell r="J342" t="str">
            <v>London</v>
          </cell>
          <cell r="K342" t="str">
            <v>London</v>
          </cell>
          <cell r="L342" t="str">
            <v>Hounslow</v>
          </cell>
          <cell r="M342" t="str">
            <v>Brentford and Isleworth</v>
          </cell>
          <cell r="N342" t="str">
            <v>TW3 2AD</v>
          </cell>
          <cell r="O342" t="str">
            <v>Does not have a sixth form</v>
          </cell>
          <cell r="P342">
            <v>11</v>
          </cell>
          <cell r="Q342">
            <v>16</v>
          </cell>
          <cell r="R342" t="str">
            <v>Islam</v>
          </cell>
          <cell r="S342" t="str">
            <v>Ofsted</v>
          </cell>
          <cell r="T342">
            <v>1</v>
          </cell>
          <cell r="U342">
            <v>10041003</v>
          </cell>
          <cell r="V342" t="str">
            <v>Independent school Material Change inspection</v>
          </cell>
          <cell r="W342">
            <v>42996</v>
          </cell>
          <cell r="X342">
            <v>42996</v>
          </cell>
          <cell r="Y342">
            <v>43052</v>
          </cell>
          <cell r="Z342" t="str">
            <v>Likely to meet relevant standards</v>
          </cell>
          <cell r="AA342">
            <v>10017799</v>
          </cell>
          <cell r="AB342" t="str">
            <v>Independent School standard inspection</v>
          </cell>
          <cell r="AC342" t="str">
            <v>Independent Standard Inspection</v>
          </cell>
          <cell r="AD342">
            <v>42675</v>
          </cell>
          <cell r="AE342">
            <v>42677</v>
          </cell>
          <cell r="AF342">
            <v>42706</v>
          </cell>
          <cell r="AG342">
            <v>2</v>
          </cell>
          <cell r="AH342">
            <v>2</v>
          </cell>
          <cell r="AI342">
            <v>2</v>
          </cell>
          <cell r="AJ342">
            <v>2</v>
          </cell>
          <cell r="AK342">
            <v>2</v>
          </cell>
          <cell r="AL342" t="str">
            <v>NULL</v>
          </cell>
          <cell r="AM342" t="str">
            <v>NULL</v>
          </cell>
          <cell r="AN342" t="str">
            <v>Yes</v>
          </cell>
          <cell r="AO342" t="str">
            <v>ITS364147</v>
          </cell>
          <cell r="AP342" t="str">
            <v>Independent School standard inspection</v>
          </cell>
          <cell r="AQ342" t="str">
            <v>Independent Standard Inspection</v>
          </cell>
          <cell r="AR342">
            <v>40471</v>
          </cell>
          <cell r="AS342">
            <v>40472</v>
          </cell>
          <cell r="AT342">
            <v>40493</v>
          </cell>
          <cell r="AU342">
            <v>3</v>
          </cell>
          <cell r="AV342">
            <v>3</v>
          </cell>
          <cell r="AW342">
            <v>3</v>
          </cell>
          <cell r="AX342" t="str">
            <v>NULL</v>
          </cell>
          <cell r="AY342" t="str">
            <v>NULL</v>
          </cell>
          <cell r="AZ342">
            <v>8</v>
          </cell>
          <cell r="BA342" t="str">
            <v>NULL</v>
          </cell>
          <cell r="BB342" t="str">
            <v>NULL</v>
          </cell>
        </row>
        <row r="343">
          <cell r="D343">
            <v>135858</v>
          </cell>
          <cell r="E343">
            <v>8566022</v>
          </cell>
          <cell r="F343" t="str">
            <v>Land of Learning Primary School</v>
          </cell>
          <cell r="G343" t="str">
            <v>Other Independent School</v>
          </cell>
          <cell r="H343">
            <v>39965</v>
          </cell>
          <cell r="I343">
            <v>230</v>
          </cell>
          <cell r="J343" t="str">
            <v>East Midlands</v>
          </cell>
          <cell r="K343" t="str">
            <v>East Midlands</v>
          </cell>
          <cell r="L343" t="str">
            <v>Leicester</v>
          </cell>
          <cell r="M343" t="str">
            <v>Leicester South</v>
          </cell>
          <cell r="N343" t="str">
            <v>LE5 5PF</v>
          </cell>
          <cell r="O343" t="str">
            <v>Does not have a sixth form</v>
          </cell>
          <cell r="P343">
            <v>4</v>
          </cell>
          <cell r="Q343">
            <v>11</v>
          </cell>
          <cell r="R343" t="str">
            <v>None</v>
          </cell>
          <cell r="S343" t="str">
            <v>Ofsted</v>
          </cell>
          <cell r="T343" t="str">
            <v>NULL</v>
          </cell>
          <cell r="U343" t="str">
            <v>NULL</v>
          </cell>
          <cell r="V343" t="str">
            <v>NULL</v>
          </cell>
          <cell r="W343" t="str">
            <v>NULL</v>
          </cell>
          <cell r="X343" t="str">
            <v>NULL</v>
          </cell>
          <cell r="Y343" t="str">
            <v>NULL</v>
          </cell>
          <cell r="Z343" t="str">
            <v>NULL</v>
          </cell>
          <cell r="AA343">
            <v>10020934</v>
          </cell>
          <cell r="AB343" t="str">
            <v>Independent School standard inspection</v>
          </cell>
          <cell r="AC343" t="str">
            <v>Independent Standard Inspection</v>
          </cell>
          <cell r="AD343">
            <v>42710</v>
          </cell>
          <cell r="AE343">
            <v>42712</v>
          </cell>
          <cell r="AF343">
            <v>42761</v>
          </cell>
          <cell r="AG343">
            <v>3</v>
          </cell>
          <cell r="AH343">
            <v>3</v>
          </cell>
          <cell r="AI343">
            <v>3</v>
          </cell>
          <cell r="AJ343">
            <v>2</v>
          </cell>
          <cell r="AK343">
            <v>2</v>
          </cell>
          <cell r="AL343">
            <v>3</v>
          </cell>
          <cell r="AM343" t="str">
            <v>NULL</v>
          </cell>
          <cell r="AN343" t="str">
            <v>Yes</v>
          </cell>
          <cell r="AO343" t="str">
            <v>ITS422800</v>
          </cell>
          <cell r="AP343" t="str">
            <v>Independent School standard inspection</v>
          </cell>
          <cell r="AQ343" t="str">
            <v>Independent Standard Inspection</v>
          </cell>
          <cell r="AR343">
            <v>41548</v>
          </cell>
          <cell r="AS343">
            <v>41550</v>
          </cell>
          <cell r="AT343">
            <v>41576</v>
          </cell>
          <cell r="AU343">
            <v>3</v>
          </cell>
          <cell r="AV343">
            <v>3</v>
          </cell>
          <cell r="AW343">
            <v>3</v>
          </cell>
          <cell r="AX343">
            <v>3</v>
          </cell>
          <cell r="AY343" t="str">
            <v>NULL</v>
          </cell>
          <cell r="AZ343" t="str">
            <v>NULL</v>
          </cell>
          <cell r="BA343" t="str">
            <v>NULL</v>
          </cell>
          <cell r="BB343" t="str">
            <v>NULL</v>
          </cell>
        </row>
        <row r="344">
          <cell r="D344">
            <v>132848</v>
          </cell>
          <cell r="E344">
            <v>3206501</v>
          </cell>
          <cell r="F344" t="str">
            <v>Lantern of Knowledge Secondary School</v>
          </cell>
          <cell r="G344" t="str">
            <v>Other Independent School</v>
          </cell>
          <cell r="H344">
            <v>38910</v>
          </cell>
          <cell r="I344">
            <v>115</v>
          </cell>
          <cell r="J344" t="str">
            <v>London</v>
          </cell>
          <cell r="K344" t="str">
            <v>London</v>
          </cell>
          <cell r="L344" t="str">
            <v>Waltham Forest</v>
          </cell>
          <cell r="M344" t="str">
            <v>Leyton and Wanstead</v>
          </cell>
          <cell r="N344" t="str">
            <v>E10 6QT</v>
          </cell>
          <cell r="O344" t="str">
            <v>Does not have a sixth form</v>
          </cell>
          <cell r="P344">
            <v>10</v>
          </cell>
          <cell r="Q344">
            <v>16</v>
          </cell>
          <cell r="R344" t="str">
            <v>Muslim</v>
          </cell>
          <cell r="S344" t="str">
            <v>Ofsted</v>
          </cell>
          <cell r="T344" t="str">
            <v>NULL</v>
          </cell>
          <cell r="U344" t="str">
            <v>NULL</v>
          </cell>
          <cell r="V344" t="str">
            <v>NULL</v>
          </cell>
          <cell r="W344" t="str">
            <v>NULL</v>
          </cell>
          <cell r="X344" t="str">
            <v>NULL</v>
          </cell>
          <cell r="Y344" t="str">
            <v>NULL</v>
          </cell>
          <cell r="Z344" t="str">
            <v>NULL</v>
          </cell>
          <cell r="AA344">
            <v>10043179</v>
          </cell>
          <cell r="AB344" t="str">
            <v>Independent School standard inspection</v>
          </cell>
          <cell r="AC344" t="str">
            <v>Independent Standard Inspection</v>
          </cell>
          <cell r="AD344">
            <v>43081</v>
          </cell>
          <cell r="AE344">
            <v>43083</v>
          </cell>
          <cell r="AF344">
            <v>43129</v>
          </cell>
          <cell r="AG344">
            <v>3</v>
          </cell>
          <cell r="AH344">
            <v>3</v>
          </cell>
          <cell r="AI344">
            <v>3</v>
          </cell>
          <cell r="AJ344">
            <v>3</v>
          </cell>
          <cell r="AK344">
            <v>3</v>
          </cell>
          <cell r="AL344" t="str">
            <v>NULL</v>
          </cell>
          <cell r="AM344" t="str">
            <v>NULL</v>
          </cell>
          <cell r="AN344" t="str">
            <v>Yes</v>
          </cell>
          <cell r="AO344">
            <v>10007479</v>
          </cell>
          <cell r="AP344" t="str">
            <v>Independent School standard inspection</v>
          </cell>
          <cell r="AQ344" t="str">
            <v>Independent Standard Inspection</v>
          </cell>
          <cell r="AR344">
            <v>42332</v>
          </cell>
          <cell r="AS344">
            <v>42334</v>
          </cell>
          <cell r="AT344">
            <v>42354</v>
          </cell>
          <cell r="AU344">
            <v>1</v>
          </cell>
          <cell r="AV344">
            <v>1</v>
          </cell>
          <cell r="AW344">
            <v>1</v>
          </cell>
          <cell r="AX344">
            <v>1</v>
          </cell>
          <cell r="AY344">
            <v>1</v>
          </cell>
          <cell r="AZ344" t="str">
            <v>NULL</v>
          </cell>
          <cell r="BA344" t="str">
            <v>NULL</v>
          </cell>
          <cell r="BB344" t="str">
            <v>Yes</v>
          </cell>
        </row>
        <row r="345">
          <cell r="D345">
            <v>117662</v>
          </cell>
          <cell r="E345">
            <v>9196236</v>
          </cell>
          <cell r="F345" t="str">
            <v>Longwood School &amp; Nursery</v>
          </cell>
          <cell r="G345" t="str">
            <v>Other Independent School</v>
          </cell>
          <cell r="H345">
            <v>34541</v>
          </cell>
          <cell r="I345">
            <v>257</v>
          </cell>
          <cell r="J345" t="str">
            <v>East of England</v>
          </cell>
          <cell r="K345" t="str">
            <v>East of England</v>
          </cell>
          <cell r="L345" t="str">
            <v>Hertfordshire</v>
          </cell>
          <cell r="M345" t="str">
            <v>Hertsmere</v>
          </cell>
          <cell r="N345" t="str">
            <v>WD23 2QG</v>
          </cell>
          <cell r="O345" t="str">
            <v>Does not have a sixth form</v>
          </cell>
          <cell r="P345">
            <v>3</v>
          </cell>
          <cell r="Q345">
            <v>11</v>
          </cell>
          <cell r="R345" t="str">
            <v>None</v>
          </cell>
          <cell r="S345" t="str">
            <v>Ofsted</v>
          </cell>
          <cell r="T345">
            <v>1</v>
          </cell>
          <cell r="U345">
            <v>10051839</v>
          </cell>
          <cell r="V345" t="str">
            <v>Independent school evaluation of school action plan</v>
          </cell>
          <cell r="W345">
            <v>43186</v>
          </cell>
          <cell r="X345">
            <v>43186</v>
          </cell>
          <cell r="Y345" t="str">
            <v>NULL</v>
          </cell>
          <cell r="Z345" t="str">
            <v>Action plan is acceptable with modifications</v>
          </cell>
          <cell r="AA345">
            <v>10038902</v>
          </cell>
          <cell r="AB345" t="str">
            <v>Independent School standard inspection</v>
          </cell>
          <cell r="AC345" t="str">
            <v>Independent Standard Inspection</v>
          </cell>
          <cell r="AD345">
            <v>43074</v>
          </cell>
          <cell r="AE345">
            <v>43076</v>
          </cell>
          <cell r="AF345">
            <v>43129</v>
          </cell>
          <cell r="AG345">
            <v>4</v>
          </cell>
          <cell r="AH345">
            <v>2</v>
          </cell>
          <cell r="AI345">
            <v>2</v>
          </cell>
          <cell r="AJ345">
            <v>4</v>
          </cell>
          <cell r="AK345">
            <v>4</v>
          </cell>
          <cell r="AL345">
            <v>4</v>
          </cell>
          <cell r="AM345" t="str">
            <v>NULL</v>
          </cell>
          <cell r="AN345" t="str">
            <v>No</v>
          </cell>
          <cell r="AO345" t="str">
            <v>ITS443462</v>
          </cell>
          <cell r="AP345" t="str">
            <v>Independent School standard inspection</v>
          </cell>
          <cell r="AQ345" t="str">
            <v>Independent Standard Inspection</v>
          </cell>
          <cell r="AR345">
            <v>41947</v>
          </cell>
          <cell r="AS345">
            <v>41949</v>
          </cell>
          <cell r="AT345">
            <v>41968</v>
          </cell>
          <cell r="AU345">
            <v>2</v>
          </cell>
          <cell r="AV345">
            <v>2</v>
          </cell>
          <cell r="AW345">
            <v>2</v>
          </cell>
          <cell r="AX345">
            <v>2</v>
          </cell>
          <cell r="AY345" t="str">
            <v>NULL</v>
          </cell>
          <cell r="AZ345">
            <v>2</v>
          </cell>
          <cell r="BA345">
            <v>9</v>
          </cell>
          <cell r="BB345" t="str">
            <v>NULL</v>
          </cell>
        </row>
        <row r="346">
          <cell r="D346">
            <v>105269</v>
          </cell>
          <cell r="E346">
            <v>3506000</v>
          </cell>
          <cell r="F346" t="str">
            <v>Lord's Independent School</v>
          </cell>
          <cell r="G346" t="str">
            <v>Other Independent School</v>
          </cell>
          <cell r="H346">
            <v>21116</v>
          </cell>
          <cell r="I346">
            <v>23</v>
          </cell>
          <cell r="J346" t="str">
            <v>North West</v>
          </cell>
          <cell r="K346" t="str">
            <v>North West</v>
          </cell>
          <cell r="L346" t="str">
            <v>Bolton</v>
          </cell>
          <cell r="M346" t="str">
            <v>Bolton North East</v>
          </cell>
          <cell r="N346" t="str">
            <v>BL1 4JU</v>
          </cell>
          <cell r="O346" t="str">
            <v>Has a sixth form</v>
          </cell>
          <cell r="P346">
            <v>7</v>
          </cell>
          <cell r="Q346">
            <v>18</v>
          </cell>
          <cell r="R346" t="str">
            <v>None</v>
          </cell>
          <cell r="S346" t="str">
            <v>Ofsted</v>
          </cell>
          <cell r="T346" t="str">
            <v>NULL</v>
          </cell>
          <cell r="U346" t="str">
            <v>NULL</v>
          </cell>
          <cell r="V346" t="str">
            <v>NULL</v>
          </cell>
          <cell r="W346" t="str">
            <v>NULL</v>
          </cell>
          <cell r="X346" t="str">
            <v>NULL</v>
          </cell>
          <cell r="Y346" t="str">
            <v>NULL</v>
          </cell>
          <cell r="Z346" t="str">
            <v>NULL</v>
          </cell>
          <cell r="AA346">
            <v>10012840</v>
          </cell>
          <cell r="AB346" t="str">
            <v>Independent School standard inspection</v>
          </cell>
          <cell r="AC346" t="str">
            <v>Independent Standard Inspection</v>
          </cell>
          <cell r="AD346">
            <v>42808</v>
          </cell>
          <cell r="AE346">
            <v>42810</v>
          </cell>
          <cell r="AF346">
            <v>42851</v>
          </cell>
          <cell r="AG346">
            <v>2</v>
          </cell>
          <cell r="AH346">
            <v>2</v>
          </cell>
          <cell r="AI346">
            <v>2</v>
          </cell>
          <cell r="AJ346">
            <v>2</v>
          </cell>
          <cell r="AK346">
            <v>2</v>
          </cell>
          <cell r="AL346" t="str">
            <v>NULL</v>
          </cell>
          <cell r="AM346">
            <v>2</v>
          </cell>
          <cell r="AN346" t="str">
            <v>Yes</v>
          </cell>
          <cell r="AO346" t="str">
            <v>ITS406910</v>
          </cell>
          <cell r="AP346" t="str">
            <v>Independent School standard inspection</v>
          </cell>
          <cell r="AQ346" t="str">
            <v>Independent Standard Inspection</v>
          </cell>
          <cell r="AR346">
            <v>41214</v>
          </cell>
          <cell r="AS346">
            <v>41215</v>
          </cell>
          <cell r="AT346">
            <v>41236</v>
          </cell>
          <cell r="AU346">
            <v>2</v>
          </cell>
          <cell r="AV346">
            <v>2</v>
          </cell>
          <cell r="AW346">
            <v>2</v>
          </cell>
          <cell r="AX346" t="str">
            <v>NULL</v>
          </cell>
          <cell r="AY346" t="str">
            <v>NULL</v>
          </cell>
          <cell r="AZ346">
            <v>8</v>
          </cell>
          <cell r="BA346" t="str">
            <v>NULL</v>
          </cell>
          <cell r="BB346" t="str">
            <v>NULL</v>
          </cell>
        </row>
        <row r="347">
          <cell r="D347">
            <v>137583</v>
          </cell>
          <cell r="E347">
            <v>8016029</v>
          </cell>
          <cell r="F347" t="str">
            <v>LPW Independent School</v>
          </cell>
          <cell r="G347" t="str">
            <v>Other Independent School</v>
          </cell>
          <cell r="H347">
            <v>40836</v>
          </cell>
          <cell r="I347">
            <v>51</v>
          </cell>
          <cell r="J347" t="str">
            <v>South West</v>
          </cell>
          <cell r="K347" t="str">
            <v>South West</v>
          </cell>
          <cell r="L347" t="str">
            <v>Bristol</v>
          </cell>
          <cell r="M347" t="str">
            <v>Bristol South</v>
          </cell>
          <cell r="N347" t="str">
            <v>BS3 4AG</v>
          </cell>
          <cell r="O347" t="str">
            <v>Does not have a sixth form</v>
          </cell>
          <cell r="P347">
            <v>14</v>
          </cell>
          <cell r="Q347">
            <v>16</v>
          </cell>
          <cell r="R347" t="str">
            <v>None</v>
          </cell>
          <cell r="S347" t="str">
            <v>Ofsted</v>
          </cell>
          <cell r="T347" t="str">
            <v>NULL</v>
          </cell>
          <cell r="U347" t="str">
            <v>NULL</v>
          </cell>
          <cell r="V347" t="str">
            <v>NULL</v>
          </cell>
          <cell r="W347" t="str">
            <v>NULL</v>
          </cell>
          <cell r="X347" t="str">
            <v>NULL</v>
          </cell>
          <cell r="Y347" t="str">
            <v>NULL</v>
          </cell>
          <cell r="Z347" t="str">
            <v>NULL</v>
          </cell>
          <cell r="AA347">
            <v>10006100</v>
          </cell>
          <cell r="AB347" t="str">
            <v>Independent School standard inspection</v>
          </cell>
          <cell r="AC347" t="str">
            <v>Independent Standard Inspection</v>
          </cell>
          <cell r="AD347">
            <v>42430</v>
          </cell>
          <cell r="AE347">
            <v>42432</v>
          </cell>
          <cell r="AF347">
            <v>42478</v>
          </cell>
          <cell r="AG347">
            <v>3</v>
          </cell>
          <cell r="AH347">
            <v>3</v>
          </cell>
          <cell r="AI347">
            <v>3</v>
          </cell>
          <cell r="AJ347">
            <v>3</v>
          </cell>
          <cell r="AK347">
            <v>3</v>
          </cell>
          <cell r="AL347" t="str">
            <v>NULL</v>
          </cell>
          <cell r="AM347" t="str">
            <v>NULL</v>
          </cell>
          <cell r="AN347" t="str">
            <v>Yes</v>
          </cell>
          <cell r="AO347" t="str">
            <v>ITS397692</v>
          </cell>
          <cell r="AP347" t="str">
            <v>Independent school standard inspection - first</v>
          </cell>
          <cell r="AQ347" t="str">
            <v>Independent Standard Inspection</v>
          </cell>
          <cell r="AR347">
            <v>41171</v>
          </cell>
          <cell r="AS347">
            <v>41172</v>
          </cell>
          <cell r="AT347">
            <v>41193</v>
          </cell>
          <cell r="AU347">
            <v>3</v>
          </cell>
          <cell r="AV347">
            <v>3</v>
          </cell>
          <cell r="AW347">
            <v>3</v>
          </cell>
          <cell r="AX347" t="str">
            <v>NULL</v>
          </cell>
          <cell r="AY347" t="str">
            <v>NULL</v>
          </cell>
          <cell r="AZ347">
            <v>8</v>
          </cell>
          <cell r="BA347" t="str">
            <v>NULL</v>
          </cell>
          <cell r="BB347" t="str">
            <v>NULL</v>
          </cell>
        </row>
        <row r="348">
          <cell r="D348">
            <v>135699</v>
          </cell>
          <cell r="E348">
            <v>8216205</v>
          </cell>
          <cell r="F348" t="str">
            <v>Luton Pentecostal Church Christian Academy</v>
          </cell>
          <cell r="G348" t="str">
            <v>Other Independent School</v>
          </cell>
          <cell r="H348">
            <v>39714</v>
          </cell>
          <cell r="I348">
            <v>51</v>
          </cell>
          <cell r="J348" t="str">
            <v>East of England</v>
          </cell>
          <cell r="K348" t="str">
            <v>East of England</v>
          </cell>
          <cell r="L348" t="str">
            <v>Luton</v>
          </cell>
          <cell r="M348" t="str">
            <v>Luton South</v>
          </cell>
          <cell r="N348" t="str">
            <v>LU1 3JE</v>
          </cell>
          <cell r="O348" t="str">
            <v>Does not have a sixth form</v>
          </cell>
          <cell r="P348">
            <v>3</v>
          </cell>
          <cell r="Q348">
            <v>13</v>
          </cell>
          <cell r="R348" t="str">
            <v>None</v>
          </cell>
          <cell r="S348" t="str">
            <v>Ofsted</v>
          </cell>
          <cell r="T348">
            <v>3</v>
          </cell>
          <cell r="U348">
            <v>10045066</v>
          </cell>
          <cell r="V348" t="str">
            <v>Independent school evaluation of school action plan</v>
          </cell>
          <cell r="W348">
            <v>43103</v>
          </cell>
          <cell r="X348">
            <v>43103</v>
          </cell>
          <cell r="Y348" t="str">
            <v>NULL</v>
          </cell>
          <cell r="Z348" t="str">
            <v>Action plan is acceptable with modifications</v>
          </cell>
          <cell r="AA348">
            <v>10020921</v>
          </cell>
          <cell r="AB348" t="str">
            <v>Independent School standard inspection</v>
          </cell>
          <cell r="AC348" t="str">
            <v>Independent Standard Inspection</v>
          </cell>
          <cell r="AD348">
            <v>42661</v>
          </cell>
          <cell r="AE348">
            <v>42663</v>
          </cell>
          <cell r="AF348">
            <v>42709</v>
          </cell>
          <cell r="AG348">
            <v>4</v>
          </cell>
          <cell r="AH348">
            <v>4</v>
          </cell>
          <cell r="AI348">
            <v>4</v>
          </cell>
          <cell r="AJ348">
            <v>4</v>
          </cell>
          <cell r="AK348">
            <v>4</v>
          </cell>
          <cell r="AL348">
            <v>4</v>
          </cell>
          <cell r="AM348">
            <v>0</v>
          </cell>
          <cell r="AN348" t="str">
            <v>No</v>
          </cell>
          <cell r="AO348" t="str">
            <v>ITS408739</v>
          </cell>
          <cell r="AP348" t="str">
            <v>Independent School standard inspection</v>
          </cell>
          <cell r="AQ348" t="str">
            <v>Independent Standard Inspection</v>
          </cell>
          <cell r="AR348">
            <v>41464</v>
          </cell>
          <cell r="AS348">
            <v>41466</v>
          </cell>
          <cell r="AT348">
            <v>41530</v>
          </cell>
          <cell r="AU348">
            <v>2</v>
          </cell>
          <cell r="AV348">
            <v>2</v>
          </cell>
          <cell r="AW348">
            <v>2</v>
          </cell>
          <cell r="AX348">
            <v>2</v>
          </cell>
          <cell r="AY348" t="str">
            <v>NULL</v>
          </cell>
          <cell r="AZ348" t="str">
            <v>NULL</v>
          </cell>
          <cell r="BA348" t="str">
            <v>NULL</v>
          </cell>
          <cell r="BB348" t="str">
            <v>NULL</v>
          </cell>
        </row>
        <row r="349">
          <cell r="D349">
            <v>131158</v>
          </cell>
          <cell r="E349">
            <v>3816012</v>
          </cell>
          <cell r="F349" t="str">
            <v>Mill Cottage Montessori School</v>
          </cell>
          <cell r="G349" t="str">
            <v>Other Independent School</v>
          </cell>
          <cell r="H349">
            <v>38733</v>
          </cell>
          <cell r="I349">
            <v>124</v>
          </cell>
          <cell r="J349" t="str">
            <v>North East, Yorkshire and the Humber</v>
          </cell>
          <cell r="K349" t="str">
            <v>Yorkshire and the Humber</v>
          </cell>
          <cell r="L349" t="str">
            <v>Calderdale</v>
          </cell>
          <cell r="M349" t="str">
            <v>Calder Valley</v>
          </cell>
          <cell r="N349" t="str">
            <v>HD6 4HA</v>
          </cell>
          <cell r="O349" t="str">
            <v>Does not have a sixth form</v>
          </cell>
          <cell r="P349">
            <v>3</v>
          </cell>
          <cell r="Q349">
            <v>11</v>
          </cell>
          <cell r="R349" t="str">
            <v>None</v>
          </cell>
          <cell r="S349" t="str">
            <v>Ofsted</v>
          </cell>
          <cell r="T349" t="str">
            <v>NULL</v>
          </cell>
          <cell r="U349" t="str">
            <v>NULL</v>
          </cell>
          <cell r="V349" t="str">
            <v>NULL</v>
          </cell>
          <cell r="W349" t="str">
            <v>NULL</v>
          </cell>
          <cell r="X349" t="str">
            <v>NULL</v>
          </cell>
          <cell r="Y349" t="str">
            <v>NULL</v>
          </cell>
          <cell r="Z349" t="str">
            <v>NULL</v>
          </cell>
          <cell r="AA349">
            <v>10025952</v>
          </cell>
          <cell r="AB349" t="str">
            <v>Independent School standard inspection</v>
          </cell>
          <cell r="AC349" t="str">
            <v>Independent Standard Inspection</v>
          </cell>
          <cell r="AD349">
            <v>42815</v>
          </cell>
          <cell r="AE349">
            <v>42817</v>
          </cell>
          <cell r="AF349">
            <v>42858</v>
          </cell>
          <cell r="AG349">
            <v>1</v>
          </cell>
          <cell r="AH349">
            <v>1</v>
          </cell>
          <cell r="AI349">
            <v>1</v>
          </cell>
          <cell r="AJ349">
            <v>1</v>
          </cell>
          <cell r="AK349">
            <v>1</v>
          </cell>
          <cell r="AL349">
            <v>1</v>
          </cell>
          <cell r="AM349" t="str">
            <v>NULL</v>
          </cell>
          <cell r="AN349" t="str">
            <v>Yes</v>
          </cell>
          <cell r="AO349" t="str">
            <v>ITS397605</v>
          </cell>
          <cell r="AP349" t="str">
            <v>Independent School standard inspection</v>
          </cell>
          <cell r="AQ349" t="str">
            <v>Independent Standard Inspection</v>
          </cell>
          <cell r="AR349">
            <v>41255</v>
          </cell>
          <cell r="AS349">
            <v>41256</v>
          </cell>
          <cell r="AT349">
            <v>41284</v>
          </cell>
          <cell r="AU349">
            <v>1</v>
          </cell>
          <cell r="AV349">
            <v>1</v>
          </cell>
          <cell r="AW349">
            <v>1</v>
          </cell>
          <cell r="AX349" t="str">
            <v>NULL</v>
          </cell>
          <cell r="AY349" t="str">
            <v>NULL</v>
          </cell>
          <cell r="AZ349">
            <v>8</v>
          </cell>
          <cell r="BA349" t="str">
            <v>NULL</v>
          </cell>
          <cell r="BB349" t="str">
            <v>NULL</v>
          </cell>
        </row>
        <row r="350">
          <cell r="D350">
            <v>125789</v>
          </cell>
          <cell r="E350">
            <v>9376091</v>
          </cell>
          <cell r="F350" t="str">
            <v>Milverton House School</v>
          </cell>
          <cell r="G350" t="str">
            <v>Other Independent School</v>
          </cell>
          <cell r="H350">
            <v>31856</v>
          </cell>
          <cell r="I350">
            <v>152</v>
          </cell>
          <cell r="J350" t="str">
            <v>West Midlands</v>
          </cell>
          <cell r="K350" t="str">
            <v>West Midlands</v>
          </cell>
          <cell r="L350" t="str">
            <v>Warwickshire</v>
          </cell>
          <cell r="M350" t="str">
            <v>Nuneaton</v>
          </cell>
          <cell r="N350" t="str">
            <v>CV11 4NS</v>
          </cell>
          <cell r="O350" t="str">
            <v>Does not have a sixth form</v>
          </cell>
          <cell r="P350">
            <v>2</v>
          </cell>
          <cell r="Q350">
            <v>12</v>
          </cell>
          <cell r="R350" t="str">
            <v>None</v>
          </cell>
          <cell r="S350" t="str">
            <v>Ofsted</v>
          </cell>
          <cell r="T350">
            <v>1</v>
          </cell>
          <cell r="U350">
            <v>10044996</v>
          </cell>
          <cell r="V350" t="str">
            <v>Independent school evaluation of school action plan</v>
          </cell>
          <cell r="W350">
            <v>43119</v>
          </cell>
          <cell r="X350">
            <v>43119</v>
          </cell>
          <cell r="Y350" t="str">
            <v>NULL</v>
          </cell>
          <cell r="Z350" t="str">
            <v>Action plan is acceptable</v>
          </cell>
          <cell r="AA350">
            <v>10033565</v>
          </cell>
          <cell r="AB350" t="str">
            <v>Independent School standard inspection</v>
          </cell>
          <cell r="AC350" t="str">
            <v>Independent Standard Inspection</v>
          </cell>
          <cell r="AD350">
            <v>42920</v>
          </cell>
          <cell r="AE350">
            <v>42922</v>
          </cell>
          <cell r="AF350">
            <v>42996</v>
          </cell>
          <cell r="AG350">
            <v>4</v>
          </cell>
          <cell r="AH350">
            <v>3</v>
          </cell>
          <cell r="AI350">
            <v>3</v>
          </cell>
          <cell r="AJ350">
            <v>4</v>
          </cell>
          <cell r="AK350">
            <v>4</v>
          </cell>
          <cell r="AL350">
            <v>4</v>
          </cell>
          <cell r="AM350" t="str">
            <v>NULL</v>
          </cell>
          <cell r="AN350" t="str">
            <v>No</v>
          </cell>
          <cell r="AO350" t="str">
            <v>ITS443471</v>
          </cell>
          <cell r="AP350" t="str">
            <v>Independent School standard inspection</v>
          </cell>
          <cell r="AQ350" t="str">
            <v>Independent Standard Inspection</v>
          </cell>
          <cell r="AR350">
            <v>41814</v>
          </cell>
          <cell r="AS350">
            <v>41816</v>
          </cell>
          <cell r="AT350">
            <v>41887</v>
          </cell>
          <cell r="AU350">
            <v>2</v>
          </cell>
          <cell r="AV350">
            <v>2</v>
          </cell>
          <cell r="AW350">
            <v>2</v>
          </cell>
          <cell r="AX350">
            <v>2</v>
          </cell>
          <cell r="AY350" t="str">
            <v>NULL</v>
          </cell>
          <cell r="AZ350" t="str">
            <v>NULL</v>
          </cell>
          <cell r="BA350" t="str">
            <v>NULL</v>
          </cell>
          <cell r="BB350" t="str">
            <v>NULL</v>
          </cell>
        </row>
        <row r="351">
          <cell r="D351">
            <v>105585</v>
          </cell>
          <cell r="E351">
            <v>3526001</v>
          </cell>
          <cell r="F351" t="str">
            <v>Moor Allerton Preparatory School</v>
          </cell>
          <cell r="G351" t="str">
            <v>Other Independent School</v>
          </cell>
          <cell r="H351">
            <v>17533</v>
          </cell>
          <cell r="I351">
            <v>234</v>
          </cell>
          <cell r="J351" t="str">
            <v>North West</v>
          </cell>
          <cell r="K351" t="str">
            <v>North West</v>
          </cell>
          <cell r="L351" t="str">
            <v>Manchester</v>
          </cell>
          <cell r="M351" t="str">
            <v>Manchester, Withington</v>
          </cell>
          <cell r="N351" t="str">
            <v>M20 2PW</v>
          </cell>
          <cell r="O351" t="str">
            <v>Does not have a sixth form</v>
          </cell>
          <cell r="P351">
            <v>2</v>
          </cell>
          <cell r="Q351">
            <v>11</v>
          </cell>
          <cell r="R351" t="str">
            <v>None</v>
          </cell>
          <cell r="S351" t="str">
            <v>Ofsted</v>
          </cell>
          <cell r="T351">
            <v>1</v>
          </cell>
          <cell r="U351">
            <v>10018955</v>
          </cell>
          <cell r="V351" t="str">
            <v>Independent school evaluation of school action plan</v>
          </cell>
          <cell r="W351">
            <v>42489</v>
          </cell>
          <cell r="X351">
            <v>42489</v>
          </cell>
          <cell r="Y351" t="str">
            <v>NULL</v>
          </cell>
          <cell r="Z351" t="str">
            <v>Action plan is acceptable</v>
          </cell>
          <cell r="AA351" t="str">
            <v>NULL</v>
          </cell>
          <cell r="AB351" t="str">
            <v>NULL</v>
          </cell>
          <cell r="AC351" t="str">
            <v>NULL</v>
          </cell>
          <cell r="AD351" t="str">
            <v>NULL</v>
          </cell>
          <cell r="AE351" t="str">
            <v>NULL</v>
          </cell>
          <cell r="AF351" t="str">
            <v>NULL</v>
          </cell>
          <cell r="AG351" t="str">
            <v>NULL</v>
          </cell>
          <cell r="AH351" t="str">
            <v>NULL</v>
          </cell>
          <cell r="AI351" t="str">
            <v>NULL</v>
          </cell>
          <cell r="AJ351" t="str">
            <v>NULL</v>
          </cell>
          <cell r="AK351" t="str">
            <v>NULL</v>
          </cell>
          <cell r="AL351" t="str">
            <v>NULL</v>
          </cell>
          <cell r="AM351" t="str">
            <v>NULL</v>
          </cell>
          <cell r="AN351" t="str">
            <v>NULL</v>
          </cell>
          <cell r="AO351" t="str">
            <v>NULL</v>
          </cell>
          <cell r="AP351" t="str">
            <v>NULL</v>
          </cell>
          <cell r="AQ351" t="str">
            <v>NULL</v>
          </cell>
          <cell r="AR351" t="str">
            <v>NULL</v>
          </cell>
          <cell r="AS351" t="str">
            <v>NULL</v>
          </cell>
          <cell r="AT351" t="str">
            <v>NULL</v>
          </cell>
          <cell r="AU351" t="str">
            <v>NULL</v>
          </cell>
          <cell r="AV351" t="str">
            <v>NULL</v>
          </cell>
          <cell r="AW351" t="str">
            <v>NULL</v>
          </cell>
          <cell r="AX351" t="str">
            <v>NULL</v>
          </cell>
          <cell r="AY351" t="str">
            <v>NULL</v>
          </cell>
          <cell r="AZ351" t="str">
            <v>NULL</v>
          </cell>
          <cell r="BA351" t="str">
            <v>NULL</v>
          </cell>
          <cell r="BB351" t="str">
            <v>NULL</v>
          </cell>
        </row>
        <row r="352">
          <cell r="D352">
            <v>137887</v>
          </cell>
          <cell r="E352">
            <v>3526006</v>
          </cell>
          <cell r="F352" t="str">
            <v>Music Stuff</v>
          </cell>
          <cell r="G352" t="str">
            <v>Other Independent School</v>
          </cell>
          <cell r="H352">
            <v>40942</v>
          </cell>
          <cell r="I352">
            <v>64</v>
          </cell>
          <cell r="J352" t="str">
            <v>North West</v>
          </cell>
          <cell r="K352" t="str">
            <v>North West</v>
          </cell>
          <cell r="L352" t="str">
            <v>Manchester</v>
          </cell>
          <cell r="M352" t="str">
            <v>Manchester Central</v>
          </cell>
          <cell r="N352" t="str">
            <v>M11 2NA</v>
          </cell>
          <cell r="O352" t="str">
            <v>Does not have a sixth form</v>
          </cell>
          <cell r="P352">
            <v>11</v>
          </cell>
          <cell r="Q352">
            <v>16</v>
          </cell>
          <cell r="R352" t="str">
            <v>None</v>
          </cell>
          <cell r="S352" t="str">
            <v>Ofsted</v>
          </cell>
          <cell r="T352">
            <v>2</v>
          </cell>
          <cell r="U352">
            <v>10040204</v>
          </cell>
          <cell r="V352" t="str">
            <v>Independent school Progress Monitoring inspection</v>
          </cell>
          <cell r="W352">
            <v>43012</v>
          </cell>
          <cell r="X352">
            <v>43012</v>
          </cell>
          <cell r="Y352">
            <v>43048</v>
          </cell>
          <cell r="Z352" t="str">
            <v>Met all standards that were checked</v>
          </cell>
          <cell r="AA352">
            <v>10020720</v>
          </cell>
          <cell r="AB352" t="str">
            <v>Independent School standard inspection</v>
          </cell>
          <cell r="AC352" t="str">
            <v>Independent Standard Inspection</v>
          </cell>
          <cell r="AD352">
            <v>42661</v>
          </cell>
          <cell r="AE352">
            <v>42663</v>
          </cell>
          <cell r="AF352">
            <v>42754</v>
          </cell>
          <cell r="AG352">
            <v>4</v>
          </cell>
          <cell r="AH352">
            <v>3</v>
          </cell>
          <cell r="AI352">
            <v>3</v>
          </cell>
          <cell r="AJ352">
            <v>4</v>
          </cell>
          <cell r="AK352">
            <v>4</v>
          </cell>
          <cell r="AL352" t="str">
            <v>NULL</v>
          </cell>
          <cell r="AM352" t="str">
            <v>NULL</v>
          </cell>
          <cell r="AN352" t="str">
            <v>No</v>
          </cell>
          <cell r="AO352" t="str">
            <v>ITS408675</v>
          </cell>
          <cell r="AP352" t="str">
            <v>Independent school standard inspection - first</v>
          </cell>
          <cell r="AQ352" t="str">
            <v>Independent Standard Inspection</v>
          </cell>
          <cell r="AR352">
            <v>41261</v>
          </cell>
          <cell r="AS352">
            <v>41262</v>
          </cell>
          <cell r="AT352">
            <v>41295</v>
          </cell>
          <cell r="AU352">
            <v>2</v>
          </cell>
          <cell r="AV352">
            <v>2</v>
          </cell>
          <cell r="AW352">
            <v>2</v>
          </cell>
          <cell r="AX352" t="str">
            <v>NULL</v>
          </cell>
          <cell r="AY352" t="str">
            <v>NULL</v>
          </cell>
          <cell r="AZ352">
            <v>8</v>
          </cell>
          <cell r="BA352" t="str">
            <v>NULL</v>
          </cell>
          <cell r="BB352" t="str">
            <v>NULL</v>
          </cell>
        </row>
        <row r="353">
          <cell r="D353">
            <v>136510</v>
          </cell>
          <cell r="E353">
            <v>9376108</v>
          </cell>
          <cell r="F353" t="str">
            <v>Northleigh House School</v>
          </cell>
          <cell r="G353" t="str">
            <v>Other Independent School</v>
          </cell>
          <cell r="H353">
            <v>40626</v>
          </cell>
          <cell r="I353">
            <v>17</v>
          </cell>
          <cell r="J353" t="str">
            <v>West Midlands</v>
          </cell>
          <cell r="K353" t="str">
            <v>West Midlands</v>
          </cell>
          <cell r="L353" t="str">
            <v>Warwickshire</v>
          </cell>
          <cell r="M353" t="str">
            <v>Kenilworth and Southam</v>
          </cell>
          <cell r="N353" t="str">
            <v>CV35 7HZ</v>
          </cell>
          <cell r="O353" t="str">
            <v>Has a sixth form</v>
          </cell>
          <cell r="P353">
            <v>11</v>
          </cell>
          <cell r="Q353">
            <v>18</v>
          </cell>
          <cell r="R353" t="str">
            <v>None</v>
          </cell>
          <cell r="S353" t="str">
            <v>Ofsted</v>
          </cell>
          <cell r="T353" t="str">
            <v>NULL</v>
          </cell>
          <cell r="U353" t="str">
            <v>NULL</v>
          </cell>
          <cell r="V353" t="str">
            <v>NULL</v>
          </cell>
          <cell r="W353" t="str">
            <v>NULL</v>
          </cell>
          <cell r="X353" t="str">
            <v>NULL</v>
          </cell>
          <cell r="Y353" t="str">
            <v>NULL</v>
          </cell>
          <cell r="Z353" t="str">
            <v>NULL</v>
          </cell>
          <cell r="AA353">
            <v>10006024</v>
          </cell>
          <cell r="AB353" t="str">
            <v>Independent School standard inspection</v>
          </cell>
          <cell r="AC353" t="str">
            <v>Independent Standard Inspection</v>
          </cell>
          <cell r="AD353">
            <v>42381</v>
          </cell>
          <cell r="AE353">
            <v>42383</v>
          </cell>
          <cell r="AF353">
            <v>42425</v>
          </cell>
          <cell r="AG353">
            <v>2</v>
          </cell>
          <cell r="AH353">
            <v>2</v>
          </cell>
          <cell r="AI353">
            <v>2</v>
          </cell>
          <cell r="AJ353">
            <v>2</v>
          </cell>
          <cell r="AK353">
            <v>2</v>
          </cell>
          <cell r="AL353" t="str">
            <v>NULL</v>
          </cell>
          <cell r="AM353">
            <v>2</v>
          </cell>
          <cell r="AN353" t="str">
            <v>Yes</v>
          </cell>
          <cell r="AO353" t="str">
            <v>ITS386856</v>
          </cell>
          <cell r="AP353" t="str">
            <v>Independent School standard inspection</v>
          </cell>
          <cell r="AQ353" t="str">
            <v>Independent Standard Inspection</v>
          </cell>
          <cell r="AR353">
            <v>40932</v>
          </cell>
          <cell r="AS353">
            <v>40933</v>
          </cell>
          <cell r="AT353">
            <v>40962</v>
          </cell>
          <cell r="AU353">
            <v>3</v>
          </cell>
          <cell r="AV353">
            <v>3</v>
          </cell>
          <cell r="AW353">
            <v>3</v>
          </cell>
          <cell r="AX353" t="str">
            <v>NULL</v>
          </cell>
          <cell r="AY353" t="str">
            <v>NULL</v>
          </cell>
          <cell r="AZ353">
            <v>8</v>
          </cell>
          <cell r="BA353" t="str">
            <v>NULL</v>
          </cell>
          <cell r="BB353" t="str">
            <v>NULL</v>
          </cell>
        </row>
        <row r="354">
          <cell r="D354">
            <v>135090</v>
          </cell>
          <cell r="E354">
            <v>3136081</v>
          </cell>
          <cell r="F354" t="str">
            <v>Oak Heights Independent School</v>
          </cell>
          <cell r="G354" t="str">
            <v>Other Independent School</v>
          </cell>
          <cell r="H354">
            <v>38483</v>
          </cell>
          <cell r="I354">
            <v>75</v>
          </cell>
          <cell r="J354" t="str">
            <v>London</v>
          </cell>
          <cell r="K354" t="str">
            <v>London</v>
          </cell>
          <cell r="L354" t="str">
            <v>Hounslow</v>
          </cell>
          <cell r="M354" t="str">
            <v>Brentford and Isleworth</v>
          </cell>
          <cell r="N354" t="str">
            <v>TW3 1JS</v>
          </cell>
          <cell r="O354" t="str">
            <v>Does not have a sixth form</v>
          </cell>
          <cell r="P354">
            <v>11</v>
          </cell>
          <cell r="Q354">
            <v>16</v>
          </cell>
          <cell r="R354" t="str">
            <v>None</v>
          </cell>
          <cell r="S354" t="str">
            <v>Ofsted</v>
          </cell>
          <cell r="T354" t="str">
            <v>NULL</v>
          </cell>
          <cell r="U354" t="str">
            <v>NULL</v>
          </cell>
          <cell r="V354" t="str">
            <v>NULL</v>
          </cell>
          <cell r="W354" t="str">
            <v>NULL</v>
          </cell>
          <cell r="X354" t="str">
            <v>NULL</v>
          </cell>
          <cell r="Y354" t="str">
            <v>NULL</v>
          </cell>
          <cell r="Z354" t="str">
            <v>NULL</v>
          </cell>
          <cell r="AA354">
            <v>10012837</v>
          </cell>
          <cell r="AB354" t="str">
            <v>Independent School standard inspection</v>
          </cell>
          <cell r="AC354" t="str">
            <v>Independent Standard Inspection</v>
          </cell>
          <cell r="AD354">
            <v>42507</v>
          </cell>
          <cell r="AE354">
            <v>42509</v>
          </cell>
          <cell r="AF354">
            <v>42544</v>
          </cell>
          <cell r="AG354">
            <v>2</v>
          </cell>
          <cell r="AH354">
            <v>2</v>
          </cell>
          <cell r="AI354">
            <v>2</v>
          </cell>
          <cell r="AJ354">
            <v>2</v>
          </cell>
          <cell r="AK354">
            <v>2</v>
          </cell>
          <cell r="AL354" t="str">
            <v>NULL</v>
          </cell>
          <cell r="AM354" t="str">
            <v>NULL</v>
          </cell>
          <cell r="AN354" t="str">
            <v>Yes</v>
          </cell>
          <cell r="AO354" t="str">
            <v>ITS397671</v>
          </cell>
          <cell r="AP354" t="str">
            <v>Independent School standard inspection</v>
          </cell>
          <cell r="AQ354" t="str">
            <v>Independent Standard Inspection</v>
          </cell>
          <cell r="AR354">
            <v>41045</v>
          </cell>
          <cell r="AS354">
            <v>41046</v>
          </cell>
          <cell r="AT354">
            <v>41074</v>
          </cell>
          <cell r="AU354">
            <v>2</v>
          </cell>
          <cell r="AV354">
            <v>2</v>
          </cell>
          <cell r="AW354">
            <v>2</v>
          </cell>
          <cell r="AX354" t="str">
            <v>NULL</v>
          </cell>
          <cell r="AY354" t="str">
            <v>NULL</v>
          </cell>
          <cell r="AZ354">
            <v>8</v>
          </cell>
          <cell r="BA354" t="str">
            <v>NULL</v>
          </cell>
          <cell r="BB354" t="str">
            <v>NULL</v>
          </cell>
        </row>
        <row r="355">
          <cell r="D355">
            <v>137568</v>
          </cell>
          <cell r="E355">
            <v>3736003</v>
          </cell>
          <cell r="F355" t="str">
            <v>Oak Tree High</v>
          </cell>
          <cell r="G355" t="str">
            <v>Other Independent School</v>
          </cell>
          <cell r="H355">
            <v>40827</v>
          </cell>
          <cell r="I355">
            <v>66</v>
          </cell>
          <cell r="J355" t="str">
            <v>North East, Yorkshire and the Humber</v>
          </cell>
          <cell r="K355" t="str">
            <v>Yorkshire and the Humber</v>
          </cell>
          <cell r="L355" t="str">
            <v>Sheffield</v>
          </cell>
          <cell r="M355" t="str">
            <v>Sheffield, Brightside and Hillsborough</v>
          </cell>
          <cell r="N355" t="str">
            <v>S4 8DG</v>
          </cell>
          <cell r="O355" t="str">
            <v>Does not have a sixth form</v>
          </cell>
          <cell r="P355">
            <v>11</v>
          </cell>
          <cell r="Q355">
            <v>16</v>
          </cell>
          <cell r="R355" t="str">
            <v>None</v>
          </cell>
          <cell r="S355" t="str">
            <v>Ofsted</v>
          </cell>
          <cell r="T355">
            <v>3</v>
          </cell>
          <cell r="U355">
            <v>10048808</v>
          </cell>
          <cell r="V355" t="str">
            <v>Independent school Progress Monitoring inspection</v>
          </cell>
          <cell r="W355">
            <v>43186</v>
          </cell>
          <cell r="X355">
            <v>43186</v>
          </cell>
          <cell r="Y355" t="str">
            <v>NULL</v>
          </cell>
          <cell r="Z355" t="str">
            <v>Did not meet all standards that were checked</v>
          </cell>
          <cell r="AA355">
            <v>10012834</v>
          </cell>
          <cell r="AB355" t="str">
            <v>Independent School standard inspection</v>
          </cell>
          <cell r="AC355" t="str">
            <v>Independent Standard Inspection</v>
          </cell>
          <cell r="AD355">
            <v>42689</v>
          </cell>
          <cell r="AE355">
            <v>42691</v>
          </cell>
          <cell r="AF355">
            <v>42754</v>
          </cell>
          <cell r="AG355">
            <v>4</v>
          </cell>
          <cell r="AH355">
            <v>2</v>
          </cell>
          <cell r="AI355">
            <v>2</v>
          </cell>
          <cell r="AJ355">
            <v>4</v>
          </cell>
          <cell r="AK355">
            <v>3</v>
          </cell>
          <cell r="AL355" t="str">
            <v>NULL</v>
          </cell>
          <cell r="AM355" t="str">
            <v>NULL</v>
          </cell>
          <cell r="AN355" t="str">
            <v>No</v>
          </cell>
          <cell r="AO355" t="str">
            <v>ITS397687</v>
          </cell>
          <cell r="AP355" t="str">
            <v>Independent school standard inspection - first</v>
          </cell>
          <cell r="AQ355" t="str">
            <v>Independent Standard Inspection</v>
          </cell>
          <cell r="AR355">
            <v>41093</v>
          </cell>
          <cell r="AS355">
            <v>41094</v>
          </cell>
          <cell r="AT355">
            <v>41115</v>
          </cell>
          <cell r="AU355">
            <v>2</v>
          </cell>
          <cell r="AV355">
            <v>2</v>
          </cell>
          <cell r="AW355">
            <v>2</v>
          </cell>
          <cell r="AX355" t="str">
            <v>NULL</v>
          </cell>
          <cell r="AY355" t="str">
            <v>NULL</v>
          </cell>
          <cell r="AZ355">
            <v>8</v>
          </cell>
          <cell r="BA355" t="str">
            <v>NULL</v>
          </cell>
          <cell r="BB355" t="str">
            <v>NULL</v>
          </cell>
        </row>
        <row r="356">
          <cell r="D356">
            <v>135539</v>
          </cell>
          <cell r="E356">
            <v>8216011</v>
          </cell>
          <cell r="F356" t="str">
            <v>Oakwood Primary School</v>
          </cell>
          <cell r="G356" t="str">
            <v>Other Independent School</v>
          </cell>
          <cell r="H356">
            <v>39541</v>
          </cell>
          <cell r="I356">
            <v>150</v>
          </cell>
          <cell r="J356" t="str">
            <v>East of England</v>
          </cell>
          <cell r="K356" t="str">
            <v>East of England</v>
          </cell>
          <cell r="L356" t="str">
            <v>Luton</v>
          </cell>
          <cell r="M356" t="str">
            <v>Luton South</v>
          </cell>
          <cell r="N356" t="str">
            <v>LU1 3RR</v>
          </cell>
          <cell r="O356" t="str">
            <v>Does not have a sixth form</v>
          </cell>
          <cell r="P356">
            <v>3</v>
          </cell>
          <cell r="Q356">
            <v>11</v>
          </cell>
          <cell r="R356" t="str">
            <v>Islam</v>
          </cell>
          <cell r="S356" t="str">
            <v>Ofsted</v>
          </cell>
          <cell r="T356" t="str">
            <v>NULL</v>
          </cell>
          <cell r="U356" t="str">
            <v>NULL</v>
          </cell>
          <cell r="V356" t="str">
            <v>NULL</v>
          </cell>
          <cell r="W356" t="str">
            <v>NULL</v>
          </cell>
          <cell r="X356" t="str">
            <v>NULL</v>
          </cell>
          <cell r="Y356" t="str">
            <v>NULL</v>
          </cell>
          <cell r="Z356" t="str">
            <v>NULL</v>
          </cell>
          <cell r="AA356">
            <v>10006065</v>
          </cell>
          <cell r="AB356" t="str">
            <v>Independent School standard inspection</v>
          </cell>
          <cell r="AC356" t="str">
            <v>Independent Standard Inspection</v>
          </cell>
          <cell r="AD356">
            <v>42486</v>
          </cell>
          <cell r="AE356">
            <v>42488</v>
          </cell>
          <cell r="AF356">
            <v>42510</v>
          </cell>
          <cell r="AG356">
            <v>2</v>
          </cell>
          <cell r="AH356">
            <v>2</v>
          </cell>
          <cell r="AI356">
            <v>2</v>
          </cell>
          <cell r="AJ356">
            <v>2</v>
          </cell>
          <cell r="AK356">
            <v>1</v>
          </cell>
          <cell r="AL356">
            <v>2</v>
          </cell>
          <cell r="AM356" t="str">
            <v>NULL</v>
          </cell>
          <cell r="AN356" t="str">
            <v>Yes</v>
          </cell>
          <cell r="AO356" t="str">
            <v>ITS397675</v>
          </cell>
          <cell r="AP356" t="str">
            <v>Independent School standard inspection</v>
          </cell>
          <cell r="AQ356" t="str">
            <v>Independent Standard Inspection</v>
          </cell>
          <cell r="AR356">
            <v>41164</v>
          </cell>
          <cell r="AS356">
            <v>41165</v>
          </cell>
          <cell r="AT356">
            <v>41186</v>
          </cell>
          <cell r="AU356">
            <v>2</v>
          </cell>
          <cell r="AV356">
            <v>2</v>
          </cell>
          <cell r="AW356">
            <v>2</v>
          </cell>
          <cell r="AX356" t="str">
            <v>NULL</v>
          </cell>
          <cell r="AY356" t="str">
            <v>NULL</v>
          </cell>
          <cell r="AZ356">
            <v>8</v>
          </cell>
          <cell r="BA356" t="str">
            <v>NULL</v>
          </cell>
          <cell r="BB356" t="str">
            <v>NULL</v>
          </cell>
        </row>
        <row r="357">
          <cell r="D357">
            <v>130331</v>
          </cell>
          <cell r="E357">
            <v>8216001</v>
          </cell>
          <cell r="F357" t="str">
            <v>Rabia Girls School</v>
          </cell>
          <cell r="G357" t="str">
            <v>Other Independent School</v>
          </cell>
          <cell r="H357">
            <v>35114</v>
          </cell>
          <cell r="I357">
            <v>132</v>
          </cell>
          <cell r="J357" t="str">
            <v>East of England</v>
          </cell>
          <cell r="K357" t="str">
            <v>East of England</v>
          </cell>
          <cell r="L357" t="str">
            <v>Luton</v>
          </cell>
          <cell r="M357" t="str">
            <v>Luton South</v>
          </cell>
          <cell r="N357" t="str">
            <v>LU4 8AX</v>
          </cell>
          <cell r="O357" t="str">
            <v>Does not have a sixth form</v>
          </cell>
          <cell r="P357">
            <v>5</v>
          </cell>
          <cell r="Q357">
            <v>16</v>
          </cell>
          <cell r="R357" t="str">
            <v>None</v>
          </cell>
          <cell r="S357" t="str">
            <v>Ofsted</v>
          </cell>
          <cell r="T357" t="str">
            <v>NULL</v>
          </cell>
          <cell r="U357" t="str">
            <v>NULL</v>
          </cell>
          <cell r="V357" t="str">
            <v>NULL</v>
          </cell>
          <cell r="W357" t="str">
            <v>NULL</v>
          </cell>
          <cell r="X357" t="str">
            <v>NULL</v>
          </cell>
          <cell r="Y357" t="str">
            <v>NULL</v>
          </cell>
          <cell r="Z357" t="str">
            <v>NULL</v>
          </cell>
          <cell r="AA357">
            <v>10043844</v>
          </cell>
          <cell r="AB357" t="str">
            <v>Independent School standard inspection</v>
          </cell>
          <cell r="AC357" t="str">
            <v>Independent Standard Inspection</v>
          </cell>
          <cell r="AD357">
            <v>43116</v>
          </cell>
          <cell r="AE357">
            <v>43118</v>
          </cell>
          <cell r="AF357">
            <v>43171</v>
          </cell>
          <cell r="AG357">
            <v>4</v>
          </cell>
          <cell r="AH357">
            <v>3</v>
          </cell>
          <cell r="AI357">
            <v>4</v>
          </cell>
          <cell r="AJ357">
            <v>4</v>
          </cell>
          <cell r="AK357">
            <v>4</v>
          </cell>
          <cell r="AL357" t="str">
            <v>NULL</v>
          </cell>
          <cell r="AM357" t="str">
            <v>NULL</v>
          </cell>
          <cell r="AN357" t="str">
            <v>No</v>
          </cell>
          <cell r="AO357">
            <v>10018158</v>
          </cell>
          <cell r="AP357" t="str">
            <v>Independent School standard inspection</v>
          </cell>
          <cell r="AQ357" t="str">
            <v>Independent Standard Inspection</v>
          </cell>
          <cell r="AR357">
            <v>42472</v>
          </cell>
          <cell r="AS357">
            <v>42474</v>
          </cell>
          <cell r="AT357">
            <v>42501</v>
          </cell>
          <cell r="AU357">
            <v>4</v>
          </cell>
          <cell r="AV357">
            <v>3</v>
          </cell>
          <cell r="AW357">
            <v>3</v>
          </cell>
          <cell r="AX357">
            <v>4</v>
          </cell>
          <cell r="AY357">
            <v>2</v>
          </cell>
          <cell r="AZ357" t="str">
            <v>NULL</v>
          </cell>
          <cell r="BA357" t="str">
            <v>NULL</v>
          </cell>
          <cell r="BB357" t="str">
            <v>Yes</v>
          </cell>
        </row>
        <row r="358">
          <cell r="D358">
            <v>117615</v>
          </cell>
          <cell r="E358">
            <v>9196034</v>
          </cell>
          <cell r="F358" t="str">
            <v>Radlett Preparatory School</v>
          </cell>
          <cell r="G358" t="str">
            <v>Other Independent School</v>
          </cell>
          <cell r="H358">
            <v>18264</v>
          </cell>
          <cell r="I358">
            <v>447</v>
          </cell>
          <cell r="J358" t="str">
            <v>East of England</v>
          </cell>
          <cell r="K358" t="str">
            <v>East of England</v>
          </cell>
          <cell r="L358" t="str">
            <v>Hertfordshire</v>
          </cell>
          <cell r="M358" t="str">
            <v>Hertsmere</v>
          </cell>
          <cell r="N358" t="str">
            <v>WD7 7LY</v>
          </cell>
          <cell r="O358" t="str">
            <v>Does not have a sixth form</v>
          </cell>
          <cell r="P358">
            <v>4</v>
          </cell>
          <cell r="Q358">
            <v>11</v>
          </cell>
          <cell r="R358" t="str">
            <v>None</v>
          </cell>
          <cell r="S358" t="str">
            <v>Ofsted</v>
          </cell>
          <cell r="T358" t="str">
            <v>NULL</v>
          </cell>
          <cell r="U358" t="str">
            <v>NULL</v>
          </cell>
          <cell r="V358" t="str">
            <v>NULL</v>
          </cell>
          <cell r="W358" t="str">
            <v>NULL</v>
          </cell>
          <cell r="X358" t="str">
            <v>NULL</v>
          </cell>
          <cell r="Y358" t="str">
            <v>NULL</v>
          </cell>
          <cell r="Z358" t="str">
            <v>NULL</v>
          </cell>
          <cell r="AA358">
            <v>10012935</v>
          </cell>
          <cell r="AB358" t="str">
            <v>Independent School standard inspection</v>
          </cell>
          <cell r="AC358" t="str">
            <v>Independent Standard Inspection</v>
          </cell>
          <cell r="AD358">
            <v>42640</v>
          </cell>
          <cell r="AE358">
            <v>42642</v>
          </cell>
          <cell r="AF358">
            <v>42681</v>
          </cell>
          <cell r="AG358">
            <v>2</v>
          </cell>
          <cell r="AH358">
            <v>2</v>
          </cell>
          <cell r="AI358">
            <v>2</v>
          </cell>
          <cell r="AJ358">
            <v>2</v>
          </cell>
          <cell r="AK358">
            <v>1</v>
          </cell>
          <cell r="AL358">
            <v>2</v>
          </cell>
          <cell r="AM358" t="str">
            <v>NULL</v>
          </cell>
          <cell r="AN358" t="str">
            <v>Yes</v>
          </cell>
          <cell r="AO358" t="str">
            <v>ITS408762</v>
          </cell>
          <cell r="AP358" t="str">
            <v>Independent School standard inspection</v>
          </cell>
          <cell r="AQ358" t="str">
            <v>Independent Standard Inspection</v>
          </cell>
          <cell r="AR358">
            <v>41443</v>
          </cell>
          <cell r="AS358">
            <v>41445</v>
          </cell>
          <cell r="AT358">
            <v>41466</v>
          </cell>
          <cell r="AU358">
            <v>2</v>
          </cell>
          <cell r="AV358">
            <v>2</v>
          </cell>
          <cell r="AW358">
            <v>2</v>
          </cell>
          <cell r="AX358">
            <v>2</v>
          </cell>
          <cell r="AY358" t="str">
            <v>NULL</v>
          </cell>
          <cell r="AZ358" t="str">
            <v>NULL</v>
          </cell>
          <cell r="BA358" t="str">
            <v>NULL</v>
          </cell>
          <cell r="BB358" t="str">
            <v>NULL</v>
          </cell>
        </row>
        <row r="359">
          <cell r="D359">
            <v>100086</v>
          </cell>
          <cell r="E359">
            <v>2026390</v>
          </cell>
          <cell r="F359" t="str">
            <v>Rainbow Montessori School</v>
          </cell>
          <cell r="G359" t="str">
            <v>Other Independent School</v>
          </cell>
          <cell r="H359">
            <v>34019</v>
          </cell>
          <cell r="I359">
            <v>121</v>
          </cell>
          <cell r="J359" t="str">
            <v>London</v>
          </cell>
          <cell r="K359" t="str">
            <v>London</v>
          </cell>
          <cell r="L359" t="str">
            <v>Camden</v>
          </cell>
          <cell r="M359" t="str">
            <v>Hampstead and Kilburn</v>
          </cell>
          <cell r="N359" t="str">
            <v>NW6 3PL</v>
          </cell>
          <cell r="O359" t="str">
            <v>Does not have a sixth form</v>
          </cell>
          <cell r="P359">
            <v>4</v>
          </cell>
          <cell r="Q359">
            <v>12</v>
          </cell>
          <cell r="R359" t="str">
            <v>None</v>
          </cell>
          <cell r="S359" t="str">
            <v>Ofsted</v>
          </cell>
          <cell r="T359" t="str">
            <v>NULL</v>
          </cell>
          <cell r="U359" t="str">
            <v>NULL</v>
          </cell>
          <cell r="V359" t="str">
            <v>NULL</v>
          </cell>
          <cell r="W359" t="str">
            <v>NULL</v>
          </cell>
          <cell r="X359" t="str">
            <v>NULL</v>
          </cell>
          <cell r="Y359" t="str">
            <v>NULL</v>
          </cell>
          <cell r="Z359" t="str">
            <v>NULL</v>
          </cell>
          <cell r="AA359">
            <v>10020718</v>
          </cell>
          <cell r="AB359" t="str">
            <v>Independent School standard inspection</v>
          </cell>
          <cell r="AC359" t="str">
            <v>Independent Standard Inspection</v>
          </cell>
          <cell r="AD359">
            <v>43123</v>
          </cell>
          <cell r="AE359">
            <v>43125</v>
          </cell>
          <cell r="AF359">
            <v>43157</v>
          </cell>
          <cell r="AG359">
            <v>2</v>
          </cell>
          <cell r="AH359">
            <v>2</v>
          </cell>
          <cell r="AI359">
            <v>2</v>
          </cell>
          <cell r="AJ359">
            <v>2</v>
          </cell>
          <cell r="AK359">
            <v>1</v>
          </cell>
          <cell r="AL359">
            <v>2</v>
          </cell>
          <cell r="AM359" t="str">
            <v>NULL</v>
          </cell>
          <cell r="AN359" t="str">
            <v>Yes</v>
          </cell>
          <cell r="AO359" t="str">
            <v>ITS385064</v>
          </cell>
          <cell r="AP359" t="str">
            <v>Independent School standard inspection</v>
          </cell>
          <cell r="AQ359" t="str">
            <v>Independent Standard Inspection</v>
          </cell>
          <cell r="AR359">
            <v>40807</v>
          </cell>
          <cell r="AS359">
            <v>40808</v>
          </cell>
          <cell r="AT359">
            <v>40851</v>
          </cell>
          <cell r="AU359">
            <v>2</v>
          </cell>
          <cell r="AV359">
            <v>2</v>
          </cell>
          <cell r="AW359">
            <v>2</v>
          </cell>
          <cell r="AX359" t="str">
            <v>NULL</v>
          </cell>
          <cell r="AY359" t="str">
            <v>NULL</v>
          </cell>
          <cell r="AZ359">
            <v>8</v>
          </cell>
          <cell r="BA359" t="str">
            <v>NULL</v>
          </cell>
          <cell r="BB359" t="str">
            <v>NULL</v>
          </cell>
        </row>
        <row r="360">
          <cell r="D360">
            <v>135219</v>
          </cell>
          <cell r="E360">
            <v>8886097</v>
          </cell>
          <cell r="F360" t="str">
            <v>Rawdhatul Uloom</v>
          </cell>
          <cell r="G360" t="str">
            <v>Other Independent School</v>
          </cell>
          <cell r="H360">
            <v>39175</v>
          </cell>
          <cell r="I360">
            <v>104</v>
          </cell>
          <cell r="J360" t="str">
            <v>North West</v>
          </cell>
          <cell r="K360" t="str">
            <v>North West</v>
          </cell>
          <cell r="L360" t="str">
            <v>Lancashire</v>
          </cell>
          <cell r="M360" t="str">
            <v>Burnley</v>
          </cell>
          <cell r="N360" t="str">
            <v>BB10 1LU</v>
          </cell>
          <cell r="O360" t="str">
            <v>Does not have a sixth form</v>
          </cell>
          <cell r="P360">
            <v>4</v>
          </cell>
          <cell r="Q360">
            <v>11</v>
          </cell>
          <cell r="R360" t="str">
            <v>None</v>
          </cell>
          <cell r="S360" t="str">
            <v>Ofsted</v>
          </cell>
          <cell r="T360" t="str">
            <v>NULL</v>
          </cell>
          <cell r="U360" t="str">
            <v>NULL</v>
          </cell>
          <cell r="V360" t="str">
            <v>NULL</v>
          </cell>
          <cell r="W360" t="str">
            <v>NULL</v>
          </cell>
          <cell r="X360" t="str">
            <v>NULL</v>
          </cell>
          <cell r="Y360" t="str">
            <v>NULL</v>
          </cell>
          <cell r="Z360" t="str">
            <v>NULL</v>
          </cell>
          <cell r="AA360" t="str">
            <v>ITS440216</v>
          </cell>
          <cell r="AB360" t="str">
            <v>Independent School standard inspection</v>
          </cell>
          <cell r="AC360" t="str">
            <v>Independent Standard Inspection</v>
          </cell>
          <cell r="AD360">
            <v>41723</v>
          </cell>
          <cell r="AE360">
            <v>41725</v>
          </cell>
          <cell r="AF360">
            <v>41760</v>
          </cell>
          <cell r="AG360">
            <v>3</v>
          </cell>
          <cell r="AH360">
            <v>3</v>
          </cell>
          <cell r="AI360">
            <v>3</v>
          </cell>
          <cell r="AJ360">
            <v>3</v>
          </cell>
          <cell r="AK360" t="str">
            <v>NULL</v>
          </cell>
          <cell r="AL360" t="str">
            <v>NULL</v>
          </cell>
          <cell r="AM360" t="str">
            <v>NULL</v>
          </cell>
          <cell r="AN360" t="str">
            <v>NULL</v>
          </cell>
          <cell r="AO360" t="str">
            <v>ITS364305</v>
          </cell>
          <cell r="AP360" t="str">
            <v>S162a - LTI Inspection Historic</v>
          </cell>
          <cell r="AQ360" t="str">
            <v>Independent Standard Inspection</v>
          </cell>
          <cell r="AR360">
            <v>40617</v>
          </cell>
          <cell r="AS360">
            <v>40617</v>
          </cell>
          <cell r="AT360">
            <v>40638</v>
          </cell>
          <cell r="AU360">
            <v>3</v>
          </cell>
          <cell r="AV360">
            <v>3</v>
          </cell>
          <cell r="AW360">
            <v>3</v>
          </cell>
          <cell r="AX360" t="str">
            <v>NULL</v>
          </cell>
          <cell r="AY360" t="str">
            <v>NULL</v>
          </cell>
          <cell r="AZ360">
            <v>3</v>
          </cell>
          <cell r="BA360" t="str">
            <v>NULL</v>
          </cell>
          <cell r="BB360" t="str">
            <v>NULL</v>
          </cell>
        </row>
        <row r="361">
          <cell r="D361">
            <v>135785</v>
          </cell>
          <cell r="E361">
            <v>9286071</v>
          </cell>
          <cell r="F361" t="str">
            <v>St Andrew's College</v>
          </cell>
          <cell r="G361" t="str">
            <v>Other Independent School</v>
          </cell>
          <cell r="H361">
            <v>39843</v>
          </cell>
          <cell r="I361">
            <v>82</v>
          </cell>
          <cell r="J361" t="str">
            <v>East Midlands</v>
          </cell>
          <cell r="K361" t="str">
            <v>East Midlands</v>
          </cell>
          <cell r="L361" t="str">
            <v>Northamptonshire</v>
          </cell>
          <cell r="M361" t="str">
            <v>Northampton South</v>
          </cell>
          <cell r="N361" t="str">
            <v>NN1 5HQ</v>
          </cell>
          <cell r="O361" t="str">
            <v>Has a sixth form</v>
          </cell>
          <cell r="P361">
            <v>13</v>
          </cell>
          <cell r="Q361">
            <v>19</v>
          </cell>
          <cell r="R361" t="str">
            <v>None</v>
          </cell>
          <cell r="S361" t="str">
            <v>Ofsted</v>
          </cell>
          <cell r="T361" t="str">
            <v>NULL</v>
          </cell>
          <cell r="U361" t="str">
            <v>NULL</v>
          </cell>
          <cell r="V361" t="str">
            <v>NULL</v>
          </cell>
          <cell r="W361" t="str">
            <v>NULL</v>
          </cell>
          <cell r="X361" t="str">
            <v>NULL</v>
          </cell>
          <cell r="Y361" t="str">
            <v>NULL</v>
          </cell>
          <cell r="Z361" t="str">
            <v>NULL</v>
          </cell>
          <cell r="AA361">
            <v>10020808</v>
          </cell>
          <cell r="AB361" t="str">
            <v>Independent School standard inspection</v>
          </cell>
          <cell r="AC361" t="str">
            <v>Independent Standard Inspection</v>
          </cell>
          <cell r="AD361">
            <v>42696</v>
          </cell>
          <cell r="AE361">
            <v>42698</v>
          </cell>
          <cell r="AF361">
            <v>42748</v>
          </cell>
          <cell r="AG361">
            <v>1</v>
          </cell>
          <cell r="AH361">
            <v>1</v>
          </cell>
          <cell r="AI361">
            <v>1</v>
          </cell>
          <cell r="AJ361">
            <v>1</v>
          </cell>
          <cell r="AK361">
            <v>1</v>
          </cell>
          <cell r="AL361" t="str">
            <v>NULL</v>
          </cell>
          <cell r="AM361">
            <v>1</v>
          </cell>
          <cell r="AN361" t="str">
            <v>Yes</v>
          </cell>
          <cell r="AO361" t="str">
            <v>ITS420173</v>
          </cell>
          <cell r="AP361" t="str">
            <v>Independent School standard inspection</v>
          </cell>
          <cell r="AQ361" t="str">
            <v>Independent Standard Inspection</v>
          </cell>
          <cell r="AR361">
            <v>41605</v>
          </cell>
          <cell r="AS361">
            <v>41607</v>
          </cell>
          <cell r="AT361">
            <v>41620</v>
          </cell>
          <cell r="AU361">
            <v>1</v>
          </cell>
          <cell r="AV361">
            <v>1</v>
          </cell>
          <cell r="AW361">
            <v>1</v>
          </cell>
          <cell r="AX361">
            <v>1</v>
          </cell>
          <cell r="AY361" t="str">
            <v>NULL</v>
          </cell>
          <cell r="AZ361" t="str">
            <v>NULL</v>
          </cell>
          <cell r="BA361" t="str">
            <v>NULL</v>
          </cell>
          <cell r="BB361" t="str">
            <v>NULL</v>
          </cell>
        </row>
        <row r="362">
          <cell r="D362">
            <v>118997</v>
          </cell>
          <cell r="E362">
            <v>8866049</v>
          </cell>
          <cell r="F362" t="str">
            <v>St Christopher's School</v>
          </cell>
          <cell r="G362" t="str">
            <v>Other Independent School</v>
          </cell>
          <cell r="H362">
            <v>21132</v>
          </cell>
          <cell r="I362">
            <v>101</v>
          </cell>
          <cell r="J362" t="str">
            <v>South East</v>
          </cell>
          <cell r="K362" t="str">
            <v>South East</v>
          </cell>
          <cell r="L362" t="str">
            <v>Kent</v>
          </cell>
          <cell r="M362" t="str">
            <v>Canterbury</v>
          </cell>
          <cell r="N362" t="str">
            <v>CT1 3DT</v>
          </cell>
          <cell r="O362" t="str">
            <v>Does not have a sixth form</v>
          </cell>
          <cell r="P362">
            <v>3</v>
          </cell>
          <cell r="Q362">
            <v>11</v>
          </cell>
          <cell r="R362" t="str">
            <v>None</v>
          </cell>
          <cell r="S362" t="str">
            <v>Ofsted</v>
          </cell>
          <cell r="T362">
            <v>8</v>
          </cell>
          <cell r="U362">
            <v>10021336</v>
          </cell>
          <cell r="V362" t="str">
            <v>Independent school Progress Monitoring inspection</v>
          </cell>
          <cell r="W362">
            <v>42662</v>
          </cell>
          <cell r="X362">
            <v>42662</v>
          </cell>
          <cell r="Y362">
            <v>42689</v>
          </cell>
          <cell r="Z362" t="str">
            <v>Met all standards that were checked</v>
          </cell>
          <cell r="AA362" t="str">
            <v>ITS452710</v>
          </cell>
          <cell r="AB362" t="str">
            <v>Independent School standard inspection</v>
          </cell>
          <cell r="AC362" t="str">
            <v>Independent Standard Inspection</v>
          </cell>
          <cell r="AD362">
            <v>41926</v>
          </cell>
          <cell r="AE362">
            <v>41928</v>
          </cell>
          <cell r="AF362">
            <v>41977</v>
          </cell>
          <cell r="AG362">
            <v>4</v>
          </cell>
          <cell r="AH362">
            <v>2</v>
          </cell>
          <cell r="AI362">
            <v>2</v>
          </cell>
          <cell r="AJ362">
            <v>4</v>
          </cell>
          <cell r="AK362" t="str">
            <v>NULL</v>
          </cell>
          <cell r="AL362">
            <v>4</v>
          </cell>
          <cell r="AM362">
            <v>9</v>
          </cell>
          <cell r="AN362" t="str">
            <v>NULL</v>
          </cell>
          <cell r="AO362" t="str">
            <v>ITS361349</v>
          </cell>
          <cell r="AP362" t="str">
            <v>Independent School standard inspection</v>
          </cell>
          <cell r="AQ362" t="str">
            <v>Independent Standard Inspection</v>
          </cell>
          <cell r="AR362">
            <v>40500</v>
          </cell>
          <cell r="AS362">
            <v>40501</v>
          </cell>
          <cell r="AT362">
            <v>40522</v>
          </cell>
          <cell r="AU362">
            <v>2</v>
          </cell>
          <cell r="AV362">
            <v>2</v>
          </cell>
          <cell r="AW362">
            <v>2</v>
          </cell>
          <cell r="AX362" t="str">
            <v>NULL</v>
          </cell>
          <cell r="AY362" t="str">
            <v>NULL</v>
          </cell>
          <cell r="AZ362">
            <v>3</v>
          </cell>
          <cell r="BA362" t="str">
            <v>NULL</v>
          </cell>
          <cell r="BB362" t="str">
            <v>NULL</v>
          </cell>
        </row>
        <row r="363">
          <cell r="D363">
            <v>101687</v>
          </cell>
          <cell r="E363">
            <v>3056010</v>
          </cell>
          <cell r="F363" t="str">
            <v>St Christophers The Hall School</v>
          </cell>
          <cell r="G363" t="str">
            <v>Other Independent School</v>
          </cell>
          <cell r="H363">
            <v>18629</v>
          </cell>
          <cell r="I363">
            <v>292</v>
          </cell>
          <cell r="J363" t="str">
            <v>London</v>
          </cell>
          <cell r="K363" t="str">
            <v>London</v>
          </cell>
          <cell r="L363" t="str">
            <v>Bromley</v>
          </cell>
          <cell r="M363" t="str">
            <v>Beckenham</v>
          </cell>
          <cell r="N363" t="str">
            <v>BR3 5PA</v>
          </cell>
          <cell r="O363" t="str">
            <v>Does not have a sixth form</v>
          </cell>
          <cell r="P363">
            <v>2</v>
          </cell>
          <cell r="Q363">
            <v>11</v>
          </cell>
          <cell r="R363" t="str">
            <v>None</v>
          </cell>
          <cell r="S363" t="str">
            <v>Ofsted</v>
          </cell>
          <cell r="T363" t="str">
            <v>NULL</v>
          </cell>
          <cell r="U363" t="str">
            <v>NULL</v>
          </cell>
          <cell r="V363" t="str">
            <v>NULL</v>
          </cell>
          <cell r="W363" t="str">
            <v>NULL</v>
          </cell>
          <cell r="X363" t="str">
            <v>NULL</v>
          </cell>
          <cell r="Y363" t="str">
            <v>NULL</v>
          </cell>
          <cell r="Z363" t="str">
            <v>NULL</v>
          </cell>
          <cell r="AA363">
            <v>10035783</v>
          </cell>
          <cell r="AB363" t="str">
            <v>Independent School standard inspection</v>
          </cell>
          <cell r="AC363" t="str">
            <v>Independent Standard Inspection</v>
          </cell>
          <cell r="AD363">
            <v>43137</v>
          </cell>
          <cell r="AE363">
            <v>43139</v>
          </cell>
          <cell r="AF363">
            <v>43171</v>
          </cell>
          <cell r="AG363">
            <v>2</v>
          </cell>
          <cell r="AH363">
            <v>2</v>
          </cell>
          <cell r="AI363">
            <v>2</v>
          </cell>
          <cell r="AJ363">
            <v>2</v>
          </cell>
          <cell r="AK363">
            <v>2</v>
          </cell>
          <cell r="AL363">
            <v>2</v>
          </cell>
          <cell r="AM363" t="str">
            <v>NULL</v>
          </cell>
          <cell r="AN363" t="str">
            <v>Yes</v>
          </cell>
          <cell r="AO363" t="str">
            <v>ITS442985</v>
          </cell>
          <cell r="AP363" t="str">
            <v>Independent School standard inspection</v>
          </cell>
          <cell r="AQ363" t="str">
            <v>Independent Standard Inspection</v>
          </cell>
          <cell r="AR363">
            <v>41702</v>
          </cell>
          <cell r="AS363">
            <v>41704</v>
          </cell>
          <cell r="AT363">
            <v>41725</v>
          </cell>
          <cell r="AU363">
            <v>2</v>
          </cell>
          <cell r="AV363">
            <v>2</v>
          </cell>
          <cell r="AW363">
            <v>2</v>
          </cell>
          <cell r="AX363">
            <v>2</v>
          </cell>
          <cell r="AY363" t="str">
            <v>NULL</v>
          </cell>
          <cell r="AZ363" t="str">
            <v>NULL</v>
          </cell>
          <cell r="BA363" t="str">
            <v>NULL</v>
          </cell>
          <cell r="BB363" t="str">
            <v>NULL</v>
          </cell>
        </row>
        <row r="364">
          <cell r="D364">
            <v>137327</v>
          </cell>
          <cell r="E364">
            <v>9256000</v>
          </cell>
          <cell r="F364" t="str">
            <v>St George's Preparatory School &amp; Little Dragons Preschool</v>
          </cell>
          <cell r="G364" t="str">
            <v>Other Independent School</v>
          </cell>
          <cell r="H364">
            <v>40778</v>
          </cell>
          <cell r="I364">
            <v>77</v>
          </cell>
          <cell r="J364" t="str">
            <v>East Midlands</v>
          </cell>
          <cell r="K364" t="str">
            <v>East Midlands</v>
          </cell>
          <cell r="L364" t="str">
            <v>Lincolnshire</v>
          </cell>
          <cell r="M364" t="str">
            <v>Boston and Skegness</v>
          </cell>
          <cell r="N364" t="str">
            <v>PE21 7HB</v>
          </cell>
          <cell r="O364" t="str">
            <v>Does not have a sixth form</v>
          </cell>
          <cell r="P364">
            <v>3</v>
          </cell>
          <cell r="Q364">
            <v>11</v>
          </cell>
          <cell r="R364" t="str">
            <v>None</v>
          </cell>
          <cell r="S364" t="str">
            <v>Ofsted</v>
          </cell>
          <cell r="T364" t="str">
            <v>NULL</v>
          </cell>
          <cell r="U364" t="str">
            <v>NULL</v>
          </cell>
          <cell r="V364" t="str">
            <v>NULL</v>
          </cell>
          <cell r="W364" t="str">
            <v>NULL</v>
          </cell>
          <cell r="X364" t="str">
            <v>NULL</v>
          </cell>
          <cell r="Y364" t="str">
            <v>NULL</v>
          </cell>
          <cell r="Z364" t="str">
            <v>NULL</v>
          </cell>
          <cell r="AA364">
            <v>10006080</v>
          </cell>
          <cell r="AB364" t="str">
            <v>Independent School standard inspection</v>
          </cell>
          <cell r="AC364" t="str">
            <v>Independent Standard Inspection</v>
          </cell>
          <cell r="AD364">
            <v>42388</v>
          </cell>
          <cell r="AE364">
            <v>42390</v>
          </cell>
          <cell r="AF364">
            <v>42426</v>
          </cell>
          <cell r="AG364">
            <v>1</v>
          </cell>
          <cell r="AH364">
            <v>1</v>
          </cell>
          <cell r="AI364">
            <v>1</v>
          </cell>
          <cell r="AJ364">
            <v>1</v>
          </cell>
          <cell r="AK364">
            <v>1</v>
          </cell>
          <cell r="AL364">
            <v>1</v>
          </cell>
          <cell r="AM364" t="str">
            <v>NULL</v>
          </cell>
          <cell r="AN364" t="str">
            <v>Yes</v>
          </cell>
          <cell r="AO364" t="str">
            <v>ITS393272</v>
          </cell>
          <cell r="AP364" t="str">
            <v>Independent school standard inspection - first</v>
          </cell>
          <cell r="AQ364" t="str">
            <v>Independent Standard Inspection</v>
          </cell>
          <cell r="AR364">
            <v>41171</v>
          </cell>
          <cell r="AS364">
            <v>41172</v>
          </cell>
          <cell r="AT364">
            <v>41186</v>
          </cell>
          <cell r="AU364">
            <v>1</v>
          </cell>
          <cell r="AV364">
            <v>1</v>
          </cell>
          <cell r="AW364">
            <v>1</v>
          </cell>
          <cell r="AX364" t="str">
            <v>NULL</v>
          </cell>
          <cell r="AY364" t="str">
            <v>NULL</v>
          </cell>
          <cell r="AZ364">
            <v>8</v>
          </cell>
          <cell r="BA364" t="str">
            <v>NULL</v>
          </cell>
          <cell r="BB364" t="str">
            <v>NULL</v>
          </cell>
        </row>
        <row r="365">
          <cell r="D365">
            <v>120325</v>
          </cell>
          <cell r="E365">
            <v>8556002</v>
          </cell>
          <cell r="F365" t="str">
            <v>Stoneygate School</v>
          </cell>
          <cell r="G365" t="str">
            <v>Other Independent School</v>
          </cell>
          <cell r="H365">
            <v>16072</v>
          </cell>
          <cell r="I365">
            <v>145</v>
          </cell>
          <cell r="J365" t="str">
            <v>East Midlands</v>
          </cell>
          <cell r="K365" t="str">
            <v>East Midlands</v>
          </cell>
          <cell r="L365" t="str">
            <v>Leicestershire</v>
          </cell>
          <cell r="M365" t="str">
            <v>Harborough</v>
          </cell>
          <cell r="N365" t="str">
            <v>LE8 9DJ</v>
          </cell>
          <cell r="O365" t="str">
            <v>Does not have a sixth form</v>
          </cell>
          <cell r="P365">
            <v>3</v>
          </cell>
          <cell r="Q365">
            <v>16</v>
          </cell>
          <cell r="R365" t="str">
            <v>None</v>
          </cell>
          <cell r="S365" t="str">
            <v>Ofsted</v>
          </cell>
          <cell r="T365" t="str">
            <v>NULL</v>
          </cell>
          <cell r="U365" t="str">
            <v>NULL</v>
          </cell>
          <cell r="V365" t="str">
            <v>NULL</v>
          </cell>
          <cell r="W365" t="str">
            <v>NULL</v>
          </cell>
          <cell r="X365" t="str">
            <v>NULL</v>
          </cell>
          <cell r="Y365" t="str">
            <v>NULL</v>
          </cell>
          <cell r="Z365" t="str">
            <v>NULL</v>
          </cell>
          <cell r="AA365">
            <v>10026045</v>
          </cell>
          <cell r="AB365" t="str">
            <v>Independent School standard inspection</v>
          </cell>
          <cell r="AC365" t="str">
            <v>Independent Standard Inspection</v>
          </cell>
          <cell r="AD365">
            <v>42766</v>
          </cell>
          <cell r="AE365">
            <v>42768</v>
          </cell>
          <cell r="AF365">
            <v>42786</v>
          </cell>
          <cell r="AG365">
            <v>2</v>
          </cell>
          <cell r="AH365">
            <v>2</v>
          </cell>
          <cell r="AI365">
            <v>2</v>
          </cell>
          <cell r="AJ365">
            <v>2</v>
          </cell>
          <cell r="AK365">
            <v>1</v>
          </cell>
          <cell r="AL365">
            <v>2</v>
          </cell>
          <cell r="AM365" t="str">
            <v>NULL</v>
          </cell>
          <cell r="AN365" t="str">
            <v>Yes</v>
          </cell>
          <cell r="AO365" t="str">
            <v>ITS454251</v>
          </cell>
          <cell r="AP365" t="str">
            <v>Independent School standard inspection</v>
          </cell>
          <cell r="AQ365" t="str">
            <v>Independent Standard Inspection</v>
          </cell>
          <cell r="AR365">
            <v>42073</v>
          </cell>
          <cell r="AS365">
            <v>42075</v>
          </cell>
          <cell r="AT365">
            <v>42118</v>
          </cell>
          <cell r="AU365">
            <v>4</v>
          </cell>
          <cell r="AV365">
            <v>2</v>
          </cell>
          <cell r="AW365">
            <v>2</v>
          </cell>
          <cell r="AX365">
            <v>4</v>
          </cell>
          <cell r="AY365" t="str">
            <v>NULL</v>
          </cell>
          <cell r="AZ365">
            <v>4</v>
          </cell>
          <cell r="BA365">
            <v>9</v>
          </cell>
          <cell r="BB365" t="str">
            <v>NULL</v>
          </cell>
        </row>
        <row r="366">
          <cell r="D366">
            <v>104966</v>
          </cell>
          <cell r="E366">
            <v>3436001</v>
          </cell>
          <cell r="F366" t="str">
            <v>Streatham Schools</v>
          </cell>
          <cell r="G366" t="str">
            <v>Other Independent School</v>
          </cell>
          <cell r="H366">
            <v>21114</v>
          </cell>
          <cell r="I366">
            <v>62</v>
          </cell>
          <cell r="J366" t="str">
            <v>North West</v>
          </cell>
          <cell r="K366" t="str">
            <v>North West</v>
          </cell>
          <cell r="L366" t="str">
            <v>Sefton</v>
          </cell>
          <cell r="M366" t="str">
            <v>Sefton Central</v>
          </cell>
          <cell r="N366" t="str">
            <v>L23 8UQ</v>
          </cell>
          <cell r="O366" t="str">
            <v>Does not have a sixth form</v>
          </cell>
          <cell r="P366">
            <v>4</v>
          </cell>
          <cell r="Q366">
            <v>16</v>
          </cell>
          <cell r="R366" t="str">
            <v>None</v>
          </cell>
          <cell r="S366" t="str">
            <v>Ofsted</v>
          </cell>
          <cell r="T366" t="str">
            <v>NULL</v>
          </cell>
          <cell r="U366" t="str">
            <v>NULL</v>
          </cell>
          <cell r="V366" t="str">
            <v>NULL</v>
          </cell>
          <cell r="W366" t="str">
            <v>NULL</v>
          </cell>
          <cell r="X366" t="str">
            <v>NULL</v>
          </cell>
          <cell r="Y366" t="str">
            <v>NULL</v>
          </cell>
          <cell r="Z366" t="str">
            <v>NULL</v>
          </cell>
          <cell r="AA366">
            <v>10020917</v>
          </cell>
          <cell r="AB366" t="str">
            <v>Independent School standard inspection</v>
          </cell>
          <cell r="AC366" t="str">
            <v>Independent Standard Inspection</v>
          </cell>
          <cell r="AD366">
            <v>42759</v>
          </cell>
          <cell r="AE366">
            <v>42761</v>
          </cell>
          <cell r="AF366">
            <v>42780</v>
          </cell>
          <cell r="AG366">
            <v>3</v>
          </cell>
          <cell r="AH366">
            <v>3</v>
          </cell>
          <cell r="AI366">
            <v>3</v>
          </cell>
          <cell r="AJ366">
            <v>3</v>
          </cell>
          <cell r="AK366">
            <v>2</v>
          </cell>
          <cell r="AL366">
            <v>2</v>
          </cell>
          <cell r="AM366" t="str">
            <v>NULL</v>
          </cell>
          <cell r="AN366" t="str">
            <v>Yes</v>
          </cell>
          <cell r="AO366" t="str">
            <v>ITS424498</v>
          </cell>
          <cell r="AP366" t="str">
            <v>Independent School standard inspection</v>
          </cell>
          <cell r="AQ366" t="str">
            <v>Independent Standard Inspection</v>
          </cell>
          <cell r="AR366">
            <v>41548</v>
          </cell>
          <cell r="AS366">
            <v>41550</v>
          </cell>
          <cell r="AT366">
            <v>41571</v>
          </cell>
          <cell r="AU366">
            <v>2</v>
          </cell>
          <cell r="AV366">
            <v>2</v>
          </cell>
          <cell r="AW366">
            <v>2</v>
          </cell>
          <cell r="AX366">
            <v>2</v>
          </cell>
          <cell r="AY366" t="str">
            <v>NULL</v>
          </cell>
          <cell r="AZ366" t="str">
            <v>NULL</v>
          </cell>
          <cell r="BA366" t="str">
            <v>NULL</v>
          </cell>
          <cell r="BB366" t="str">
            <v>NULL</v>
          </cell>
        </row>
        <row r="367">
          <cell r="D367">
            <v>136100</v>
          </cell>
          <cell r="E367">
            <v>2036041</v>
          </cell>
          <cell r="F367" t="str">
            <v>StreetVibes Media Academy</v>
          </cell>
          <cell r="G367" t="str">
            <v>Other Independent School</v>
          </cell>
          <cell r="H367">
            <v>40287</v>
          </cell>
          <cell r="I367">
            <v>23</v>
          </cell>
          <cell r="J367" t="str">
            <v>London</v>
          </cell>
          <cell r="K367" t="str">
            <v>London</v>
          </cell>
          <cell r="L367" t="str">
            <v>Greenwich</v>
          </cell>
          <cell r="M367" t="str">
            <v>Eltham</v>
          </cell>
          <cell r="N367" t="str">
            <v>SE9 1DA</v>
          </cell>
          <cell r="O367" t="str">
            <v>Has a sixth form</v>
          </cell>
          <cell r="P367">
            <v>11</v>
          </cell>
          <cell r="Q367">
            <v>19</v>
          </cell>
          <cell r="R367" t="str">
            <v>None</v>
          </cell>
          <cell r="S367" t="str">
            <v>Ofsted</v>
          </cell>
          <cell r="T367" t="str">
            <v>NULL</v>
          </cell>
          <cell r="U367" t="str">
            <v>NULL</v>
          </cell>
          <cell r="V367" t="str">
            <v>NULL</v>
          </cell>
          <cell r="W367" t="str">
            <v>NULL</v>
          </cell>
          <cell r="X367" t="str">
            <v>NULL</v>
          </cell>
          <cell r="Y367" t="str">
            <v>NULL</v>
          </cell>
          <cell r="Z367" t="str">
            <v>NULL</v>
          </cell>
          <cell r="AA367">
            <v>10026806</v>
          </cell>
          <cell r="AB367" t="str">
            <v>Independent School standard inspection</v>
          </cell>
          <cell r="AC367" t="str">
            <v>Independent Standard Inspection</v>
          </cell>
          <cell r="AD367">
            <v>42752</v>
          </cell>
          <cell r="AE367">
            <v>42754</v>
          </cell>
          <cell r="AF367">
            <v>42772</v>
          </cell>
          <cell r="AG367">
            <v>2</v>
          </cell>
          <cell r="AH367">
            <v>2</v>
          </cell>
          <cell r="AI367">
            <v>2</v>
          </cell>
          <cell r="AJ367">
            <v>2</v>
          </cell>
          <cell r="AK367">
            <v>2</v>
          </cell>
          <cell r="AL367" t="str">
            <v>NULL</v>
          </cell>
          <cell r="AM367">
            <v>2</v>
          </cell>
          <cell r="AN367" t="str">
            <v>Yes</v>
          </cell>
          <cell r="AO367" t="str">
            <v>ITS442977</v>
          </cell>
          <cell r="AP367" t="str">
            <v>Independent School standard inspection</v>
          </cell>
          <cell r="AQ367" t="str">
            <v>Independent Standard Inspection</v>
          </cell>
          <cell r="AR367">
            <v>41815</v>
          </cell>
          <cell r="AS367">
            <v>41817</v>
          </cell>
          <cell r="AT367">
            <v>41836</v>
          </cell>
          <cell r="AU367">
            <v>2</v>
          </cell>
          <cell r="AV367">
            <v>2</v>
          </cell>
          <cell r="AW367">
            <v>2</v>
          </cell>
          <cell r="AX367">
            <v>2</v>
          </cell>
          <cell r="AY367" t="str">
            <v>NULL</v>
          </cell>
          <cell r="AZ367" t="str">
            <v>NULL</v>
          </cell>
          <cell r="BA367" t="str">
            <v>NULL</v>
          </cell>
          <cell r="BB367" t="str">
            <v>NULL</v>
          </cell>
        </row>
        <row r="368">
          <cell r="D368">
            <v>134243</v>
          </cell>
          <cell r="E368">
            <v>3136072</v>
          </cell>
          <cell r="F368" t="str">
            <v>Suffah Primary School</v>
          </cell>
          <cell r="G368" t="str">
            <v>Other Independent School</v>
          </cell>
          <cell r="H368">
            <v>37802</v>
          </cell>
          <cell r="I368">
            <v>159</v>
          </cell>
          <cell r="J368" t="str">
            <v>London</v>
          </cell>
          <cell r="K368" t="str">
            <v>London</v>
          </cell>
          <cell r="L368" t="str">
            <v>Hounslow</v>
          </cell>
          <cell r="M368" t="str">
            <v>Brentford and Isleworth</v>
          </cell>
          <cell r="N368" t="str">
            <v>TW4 5HU</v>
          </cell>
          <cell r="O368" t="str">
            <v>Does not have a sixth form</v>
          </cell>
          <cell r="P368">
            <v>3</v>
          </cell>
          <cell r="Q368">
            <v>11</v>
          </cell>
          <cell r="R368" t="str">
            <v>None</v>
          </cell>
          <cell r="S368" t="str">
            <v>Ofsted</v>
          </cell>
          <cell r="T368" t="str">
            <v>NULL</v>
          </cell>
          <cell r="U368" t="str">
            <v>NULL</v>
          </cell>
          <cell r="V368" t="str">
            <v>NULL</v>
          </cell>
          <cell r="W368" t="str">
            <v>NULL</v>
          </cell>
          <cell r="X368" t="str">
            <v>NULL</v>
          </cell>
          <cell r="Y368" t="str">
            <v>NULL</v>
          </cell>
          <cell r="Z368" t="str">
            <v>NULL</v>
          </cell>
          <cell r="AA368">
            <v>10007697</v>
          </cell>
          <cell r="AB368" t="str">
            <v>Independent School standard inspection</v>
          </cell>
          <cell r="AC368" t="str">
            <v>Independent Standard Inspection</v>
          </cell>
          <cell r="AD368">
            <v>43109</v>
          </cell>
          <cell r="AE368">
            <v>43111</v>
          </cell>
          <cell r="AF368">
            <v>43158</v>
          </cell>
          <cell r="AG368">
            <v>3</v>
          </cell>
          <cell r="AH368">
            <v>3</v>
          </cell>
          <cell r="AI368">
            <v>3</v>
          </cell>
          <cell r="AJ368">
            <v>3</v>
          </cell>
          <cell r="AK368">
            <v>3</v>
          </cell>
          <cell r="AL368">
            <v>3</v>
          </cell>
          <cell r="AM368" t="str">
            <v>NULL</v>
          </cell>
          <cell r="AN368" t="str">
            <v>Yes</v>
          </cell>
          <cell r="AO368" t="str">
            <v>ITS316958</v>
          </cell>
          <cell r="AP368" t="str">
            <v>Independent School standard inspection</v>
          </cell>
          <cell r="AQ368" t="str">
            <v>Independent Standard Inspection</v>
          </cell>
          <cell r="AR368">
            <v>39414</v>
          </cell>
          <cell r="AS368">
            <v>39415</v>
          </cell>
          <cell r="AT368">
            <v>39441</v>
          </cell>
          <cell r="AU368">
            <v>3</v>
          </cell>
          <cell r="AV368">
            <v>3</v>
          </cell>
          <cell r="AW368">
            <v>3</v>
          </cell>
          <cell r="AX368" t="str">
            <v>NULL</v>
          </cell>
          <cell r="AY368" t="str">
            <v>NULL</v>
          </cell>
          <cell r="AZ368" t="str">
            <v>NULL</v>
          </cell>
          <cell r="BA368" t="str">
            <v>NULL</v>
          </cell>
          <cell r="BB368" t="str">
            <v>NULL</v>
          </cell>
        </row>
        <row r="369">
          <cell r="D369">
            <v>137821</v>
          </cell>
          <cell r="E369">
            <v>3596000</v>
          </cell>
          <cell r="F369" t="str">
            <v>The Parks</v>
          </cell>
          <cell r="G369" t="str">
            <v>Other Independent Special School</v>
          </cell>
          <cell r="H369">
            <v>40920</v>
          </cell>
          <cell r="I369">
            <v>8</v>
          </cell>
          <cell r="J369" t="str">
            <v>North West</v>
          </cell>
          <cell r="K369" t="str">
            <v>North West</v>
          </cell>
          <cell r="L369" t="str">
            <v>Wigan</v>
          </cell>
          <cell r="M369" t="str">
            <v>Leigh</v>
          </cell>
          <cell r="N369" t="str">
            <v>WA3 3PU</v>
          </cell>
          <cell r="O369" t="str">
            <v>Not applicable</v>
          </cell>
          <cell r="P369">
            <v>11</v>
          </cell>
          <cell r="Q369">
            <v>16</v>
          </cell>
          <cell r="R369" t="str">
            <v>None</v>
          </cell>
          <cell r="S369" t="str">
            <v>Ofsted</v>
          </cell>
          <cell r="T369">
            <v>1</v>
          </cell>
          <cell r="U369">
            <v>10040246</v>
          </cell>
          <cell r="V369" t="str">
            <v>Independent school Material Change inspection</v>
          </cell>
          <cell r="W369">
            <v>42956</v>
          </cell>
          <cell r="X369">
            <v>42956</v>
          </cell>
          <cell r="Y369">
            <v>43010</v>
          </cell>
          <cell r="Z369" t="str">
            <v>Likely to meet relevant standards</v>
          </cell>
          <cell r="AA369">
            <v>10008886</v>
          </cell>
          <cell r="AB369" t="str">
            <v>Independent School standard inspection</v>
          </cell>
          <cell r="AC369" t="str">
            <v>Independent Standard Inspection</v>
          </cell>
          <cell r="AD369">
            <v>42563</v>
          </cell>
          <cell r="AE369">
            <v>42565</v>
          </cell>
          <cell r="AF369">
            <v>42633</v>
          </cell>
          <cell r="AG369">
            <v>2</v>
          </cell>
          <cell r="AH369">
            <v>2</v>
          </cell>
          <cell r="AI369">
            <v>2</v>
          </cell>
          <cell r="AJ369">
            <v>2</v>
          </cell>
          <cell r="AK369">
            <v>2</v>
          </cell>
          <cell r="AL369" t="str">
            <v>NULL</v>
          </cell>
          <cell r="AM369" t="str">
            <v>NULL</v>
          </cell>
          <cell r="AN369" t="str">
            <v>Yes</v>
          </cell>
          <cell r="AO369" t="str">
            <v>ITS408671</v>
          </cell>
          <cell r="AP369" t="str">
            <v xml:space="preserve">Independent school standard inspection - integrated - first </v>
          </cell>
          <cell r="AQ369" t="str">
            <v>Independent Standard Inspection</v>
          </cell>
          <cell r="AR369">
            <v>41254</v>
          </cell>
          <cell r="AS369">
            <v>41255</v>
          </cell>
          <cell r="AT369">
            <v>41284</v>
          </cell>
          <cell r="AU369">
            <v>3</v>
          </cell>
          <cell r="AV369">
            <v>3</v>
          </cell>
          <cell r="AW369">
            <v>3</v>
          </cell>
          <cell r="AX369" t="str">
            <v>NULL</v>
          </cell>
          <cell r="AY369" t="str">
            <v>NULL</v>
          </cell>
          <cell r="AZ369">
            <v>8</v>
          </cell>
          <cell r="BA369" t="str">
            <v>NULL</v>
          </cell>
          <cell r="BB369" t="str">
            <v>NULL</v>
          </cell>
        </row>
        <row r="370">
          <cell r="D370">
            <v>136110</v>
          </cell>
          <cell r="E370">
            <v>2126041</v>
          </cell>
          <cell r="F370" t="str">
            <v>The Priory Lodge School</v>
          </cell>
          <cell r="G370" t="str">
            <v>Other Independent Special School</v>
          </cell>
          <cell r="H370">
            <v>40303</v>
          </cell>
          <cell r="I370">
            <v>64</v>
          </cell>
          <cell r="J370" t="str">
            <v>London</v>
          </cell>
          <cell r="K370" t="str">
            <v>London</v>
          </cell>
          <cell r="L370" t="str">
            <v>Wandsworth</v>
          </cell>
          <cell r="M370" t="str">
            <v>Putney</v>
          </cell>
          <cell r="N370" t="str">
            <v>SW15 5JJ</v>
          </cell>
          <cell r="O370" t="str">
            <v>Has a sixth form</v>
          </cell>
          <cell r="P370">
            <v>5</v>
          </cell>
          <cell r="Q370">
            <v>19</v>
          </cell>
          <cell r="R370" t="str">
            <v>None</v>
          </cell>
          <cell r="S370" t="str">
            <v>Ofsted</v>
          </cell>
          <cell r="T370" t="str">
            <v>NULL</v>
          </cell>
          <cell r="U370" t="str">
            <v>NULL</v>
          </cell>
          <cell r="V370" t="str">
            <v>NULL</v>
          </cell>
          <cell r="W370" t="str">
            <v>NULL</v>
          </cell>
          <cell r="X370" t="str">
            <v>NULL</v>
          </cell>
          <cell r="Y370" t="str">
            <v>NULL</v>
          </cell>
          <cell r="Z370" t="str">
            <v>NULL</v>
          </cell>
          <cell r="AA370">
            <v>10026156</v>
          </cell>
          <cell r="AB370" t="str">
            <v>Independent School standard inspection</v>
          </cell>
          <cell r="AC370" t="str">
            <v>Independent Standard Inspection</v>
          </cell>
          <cell r="AD370">
            <v>42690</v>
          </cell>
          <cell r="AE370">
            <v>42692</v>
          </cell>
          <cell r="AF370">
            <v>42724</v>
          </cell>
          <cell r="AG370">
            <v>2</v>
          </cell>
          <cell r="AH370">
            <v>2</v>
          </cell>
          <cell r="AI370">
            <v>2</v>
          </cell>
          <cell r="AJ370">
            <v>2</v>
          </cell>
          <cell r="AK370">
            <v>2</v>
          </cell>
          <cell r="AL370" t="str">
            <v>NULL</v>
          </cell>
          <cell r="AM370">
            <v>2</v>
          </cell>
          <cell r="AN370" t="str">
            <v>Yes</v>
          </cell>
          <cell r="AO370" t="str">
            <v>ITS440225</v>
          </cell>
          <cell r="AP370" t="str">
            <v>Independent School standard inspection</v>
          </cell>
          <cell r="AQ370" t="str">
            <v>Independent Standard Inspection</v>
          </cell>
          <cell r="AR370">
            <v>41668</v>
          </cell>
          <cell r="AS370">
            <v>41670</v>
          </cell>
          <cell r="AT370">
            <v>41697</v>
          </cell>
          <cell r="AU370">
            <v>2</v>
          </cell>
          <cell r="AV370">
            <v>2</v>
          </cell>
          <cell r="AW370">
            <v>2</v>
          </cell>
          <cell r="AX370">
            <v>2</v>
          </cell>
          <cell r="AY370" t="str">
            <v>NULL</v>
          </cell>
          <cell r="AZ370" t="str">
            <v>NULL</v>
          </cell>
          <cell r="BA370" t="str">
            <v>NULL</v>
          </cell>
          <cell r="BB370" t="str">
            <v>NULL</v>
          </cell>
        </row>
        <row r="371">
          <cell r="D371">
            <v>134605</v>
          </cell>
          <cell r="E371">
            <v>8866108</v>
          </cell>
          <cell r="F371" t="str">
            <v>The Quest School</v>
          </cell>
          <cell r="G371" t="str">
            <v>Other Independent Special School</v>
          </cell>
          <cell r="H371">
            <v>38005</v>
          </cell>
          <cell r="I371">
            <v>16</v>
          </cell>
          <cell r="J371" t="str">
            <v>South East</v>
          </cell>
          <cell r="K371" t="str">
            <v>South East</v>
          </cell>
          <cell r="L371" t="str">
            <v>Kent</v>
          </cell>
          <cell r="M371" t="str">
            <v>Maidstone and The Weald</v>
          </cell>
          <cell r="N371" t="str">
            <v>TN12 6PY</v>
          </cell>
          <cell r="O371" t="str">
            <v>Has a sixth form</v>
          </cell>
          <cell r="P371">
            <v>5</v>
          </cell>
          <cell r="Q371">
            <v>19</v>
          </cell>
          <cell r="R371" t="str">
            <v>None</v>
          </cell>
          <cell r="S371" t="str">
            <v>Ofsted</v>
          </cell>
          <cell r="T371">
            <v>1</v>
          </cell>
          <cell r="U371" t="str">
            <v>ITS445759</v>
          </cell>
          <cell r="V371" t="str">
            <v xml:space="preserve">Independent School material change inspection - Integrated </v>
          </cell>
          <cell r="W371">
            <v>41765</v>
          </cell>
          <cell r="X371">
            <v>41765</v>
          </cell>
          <cell r="Y371" t="str">
            <v>NULL</v>
          </cell>
          <cell r="Z371" t="str">
            <v>NULL</v>
          </cell>
          <cell r="AA371" t="str">
            <v>ITS393305</v>
          </cell>
          <cell r="AB371" t="str">
            <v>Independent School standard inspection</v>
          </cell>
          <cell r="AC371" t="str">
            <v>Independent Standard Inspection</v>
          </cell>
          <cell r="AD371">
            <v>41080</v>
          </cell>
          <cell r="AE371">
            <v>41081</v>
          </cell>
          <cell r="AF371">
            <v>41102</v>
          </cell>
          <cell r="AG371">
            <v>1</v>
          </cell>
          <cell r="AH371">
            <v>1</v>
          </cell>
          <cell r="AI371">
            <v>1</v>
          </cell>
          <cell r="AJ371" t="str">
            <v>NULL</v>
          </cell>
          <cell r="AK371" t="str">
            <v>NULL</v>
          </cell>
          <cell r="AL371">
            <v>8</v>
          </cell>
          <cell r="AM371" t="str">
            <v>NULL</v>
          </cell>
          <cell r="AN371" t="str">
            <v>NULL</v>
          </cell>
          <cell r="AO371" t="str">
            <v>ITS330416</v>
          </cell>
          <cell r="AP371" t="str">
            <v>Independent School standard inspection</v>
          </cell>
          <cell r="AQ371" t="str">
            <v>Independent Standard Inspection</v>
          </cell>
          <cell r="AR371">
            <v>39834</v>
          </cell>
          <cell r="AS371">
            <v>39835</v>
          </cell>
          <cell r="AT371">
            <v>39860</v>
          </cell>
          <cell r="AU371">
            <v>2</v>
          </cell>
          <cell r="AV371">
            <v>2</v>
          </cell>
          <cell r="AW371">
            <v>2</v>
          </cell>
          <cell r="AX371" t="str">
            <v>NULL</v>
          </cell>
          <cell r="AY371" t="str">
            <v>NULL</v>
          </cell>
          <cell r="AZ371">
            <v>0</v>
          </cell>
          <cell r="BA371" t="str">
            <v>NULL</v>
          </cell>
          <cell r="BB371" t="str">
            <v>NULL</v>
          </cell>
        </row>
        <row r="372">
          <cell r="D372">
            <v>106965</v>
          </cell>
          <cell r="E372">
            <v>3706004</v>
          </cell>
          <cell r="F372" t="str">
            <v>The Robert Ogden School</v>
          </cell>
          <cell r="G372" t="str">
            <v>Other Independent Special School</v>
          </cell>
          <cell r="H372">
            <v>28649</v>
          </cell>
          <cell r="I372">
            <v>95</v>
          </cell>
          <cell r="J372" t="str">
            <v>North East, Yorkshire and the Humber</v>
          </cell>
          <cell r="K372" t="str">
            <v>Yorkshire and the Humber</v>
          </cell>
          <cell r="L372" t="str">
            <v>Barnsley</v>
          </cell>
          <cell r="M372" t="str">
            <v>Wentworth and Dearne</v>
          </cell>
          <cell r="N372" t="str">
            <v>S63 0BG</v>
          </cell>
          <cell r="O372" t="str">
            <v>Has a sixth form</v>
          </cell>
          <cell r="P372">
            <v>5</v>
          </cell>
          <cell r="Q372">
            <v>19</v>
          </cell>
          <cell r="R372" t="str">
            <v>None</v>
          </cell>
          <cell r="S372" t="str">
            <v>Ofsted</v>
          </cell>
          <cell r="T372" t="str">
            <v>NULL</v>
          </cell>
          <cell r="U372" t="str">
            <v>NULL</v>
          </cell>
          <cell r="V372" t="str">
            <v>NULL</v>
          </cell>
          <cell r="W372" t="str">
            <v>NULL</v>
          </cell>
          <cell r="X372" t="str">
            <v>NULL</v>
          </cell>
          <cell r="Y372" t="str">
            <v>NULL</v>
          </cell>
          <cell r="Z372" t="str">
            <v>NULL</v>
          </cell>
          <cell r="AA372" t="str">
            <v>ITS446377</v>
          </cell>
          <cell r="AB372" t="str">
            <v xml:space="preserve">Independent School standard inspection - integrated </v>
          </cell>
          <cell r="AC372" t="str">
            <v>Independent Standard Inspection</v>
          </cell>
          <cell r="AD372">
            <v>42038</v>
          </cell>
          <cell r="AE372">
            <v>42040</v>
          </cell>
          <cell r="AF372">
            <v>42074</v>
          </cell>
          <cell r="AG372">
            <v>2</v>
          </cell>
          <cell r="AH372">
            <v>2</v>
          </cell>
          <cell r="AI372">
            <v>2</v>
          </cell>
          <cell r="AJ372">
            <v>2</v>
          </cell>
          <cell r="AK372" t="str">
            <v>NULL</v>
          </cell>
          <cell r="AL372">
            <v>9</v>
          </cell>
          <cell r="AM372">
            <v>2</v>
          </cell>
          <cell r="AN372" t="str">
            <v>NULL</v>
          </cell>
          <cell r="AO372" t="str">
            <v>ITS386882</v>
          </cell>
          <cell r="AP372" t="str">
            <v>Independent School standard inspection</v>
          </cell>
          <cell r="AQ372" t="str">
            <v>Independent Standard Inspection</v>
          </cell>
          <cell r="AR372">
            <v>40869</v>
          </cell>
          <cell r="AS372">
            <v>40870</v>
          </cell>
          <cell r="AT372">
            <v>40891</v>
          </cell>
          <cell r="AU372">
            <v>1</v>
          </cell>
          <cell r="AV372">
            <v>1</v>
          </cell>
          <cell r="AW372">
            <v>1</v>
          </cell>
          <cell r="AX372" t="str">
            <v>NULL</v>
          </cell>
          <cell r="AY372" t="str">
            <v>NULL</v>
          </cell>
          <cell r="AZ372">
            <v>8</v>
          </cell>
          <cell r="BA372" t="str">
            <v>NULL</v>
          </cell>
          <cell r="BB372" t="str">
            <v>NULL</v>
          </cell>
        </row>
        <row r="373">
          <cell r="D373">
            <v>138132</v>
          </cell>
          <cell r="E373">
            <v>8026010</v>
          </cell>
          <cell r="F373" t="str">
            <v>Woodspring School</v>
          </cell>
          <cell r="G373" t="str">
            <v>Other Independent Special School</v>
          </cell>
          <cell r="H373">
            <v>41029</v>
          </cell>
          <cell r="I373">
            <v>10</v>
          </cell>
          <cell r="J373" t="str">
            <v>South West</v>
          </cell>
          <cell r="K373" t="str">
            <v>South West</v>
          </cell>
          <cell r="L373" t="str">
            <v>North Somerset</v>
          </cell>
          <cell r="M373" t="str">
            <v>Weston-Super-Mare</v>
          </cell>
          <cell r="N373" t="str">
            <v>BS22 7YA</v>
          </cell>
          <cell r="O373" t="str">
            <v>Not applicable</v>
          </cell>
          <cell r="P373">
            <v>11</v>
          </cell>
          <cell r="Q373">
            <v>18</v>
          </cell>
          <cell r="R373" t="str">
            <v>None</v>
          </cell>
          <cell r="S373" t="str">
            <v>Ofsted</v>
          </cell>
          <cell r="T373" t="str">
            <v>NULL</v>
          </cell>
          <cell r="U373" t="str">
            <v>NULL</v>
          </cell>
          <cell r="V373" t="str">
            <v>NULL</v>
          </cell>
          <cell r="W373" t="str">
            <v>NULL</v>
          </cell>
          <cell r="X373" t="str">
            <v>NULL</v>
          </cell>
          <cell r="Y373" t="str">
            <v>NULL</v>
          </cell>
          <cell r="Z373" t="str">
            <v>NULL</v>
          </cell>
          <cell r="AA373">
            <v>10008578</v>
          </cell>
          <cell r="AB373" t="str">
            <v>Independent School standard inspection</v>
          </cell>
          <cell r="AC373" t="str">
            <v>Independent Standard Inspection</v>
          </cell>
          <cell r="AD373">
            <v>42633</v>
          </cell>
          <cell r="AE373">
            <v>42635</v>
          </cell>
          <cell r="AF373">
            <v>42681</v>
          </cell>
          <cell r="AG373">
            <v>2</v>
          </cell>
          <cell r="AH373">
            <v>2</v>
          </cell>
          <cell r="AI373">
            <v>2</v>
          </cell>
          <cell r="AJ373">
            <v>2</v>
          </cell>
          <cell r="AK373">
            <v>2</v>
          </cell>
          <cell r="AL373" t="str">
            <v>NULL</v>
          </cell>
          <cell r="AM373" t="str">
            <v>NULL</v>
          </cell>
          <cell r="AN373" t="str">
            <v>Yes</v>
          </cell>
          <cell r="AO373" t="str">
            <v>ITS408693</v>
          </cell>
          <cell r="AP373" t="str">
            <v>Independent school standard inspection - first</v>
          </cell>
          <cell r="AQ373" t="str">
            <v>Independent Standard Inspection</v>
          </cell>
          <cell r="AR373">
            <v>41346</v>
          </cell>
          <cell r="AS373">
            <v>41347</v>
          </cell>
          <cell r="AT373">
            <v>41382</v>
          </cell>
          <cell r="AU373">
            <v>3</v>
          </cell>
          <cell r="AV373">
            <v>3</v>
          </cell>
          <cell r="AW373">
            <v>3</v>
          </cell>
          <cell r="AX373">
            <v>3</v>
          </cell>
          <cell r="AY373" t="str">
            <v>NULL</v>
          </cell>
          <cell r="AZ373" t="str">
            <v>NULL</v>
          </cell>
          <cell r="BA373" t="str">
            <v>NULL</v>
          </cell>
          <cell r="BB373" t="str">
            <v>NULL</v>
          </cell>
        </row>
        <row r="374">
          <cell r="D374">
            <v>133478</v>
          </cell>
          <cell r="E374">
            <v>8936025</v>
          </cell>
          <cell r="F374" t="str">
            <v>Hillcrest Shifnal School</v>
          </cell>
          <cell r="G374" t="str">
            <v>Other Independent Special School</v>
          </cell>
          <cell r="H374">
            <v>37189</v>
          </cell>
          <cell r="I374">
            <v>47</v>
          </cell>
          <cell r="J374" t="str">
            <v>West Midlands</v>
          </cell>
          <cell r="K374" t="str">
            <v>West Midlands</v>
          </cell>
          <cell r="L374" t="str">
            <v>Shropshire</v>
          </cell>
          <cell r="M374" t="str">
            <v>The Wrekin</v>
          </cell>
          <cell r="N374" t="str">
            <v>TF11 8SD</v>
          </cell>
          <cell r="O374" t="str">
            <v>Not applicable</v>
          </cell>
          <cell r="P374">
            <v>7</v>
          </cell>
          <cell r="Q374">
            <v>19</v>
          </cell>
          <cell r="R374" t="str">
            <v>None</v>
          </cell>
          <cell r="S374" t="str">
            <v>Ofsted</v>
          </cell>
          <cell r="T374">
            <v>5</v>
          </cell>
          <cell r="U374">
            <v>10045758</v>
          </cell>
          <cell r="V374" t="str">
            <v>Independent school evaluation of school action plan</v>
          </cell>
          <cell r="W374">
            <v>43133</v>
          </cell>
          <cell r="X374">
            <v>43133</v>
          </cell>
          <cell r="Y374" t="str">
            <v>NULL</v>
          </cell>
          <cell r="Z374" t="str">
            <v>Action plan is not acceptable</v>
          </cell>
          <cell r="AA374" t="str">
            <v>ITS463026</v>
          </cell>
          <cell r="AB374" t="str">
            <v>Independent School standard inspection</v>
          </cell>
          <cell r="AC374" t="str">
            <v>Independent Standard Inspection</v>
          </cell>
          <cell r="AD374">
            <v>42185</v>
          </cell>
          <cell r="AE374">
            <v>42187</v>
          </cell>
          <cell r="AF374">
            <v>42212</v>
          </cell>
          <cell r="AG374">
            <v>2</v>
          </cell>
          <cell r="AH374">
            <v>2</v>
          </cell>
          <cell r="AI374">
            <v>2</v>
          </cell>
          <cell r="AJ374">
            <v>2</v>
          </cell>
          <cell r="AK374" t="str">
            <v>NULL</v>
          </cell>
          <cell r="AL374">
            <v>9</v>
          </cell>
          <cell r="AM374">
            <v>2</v>
          </cell>
          <cell r="AN374" t="str">
            <v>NULL</v>
          </cell>
          <cell r="AO374" t="str">
            <v>ITS444600</v>
          </cell>
          <cell r="AP374" t="str">
            <v>Independent School standard inspection</v>
          </cell>
          <cell r="AQ374" t="str">
            <v>Independent Standard Inspection</v>
          </cell>
          <cell r="AR374">
            <v>41808</v>
          </cell>
          <cell r="AS374">
            <v>41810</v>
          </cell>
          <cell r="AT374">
            <v>41829</v>
          </cell>
          <cell r="AU374">
            <v>2</v>
          </cell>
          <cell r="AV374">
            <v>2</v>
          </cell>
          <cell r="AW374">
            <v>2</v>
          </cell>
          <cell r="AX374">
            <v>2</v>
          </cell>
          <cell r="AY374" t="str">
            <v>NULL</v>
          </cell>
          <cell r="AZ374" t="str">
            <v>NULL</v>
          </cell>
          <cell r="BA374" t="str">
            <v>NULL</v>
          </cell>
          <cell r="BB374" t="str">
            <v>NULL</v>
          </cell>
        </row>
        <row r="375">
          <cell r="D375">
            <v>136220</v>
          </cell>
          <cell r="E375">
            <v>8616004</v>
          </cell>
          <cell r="F375" t="str">
            <v>Hillcrest Glebedale School</v>
          </cell>
          <cell r="G375" t="str">
            <v>Other Independent Special School</v>
          </cell>
          <cell r="H375">
            <v>40417</v>
          </cell>
          <cell r="I375">
            <v>9</v>
          </cell>
          <cell r="J375" t="str">
            <v>West Midlands</v>
          </cell>
          <cell r="K375" t="str">
            <v>West Midlands</v>
          </cell>
          <cell r="L375" t="str">
            <v>Stoke-on-Trent</v>
          </cell>
          <cell r="M375" t="str">
            <v>Stoke-on-Trent South</v>
          </cell>
          <cell r="N375" t="str">
            <v>ST4 3AY</v>
          </cell>
          <cell r="O375" t="str">
            <v>Has a sixth form</v>
          </cell>
          <cell r="P375">
            <v>7</v>
          </cell>
          <cell r="Q375">
            <v>19</v>
          </cell>
          <cell r="R375" t="str">
            <v>None</v>
          </cell>
          <cell r="S375" t="str">
            <v>Ofsted</v>
          </cell>
          <cell r="T375">
            <v>1</v>
          </cell>
          <cell r="U375">
            <v>10026728</v>
          </cell>
          <cell r="V375" t="str">
            <v>Independent school Material Change inspection</v>
          </cell>
          <cell r="W375">
            <v>42794</v>
          </cell>
          <cell r="X375">
            <v>42794</v>
          </cell>
          <cell r="Y375">
            <v>42825</v>
          </cell>
          <cell r="Z375" t="str">
            <v>Likely to meet relevant standards</v>
          </cell>
          <cell r="AA375" t="str">
            <v>ITS446255</v>
          </cell>
          <cell r="AB375" t="str">
            <v>Independent School standard inspection</v>
          </cell>
          <cell r="AC375" t="str">
            <v>Independent Standard Inspection</v>
          </cell>
          <cell r="AD375">
            <v>41975</v>
          </cell>
          <cell r="AE375">
            <v>41977</v>
          </cell>
          <cell r="AF375">
            <v>41996</v>
          </cell>
          <cell r="AG375">
            <v>1</v>
          </cell>
          <cell r="AH375">
            <v>1</v>
          </cell>
          <cell r="AI375">
            <v>1</v>
          </cell>
          <cell r="AJ375">
            <v>1</v>
          </cell>
          <cell r="AK375" t="str">
            <v>NULL</v>
          </cell>
          <cell r="AL375">
            <v>9</v>
          </cell>
          <cell r="AM375">
            <v>1</v>
          </cell>
          <cell r="AN375" t="str">
            <v>NULL</v>
          </cell>
          <cell r="AO375" t="str">
            <v>ITS366891</v>
          </cell>
          <cell r="AP375" t="str">
            <v xml:space="preserve">Independent School standard inspection - integrated </v>
          </cell>
          <cell r="AQ375" t="str">
            <v>Independent Standard Inspection</v>
          </cell>
          <cell r="AR375">
            <v>40716</v>
          </cell>
          <cell r="AS375">
            <v>40717</v>
          </cell>
          <cell r="AT375">
            <v>40738</v>
          </cell>
          <cell r="AU375">
            <v>2</v>
          </cell>
          <cell r="AV375">
            <v>2</v>
          </cell>
          <cell r="AW375">
            <v>2</v>
          </cell>
          <cell r="AX375" t="str">
            <v>NULL</v>
          </cell>
          <cell r="AY375" t="str">
            <v>NULL</v>
          </cell>
          <cell r="AZ375">
            <v>8</v>
          </cell>
          <cell r="BA375" t="str">
            <v>NULL</v>
          </cell>
          <cell r="BB375" t="str">
            <v>NULL</v>
          </cell>
        </row>
        <row r="376">
          <cell r="D376">
            <v>135608</v>
          </cell>
          <cell r="E376">
            <v>3306129</v>
          </cell>
          <cell r="F376" t="str">
            <v>TLG North Birmingham</v>
          </cell>
          <cell r="G376" t="str">
            <v>Other Independent School</v>
          </cell>
          <cell r="H376">
            <v>39624</v>
          </cell>
          <cell r="I376">
            <v>10</v>
          </cell>
          <cell r="J376" t="str">
            <v>West Midlands</v>
          </cell>
          <cell r="K376" t="str">
            <v>West Midlands</v>
          </cell>
          <cell r="L376" t="str">
            <v>Birmingham</v>
          </cell>
          <cell r="M376" t="str">
            <v>Birmingham, Perry Barr</v>
          </cell>
          <cell r="N376" t="str">
            <v>B44 9SH</v>
          </cell>
          <cell r="O376" t="str">
            <v>Does not have a sixth form</v>
          </cell>
          <cell r="P376">
            <v>12</v>
          </cell>
          <cell r="Q376">
            <v>16</v>
          </cell>
          <cell r="R376" t="str">
            <v>None</v>
          </cell>
          <cell r="S376" t="str">
            <v>Ofsted</v>
          </cell>
          <cell r="T376" t="str">
            <v>NULL</v>
          </cell>
          <cell r="U376" t="str">
            <v>NULL</v>
          </cell>
          <cell r="V376" t="str">
            <v>NULL</v>
          </cell>
          <cell r="W376" t="str">
            <v>NULL</v>
          </cell>
          <cell r="X376" t="str">
            <v>NULL</v>
          </cell>
          <cell r="Y376" t="str">
            <v>NULL</v>
          </cell>
          <cell r="Z376" t="str">
            <v>NULL</v>
          </cell>
          <cell r="AA376">
            <v>10006093</v>
          </cell>
          <cell r="AB376" t="str">
            <v>Independent School standard inspection</v>
          </cell>
          <cell r="AC376" t="str">
            <v>Independent Standard Inspection</v>
          </cell>
          <cell r="AD376">
            <v>43011</v>
          </cell>
          <cell r="AE376">
            <v>43013</v>
          </cell>
          <cell r="AF376">
            <v>43045</v>
          </cell>
          <cell r="AG376">
            <v>2</v>
          </cell>
          <cell r="AH376">
            <v>2</v>
          </cell>
          <cell r="AI376">
            <v>2</v>
          </cell>
          <cell r="AJ376">
            <v>2</v>
          </cell>
          <cell r="AK376">
            <v>2</v>
          </cell>
          <cell r="AL376" t="str">
            <v>NULL</v>
          </cell>
          <cell r="AM376" t="str">
            <v>NULL</v>
          </cell>
          <cell r="AN376" t="str">
            <v>Yes</v>
          </cell>
          <cell r="AO376" t="str">
            <v>ITS397626</v>
          </cell>
          <cell r="AP376" t="str">
            <v>Independent School standard inspection</v>
          </cell>
          <cell r="AQ376" t="str">
            <v>Independent Standard Inspection</v>
          </cell>
          <cell r="AR376">
            <v>41177</v>
          </cell>
          <cell r="AS376">
            <v>41178</v>
          </cell>
          <cell r="AT376">
            <v>41214</v>
          </cell>
          <cell r="AU376">
            <v>3</v>
          </cell>
          <cell r="AV376">
            <v>3</v>
          </cell>
          <cell r="AW376">
            <v>3</v>
          </cell>
          <cell r="AX376" t="str">
            <v>NULL</v>
          </cell>
          <cell r="AY376" t="str">
            <v>NULL</v>
          </cell>
          <cell r="AZ376">
            <v>8</v>
          </cell>
          <cell r="BA376" t="str">
            <v>NULL</v>
          </cell>
          <cell r="BB376" t="str">
            <v>NULL</v>
          </cell>
        </row>
        <row r="377">
          <cell r="D377">
            <v>100537</v>
          </cell>
          <cell r="E377">
            <v>2076348</v>
          </cell>
          <cell r="F377" t="str">
            <v>Ashbourne Independent School</v>
          </cell>
          <cell r="G377" t="str">
            <v>Other Independent School</v>
          </cell>
          <cell r="H377">
            <v>31111</v>
          </cell>
          <cell r="I377">
            <v>292</v>
          </cell>
          <cell r="J377" t="str">
            <v>London</v>
          </cell>
          <cell r="K377" t="str">
            <v>London</v>
          </cell>
          <cell r="L377" t="str">
            <v>Kensington and Chelsea</v>
          </cell>
          <cell r="M377" t="str">
            <v>Kensington</v>
          </cell>
          <cell r="N377" t="str">
            <v>W8 4PL</v>
          </cell>
          <cell r="O377" t="str">
            <v>Has a sixth form</v>
          </cell>
          <cell r="P377">
            <v>13</v>
          </cell>
          <cell r="Q377">
            <v>21</v>
          </cell>
          <cell r="R377" t="str">
            <v>None</v>
          </cell>
          <cell r="S377" t="str">
            <v>Ofsted</v>
          </cell>
          <cell r="T377" t="str">
            <v>NULL</v>
          </cell>
          <cell r="U377" t="str">
            <v>NULL</v>
          </cell>
          <cell r="V377" t="str">
            <v>NULL</v>
          </cell>
          <cell r="W377" t="str">
            <v>NULL</v>
          </cell>
          <cell r="X377" t="str">
            <v>NULL</v>
          </cell>
          <cell r="Y377" t="str">
            <v>NULL</v>
          </cell>
          <cell r="Z377" t="str">
            <v>NULL</v>
          </cell>
          <cell r="AA377">
            <v>10020765</v>
          </cell>
          <cell r="AB377" t="str">
            <v>Independent School standard inspection</v>
          </cell>
          <cell r="AC377" t="str">
            <v>Independent Standard Inspection</v>
          </cell>
          <cell r="AD377">
            <v>43131</v>
          </cell>
          <cell r="AE377">
            <v>43133</v>
          </cell>
          <cell r="AF377">
            <v>43173</v>
          </cell>
          <cell r="AG377">
            <v>2</v>
          </cell>
          <cell r="AH377">
            <v>2</v>
          </cell>
          <cell r="AI377">
            <v>2</v>
          </cell>
          <cell r="AJ377">
            <v>2</v>
          </cell>
          <cell r="AK377">
            <v>2</v>
          </cell>
          <cell r="AL377" t="str">
            <v>NULL</v>
          </cell>
          <cell r="AM377">
            <v>1</v>
          </cell>
          <cell r="AN377" t="str">
            <v>Yes</v>
          </cell>
          <cell r="AO377" t="str">
            <v>ITS361319</v>
          </cell>
          <cell r="AP377" t="str">
            <v>Independent School standard inspection</v>
          </cell>
          <cell r="AQ377" t="str">
            <v>Independent Standard Inspection</v>
          </cell>
          <cell r="AR377">
            <v>40513</v>
          </cell>
          <cell r="AS377">
            <v>40514</v>
          </cell>
          <cell r="AT377">
            <v>40555</v>
          </cell>
          <cell r="AU377">
            <v>1</v>
          </cell>
          <cell r="AV377">
            <v>1</v>
          </cell>
          <cell r="AW377">
            <v>1</v>
          </cell>
          <cell r="AX377" t="str">
            <v>NULL</v>
          </cell>
          <cell r="AY377" t="str">
            <v>NULL</v>
          </cell>
          <cell r="AZ377">
            <v>8</v>
          </cell>
          <cell r="BA377" t="str">
            <v>NULL</v>
          </cell>
          <cell r="BB377" t="str">
            <v>NULL</v>
          </cell>
        </row>
        <row r="378">
          <cell r="D378">
            <v>109364</v>
          </cell>
          <cell r="E378">
            <v>8026004</v>
          </cell>
          <cell r="F378" t="str">
            <v>Ashbrooke House School</v>
          </cell>
          <cell r="G378" t="str">
            <v>Other Independent School</v>
          </cell>
          <cell r="H378">
            <v>21102</v>
          </cell>
          <cell r="I378">
            <v>69</v>
          </cell>
          <cell r="J378" t="str">
            <v>South West</v>
          </cell>
          <cell r="K378" t="str">
            <v>South West</v>
          </cell>
          <cell r="L378" t="str">
            <v>North Somerset</v>
          </cell>
          <cell r="M378" t="str">
            <v>Weston-Super-Mare</v>
          </cell>
          <cell r="N378" t="str">
            <v>BS23 1XH</v>
          </cell>
          <cell r="O378" t="str">
            <v>Does not have a sixth form</v>
          </cell>
          <cell r="P378">
            <v>3</v>
          </cell>
          <cell r="Q378">
            <v>11</v>
          </cell>
          <cell r="R378" t="str">
            <v>None</v>
          </cell>
          <cell r="S378" t="str">
            <v>Ofsted</v>
          </cell>
          <cell r="T378" t="str">
            <v>NULL</v>
          </cell>
          <cell r="U378" t="str">
            <v>NULL</v>
          </cell>
          <cell r="V378" t="str">
            <v>NULL</v>
          </cell>
          <cell r="W378" t="str">
            <v>NULL</v>
          </cell>
          <cell r="X378" t="str">
            <v>NULL</v>
          </cell>
          <cell r="Y378" t="str">
            <v>NULL</v>
          </cell>
          <cell r="Z378" t="str">
            <v>NULL</v>
          </cell>
          <cell r="AA378">
            <v>10041373</v>
          </cell>
          <cell r="AB378" t="str">
            <v>Independent School standard inspection</v>
          </cell>
          <cell r="AC378" t="str">
            <v>Independent Standard Inspection</v>
          </cell>
          <cell r="AD378">
            <v>43123</v>
          </cell>
          <cell r="AE378">
            <v>43125</v>
          </cell>
          <cell r="AF378">
            <v>43151</v>
          </cell>
          <cell r="AG378">
            <v>2</v>
          </cell>
          <cell r="AH378">
            <v>2</v>
          </cell>
          <cell r="AI378">
            <v>2</v>
          </cell>
          <cell r="AJ378">
            <v>2</v>
          </cell>
          <cell r="AK378">
            <v>1</v>
          </cell>
          <cell r="AL378">
            <v>2</v>
          </cell>
          <cell r="AM378" t="str">
            <v>NULL</v>
          </cell>
          <cell r="AN378" t="str">
            <v>Yes</v>
          </cell>
          <cell r="AO378">
            <v>10006131</v>
          </cell>
          <cell r="AP378" t="str">
            <v>Independent School standard inspection</v>
          </cell>
          <cell r="AQ378" t="str">
            <v>Independent Standard Inspection</v>
          </cell>
          <cell r="AR378">
            <v>42423</v>
          </cell>
          <cell r="AS378">
            <v>42425</v>
          </cell>
          <cell r="AT378">
            <v>42500</v>
          </cell>
          <cell r="AU378">
            <v>3</v>
          </cell>
          <cell r="AV378">
            <v>3</v>
          </cell>
          <cell r="AW378">
            <v>3</v>
          </cell>
          <cell r="AX378">
            <v>3</v>
          </cell>
          <cell r="AY378">
            <v>2</v>
          </cell>
          <cell r="AZ378">
            <v>2</v>
          </cell>
          <cell r="BA378" t="str">
            <v>NULL</v>
          </cell>
          <cell r="BB378" t="str">
            <v>Yes</v>
          </cell>
        </row>
        <row r="379">
          <cell r="D379">
            <v>101694</v>
          </cell>
          <cell r="E379">
            <v>3056075</v>
          </cell>
          <cell r="F379" t="str">
            <v>Ashgrove School Ltd</v>
          </cell>
          <cell r="G379" t="str">
            <v>Other Independent School</v>
          </cell>
          <cell r="H379">
            <v>31701</v>
          </cell>
          <cell r="I379">
            <v>101</v>
          </cell>
          <cell r="J379" t="str">
            <v>London</v>
          </cell>
          <cell r="K379" t="str">
            <v>London</v>
          </cell>
          <cell r="L379" t="str">
            <v>Bromley</v>
          </cell>
          <cell r="M379" t="str">
            <v>Bromley and Chislehurst</v>
          </cell>
          <cell r="N379" t="str">
            <v>BR1 3BE</v>
          </cell>
          <cell r="O379" t="str">
            <v>Does not have a sixth form</v>
          </cell>
          <cell r="P379">
            <v>3</v>
          </cell>
          <cell r="Q379">
            <v>11</v>
          </cell>
          <cell r="R379" t="str">
            <v>None</v>
          </cell>
          <cell r="S379" t="str">
            <v>Ofsted</v>
          </cell>
          <cell r="T379" t="str">
            <v>NULL</v>
          </cell>
          <cell r="U379" t="str">
            <v>NULL</v>
          </cell>
          <cell r="V379" t="str">
            <v>NULL</v>
          </cell>
          <cell r="W379" t="str">
            <v>NULL</v>
          </cell>
          <cell r="X379" t="str">
            <v>NULL</v>
          </cell>
          <cell r="Y379" t="str">
            <v>NULL</v>
          </cell>
          <cell r="Z379" t="str">
            <v>NULL</v>
          </cell>
          <cell r="AA379">
            <v>10026277</v>
          </cell>
          <cell r="AB379" t="str">
            <v>Independent School standard inspection</v>
          </cell>
          <cell r="AC379" t="str">
            <v>Independent Standard Inspection</v>
          </cell>
          <cell r="AD379">
            <v>43123</v>
          </cell>
          <cell r="AE379">
            <v>43125</v>
          </cell>
          <cell r="AF379">
            <v>43144</v>
          </cell>
          <cell r="AG379">
            <v>3</v>
          </cell>
          <cell r="AH379">
            <v>3</v>
          </cell>
          <cell r="AI379">
            <v>3</v>
          </cell>
          <cell r="AJ379">
            <v>3</v>
          </cell>
          <cell r="AK379">
            <v>2</v>
          </cell>
          <cell r="AL379">
            <v>3</v>
          </cell>
          <cell r="AM379" t="str">
            <v>NULL</v>
          </cell>
          <cell r="AN379" t="str">
            <v>Yes</v>
          </cell>
          <cell r="AO379" t="str">
            <v>ITS386852</v>
          </cell>
          <cell r="AP379" t="str">
            <v>Independent School standard inspection</v>
          </cell>
          <cell r="AQ379" t="str">
            <v>Independent Standard Inspection</v>
          </cell>
          <cell r="AR379">
            <v>40968</v>
          </cell>
          <cell r="AS379">
            <v>40969</v>
          </cell>
          <cell r="AT379">
            <v>41241</v>
          </cell>
          <cell r="AU379">
            <v>2</v>
          </cell>
          <cell r="AV379">
            <v>2</v>
          </cell>
          <cell r="AW379">
            <v>2</v>
          </cell>
          <cell r="AX379" t="str">
            <v>NULL</v>
          </cell>
          <cell r="AY379" t="str">
            <v>NULL</v>
          </cell>
          <cell r="AZ379">
            <v>8</v>
          </cell>
          <cell r="BA379" t="str">
            <v>NULL</v>
          </cell>
          <cell r="BB379" t="str">
            <v>NULL</v>
          </cell>
        </row>
        <row r="380">
          <cell r="D380">
            <v>135975</v>
          </cell>
          <cell r="E380">
            <v>3576003</v>
          </cell>
          <cell r="F380" t="str">
            <v>Ashlea House School</v>
          </cell>
          <cell r="G380" t="str">
            <v>Other Independent School</v>
          </cell>
          <cell r="H380">
            <v>40046</v>
          </cell>
          <cell r="I380">
            <v>4</v>
          </cell>
          <cell r="J380" t="str">
            <v>North West</v>
          </cell>
          <cell r="K380" t="str">
            <v>North West</v>
          </cell>
          <cell r="L380" t="str">
            <v>Tameside</v>
          </cell>
          <cell r="M380" t="str">
            <v>Denton and Reddish</v>
          </cell>
          <cell r="N380" t="str">
            <v>M34 6ET</v>
          </cell>
          <cell r="O380" t="str">
            <v>Has a sixth form</v>
          </cell>
          <cell r="P380">
            <v>11</v>
          </cell>
          <cell r="Q380">
            <v>18</v>
          </cell>
          <cell r="R380" t="str">
            <v>None</v>
          </cell>
          <cell r="S380" t="str">
            <v>Ofsted</v>
          </cell>
          <cell r="T380" t="str">
            <v>NULL</v>
          </cell>
          <cell r="U380" t="str">
            <v>NULL</v>
          </cell>
          <cell r="V380" t="str">
            <v>NULL</v>
          </cell>
          <cell r="W380" t="str">
            <v>NULL</v>
          </cell>
          <cell r="X380" t="str">
            <v>NULL</v>
          </cell>
          <cell r="Y380" t="str">
            <v>NULL</v>
          </cell>
          <cell r="Z380" t="str">
            <v>NULL</v>
          </cell>
          <cell r="AA380">
            <v>10020741</v>
          </cell>
          <cell r="AB380" t="str">
            <v>Independent school standard inspection - aligned with CH</v>
          </cell>
          <cell r="AC380" t="str">
            <v>Independent Standard Inspection</v>
          </cell>
          <cell r="AD380">
            <v>42626</v>
          </cell>
          <cell r="AE380">
            <v>42628</v>
          </cell>
          <cell r="AF380">
            <v>42661</v>
          </cell>
          <cell r="AG380">
            <v>1</v>
          </cell>
          <cell r="AH380">
            <v>1</v>
          </cell>
          <cell r="AI380">
            <v>1</v>
          </cell>
          <cell r="AJ380">
            <v>1</v>
          </cell>
          <cell r="AK380">
            <v>1</v>
          </cell>
          <cell r="AL380" t="str">
            <v>NULL</v>
          </cell>
          <cell r="AM380" t="str">
            <v>NULL</v>
          </cell>
          <cell r="AN380" t="str">
            <v>Yes</v>
          </cell>
          <cell r="AO380" t="str">
            <v>ITS422813</v>
          </cell>
          <cell r="AP380" t="str">
            <v xml:space="preserve">Independent School standard inspection - integrated </v>
          </cell>
          <cell r="AQ380" t="str">
            <v>Independent Standard Inspection</v>
          </cell>
          <cell r="AR380">
            <v>41542</v>
          </cell>
          <cell r="AS380">
            <v>41543</v>
          </cell>
          <cell r="AT380">
            <v>41568</v>
          </cell>
          <cell r="AU380">
            <v>1</v>
          </cell>
          <cell r="AV380">
            <v>1</v>
          </cell>
          <cell r="AW380">
            <v>1</v>
          </cell>
          <cell r="AX380">
            <v>1</v>
          </cell>
          <cell r="AY380" t="str">
            <v>NULL</v>
          </cell>
          <cell r="AZ380" t="str">
            <v>NULL</v>
          </cell>
          <cell r="BA380" t="str">
            <v>NULL</v>
          </cell>
          <cell r="BB380" t="str">
            <v>NULL</v>
          </cell>
        </row>
        <row r="381">
          <cell r="D381">
            <v>107461</v>
          </cell>
          <cell r="E381">
            <v>3806110</v>
          </cell>
          <cell r="F381" t="str">
            <v>Bradford Christian School</v>
          </cell>
          <cell r="G381" t="str">
            <v>Other Independent School</v>
          </cell>
          <cell r="H381">
            <v>34256</v>
          </cell>
          <cell r="I381">
            <v>149</v>
          </cell>
          <cell r="J381" t="str">
            <v>North East, Yorkshire and the Humber</v>
          </cell>
          <cell r="K381" t="str">
            <v>Yorkshire and the Humber</v>
          </cell>
          <cell r="L381" t="str">
            <v>Bradford</v>
          </cell>
          <cell r="M381" t="str">
            <v>Shipley</v>
          </cell>
          <cell r="N381" t="str">
            <v>BD2 1BT</v>
          </cell>
          <cell r="O381" t="str">
            <v>Does not have a sixth form</v>
          </cell>
          <cell r="P381">
            <v>3</v>
          </cell>
          <cell r="Q381">
            <v>16</v>
          </cell>
          <cell r="R381" t="str">
            <v>None</v>
          </cell>
          <cell r="S381" t="str">
            <v>Ofsted</v>
          </cell>
          <cell r="T381">
            <v>2</v>
          </cell>
          <cell r="U381">
            <v>10041417</v>
          </cell>
          <cell r="V381" t="str">
            <v>Independent school Progress Monitoring inspection</v>
          </cell>
          <cell r="W381">
            <v>43041</v>
          </cell>
          <cell r="X381">
            <v>43041</v>
          </cell>
          <cell r="Y381">
            <v>43082</v>
          </cell>
          <cell r="Z381" t="str">
            <v>Met all standards that were checked</v>
          </cell>
          <cell r="AA381">
            <v>10020709</v>
          </cell>
          <cell r="AB381" t="str">
            <v>Independent School standard inspection</v>
          </cell>
          <cell r="AC381" t="str">
            <v>Independent Standard Inspection</v>
          </cell>
          <cell r="AD381">
            <v>42696</v>
          </cell>
          <cell r="AE381">
            <v>42698</v>
          </cell>
          <cell r="AF381">
            <v>42747</v>
          </cell>
          <cell r="AG381">
            <v>4</v>
          </cell>
          <cell r="AH381">
            <v>2</v>
          </cell>
          <cell r="AI381">
            <v>2</v>
          </cell>
          <cell r="AJ381">
            <v>4</v>
          </cell>
          <cell r="AK381">
            <v>3</v>
          </cell>
          <cell r="AL381">
            <v>4</v>
          </cell>
          <cell r="AM381" t="str">
            <v>NULL</v>
          </cell>
          <cell r="AN381" t="str">
            <v>No</v>
          </cell>
          <cell r="AO381" t="str">
            <v>ITS420166</v>
          </cell>
          <cell r="AP381" t="str">
            <v>Independent School standard inspection</v>
          </cell>
          <cell r="AQ381" t="str">
            <v>Independent Standard Inspection</v>
          </cell>
          <cell r="AR381">
            <v>41464</v>
          </cell>
          <cell r="AS381">
            <v>41466</v>
          </cell>
          <cell r="AT381">
            <v>41528</v>
          </cell>
          <cell r="AU381">
            <v>2</v>
          </cell>
          <cell r="AV381">
            <v>2</v>
          </cell>
          <cell r="AW381">
            <v>2</v>
          </cell>
          <cell r="AX381">
            <v>2</v>
          </cell>
          <cell r="AY381" t="str">
            <v>NULL</v>
          </cell>
          <cell r="AZ381" t="str">
            <v>NULL</v>
          </cell>
          <cell r="BA381" t="str">
            <v>NULL</v>
          </cell>
          <cell r="BB381" t="str">
            <v>NULL</v>
          </cell>
        </row>
        <row r="382">
          <cell r="D382">
            <v>113562</v>
          </cell>
          <cell r="E382">
            <v>8786001</v>
          </cell>
          <cell r="F382" t="str">
            <v>Bramdean School</v>
          </cell>
          <cell r="G382" t="str">
            <v>Other Independent School</v>
          </cell>
          <cell r="H382">
            <v>13881</v>
          </cell>
          <cell r="I382">
            <v>96</v>
          </cell>
          <cell r="J382" t="str">
            <v>South West</v>
          </cell>
          <cell r="K382" t="str">
            <v>South West</v>
          </cell>
          <cell r="L382" t="str">
            <v>Devon</v>
          </cell>
          <cell r="M382" t="str">
            <v>Exeter</v>
          </cell>
          <cell r="N382" t="str">
            <v>EX1 2QR</v>
          </cell>
          <cell r="O382" t="str">
            <v>Has a sixth form</v>
          </cell>
          <cell r="P382">
            <v>3</v>
          </cell>
          <cell r="Q382">
            <v>18</v>
          </cell>
          <cell r="R382" t="str">
            <v>None</v>
          </cell>
          <cell r="S382" t="str">
            <v>Ofsted</v>
          </cell>
          <cell r="T382" t="str">
            <v>NULL</v>
          </cell>
          <cell r="U382" t="str">
            <v>NULL</v>
          </cell>
          <cell r="V382" t="str">
            <v>NULL</v>
          </cell>
          <cell r="W382" t="str">
            <v>NULL</v>
          </cell>
          <cell r="X382" t="str">
            <v>NULL</v>
          </cell>
          <cell r="Y382" t="str">
            <v>NULL</v>
          </cell>
          <cell r="Z382" t="str">
            <v>NULL</v>
          </cell>
          <cell r="AA382">
            <v>10006072</v>
          </cell>
          <cell r="AB382" t="str">
            <v>Independent School standard inspection</v>
          </cell>
          <cell r="AC382" t="str">
            <v>Independent Standard Inspection</v>
          </cell>
          <cell r="AD382">
            <v>42326</v>
          </cell>
          <cell r="AE382">
            <v>42328</v>
          </cell>
          <cell r="AF382">
            <v>42429</v>
          </cell>
          <cell r="AG382">
            <v>2</v>
          </cell>
          <cell r="AH382">
            <v>2</v>
          </cell>
          <cell r="AI382">
            <v>2</v>
          </cell>
          <cell r="AJ382">
            <v>2</v>
          </cell>
          <cell r="AK382">
            <v>1</v>
          </cell>
          <cell r="AL382">
            <v>2</v>
          </cell>
          <cell r="AM382">
            <v>2</v>
          </cell>
          <cell r="AN382" t="str">
            <v>Yes</v>
          </cell>
          <cell r="AO382" t="str">
            <v>ITS408709</v>
          </cell>
          <cell r="AP382" t="str">
            <v>Independent School standard inspection</v>
          </cell>
          <cell r="AQ382" t="str">
            <v>Independent Standard Inspection</v>
          </cell>
          <cell r="AR382">
            <v>41171</v>
          </cell>
          <cell r="AS382">
            <v>41172</v>
          </cell>
          <cell r="AT382">
            <v>41193</v>
          </cell>
          <cell r="AU382">
            <v>1</v>
          </cell>
          <cell r="AV382">
            <v>1</v>
          </cell>
          <cell r="AW382">
            <v>1</v>
          </cell>
          <cell r="AX382" t="str">
            <v>NULL</v>
          </cell>
          <cell r="AY382" t="str">
            <v>NULL</v>
          </cell>
          <cell r="AZ382">
            <v>8</v>
          </cell>
          <cell r="BA382" t="str">
            <v>NULL</v>
          </cell>
          <cell r="BB382" t="str">
            <v>NULL</v>
          </cell>
        </row>
        <row r="383">
          <cell r="D383">
            <v>140039</v>
          </cell>
          <cell r="E383">
            <v>3036001</v>
          </cell>
          <cell r="F383" t="str">
            <v>Break Through</v>
          </cell>
          <cell r="G383" t="str">
            <v>Other Independent School</v>
          </cell>
          <cell r="H383">
            <v>41509</v>
          </cell>
          <cell r="I383">
            <v>16</v>
          </cell>
          <cell r="J383" t="str">
            <v>London</v>
          </cell>
          <cell r="K383" t="str">
            <v>London</v>
          </cell>
          <cell r="L383" t="str">
            <v>Bexley</v>
          </cell>
          <cell r="M383" t="str">
            <v>Erith and Thamesmead</v>
          </cell>
          <cell r="N383" t="str">
            <v>DA17 5JX</v>
          </cell>
          <cell r="O383" t="str">
            <v>Has a sixth form</v>
          </cell>
          <cell r="P383">
            <v>11</v>
          </cell>
          <cell r="Q383">
            <v>17</v>
          </cell>
          <cell r="R383" t="str">
            <v>None</v>
          </cell>
          <cell r="S383" t="str">
            <v>Ofsted</v>
          </cell>
          <cell r="T383" t="str">
            <v>NULL</v>
          </cell>
          <cell r="U383" t="str">
            <v>NULL</v>
          </cell>
          <cell r="V383" t="str">
            <v>NULL</v>
          </cell>
          <cell r="W383" t="str">
            <v>NULL</v>
          </cell>
          <cell r="X383" t="str">
            <v>NULL</v>
          </cell>
          <cell r="Y383" t="str">
            <v>NULL</v>
          </cell>
          <cell r="Z383" t="str">
            <v>NULL</v>
          </cell>
          <cell r="AA383" t="str">
            <v>ITS443027</v>
          </cell>
          <cell r="AB383" t="str">
            <v>Independent school standard inspection - first</v>
          </cell>
          <cell r="AC383" t="str">
            <v>Independent Standard Inspection</v>
          </cell>
          <cell r="AD383">
            <v>41808</v>
          </cell>
          <cell r="AE383">
            <v>41810</v>
          </cell>
          <cell r="AF383">
            <v>41829</v>
          </cell>
          <cell r="AG383">
            <v>3</v>
          </cell>
          <cell r="AH383">
            <v>3</v>
          </cell>
          <cell r="AI383">
            <v>3</v>
          </cell>
          <cell r="AJ383">
            <v>3</v>
          </cell>
          <cell r="AK383" t="str">
            <v>NULL</v>
          </cell>
          <cell r="AL383" t="str">
            <v>NULL</v>
          </cell>
          <cell r="AM383" t="str">
            <v>NULL</v>
          </cell>
          <cell r="AN383" t="str">
            <v>NULL</v>
          </cell>
          <cell r="AO383" t="str">
            <v>NULL</v>
          </cell>
          <cell r="AP383" t="str">
            <v>NULL</v>
          </cell>
          <cell r="AQ383" t="str">
            <v>NULL</v>
          </cell>
          <cell r="AR383" t="str">
            <v>NULL</v>
          </cell>
          <cell r="AS383" t="str">
            <v>NULL</v>
          </cell>
          <cell r="AT383" t="str">
            <v>NULL</v>
          </cell>
          <cell r="AU383" t="str">
            <v>NULL</v>
          </cell>
          <cell r="AV383" t="str">
            <v>NULL</v>
          </cell>
          <cell r="AW383" t="str">
            <v>NULL</v>
          </cell>
          <cell r="AX383" t="str">
            <v>NULL</v>
          </cell>
          <cell r="AY383" t="str">
            <v>NULL</v>
          </cell>
          <cell r="AZ383" t="str">
            <v>NULL</v>
          </cell>
          <cell r="BA383" t="str">
            <v>NULL</v>
          </cell>
          <cell r="BB383" t="str">
            <v>NULL</v>
          </cell>
        </row>
        <row r="384">
          <cell r="D384">
            <v>132732</v>
          </cell>
          <cell r="E384">
            <v>3826026</v>
          </cell>
          <cell r="F384" t="str">
            <v>Brian Jackson College</v>
          </cell>
          <cell r="G384" t="str">
            <v>Other Independent School</v>
          </cell>
          <cell r="H384">
            <v>38909</v>
          </cell>
          <cell r="I384">
            <v>17</v>
          </cell>
          <cell r="J384" t="str">
            <v>North East, Yorkshire and the Humber</v>
          </cell>
          <cell r="K384" t="str">
            <v>Yorkshire and the Humber</v>
          </cell>
          <cell r="L384" t="str">
            <v>Kirklees</v>
          </cell>
          <cell r="M384" t="str">
            <v>Batley and Spen</v>
          </cell>
          <cell r="N384" t="str">
            <v>WF16 0AD</v>
          </cell>
          <cell r="O384" t="str">
            <v>Does not have a sixth form</v>
          </cell>
          <cell r="P384">
            <v>13</v>
          </cell>
          <cell r="Q384">
            <v>16</v>
          </cell>
          <cell r="R384" t="str">
            <v>None</v>
          </cell>
          <cell r="S384" t="str">
            <v>Ofsted</v>
          </cell>
          <cell r="T384" t="str">
            <v>NULL</v>
          </cell>
          <cell r="U384" t="str">
            <v>NULL</v>
          </cell>
          <cell r="V384" t="str">
            <v>NULL</v>
          </cell>
          <cell r="W384" t="str">
            <v>NULL</v>
          </cell>
          <cell r="X384" t="str">
            <v>NULL</v>
          </cell>
          <cell r="Y384" t="str">
            <v>NULL</v>
          </cell>
          <cell r="Z384" t="str">
            <v>NULL</v>
          </cell>
          <cell r="AA384">
            <v>10008574</v>
          </cell>
          <cell r="AB384" t="str">
            <v>Independent School standard inspection</v>
          </cell>
          <cell r="AC384" t="str">
            <v>Independent Standard Inspection</v>
          </cell>
          <cell r="AD384">
            <v>42430</v>
          </cell>
          <cell r="AE384">
            <v>42432</v>
          </cell>
          <cell r="AF384">
            <v>42459</v>
          </cell>
          <cell r="AG384">
            <v>2</v>
          </cell>
          <cell r="AH384">
            <v>2</v>
          </cell>
          <cell r="AI384">
            <v>2</v>
          </cell>
          <cell r="AJ384">
            <v>2</v>
          </cell>
          <cell r="AK384">
            <v>2</v>
          </cell>
          <cell r="AL384" t="str">
            <v>NULL</v>
          </cell>
          <cell r="AM384" t="str">
            <v>NULL</v>
          </cell>
          <cell r="AN384" t="str">
            <v>Yes</v>
          </cell>
          <cell r="AO384" t="str">
            <v>ITS397650</v>
          </cell>
          <cell r="AP384" t="str">
            <v>Independent School standard inspection</v>
          </cell>
          <cell r="AQ384" t="str">
            <v>Independent Standard Inspection</v>
          </cell>
          <cell r="AR384">
            <v>41249</v>
          </cell>
          <cell r="AS384">
            <v>41250</v>
          </cell>
          <cell r="AT384">
            <v>41285</v>
          </cell>
          <cell r="AU384">
            <v>3</v>
          </cell>
          <cell r="AV384">
            <v>3</v>
          </cell>
          <cell r="AW384">
            <v>3</v>
          </cell>
          <cell r="AX384" t="str">
            <v>NULL</v>
          </cell>
          <cell r="AY384" t="str">
            <v>NULL</v>
          </cell>
          <cell r="AZ384">
            <v>8</v>
          </cell>
          <cell r="BA384" t="str">
            <v>NULL</v>
          </cell>
          <cell r="BB384" t="str">
            <v>NULL</v>
          </cell>
        </row>
        <row r="385">
          <cell r="D385">
            <v>105372</v>
          </cell>
          <cell r="E385">
            <v>3516007</v>
          </cell>
          <cell r="F385" t="str">
            <v>Darul Uloom Al Arabiya Al Islamiya</v>
          </cell>
          <cell r="G385" t="str">
            <v>Other Independent School</v>
          </cell>
          <cell r="H385">
            <v>29144</v>
          </cell>
          <cell r="I385">
            <v>349</v>
          </cell>
          <cell r="J385" t="str">
            <v>North West</v>
          </cell>
          <cell r="K385" t="str">
            <v>North West</v>
          </cell>
          <cell r="L385" t="str">
            <v>Bury</v>
          </cell>
          <cell r="M385" t="str">
            <v>Bury North</v>
          </cell>
          <cell r="N385" t="str">
            <v>BL8 4NG</v>
          </cell>
          <cell r="O385" t="str">
            <v>Has a sixth form</v>
          </cell>
          <cell r="P385">
            <v>11</v>
          </cell>
          <cell r="Q385">
            <v>23</v>
          </cell>
          <cell r="R385" t="str">
            <v>Islam</v>
          </cell>
          <cell r="S385" t="str">
            <v>Ofsted</v>
          </cell>
          <cell r="T385">
            <v>3</v>
          </cell>
          <cell r="U385">
            <v>10022960</v>
          </cell>
          <cell r="V385" t="str">
            <v xml:space="preserve">Independent school progress monitoring inspection - Integrated </v>
          </cell>
          <cell r="W385">
            <v>42697</v>
          </cell>
          <cell r="X385">
            <v>42697</v>
          </cell>
          <cell r="Y385">
            <v>42746</v>
          </cell>
          <cell r="Z385" t="str">
            <v>Met all standards that were checked</v>
          </cell>
          <cell r="AA385" t="str">
            <v>ITS447246</v>
          </cell>
          <cell r="AB385" t="str">
            <v>Independent School standard inspection</v>
          </cell>
          <cell r="AC385" t="str">
            <v>Independent Standard Inspection</v>
          </cell>
          <cell r="AD385">
            <v>41947</v>
          </cell>
          <cell r="AE385">
            <v>41949</v>
          </cell>
          <cell r="AF385">
            <v>41970</v>
          </cell>
          <cell r="AG385">
            <v>1</v>
          </cell>
          <cell r="AH385">
            <v>1</v>
          </cell>
          <cell r="AI385">
            <v>1</v>
          </cell>
          <cell r="AJ385">
            <v>1</v>
          </cell>
          <cell r="AK385" t="str">
            <v>NULL</v>
          </cell>
          <cell r="AL385">
            <v>9</v>
          </cell>
          <cell r="AM385">
            <v>1</v>
          </cell>
          <cell r="AN385" t="str">
            <v>NULL</v>
          </cell>
          <cell r="AO385" t="str">
            <v>ITS364229</v>
          </cell>
          <cell r="AP385" t="str">
            <v xml:space="preserve">Independent School standard inspection - integrated </v>
          </cell>
          <cell r="AQ385" t="str">
            <v>Independent Standard Inspection</v>
          </cell>
          <cell r="AR385">
            <v>40603</v>
          </cell>
          <cell r="AS385">
            <v>40604</v>
          </cell>
          <cell r="AT385">
            <v>40625</v>
          </cell>
          <cell r="AU385">
            <v>2</v>
          </cell>
          <cell r="AV385">
            <v>2</v>
          </cell>
          <cell r="AW385">
            <v>2</v>
          </cell>
          <cell r="AX385" t="str">
            <v>NULL</v>
          </cell>
          <cell r="AY385" t="str">
            <v>NULL</v>
          </cell>
          <cell r="AZ385">
            <v>8</v>
          </cell>
          <cell r="BA385" t="str">
            <v>NULL</v>
          </cell>
          <cell r="BB385" t="str">
            <v>NULL</v>
          </cell>
        </row>
        <row r="386">
          <cell r="D386">
            <v>134140</v>
          </cell>
          <cell r="E386">
            <v>3806114</v>
          </cell>
          <cell r="F386" t="str">
            <v>Darul Uloom Dawatul Imaan</v>
          </cell>
          <cell r="G386" t="str">
            <v>Other Independent School</v>
          </cell>
          <cell r="H386">
            <v>37680</v>
          </cell>
          <cell r="I386">
            <v>152</v>
          </cell>
          <cell r="J386" t="str">
            <v>North East, Yorkshire and the Humber</v>
          </cell>
          <cell r="K386" t="str">
            <v>Yorkshire and the Humber</v>
          </cell>
          <cell r="L386" t="str">
            <v>Bradford</v>
          </cell>
          <cell r="M386" t="str">
            <v>Bradford South</v>
          </cell>
          <cell r="N386" t="str">
            <v>BD4 9PH</v>
          </cell>
          <cell r="O386" t="str">
            <v>Has a sixth form</v>
          </cell>
          <cell r="P386">
            <v>11</v>
          </cell>
          <cell r="Q386">
            <v>25</v>
          </cell>
          <cell r="R386" t="str">
            <v>Islam</v>
          </cell>
          <cell r="S386" t="str">
            <v>Ofsted</v>
          </cell>
          <cell r="T386" t="str">
            <v>NULL</v>
          </cell>
          <cell r="U386" t="str">
            <v>NULL</v>
          </cell>
          <cell r="V386" t="str">
            <v>NULL</v>
          </cell>
          <cell r="W386" t="str">
            <v>NULL</v>
          </cell>
          <cell r="X386" t="str">
            <v>NULL</v>
          </cell>
          <cell r="Y386" t="str">
            <v>NULL</v>
          </cell>
          <cell r="Z386" t="str">
            <v>NULL</v>
          </cell>
          <cell r="AA386">
            <v>10040142</v>
          </cell>
          <cell r="AB386" t="str">
            <v>Independent School standard inspection</v>
          </cell>
          <cell r="AC386" t="str">
            <v>Independent Standard Inspection</v>
          </cell>
          <cell r="AD386">
            <v>43060</v>
          </cell>
          <cell r="AE386">
            <v>43062</v>
          </cell>
          <cell r="AF386">
            <v>43089</v>
          </cell>
          <cell r="AG386">
            <v>2</v>
          </cell>
          <cell r="AH386">
            <v>2</v>
          </cell>
          <cell r="AI386">
            <v>2</v>
          </cell>
          <cell r="AJ386">
            <v>2</v>
          </cell>
          <cell r="AK386">
            <v>2</v>
          </cell>
          <cell r="AL386" t="str">
            <v>NULL</v>
          </cell>
          <cell r="AM386">
            <v>2</v>
          </cell>
          <cell r="AN386" t="str">
            <v>Yes</v>
          </cell>
          <cell r="AO386">
            <v>10006340</v>
          </cell>
          <cell r="AP386" t="str">
            <v>Independent School standard inspection</v>
          </cell>
          <cell r="AQ386" t="str">
            <v>Independent Standard Inspection</v>
          </cell>
          <cell r="AR386">
            <v>42296</v>
          </cell>
          <cell r="AS386">
            <v>42298</v>
          </cell>
          <cell r="AT386">
            <v>42355</v>
          </cell>
          <cell r="AU386">
            <v>4</v>
          </cell>
          <cell r="AV386">
            <v>4</v>
          </cell>
          <cell r="AW386">
            <v>4</v>
          </cell>
          <cell r="AX386">
            <v>4</v>
          </cell>
          <cell r="AY386">
            <v>4</v>
          </cell>
          <cell r="AZ386" t="str">
            <v>NULL</v>
          </cell>
          <cell r="BA386">
            <v>4</v>
          </cell>
          <cell r="BB386" t="str">
            <v>No</v>
          </cell>
        </row>
        <row r="387">
          <cell r="D387">
            <v>103586</v>
          </cell>
          <cell r="E387">
            <v>3306078</v>
          </cell>
          <cell r="F387" t="str">
            <v>Darul Uloom Islamic High School</v>
          </cell>
          <cell r="G387" t="str">
            <v>Other Independent School</v>
          </cell>
          <cell r="H387">
            <v>31309</v>
          </cell>
          <cell r="I387">
            <v>107</v>
          </cell>
          <cell r="J387" t="str">
            <v>West Midlands</v>
          </cell>
          <cell r="K387" t="str">
            <v>West Midlands</v>
          </cell>
          <cell r="L387" t="str">
            <v>Birmingham</v>
          </cell>
          <cell r="M387" t="str">
            <v>Birmingham, Yardley</v>
          </cell>
          <cell r="N387" t="str">
            <v>B10 0LL</v>
          </cell>
          <cell r="O387" t="str">
            <v>Does not have a sixth form</v>
          </cell>
          <cell r="P387">
            <v>11</v>
          </cell>
          <cell r="Q387">
            <v>16</v>
          </cell>
          <cell r="R387" t="str">
            <v>None</v>
          </cell>
          <cell r="S387" t="str">
            <v>Ofsted</v>
          </cell>
          <cell r="T387" t="str">
            <v>NULL</v>
          </cell>
          <cell r="U387" t="str">
            <v>NULL</v>
          </cell>
          <cell r="V387" t="str">
            <v>NULL</v>
          </cell>
          <cell r="W387" t="str">
            <v>NULL</v>
          </cell>
          <cell r="X387" t="str">
            <v>NULL</v>
          </cell>
          <cell r="Y387" t="str">
            <v>NULL</v>
          </cell>
          <cell r="Z387" t="str">
            <v>NULL</v>
          </cell>
          <cell r="AA387">
            <v>10038825</v>
          </cell>
          <cell r="AB387" t="str">
            <v>Independent School standard inspection</v>
          </cell>
          <cell r="AC387" t="str">
            <v>Independent Standard Inspection</v>
          </cell>
          <cell r="AD387">
            <v>42997</v>
          </cell>
          <cell r="AE387">
            <v>42999</v>
          </cell>
          <cell r="AF387">
            <v>43040</v>
          </cell>
          <cell r="AG387">
            <v>2</v>
          </cell>
          <cell r="AH387">
            <v>2</v>
          </cell>
          <cell r="AI387">
            <v>2</v>
          </cell>
          <cell r="AJ387">
            <v>2</v>
          </cell>
          <cell r="AK387">
            <v>2</v>
          </cell>
          <cell r="AL387" t="str">
            <v>NULL</v>
          </cell>
          <cell r="AM387" t="str">
            <v>NULL</v>
          </cell>
          <cell r="AN387" t="str">
            <v>Yes</v>
          </cell>
          <cell r="AO387">
            <v>10007687</v>
          </cell>
          <cell r="AP387" t="str">
            <v>Independent School standard inspection</v>
          </cell>
          <cell r="AQ387" t="str">
            <v>Independent Standard Inspection</v>
          </cell>
          <cell r="AR387">
            <v>42290</v>
          </cell>
          <cell r="AS387">
            <v>42292</v>
          </cell>
          <cell r="AT387">
            <v>42331</v>
          </cell>
          <cell r="AU387">
            <v>4</v>
          </cell>
          <cell r="AV387">
            <v>4</v>
          </cell>
          <cell r="AW387">
            <v>4</v>
          </cell>
          <cell r="AX387">
            <v>4</v>
          </cell>
          <cell r="AY387">
            <v>4</v>
          </cell>
          <cell r="AZ387" t="str">
            <v>NULL</v>
          </cell>
          <cell r="BA387" t="str">
            <v>NULL</v>
          </cell>
          <cell r="BB387" t="str">
            <v>No</v>
          </cell>
        </row>
        <row r="388">
          <cell r="D388">
            <v>120345</v>
          </cell>
          <cell r="E388">
            <v>8566004</v>
          </cell>
          <cell r="F388" t="str">
            <v>Darul Uloom Leicester</v>
          </cell>
          <cell r="G388" t="str">
            <v>Other Independent School</v>
          </cell>
          <cell r="H388">
            <v>34446</v>
          </cell>
          <cell r="I388">
            <v>130</v>
          </cell>
          <cell r="J388" t="str">
            <v>East Midlands</v>
          </cell>
          <cell r="K388" t="str">
            <v>East Midlands</v>
          </cell>
          <cell r="L388" t="str">
            <v>Leicester</v>
          </cell>
          <cell r="M388" t="str">
            <v>Leicester East</v>
          </cell>
          <cell r="N388" t="str">
            <v>LE4 5LN</v>
          </cell>
          <cell r="O388" t="str">
            <v>Has a sixth form</v>
          </cell>
          <cell r="P388">
            <v>11</v>
          </cell>
          <cell r="Q388">
            <v>23</v>
          </cell>
          <cell r="R388" t="str">
            <v>None</v>
          </cell>
          <cell r="S388" t="str">
            <v>Ofsted</v>
          </cell>
          <cell r="T388" t="str">
            <v>NULL</v>
          </cell>
          <cell r="U388" t="str">
            <v>NULL</v>
          </cell>
          <cell r="V388" t="str">
            <v>NULL</v>
          </cell>
          <cell r="W388" t="str">
            <v>NULL</v>
          </cell>
          <cell r="X388" t="str">
            <v>NULL</v>
          </cell>
          <cell r="Y388" t="str">
            <v>NULL</v>
          </cell>
          <cell r="Z388" t="str">
            <v>NULL</v>
          </cell>
          <cell r="AA388">
            <v>10039181</v>
          </cell>
          <cell r="AB388" t="str">
            <v xml:space="preserve">Independent School standard inspection - integrated </v>
          </cell>
          <cell r="AC388" t="str">
            <v>Independent Standard Inspection</v>
          </cell>
          <cell r="AD388">
            <v>43130</v>
          </cell>
          <cell r="AE388">
            <v>43132</v>
          </cell>
          <cell r="AF388">
            <v>43165</v>
          </cell>
          <cell r="AG388">
            <v>3</v>
          </cell>
          <cell r="AH388">
            <v>3</v>
          </cell>
          <cell r="AI388">
            <v>3</v>
          </cell>
          <cell r="AJ388">
            <v>3</v>
          </cell>
          <cell r="AK388">
            <v>3</v>
          </cell>
          <cell r="AL388" t="str">
            <v>NULL</v>
          </cell>
          <cell r="AM388">
            <v>3</v>
          </cell>
          <cell r="AN388" t="str">
            <v>Yes</v>
          </cell>
          <cell r="AO388">
            <v>10007707</v>
          </cell>
          <cell r="AP388" t="str">
            <v xml:space="preserve">Independent School standard inspection - integrated </v>
          </cell>
          <cell r="AQ388" t="str">
            <v>Independent Standard Inspection</v>
          </cell>
          <cell r="AR388">
            <v>42339</v>
          </cell>
          <cell r="AS388">
            <v>42341</v>
          </cell>
          <cell r="AT388">
            <v>42401</v>
          </cell>
          <cell r="AU388">
            <v>4</v>
          </cell>
          <cell r="AV388">
            <v>4</v>
          </cell>
          <cell r="AW388">
            <v>4</v>
          </cell>
          <cell r="AX388">
            <v>4</v>
          </cell>
          <cell r="AY388">
            <v>4</v>
          </cell>
          <cell r="AZ388" t="str">
            <v>NULL</v>
          </cell>
          <cell r="BA388">
            <v>4</v>
          </cell>
          <cell r="BB388" t="str">
            <v>No</v>
          </cell>
        </row>
        <row r="389">
          <cell r="D389">
            <v>135561</v>
          </cell>
          <cell r="E389">
            <v>3306128</v>
          </cell>
          <cell r="F389" t="str">
            <v>Flexible Learning Centre</v>
          </cell>
          <cell r="G389" t="str">
            <v>Other Independent School</v>
          </cell>
          <cell r="H389">
            <v>39563</v>
          </cell>
          <cell r="I389">
            <v>86</v>
          </cell>
          <cell r="J389" t="str">
            <v>West Midlands</v>
          </cell>
          <cell r="K389" t="str">
            <v>West Midlands</v>
          </cell>
          <cell r="L389" t="str">
            <v>Birmingham</v>
          </cell>
          <cell r="M389" t="str">
            <v>Birmingham, Erdington</v>
          </cell>
          <cell r="N389" t="str">
            <v>B23 7RJ</v>
          </cell>
          <cell r="O389" t="str">
            <v>Does not have a sixth form</v>
          </cell>
          <cell r="P389">
            <v>13</v>
          </cell>
          <cell r="Q389">
            <v>16</v>
          </cell>
          <cell r="R389" t="str">
            <v>None</v>
          </cell>
          <cell r="S389" t="str">
            <v>Ofsted</v>
          </cell>
          <cell r="T389" t="str">
            <v>NULL</v>
          </cell>
          <cell r="U389" t="str">
            <v>NULL</v>
          </cell>
          <cell r="V389" t="str">
            <v>NULL</v>
          </cell>
          <cell r="W389" t="str">
            <v>NULL</v>
          </cell>
          <cell r="X389" t="str">
            <v>NULL</v>
          </cell>
          <cell r="Y389" t="str">
            <v>NULL</v>
          </cell>
          <cell r="Z389" t="str">
            <v>NULL</v>
          </cell>
          <cell r="AA389">
            <v>10020744</v>
          </cell>
          <cell r="AB389" t="str">
            <v>Independent School standard inspection</v>
          </cell>
          <cell r="AC389" t="str">
            <v>Independent Standard Inspection</v>
          </cell>
          <cell r="AD389">
            <v>43067</v>
          </cell>
          <cell r="AE389">
            <v>43069</v>
          </cell>
          <cell r="AF389">
            <v>43125</v>
          </cell>
          <cell r="AG389">
            <v>2</v>
          </cell>
          <cell r="AH389">
            <v>2</v>
          </cell>
          <cell r="AI389">
            <v>2</v>
          </cell>
          <cell r="AJ389">
            <v>2</v>
          </cell>
          <cell r="AK389">
            <v>1</v>
          </cell>
          <cell r="AL389" t="str">
            <v>NULL</v>
          </cell>
          <cell r="AM389" t="str">
            <v>NULL</v>
          </cell>
          <cell r="AN389" t="str">
            <v>Yes</v>
          </cell>
          <cell r="AO389" t="str">
            <v>ITS420204</v>
          </cell>
          <cell r="AP389" t="str">
            <v>Independent School standard inspection</v>
          </cell>
          <cell r="AQ389" t="str">
            <v>Independent Standard Inspection</v>
          </cell>
          <cell r="AR389">
            <v>41611</v>
          </cell>
          <cell r="AS389">
            <v>41613</v>
          </cell>
          <cell r="AT389">
            <v>41646</v>
          </cell>
          <cell r="AU389">
            <v>4</v>
          </cell>
          <cell r="AV389">
            <v>3</v>
          </cell>
          <cell r="AW389">
            <v>3</v>
          </cell>
          <cell r="AX389">
            <v>4</v>
          </cell>
          <cell r="AY389" t="str">
            <v>NULL</v>
          </cell>
          <cell r="AZ389" t="str">
            <v>NULL</v>
          </cell>
          <cell r="BA389" t="str">
            <v>NULL</v>
          </cell>
          <cell r="BB389" t="str">
            <v>NULL</v>
          </cell>
        </row>
        <row r="390">
          <cell r="D390">
            <v>141247</v>
          </cell>
          <cell r="E390">
            <v>3086003</v>
          </cell>
          <cell r="F390" t="str">
            <v>Focus 1st Academy</v>
          </cell>
          <cell r="G390" t="str">
            <v>Other Independent School</v>
          </cell>
          <cell r="H390">
            <v>41872</v>
          </cell>
          <cell r="I390">
            <v>20</v>
          </cell>
          <cell r="J390" t="str">
            <v>London</v>
          </cell>
          <cell r="K390" t="str">
            <v>London</v>
          </cell>
          <cell r="L390" t="str">
            <v>Enfield</v>
          </cell>
          <cell r="M390" t="str">
            <v>Enfield, Southgate</v>
          </cell>
          <cell r="N390" t="str">
            <v>N11 1BA</v>
          </cell>
          <cell r="O390" t="str">
            <v>Does not have a sixth form</v>
          </cell>
          <cell r="P390">
            <v>14</v>
          </cell>
          <cell r="Q390">
            <v>16</v>
          </cell>
          <cell r="R390" t="str">
            <v>None</v>
          </cell>
          <cell r="S390" t="str">
            <v>Ofsted</v>
          </cell>
          <cell r="T390" t="str">
            <v>NULL</v>
          </cell>
          <cell r="U390" t="str">
            <v>NULL</v>
          </cell>
          <cell r="V390" t="str">
            <v>NULL</v>
          </cell>
          <cell r="W390" t="str">
            <v>NULL</v>
          </cell>
          <cell r="X390" t="str">
            <v>NULL</v>
          </cell>
          <cell r="Y390" t="str">
            <v>NULL</v>
          </cell>
          <cell r="Z390" t="str">
            <v>NULL</v>
          </cell>
          <cell r="AA390">
            <v>10035814</v>
          </cell>
          <cell r="AB390" t="str">
            <v>Independent School standard inspection</v>
          </cell>
          <cell r="AC390" t="str">
            <v>Independent Standard Inspection</v>
          </cell>
          <cell r="AD390">
            <v>42990</v>
          </cell>
          <cell r="AE390">
            <v>42992</v>
          </cell>
          <cell r="AF390">
            <v>43021</v>
          </cell>
          <cell r="AG390">
            <v>2</v>
          </cell>
          <cell r="AH390">
            <v>2</v>
          </cell>
          <cell r="AI390">
            <v>2</v>
          </cell>
          <cell r="AJ390">
            <v>2</v>
          </cell>
          <cell r="AK390">
            <v>2</v>
          </cell>
          <cell r="AL390" t="str">
            <v>NULL</v>
          </cell>
          <cell r="AM390" t="str">
            <v>NULL</v>
          </cell>
          <cell r="AN390" t="str">
            <v>Yes</v>
          </cell>
          <cell r="AO390" t="str">
            <v>ITS462904</v>
          </cell>
          <cell r="AP390" t="str">
            <v>Independent school standard inspection - first</v>
          </cell>
          <cell r="AQ390" t="str">
            <v>Independent Standard Inspection</v>
          </cell>
          <cell r="AR390">
            <v>42164</v>
          </cell>
          <cell r="AS390">
            <v>42166</v>
          </cell>
          <cell r="AT390">
            <v>42201</v>
          </cell>
          <cell r="AU390">
            <v>3</v>
          </cell>
          <cell r="AV390">
            <v>2</v>
          </cell>
          <cell r="AW390">
            <v>2</v>
          </cell>
          <cell r="AX390">
            <v>3</v>
          </cell>
          <cell r="AY390" t="str">
            <v>NULL</v>
          </cell>
          <cell r="AZ390">
            <v>9</v>
          </cell>
          <cell r="BA390">
            <v>9</v>
          </cell>
          <cell r="BB390" t="str">
            <v>NULL</v>
          </cell>
        </row>
        <row r="391">
          <cell r="D391">
            <v>141859</v>
          </cell>
          <cell r="E391">
            <v>3096004</v>
          </cell>
          <cell r="F391" t="str">
            <v>Footsteps Trust</v>
          </cell>
          <cell r="G391" t="str">
            <v>Other Independent School</v>
          </cell>
          <cell r="H391">
            <v>42054</v>
          </cell>
          <cell r="I391">
            <v>70</v>
          </cell>
          <cell r="J391" t="str">
            <v>London</v>
          </cell>
          <cell r="K391" t="str">
            <v>London</v>
          </cell>
          <cell r="L391" t="str">
            <v>Haringey</v>
          </cell>
          <cell r="M391" t="str">
            <v>Tottenham</v>
          </cell>
          <cell r="N391" t="str">
            <v>N17 0SL</v>
          </cell>
          <cell r="O391" t="str">
            <v>Does not have a sixth form</v>
          </cell>
          <cell r="P391">
            <v>12</v>
          </cell>
          <cell r="Q391">
            <v>16</v>
          </cell>
          <cell r="R391" t="str">
            <v>None</v>
          </cell>
          <cell r="S391" t="str">
            <v>Ofsted</v>
          </cell>
          <cell r="T391" t="str">
            <v>NULL</v>
          </cell>
          <cell r="U391" t="str">
            <v>NULL</v>
          </cell>
          <cell r="V391" t="str">
            <v>NULL</v>
          </cell>
          <cell r="W391" t="str">
            <v>NULL</v>
          </cell>
          <cell r="X391" t="str">
            <v>NULL</v>
          </cell>
          <cell r="Y391" t="str">
            <v>NULL</v>
          </cell>
          <cell r="Z391" t="str">
            <v>NULL</v>
          </cell>
          <cell r="AA391">
            <v>10041405</v>
          </cell>
          <cell r="AB391" t="str">
            <v>Independent School standard inspection</v>
          </cell>
          <cell r="AC391" t="str">
            <v>Independent Standard Inspection</v>
          </cell>
          <cell r="AD391">
            <v>43130</v>
          </cell>
          <cell r="AE391">
            <v>43132</v>
          </cell>
          <cell r="AF391">
            <v>43157</v>
          </cell>
          <cell r="AG391">
            <v>2</v>
          </cell>
          <cell r="AH391">
            <v>2</v>
          </cell>
          <cell r="AI391">
            <v>2</v>
          </cell>
          <cell r="AJ391">
            <v>2</v>
          </cell>
          <cell r="AK391">
            <v>2</v>
          </cell>
          <cell r="AL391" t="str">
            <v>NULL</v>
          </cell>
          <cell r="AM391" t="str">
            <v>NULL</v>
          </cell>
          <cell r="AN391" t="str">
            <v>Yes</v>
          </cell>
          <cell r="AO391">
            <v>10008621</v>
          </cell>
          <cell r="AP391" t="str">
            <v>Independent school standard inspection - first</v>
          </cell>
          <cell r="AQ391" t="str">
            <v>Independent Standard Inspection</v>
          </cell>
          <cell r="AR391">
            <v>42381</v>
          </cell>
          <cell r="AS391">
            <v>42383</v>
          </cell>
          <cell r="AT391">
            <v>42415</v>
          </cell>
          <cell r="AU391">
            <v>3</v>
          </cell>
          <cell r="AV391">
            <v>3</v>
          </cell>
          <cell r="AW391">
            <v>3</v>
          </cell>
          <cell r="AX391">
            <v>3</v>
          </cell>
          <cell r="AY391">
            <v>2</v>
          </cell>
          <cell r="AZ391" t="str">
            <v>NULL</v>
          </cell>
          <cell r="BA391" t="str">
            <v>NULL</v>
          </cell>
          <cell r="BB391" t="str">
            <v>Yes</v>
          </cell>
        </row>
        <row r="392">
          <cell r="D392">
            <v>135839</v>
          </cell>
          <cell r="E392">
            <v>3086305</v>
          </cell>
          <cell r="F392" t="str">
            <v>Freshsteps</v>
          </cell>
          <cell r="G392" t="str">
            <v>Other Independent School</v>
          </cell>
          <cell r="H392">
            <v>39818</v>
          </cell>
          <cell r="I392">
            <v>11</v>
          </cell>
          <cell r="J392" t="str">
            <v>London</v>
          </cell>
          <cell r="K392" t="str">
            <v>London</v>
          </cell>
          <cell r="L392" t="str">
            <v>Enfield</v>
          </cell>
          <cell r="M392" t="str">
            <v>Enfield North</v>
          </cell>
          <cell r="N392" t="str">
            <v>EN2 9BQ</v>
          </cell>
          <cell r="O392" t="str">
            <v>Has a sixth form</v>
          </cell>
          <cell r="P392">
            <v>5</v>
          </cell>
          <cell r="Q392">
            <v>18</v>
          </cell>
          <cell r="R392" t="str">
            <v>None</v>
          </cell>
          <cell r="S392" t="str">
            <v>Ofsted</v>
          </cell>
          <cell r="T392" t="str">
            <v>NULL</v>
          </cell>
          <cell r="U392" t="str">
            <v>NULL</v>
          </cell>
          <cell r="V392" t="str">
            <v>NULL</v>
          </cell>
          <cell r="W392" t="str">
            <v>NULL</v>
          </cell>
          <cell r="X392" t="str">
            <v>NULL</v>
          </cell>
          <cell r="Y392" t="str">
            <v>NULL</v>
          </cell>
          <cell r="Z392" t="str">
            <v>NULL</v>
          </cell>
          <cell r="AA392">
            <v>10026296</v>
          </cell>
          <cell r="AB392" t="str">
            <v>Independent School standard inspection</v>
          </cell>
          <cell r="AC392" t="str">
            <v>Independent Standard Inspection</v>
          </cell>
          <cell r="AD392">
            <v>43039</v>
          </cell>
          <cell r="AE392">
            <v>43041</v>
          </cell>
          <cell r="AF392">
            <v>43066</v>
          </cell>
          <cell r="AG392">
            <v>1</v>
          </cell>
          <cell r="AH392">
            <v>1</v>
          </cell>
          <cell r="AI392">
            <v>1</v>
          </cell>
          <cell r="AJ392">
            <v>1</v>
          </cell>
          <cell r="AK392">
            <v>1</v>
          </cell>
          <cell r="AL392" t="str">
            <v>NULL</v>
          </cell>
          <cell r="AM392" t="str">
            <v>NULL</v>
          </cell>
          <cell r="AN392" t="str">
            <v>Yes</v>
          </cell>
          <cell r="AO392" t="str">
            <v>ITS422799</v>
          </cell>
          <cell r="AP392" t="str">
            <v>Independent School standard inspection</v>
          </cell>
          <cell r="AQ392" t="str">
            <v>Independent Standard Inspection</v>
          </cell>
          <cell r="AR392">
            <v>41618</v>
          </cell>
          <cell r="AS392">
            <v>41620</v>
          </cell>
          <cell r="AT392">
            <v>41648</v>
          </cell>
          <cell r="AU392">
            <v>2</v>
          </cell>
          <cell r="AV392">
            <v>2</v>
          </cell>
          <cell r="AW392">
            <v>2</v>
          </cell>
          <cell r="AX392">
            <v>2</v>
          </cell>
          <cell r="AY392" t="str">
            <v>NULL</v>
          </cell>
          <cell r="AZ392" t="str">
            <v>NULL</v>
          </cell>
          <cell r="BA392" t="str">
            <v>NULL</v>
          </cell>
          <cell r="BB392" t="str">
            <v>NULL</v>
          </cell>
        </row>
        <row r="393">
          <cell r="D393">
            <v>100518</v>
          </cell>
          <cell r="E393">
            <v>2076188</v>
          </cell>
          <cell r="F393" t="str">
            <v>Hill House International Junior School</v>
          </cell>
          <cell r="G393" t="str">
            <v>Other Independent School</v>
          </cell>
          <cell r="H393">
            <v>21271</v>
          </cell>
          <cell r="I393">
            <v>751</v>
          </cell>
          <cell r="J393" t="str">
            <v>London</v>
          </cell>
          <cell r="K393" t="str">
            <v>London</v>
          </cell>
          <cell r="L393" t="str">
            <v>Kensington and Chelsea</v>
          </cell>
          <cell r="M393" t="str">
            <v>Kensington</v>
          </cell>
          <cell r="N393" t="str">
            <v>SW1X 0EP</v>
          </cell>
          <cell r="O393" t="str">
            <v>Does not have a sixth form</v>
          </cell>
          <cell r="P393">
            <v>4</v>
          </cell>
          <cell r="Q393">
            <v>13</v>
          </cell>
          <cell r="R393" t="str">
            <v>None</v>
          </cell>
          <cell r="S393" t="str">
            <v>Ofsted</v>
          </cell>
          <cell r="T393" t="str">
            <v>NULL</v>
          </cell>
          <cell r="U393" t="str">
            <v>NULL</v>
          </cell>
          <cell r="V393" t="str">
            <v>NULL</v>
          </cell>
          <cell r="W393" t="str">
            <v>NULL</v>
          </cell>
          <cell r="X393" t="str">
            <v>NULL</v>
          </cell>
          <cell r="Y393" t="str">
            <v>NULL</v>
          </cell>
          <cell r="Z393" t="str">
            <v>NULL</v>
          </cell>
          <cell r="AA393">
            <v>10038150</v>
          </cell>
          <cell r="AB393" t="str">
            <v>Independent School standard inspection</v>
          </cell>
          <cell r="AC393" t="str">
            <v>Independent Standard Inspection</v>
          </cell>
          <cell r="AD393">
            <v>43116</v>
          </cell>
          <cell r="AE393">
            <v>43118</v>
          </cell>
          <cell r="AF393">
            <v>43157</v>
          </cell>
          <cell r="AG393">
            <v>2</v>
          </cell>
          <cell r="AH393">
            <v>2</v>
          </cell>
          <cell r="AI393">
            <v>2</v>
          </cell>
          <cell r="AJ393">
            <v>2</v>
          </cell>
          <cell r="AK393">
            <v>1</v>
          </cell>
          <cell r="AL393">
            <v>2</v>
          </cell>
          <cell r="AM393" t="str">
            <v>NULL</v>
          </cell>
          <cell r="AN393" t="str">
            <v>Yes</v>
          </cell>
          <cell r="AO393" t="str">
            <v>ITS454804</v>
          </cell>
          <cell r="AP393" t="str">
            <v>Independent School standard inspection</v>
          </cell>
          <cell r="AQ393" t="str">
            <v>Independent Standard Inspection</v>
          </cell>
          <cell r="AR393">
            <v>41975</v>
          </cell>
          <cell r="AS393">
            <v>41977</v>
          </cell>
          <cell r="AT393">
            <v>42168</v>
          </cell>
          <cell r="AU393">
            <v>4</v>
          </cell>
          <cell r="AV393">
            <v>4</v>
          </cell>
          <cell r="AW393">
            <v>4</v>
          </cell>
          <cell r="AX393">
            <v>4</v>
          </cell>
          <cell r="AY393" t="str">
            <v>NULL</v>
          </cell>
          <cell r="AZ393">
            <v>4</v>
          </cell>
          <cell r="BA393">
            <v>9</v>
          </cell>
          <cell r="BB393" t="str">
            <v>NULL</v>
          </cell>
        </row>
        <row r="394">
          <cell r="D394">
            <v>141501</v>
          </cell>
          <cell r="E394">
            <v>3336007</v>
          </cell>
          <cell r="F394" t="str">
            <v>Homeschool</v>
          </cell>
          <cell r="G394" t="str">
            <v>Other Independent Special School</v>
          </cell>
          <cell r="H394">
            <v>41915</v>
          </cell>
          <cell r="I394">
            <v>4</v>
          </cell>
          <cell r="J394" t="str">
            <v>West Midlands</v>
          </cell>
          <cell r="K394" t="str">
            <v>West Midlands</v>
          </cell>
          <cell r="L394" t="str">
            <v>Sandwell</v>
          </cell>
          <cell r="M394" t="str">
            <v>West Bromwich East</v>
          </cell>
          <cell r="N394" t="str">
            <v>WS10 0GB</v>
          </cell>
          <cell r="O394" t="str">
            <v>Not applicable</v>
          </cell>
          <cell r="P394">
            <v>5</v>
          </cell>
          <cell r="Q394">
            <v>11</v>
          </cell>
          <cell r="R394" t="str">
            <v>Seventh Day Adventist</v>
          </cell>
          <cell r="S394" t="str">
            <v>Ofsted</v>
          </cell>
          <cell r="T394">
            <v>4</v>
          </cell>
          <cell r="U394">
            <v>10033635</v>
          </cell>
          <cell r="V394" t="str">
            <v>Independent school Progress Monitoring inspection</v>
          </cell>
          <cell r="W394">
            <v>42802</v>
          </cell>
          <cell r="X394">
            <v>42802</v>
          </cell>
          <cell r="Y394">
            <v>42828</v>
          </cell>
          <cell r="Z394" t="str">
            <v>Met all standards that were checked</v>
          </cell>
          <cell r="AA394">
            <v>10006307</v>
          </cell>
          <cell r="AB394" t="str">
            <v>Independent school standard inspection - first</v>
          </cell>
          <cell r="AC394" t="str">
            <v>Independent Standard Inspection</v>
          </cell>
          <cell r="AD394">
            <v>42480</v>
          </cell>
          <cell r="AE394">
            <v>42481</v>
          </cell>
          <cell r="AF394">
            <v>42551</v>
          </cell>
          <cell r="AG394">
            <v>4</v>
          </cell>
          <cell r="AH394">
            <v>2</v>
          </cell>
          <cell r="AI394">
            <v>2</v>
          </cell>
          <cell r="AJ394">
            <v>4</v>
          </cell>
          <cell r="AK394">
            <v>4</v>
          </cell>
          <cell r="AL394" t="str">
            <v>NULL</v>
          </cell>
          <cell r="AM394" t="str">
            <v>NULL</v>
          </cell>
          <cell r="AN394" t="str">
            <v>No</v>
          </cell>
          <cell r="AO394" t="str">
            <v>NULL</v>
          </cell>
          <cell r="AP394" t="str">
            <v>NULL</v>
          </cell>
          <cell r="AQ394" t="str">
            <v>NULL</v>
          </cell>
          <cell r="AR394" t="str">
            <v>NULL</v>
          </cell>
          <cell r="AS394" t="str">
            <v>NULL</v>
          </cell>
          <cell r="AT394" t="str">
            <v>NULL</v>
          </cell>
          <cell r="AU394" t="str">
            <v>NULL</v>
          </cell>
          <cell r="AV394" t="str">
            <v>NULL</v>
          </cell>
          <cell r="AW394" t="str">
            <v>NULL</v>
          </cell>
          <cell r="AX394" t="str">
            <v>NULL</v>
          </cell>
          <cell r="AY394" t="str">
            <v>NULL</v>
          </cell>
          <cell r="AZ394" t="str">
            <v>NULL</v>
          </cell>
          <cell r="BA394" t="str">
            <v>NULL</v>
          </cell>
          <cell r="BB394" t="str">
            <v>NULL</v>
          </cell>
        </row>
        <row r="395">
          <cell r="D395">
            <v>136043</v>
          </cell>
          <cell r="E395">
            <v>9376107</v>
          </cell>
          <cell r="F395" t="str">
            <v>House of Light</v>
          </cell>
          <cell r="G395" t="str">
            <v>Other Independent School</v>
          </cell>
          <cell r="H395">
            <v>40176</v>
          </cell>
          <cell r="I395">
            <v>5</v>
          </cell>
          <cell r="J395" t="str">
            <v>West Midlands</v>
          </cell>
          <cell r="K395" t="str">
            <v>West Midlands</v>
          </cell>
          <cell r="L395" t="str">
            <v>Warwickshire</v>
          </cell>
          <cell r="M395" t="str">
            <v>Nuneaton</v>
          </cell>
          <cell r="N395" t="str">
            <v>CV11 5RB</v>
          </cell>
          <cell r="O395" t="str">
            <v>Does not have a sixth form</v>
          </cell>
          <cell r="P395">
            <v>3</v>
          </cell>
          <cell r="Q395">
            <v>12</v>
          </cell>
          <cell r="R395" t="str">
            <v>Islam</v>
          </cell>
          <cell r="S395" t="str">
            <v>Ofsted</v>
          </cell>
          <cell r="T395">
            <v>1</v>
          </cell>
          <cell r="U395">
            <v>10026108</v>
          </cell>
          <cell r="V395" t="str">
            <v>Independent school emergency inspection</v>
          </cell>
          <cell r="W395">
            <v>42997</v>
          </cell>
          <cell r="X395">
            <v>42997</v>
          </cell>
          <cell r="Y395" t="str">
            <v>NULL</v>
          </cell>
          <cell r="Z395" t="str">
            <v>School appears to have closed</v>
          </cell>
          <cell r="AA395" t="str">
            <v>ITS440219</v>
          </cell>
          <cell r="AB395" t="str">
            <v>Independent School standard inspection</v>
          </cell>
          <cell r="AC395" t="str">
            <v>Independent Standard Inspection</v>
          </cell>
          <cell r="AD395">
            <v>41716</v>
          </cell>
          <cell r="AE395">
            <v>41718</v>
          </cell>
          <cell r="AF395">
            <v>41738</v>
          </cell>
          <cell r="AG395">
            <v>2</v>
          </cell>
          <cell r="AH395">
            <v>2</v>
          </cell>
          <cell r="AI395">
            <v>2</v>
          </cell>
          <cell r="AJ395">
            <v>2</v>
          </cell>
          <cell r="AK395" t="str">
            <v>NULL</v>
          </cell>
          <cell r="AL395" t="str">
            <v>NULL</v>
          </cell>
          <cell r="AM395" t="str">
            <v>NULL</v>
          </cell>
          <cell r="AN395" t="str">
            <v>NULL</v>
          </cell>
          <cell r="AO395" t="str">
            <v>ITS364146</v>
          </cell>
          <cell r="AP395" t="str">
            <v>Independent School standard inspection</v>
          </cell>
          <cell r="AQ395" t="str">
            <v>Independent Standard Inspection</v>
          </cell>
          <cell r="AR395">
            <v>40575</v>
          </cell>
          <cell r="AS395">
            <v>40576</v>
          </cell>
          <cell r="AT395">
            <v>40605</v>
          </cell>
          <cell r="AU395">
            <v>3</v>
          </cell>
          <cell r="AV395">
            <v>3</v>
          </cell>
          <cell r="AW395">
            <v>3</v>
          </cell>
          <cell r="AX395" t="str">
            <v>NULL</v>
          </cell>
          <cell r="AY395" t="str">
            <v>NULL</v>
          </cell>
          <cell r="AZ395">
            <v>3</v>
          </cell>
          <cell r="BA395" t="str">
            <v>NULL</v>
          </cell>
          <cell r="BB395" t="str">
            <v>NULL</v>
          </cell>
        </row>
        <row r="396">
          <cell r="D396">
            <v>103111</v>
          </cell>
          <cell r="E396">
            <v>3096005</v>
          </cell>
          <cell r="F396" t="str">
            <v>Hyland House School</v>
          </cell>
          <cell r="G396" t="str">
            <v>Other Independent School</v>
          </cell>
          <cell r="H396">
            <v>21157</v>
          </cell>
          <cell r="I396">
            <v>75</v>
          </cell>
          <cell r="J396" t="str">
            <v>London</v>
          </cell>
          <cell r="K396" t="str">
            <v>London</v>
          </cell>
          <cell r="L396" t="str">
            <v>Haringey</v>
          </cell>
          <cell r="M396" t="str">
            <v>Tottenham</v>
          </cell>
          <cell r="N396" t="str">
            <v>N17 9AD</v>
          </cell>
          <cell r="O396" t="str">
            <v>Does not have a sixth form</v>
          </cell>
          <cell r="P396">
            <v>2</v>
          </cell>
          <cell r="Q396">
            <v>11</v>
          </cell>
          <cell r="R396" t="str">
            <v>None</v>
          </cell>
          <cell r="S396" t="str">
            <v>Ofsted</v>
          </cell>
          <cell r="T396" t="str">
            <v>NULL</v>
          </cell>
          <cell r="U396" t="str">
            <v>NULL</v>
          </cell>
          <cell r="V396" t="str">
            <v>NULL</v>
          </cell>
          <cell r="W396" t="str">
            <v>NULL</v>
          </cell>
          <cell r="X396" t="str">
            <v>NULL</v>
          </cell>
          <cell r="Y396" t="str">
            <v>NULL</v>
          </cell>
          <cell r="Z396" t="str">
            <v>NULL</v>
          </cell>
          <cell r="AA396">
            <v>10020784</v>
          </cell>
          <cell r="AB396" t="str">
            <v>Independent School standard inspection</v>
          </cell>
          <cell r="AC396" t="str">
            <v>Independent Standard Inspection</v>
          </cell>
          <cell r="AD396">
            <v>42759</v>
          </cell>
          <cell r="AE396">
            <v>42761</v>
          </cell>
          <cell r="AF396">
            <v>42816</v>
          </cell>
          <cell r="AG396">
            <v>3</v>
          </cell>
          <cell r="AH396">
            <v>3</v>
          </cell>
          <cell r="AI396">
            <v>3</v>
          </cell>
          <cell r="AJ396">
            <v>3</v>
          </cell>
          <cell r="AK396">
            <v>2</v>
          </cell>
          <cell r="AL396">
            <v>1</v>
          </cell>
          <cell r="AM396" t="str">
            <v>NULL</v>
          </cell>
          <cell r="AN396" t="str">
            <v>Yes</v>
          </cell>
          <cell r="AO396" t="str">
            <v>ITS385076</v>
          </cell>
          <cell r="AP396" t="str">
            <v>Independent School standard inspection</v>
          </cell>
          <cell r="AQ396" t="str">
            <v>Independent Standard Inspection</v>
          </cell>
          <cell r="AR396">
            <v>40821</v>
          </cell>
          <cell r="AS396">
            <v>40822</v>
          </cell>
          <cell r="AT396">
            <v>40851</v>
          </cell>
          <cell r="AU396">
            <v>2</v>
          </cell>
          <cell r="AV396">
            <v>2</v>
          </cell>
          <cell r="AW396">
            <v>2</v>
          </cell>
          <cell r="AX396" t="str">
            <v>NULL</v>
          </cell>
          <cell r="AY396" t="str">
            <v>NULL</v>
          </cell>
          <cell r="AZ396">
            <v>2</v>
          </cell>
          <cell r="BA396" t="str">
            <v>NULL</v>
          </cell>
          <cell r="BB396" t="str">
            <v>NULL</v>
          </cell>
        </row>
        <row r="397">
          <cell r="D397">
            <v>101957</v>
          </cell>
          <cell r="E397">
            <v>3076068</v>
          </cell>
          <cell r="F397" t="str">
            <v>King Fahad Academy</v>
          </cell>
          <cell r="G397" t="str">
            <v>Other Independent School</v>
          </cell>
          <cell r="H397">
            <v>31400</v>
          </cell>
          <cell r="I397">
            <v>507</v>
          </cell>
          <cell r="J397" t="str">
            <v>London</v>
          </cell>
          <cell r="K397" t="str">
            <v>London</v>
          </cell>
          <cell r="L397" t="str">
            <v>Ealing</v>
          </cell>
          <cell r="M397" t="str">
            <v>Ealing Central and Acton</v>
          </cell>
          <cell r="N397" t="str">
            <v>W3 7HD</v>
          </cell>
          <cell r="O397" t="str">
            <v>Has a sixth form</v>
          </cell>
          <cell r="P397">
            <v>3</v>
          </cell>
          <cell r="Q397">
            <v>18</v>
          </cell>
          <cell r="R397" t="str">
            <v>None</v>
          </cell>
          <cell r="S397" t="str">
            <v>Ofsted</v>
          </cell>
          <cell r="T397">
            <v>1</v>
          </cell>
          <cell r="U397">
            <v>10038668</v>
          </cell>
          <cell r="V397" t="str">
            <v>Independent school evaluation of school action plan</v>
          </cell>
          <cell r="W397">
            <v>42902</v>
          </cell>
          <cell r="X397">
            <v>42902</v>
          </cell>
          <cell r="Y397" t="str">
            <v>NULL</v>
          </cell>
          <cell r="Z397" t="str">
            <v>Action plan is acceptable</v>
          </cell>
          <cell r="AA397">
            <v>10006090</v>
          </cell>
          <cell r="AB397" t="str">
            <v>Independent School standard inspection</v>
          </cell>
          <cell r="AC397" t="str">
            <v>Independent Standard Inspection</v>
          </cell>
          <cell r="AD397">
            <v>42752</v>
          </cell>
          <cell r="AE397">
            <v>42754</v>
          </cell>
          <cell r="AF397">
            <v>42779</v>
          </cell>
          <cell r="AG397">
            <v>3</v>
          </cell>
          <cell r="AH397">
            <v>3</v>
          </cell>
          <cell r="AI397">
            <v>3</v>
          </cell>
          <cell r="AJ397">
            <v>3</v>
          </cell>
          <cell r="AK397">
            <v>3</v>
          </cell>
          <cell r="AL397">
            <v>2</v>
          </cell>
          <cell r="AM397">
            <v>2</v>
          </cell>
          <cell r="AN397" t="str">
            <v>Yes</v>
          </cell>
          <cell r="AO397" t="str">
            <v>ITS408416</v>
          </cell>
          <cell r="AP397" t="str">
            <v>Independent School standard inspection</v>
          </cell>
          <cell r="AQ397" t="str">
            <v>Independent Standard Inspection</v>
          </cell>
          <cell r="AR397">
            <v>41184</v>
          </cell>
          <cell r="AS397">
            <v>41185</v>
          </cell>
          <cell r="AT397">
            <v>41206</v>
          </cell>
          <cell r="AU397">
            <v>3</v>
          </cell>
          <cell r="AV397">
            <v>3</v>
          </cell>
          <cell r="AW397">
            <v>3</v>
          </cell>
          <cell r="AX397" t="str">
            <v>NULL</v>
          </cell>
          <cell r="AY397" t="str">
            <v>NULL</v>
          </cell>
          <cell r="AZ397">
            <v>8</v>
          </cell>
          <cell r="BA397" t="str">
            <v>NULL</v>
          </cell>
          <cell r="BB397" t="str">
            <v>NULL</v>
          </cell>
        </row>
        <row r="398">
          <cell r="D398">
            <v>105596</v>
          </cell>
          <cell r="E398">
            <v>3526037</v>
          </cell>
          <cell r="F398" t="str">
            <v>King of Kings School</v>
          </cell>
          <cell r="G398" t="str">
            <v>Other Independent School</v>
          </cell>
          <cell r="H398">
            <v>31686</v>
          </cell>
          <cell r="I398">
            <v>13</v>
          </cell>
          <cell r="J398" t="str">
            <v>North West</v>
          </cell>
          <cell r="K398" t="str">
            <v>North West</v>
          </cell>
          <cell r="L398" t="str">
            <v>Manchester</v>
          </cell>
          <cell r="M398" t="str">
            <v>Manchester Central</v>
          </cell>
          <cell r="N398" t="str">
            <v>M4 4DN</v>
          </cell>
          <cell r="O398" t="str">
            <v>Has a sixth form</v>
          </cell>
          <cell r="P398">
            <v>3</v>
          </cell>
          <cell r="Q398">
            <v>18</v>
          </cell>
          <cell r="R398" t="str">
            <v>None</v>
          </cell>
          <cell r="S398" t="str">
            <v>Ofsted</v>
          </cell>
          <cell r="T398" t="str">
            <v>NULL</v>
          </cell>
          <cell r="U398" t="str">
            <v>NULL</v>
          </cell>
          <cell r="V398" t="str">
            <v>NULL</v>
          </cell>
          <cell r="W398" t="str">
            <v>NULL</v>
          </cell>
          <cell r="X398" t="str">
            <v>NULL</v>
          </cell>
          <cell r="Y398" t="str">
            <v>NULL</v>
          </cell>
          <cell r="Z398" t="str">
            <v>NULL</v>
          </cell>
          <cell r="AA398">
            <v>10044719</v>
          </cell>
          <cell r="AB398" t="str">
            <v>Independent School standard inspection</v>
          </cell>
          <cell r="AC398" t="str">
            <v>Independent Standard Inspection</v>
          </cell>
          <cell r="AD398">
            <v>43116</v>
          </cell>
          <cell r="AE398">
            <v>43118</v>
          </cell>
          <cell r="AF398">
            <v>43143</v>
          </cell>
          <cell r="AG398">
            <v>3</v>
          </cell>
          <cell r="AH398">
            <v>3</v>
          </cell>
          <cell r="AI398">
            <v>3</v>
          </cell>
          <cell r="AJ398">
            <v>3</v>
          </cell>
          <cell r="AK398">
            <v>2</v>
          </cell>
          <cell r="AL398">
            <v>3</v>
          </cell>
          <cell r="AM398">
            <v>3</v>
          </cell>
          <cell r="AN398" t="str">
            <v>Yes</v>
          </cell>
          <cell r="AO398">
            <v>10006653</v>
          </cell>
          <cell r="AP398" t="str">
            <v>Independent School standard inspection</v>
          </cell>
          <cell r="AQ398" t="str">
            <v>Independent Standard Inspection</v>
          </cell>
          <cell r="AR398">
            <v>42352</v>
          </cell>
          <cell r="AS398">
            <v>42354</v>
          </cell>
          <cell r="AT398">
            <v>42389</v>
          </cell>
          <cell r="AU398">
            <v>4</v>
          </cell>
          <cell r="AV398">
            <v>3</v>
          </cell>
          <cell r="AW398">
            <v>3</v>
          </cell>
          <cell r="AX398">
            <v>4</v>
          </cell>
          <cell r="AY398">
            <v>2</v>
          </cell>
          <cell r="AZ398">
            <v>3</v>
          </cell>
          <cell r="BA398">
            <v>3</v>
          </cell>
          <cell r="BB398" t="str">
            <v>Yes</v>
          </cell>
        </row>
        <row r="399">
          <cell r="D399">
            <v>138333</v>
          </cell>
          <cell r="E399">
            <v>8376009</v>
          </cell>
          <cell r="F399" t="str">
            <v>Kings Bournemouth</v>
          </cell>
          <cell r="G399" t="str">
            <v>Other Independent School</v>
          </cell>
          <cell r="H399">
            <v>41089</v>
          </cell>
          <cell r="I399">
            <v>2039</v>
          </cell>
          <cell r="J399" t="str">
            <v>South West</v>
          </cell>
          <cell r="K399" t="str">
            <v>South West</v>
          </cell>
          <cell r="L399" t="str">
            <v>Bournemouth</v>
          </cell>
          <cell r="M399" t="str">
            <v>Bournemouth West</v>
          </cell>
          <cell r="N399" t="str">
            <v>BH2 6LD</v>
          </cell>
          <cell r="O399" t="str">
            <v>Has a sixth form</v>
          </cell>
          <cell r="P399">
            <v>14</v>
          </cell>
          <cell r="Q399">
            <v>25</v>
          </cell>
          <cell r="R399" t="str">
            <v>None</v>
          </cell>
          <cell r="S399" t="str">
            <v>Ofsted</v>
          </cell>
          <cell r="T399" t="str">
            <v>NULL</v>
          </cell>
          <cell r="U399" t="str">
            <v>NULL</v>
          </cell>
          <cell r="V399" t="str">
            <v>NULL</v>
          </cell>
          <cell r="W399" t="str">
            <v>NULL</v>
          </cell>
          <cell r="X399" t="str">
            <v>NULL</v>
          </cell>
          <cell r="Y399" t="str">
            <v>NULL</v>
          </cell>
          <cell r="Z399" t="str">
            <v>NULL</v>
          </cell>
          <cell r="AA399">
            <v>10020906</v>
          </cell>
          <cell r="AB399" t="str">
            <v>Independent School standard inspection</v>
          </cell>
          <cell r="AC399" t="str">
            <v>Independent Standard Inspection</v>
          </cell>
          <cell r="AD399">
            <v>42717</v>
          </cell>
          <cell r="AE399">
            <v>42719</v>
          </cell>
          <cell r="AF399">
            <v>42780</v>
          </cell>
          <cell r="AG399">
            <v>3</v>
          </cell>
          <cell r="AH399">
            <v>2</v>
          </cell>
          <cell r="AI399">
            <v>2</v>
          </cell>
          <cell r="AJ399">
            <v>3</v>
          </cell>
          <cell r="AK399">
            <v>2</v>
          </cell>
          <cell r="AL399" t="str">
            <v>NULL</v>
          </cell>
          <cell r="AM399">
            <v>3</v>
          </cell>
          <cell r="AN399" t="str">
            <v>Yes</v>
          </cell>
          <cell r="AO399" t="str">
            <v>ITS420246</v>
          </cell>
          <cell r="AP399" t="str">
            <v>Independent school standard inspection - first</v>
          </cell>
          <cell r="AQ399" t="str">
            <v>Independent Standard Inspection</v>
          </cell>
          <cell r="AR399">
            <v>41416</v>
          </cell>
          <cell r="AS399">
            <v>41418</v>
          </cell>
          <cell r="AT399">
            <v>41439</v>
          </cell>
          <cell r="AU399">
            <v>2</v>
          </cell>
          <cell r="AV399">
            <v>2</v>
          </cell>
          <cell r="AW399">
            <v>2</v>
          </cell>
          <cell r="AX399">
            <v>2</v>
          </cell>
          <cell r="AY399" t="str">
            <v>NULL</v>
          </cell>
          <cell r="AZ399" t="str">
            <v>NULL</v>
          </cell>
          <cell r="BA399" t="str">
            <v>NULL</v>
          </cell>
          <cell r="BB399" t="str">
            <v>NULL</v>
          </cell>
        </row>
        <row r="400">
          <cell r="D400">
            <v>133447</v>
          </cell>
          <cell r="E400">
            <v>2096361</v>
          </cell>
          <cell r="F400" t="str">
            <v>Kings Kids Christian School</v>
          </cell>
          <cell r="G400" t="str">
            <v>Other Independent School</v>
          </cell>
          <cell r="H400">
            <v>37180</v>
          </cell>
          <cell r="I400">
            <v>26</v>
          </cell>
          <cell r="J400" t="str">
            <v>London</v>
          </cell>
          <cell r="K400" t="str">
            <v>London</v>
          </cell>
          <cell r="L400" t="str">
            <v>Lewisham</v>
          </cell>
          <cell r="M400" t="str">
            <v>Lewisham, Deptford</v>
          </cell>
          <cell r="N400" t="str">
            <v>SE14 6EU</v>
          </cell>
          <cell r="O400" t="str">
            <v>Does not have a sixth form</v>
          </cell>
          <cell r="P400">
            <v>3</v>
          </cell>
          <cell r="Q400">
            <v>11</v>
          </cell>
          <cell r="R400" t="str">
            <v>None</v>
          </cell>
          <cell r="S400" t="str">
            <v>Ofsted</v>
          </cell>
          <cell r="T400" t="str">
            <v>NULL</v>
          </cell>
          <cell r="U400" t="str">
            <v>NULL</v>
          </cell>
          <cell r="V400" t="str">
            <v>NULL</v>
          </cell>
          <cell r="W400" t="str">
            <v>NULL</v>
          </cell>
          <cell r="X400" t="str">
            <v>NULL</v>
          </cell>
          <cell r="Y400" t="str">
            <v>NULL</v>
          </cell>
          <cell r="Z400" t="str">
            <v>NULL</v>
          </cell>
          <cell r="AA400">
            <v>10035796</v>
          </cell>
          <cell r="AB400" t="str">
            <v>Independent School standard inspection</v>
          </cell>
          <cell r="AC400" t="str">
            <v>Independent Standard Inspection</v>
          </cell>
          <cell r="AD400">
            <v>43067</v>
          </cell>
          <cell r="AE400">
            <v>43069</v>
          </cell>
          <cell r="AF400">
            <v>43136</v>
          </cell>
          <cell r="AG400">
            <v>4</v>
          </cell>
          <cell r="AH400">
            <v>4</v>
          </cell>
          <cell r="AI400">
            <v>4</v>
          </cell>
          <cell r="AJ400">
            <v>4</v>
          </cell>
          <cell r="AK400">
            <v>3</v>
          </cell>
          <cell r="AL400">
            <v>4</v>
          </cell>
          <cell r="AM400" t="str">
            <v>NULL</v>
          </cell>
          <cell r="AN400" t="str">
            <v>Yes</v>
          </cell>
          <cell r="AO400" t="str">
            <v>ITS440223</v>
          </cell>
          <cell r="AP400" t="str">
            <v>Independent School standard inspection</v>
          </cell>
          <cell r="AQ400" t="str">
            <v>Independent Standard Inspection</v>
          </cell>
          <cell r="AR400">
            <v>41695</v>
          </cell>
          <cell r="AS400">
            <v>41697</v>
          </cell>
          <cell r="AT400">
            <v>41717</v>
          </cell>
          <cell r="AU400">
            <v>2</v>
          </cell>
          <cell r="AV400">
            <v>2</v>
          </cell>
          <cell r="AW400">
            <v>2</v>
          </cell>
          <cell r="AX400">
            <v>2</v>
          </cell>
          <cell r="AY400" t="str">
            <v>NULL</v>
          </cell>
          <cell r="AZ400" t="str">
            <v>NULL</v>
          </cell>
          <cell r="BA400" t="str">
            <v>NULL</v>
          </cell>
          <cell r="BB400" t="str">
            <v>NULL</v>
          </cell>
        </row>
        <row r="401">
          <cell r="D401">
            <v>138563</v>
          </cell>
          <cell r="E401">
            <v>8036009</v>
          </cell>
          <cell r="F401" t="str">
            <v>Aurora Hedgeway School</v>
          </cell>
          <cell r="G401" t="str">
            <v>Other Independent Special School</v>
          </cell>
          <cell r="H401">
            <v>41130</v>
          </cell>
          <cell r="I401">
            <v>12</v>
          </cell>
          <cell r="J401" t="str">
            <v>South West</v>
          </cell>
          <cell r="K401" t="str">
            <v>South West</v>
          </cell>
          <cell r="L401" t="str">
            <v>South Gloucestershire</v>
          </cell>
          <cell r="M401" t="str">
            <v>Filton and Bradley Stoke</v>
          </cell>
          <cell r="N401" t="str">
            <v>BS35 4JN</v>
          </cell>
          <cell r="O401" t="str">
            <v>Not applicable</v>
          </cell>
          <cell r="P401">
            <v>7</v>
          </cell>
          <cell r="Q401">
            <v>19</v>
          </cell>
          <cell r="R401" t="str">
            <v>None</v>
          </cell>
          <cell r="S401" t="str">
            <v>Ofsted</v>
          </cell>
          <cell r="T401" t="str">
            <v>NULL</v>
          </cell>
          <cell r="U401" t="str">
            <v>NULL</v>
          </cell>
          <cell r="V401" t="str">
            <v>NULL</v>
          </cell>
          <cell r="W401" t="str">
            <v>NULL</v>
          </cell>
          <cell r="X401" t="str">
            <v>NULL</v>
          </cell>
          <cell r="Y401" t="str">
            <v>NULL</v>
          </cell>
          <cell r="Z401" t="str">
            <v>NULL</v>
          </cell>
          <cell r="AA401">
            <v>10026043</v>
          </cell>
          <cell r="AB401" t="str">
            <v>Independent School standard inspection</v>
          </cell>
          <cell r="AC401" t="str">
            <v>Independent Standard Inspection</v>
          </cell>
          <cell r="AD401">
            <v>43053</v>
          </cell>
          <cell r="AE401">
            <v>43055</v>
          </cell>
          <cell r="AF401">
            <v>43077</v>
          </cell>
          <cell r="AG401">
            <v>2</v>
          </cell>
          <cell r="AH401">
            <v>2</v>
          </cell>
          <cell r="AI401">
            <v>2</v>
          </cell>
          <cell r="AJ401">
            <v>2</v>
          </cell>
          <cell r="AK401">
            <v>2</v>
          </cell>
          <cell r="AL401" t="str">
            <v>NULL</v>
          </cell>
          <cell r="AM401" t="str">
            <v>NULL</v>
          </cell>
          <cell r="AN401" t="str">
            <v>Yes</v>
          </cell>
          <cell r="AO401" t="str">
            <v>ITS420281</v>
          </cell>
          <cell r="AP401" t="str">
            <v>Independent school standard inspection - first</v>
          </cell>
          <cell r="AQ401" t="str">
            <v>Independent Standard Inspection</v>
          </cell>
          <cell r="AR401">
            <v>41584</v>
          </cell>
          <cell r="AS401">
            <v>41585</v>
          </cell>
          <cell r="AT401">
            <v>41605</v>
          </cell>
          <cell r="AU401">
            <v>3</v>
          </cell>
          <cell r="AV401">
            <v>3</v>
          </cell>
          <cell r="AW401">
            <v>3</v>
          </cell>
          <cell r="AX401">
            <v>3</v>
          </cell>
          <cell r="AY401" t="str">
            <v>NULL</v>
          </cell>
          <cell r="AZ401" t="str">
            <v>NULL</v>
          </cell>
          <cell r="BA401" t="str">
            <v>NULL</v>
          </cell>
          <cell r="BB401" t="str">
            <v>NULL</v>
          </cell>
        </row>
        <row r="402">
          <cell r="D402">
            <v>131611</v>
          </cell>
          <cell r="E402">
            <v>8866079</v>
          </cell>
          <cell r="F402" t="str">
            <v>West Heath School</v>
          </cell>
          <cell r="G402" t="str">
            <v>Other Independent Special School</v>
          </cell>
          <cell r="H402">
            <v>36010</v>
          </cell>
          <cell r="I402">
            <v>125</v>
          </cell>
          <cell r="J402" t="str">
            <v>South East</v>
          </cell>
          <cell r="K402" t="str">
            <v>South East</v>
          </cell>
          <cell r="L402" t="str">
            <v>Kent</v>
          </cell>
          <cell r="M402" t="str">
            <v>Sevenoaks</v>
          </cell>
          <cell r="N402" t="str">
            <v>TN13 1SR</v>
          </cell>
          <cell r="O402" t="str">
            <v>Not applicable</v>
          </cell>
          <cell r="P402">
            <v>10</v>
          </cell>
          <cell r="Q402">
            <v>19</v>
          </cell>
          <cell r="R402" t="str">
            <v>None</v>
          </cell>
          <cell r="S402" t="str">
            <v>Ofsted</v>
          </cell>
          <cell r="T402" t="str">
            <v>NULL</v>
          </cell>
          <cell r="U402" t="str">
            <v>NULL</v>
          </cell>
          <cell r="V402" t="str">
            <v>NULL</v>
          </cell>
          <cell r="W402" t="str">
            <v>NULL</v>
          </cell>
          <cell r="X402" t="str">
            <v>NULL</v>
          </cell>
          <cell r="Y402" t="str">
            <v>NULL</v>
          </cell>
          <cell r="Z402" t="str">
            <v>NULL</v>
          </cell>
          <cell r="AA402">
            <v>10026009</v>
          </cell>
          <cell r="AB402" t="str">
            <v xml:space="preserve">Independent School standard inspection - integrated </v>
          </cell>
          <cell r="AC402" t="str">
            <v>Independent Standard Inspection</v>
          </cell>
          <cell r="AD402">
            <v>42808</v>
          </cell>
          <cell r="AE402">
            <v>42810</v>
          </cell>
          <cell r="AF402">
            <v>42857</v>
          </cell>
          <cell r="AG402">
            <v>1</v>
          </cell>
          <cell r="AH402">
            <v>1</v>
          </cell>
          <cell r="AI402">
            <v>1</v>
          </cell>
          <cell r="AJ402">
            <v>1</v>
          </cell>
          <cell r="AK402">
            <v>1</v>
          </cell>
          <cell r="AL402" t="str">
            <v>NULL</v>
          </cell>
          <cell r="AM402">
            <v>1</v>
          </cell>
          <cell r="AN402" t="str">
            <v>Yes</v>
          </cell>
          <cell r="AO402" t="str">
            <v>ITS422728</v>
          </cell>
          <cell r="AP402" t="str">
            <v xml:space="preserve">Independent School standard inspection - integrated </v>
          </cell>
          <cell r="AQ402" t="str">
            <v>Independent Standard Inspection</v>
          </cell>
          <cell r="AR402">
            <v>41619</v>
          </cell>
          <cell r="AS402">
            <v>41621</v>
          </cell>
          <cell r="AT402">
            <v>41652</v>
          </cell>
          <cell r="AU402">
            <v>1</v>
          </cell>
          <cell r="AV402">
            <v>1</v>
          </cell>
          <cell r="AW402">
            <v>1</v>
          </cell>
          <cell r="AX402">
            <v>1</v>
          </cell>
          <cell r="AY402" t="str">
            <v>NULL</v>
          </cell>
          <cell r="AZ402" t="str">
            <v>NULL</v>
          </cell>
          <cell r="BA402" t="str">
            <v>NULL</v>
          </cell>
          <cell r="BB402" t="str">
            <v>NULL</v>
          </cell>
        </row>
        <row r="403">
          <cell r="D403">
            <v>140655</v>
          </cell>
          <cell r="E403">
            <v>9196053</v>
          </cell>
          <cell r="F403" t="str">
            <v>White Trees Independent School</v>
          </cell>
          <cell r="G403" t="str">
            <v>Other Independent Special School</v>
          </cell>
          <cell r="H403">
            <v>41704</v>
          </cell>
          <cell r="I403">
            <v>6</v>
          </cell>
          <cell r="J403" t="str">
            <v>East of England</v>
          </cell>
          <cell r="K403" t="str">
            <v>East of England</v>
          </cell>
          <cell r="L403" t="str">
            <v>Hertfordshire</v>
          </cell>
          <cell r="M403" t="str">
            <v>Hertford and Stortford</v>
          </cell>
          <cell r="N403" t="str">
            <v>CM23 3SP</v>
          </cell>
          <cell r="O403" t="str">
            <v>Not applicable</v>
          </cell>
          <cell r="P403">
            <v>11</v>
          </cell>
          <cell r="Q403">
            <v>16</v>
          </cell>
          <cell r="R403" t="str">
            <v>None</v>
          </cell>
          <cell r="S403" t="str">
            <v>Ofsted</v>
          </cell>
          <cell r="T403">
            <v>4</v>
          </cell>
          <cell r="U403">
            <v>10040164</v>
          </cell>
          <cell r="V403" t="str">
            <v>Independent school Material Change inspection</v>
          </cell>
          <cell r="W403">
            <v>43059</v>
          </cell>
          <cell r="X403">
            <v>43059</v>
          </cell>
          <cell r="Y403">
            <v>43117</v>
          </cell>
          <cell r="Z403" t="str">
            <v>Likely to meet relevant standards</v>
          </cell>
          <cell r="AA403" t="str">
            <v>ITS454306</v>
          </cell>
          <cell r="AB403" t="str">
            <v>Independent school standard inspection - first</v>
          </cell>
          <cell r="AC403" t="str">
            <v>Independent Standard Inspection</v>
          </cell>
          <cell r="AD403">
            <v>42059</v>
          </cell>
          <cell r="AE403">
            <v>42061</v>
          </cell>
          <cell r="AF403">
            <v>42109</v>
          </cell>
          <cell r="AG403">
            <v>2</v>
          </cell>
          <cell r="AH403">
            <v>2</v>
          </cell>
          <cell r="AI403">
            <v>2</v>
          </cell>
          <cell r="AJ403">
            <v>2</v>
          </cell>
          <cell r="AK403" t="str">
            <v>NULL</v>
          </cell>
          <cell r="AL403">
            <v>9</v>
          </cell>
          <cell r="AM403">
            <v>9</v>
          </cell>
          <cell r="AN403" t="str">
            <v>NULL</v>
          </cell>
          <cell r="AO403" t="str">
            <v>NULL</v>
          </cell>
          <cell r="AP403" t="str">
            <v>NULL</v>
          </cell>
          <cell r="AQ403" t="str">
            <v>NULL</v>
          </cell>
          <cell r="AR403" t="str">
            <v>NULL</v>
          </cell>
          <cell r="AS403" t="str">
            <v>NULL</v>
          </cell>
          <cell r="AT403" t="str">
            <v>NULL</v>
          </cell>
          <cell r="AU403" t="str">
            <v>NULL</v>
          </cell>
          <cell r="AV403" t="str">
            <v>NULL</v>
          </cell>
          <cell r="AW403" t="str">
            <v>NULL</v>
          </cell>
          <cell r="AX403" t="str">
            <v>NULL</v>
          </cell>
          <cell r="AY403" t="str">
            <v>NULL</v>
          </cell>
          <cell r="AZ403" t="str">
            <v>NULL</v>
          </cell>
          <cell r="BA403" t="str">
            <v>NULL</v>
          </cell>
          <cell r="BB403" t="str">
            <v>NULL</v>
          </cell>
        </row>
        <row r="404">
          <cell r="D404">
            <v>134938</v>
          </cell>
          <cell r="E404">
            <v>8576005</v>
          </cell>
          <cell r="F404" t="str">
            <v>Wilds Lodge School</v>
          </cell>
          <cell r="G404" t="str">
            <v>Other Independent Special School</v>
          </cell>
          <cell r="H404">
            <v>39100</v>
          </cell>
          <cell r="I404">
            <v>94</v>
          </cell>
          <cell r="J404" t="str">
            <v>East Midlands</v>
          </cell>
          <cell r="K404" t="str">
            <v>East Midlands</v>
          </cell>
          <cell r="L404" t="str">
            <v>Rutland</v>
          </cell>
          <cell r="M404" t="str">
            <v>Rutland and Melton</v>
          </cell>
          <cell r="N404" t="str">
            <v>LE15 8QQ</v>
          </cell>
          <cell r="O404" t="str">
            <v>Not applicable</v>
          </cell>
          <cell r="P404">
            <v>5</v>
          </cell>
          <cell r="Q404">
            <v>19</v>
          </cell>
          <cell r="R404" t="str">
            <v>None</v>
          </cell>
          <cell r="S404" t="str">
            <v>Ofsted</v>
          </cell>
          <cell r="T404" t="str">
            <v>NULL</v>
          </cell>
          <cell r="U404" t="str">
            <v>NULL</v>
          </cell>
          <cell r="V404" t="str">
            <v>NULL</v>
          </cell>
          <cell r="W404" t="str">
            <v>NULL</v>
          </cell>
          <cell r="X404" t="str">
            <v>NULL</v>
          </cell>
          <cell r="Y404" t="str">
            <v>NULL</v>
          </cell>
          <cell r="Z404" t="str">
            <v>NULL</v>
          </cell>
          <cell r="AA404">
            <v>10026049</v>
          </cell>
          <cell r="AB404" t="str">
            <v xml:space="preserve">Independent School standard inspection - integrated </v>
          </cell>
          <cell r="AC404" t="str">
            <v>Independent Standard Inspection</v>
          </cell>
          <cell r="AD404">
            <v>42752</v>
          </cell>
          <cell r="AE404">
            <v>42754</v>
          </cell>
          <cell r="AF404">
            <v>42794</v>
          </cell>
          <cell r="AG404">
            <v>1</v>
          </cell>
          <cell r="AH404">
            <v>1</v>
          </cell>
          <cell r="AI404">
            <v>1</v>
          </cell>
          <cell r="AJ404">
            <v>1</v>
          </cell>
          <cell r="AK404">
            <v>1</v>
          </cell>
          <cell r="AL404" t="str">
            <v>NULL</v>
          </cell>
          <cell r="AM404">
            <v>1</v>
          </cell>
          <cell r="AN404" t="str">
            <v>Yes</v>
          </cell>
          <cell r="AO404" t="str">
            <v>ITS422773</v>
          </cell>
          <cell r="AP404" t="str">
            <v xml:space="preserve">Independent School standard inspection - integrated </v>
          </cell>
          <cell r="AQ404" t="str">
            <v>Independent Standard Inspection</v>
          </cell>
          <cell r="AR404">
            <v>41716</v>
          </cell>
          <cell r="AS404">
            <v>41718</v>
          </cell>
          <cell r="AT404">
            <v>41757</v>
          </cell>
          <cell r="AU404">
            <v>1</v>
          </cell>
          <cell r="AV404">
            <v>1</v>
          </cell>
          <cell r="AW404">
            <v>1</v>
          </cell>
          <cell r="AX404">
            <v>1</v>
          </cell>
          <cell r="AY404" t="str">
            <v>NULL</v>
          </cell>
          <cell r="AZ404" t="str">
            <v>NULL</v>
          </cell>
          <cell r="BA404" t="str">
            <v>NULL</v>
          </cell>
          <cell r="BB404" t="str">
            <v>NULL</v>
          </cell>
        </row>
        <row r="405">
          <cell r="D405">
            <v>136230</v>
          </cell>
          <cell r="E405">
            <v>3566035</v>
          </cell>
          <cell r="F405" t="str">
            <v>Willow House</v>
          </cell>
          <cell r="G405" t="str">
            <v>Other Independent Special School</v>
          </cell>
          <cell r="H405">
            <v>40431</v>
          </cell>
          <cell r="I405">
            <v>2</v>
          </cell>
          <cell r="J405" t="str">
            <v>North West</v>
          </cell>
          <cell r="K405" t="str">
            <v>North West</v>
          </cell>
          <cell r="L405" t="str">
            <v>Stockport</v>
          </cell>
          <cell r="M405" t="str">
            <v>Cheadle</v>
          </cell>
          <cell r="N405" t="str">
            <v>SK8 6RF</v>
          </cell>
          <cell r="O405" t="str">
            <v>Not applicable</v>
          </cell>
          <cell r="P405">
            <v>5</v>
          </cell>
          <cell r="Q405">
            <v>14</v>
          </cell>
          <cell r="R405" t="str">
            <v>None</v>
          </cell>
          <cell r="S405" t="str">
            <v>Ofsted</v>
          </cell>
          <cell r="T405" t="str">
            <v>NULL</v>
          </cell>
          <cell r="U405" t="str">
            <v>NULL</v>
          </cell>
          <cell r="V405" t="str">
            <v>NULL</v>
          </cell>
          <cell r="W405" t="str">
            <v>NULL</v>
          </cell>
          <cell r="X405" t="str">
            <v>NULL</v>
          </cell>
          <cell r="Y405" t="str">
            <v>NULL</v>
          </cell>
          <cell r="Z405" t="str">
            <v>NULL</v>
          </cell>
          <cell r="AA405">
            <v>10038932</v>
          </cell>
          <cell r="AB405" t="str">
            <v>Independent School standard inspection</v>
          </cell>
          <cell r="AC405" t="str">
            <v>Independent Standard Inspection</v>
          </cell>
          <cell r="AD405">
            <v>43025</v>
          </cell>
          <cell r="AE405">
            <v>43027</v>
          </cell>
          <cell r="AF405">
            <v>43053</v>
          </cell>
          <cell r="AG405">
            <v>2</v>
          </cell>
          <cell r="AH405">
            <v>2</v>
          </cell>
          <cell r="AI405">
            <v>2</v>
          </cell>
          <cell r="AJ405">
            <v>2</v>
          </cell>
          <cell r="AK405">
            <v>2</v>
          </cell>
          <cell r="AL405" t="str">
            <v>NULL</v>
          </cell>
          <cell r="AM405" t="str">
            <v>NULL</v>
          </cell>
          <cell r="AN405" t="str">
            <v>Yes</v>
          </cell>
          <cell r="AO405" t="str">
            <v>ITS446247</v>
          </cell>
          <cell r="AP405" t="str">
            <v>Independent school standard inspection - aligned with CH</v>
          </cell>
          <cell r="AQ405" t="str">
            <v>Independent Standard Inspection</v>
          </cell>
          <cell r="AR405">
            <v>41982</v>
          </cell>
          <cell r="AS405">
            <v>41983</v>
          </cell>
          <cell r="AT405">
            <v>42017</v>
          </cell>
          <cell r="AU405">
            <v>2</v>
          </cell>
          <cell r="AV405">
            <v>2</v>
          </cell>
          <cell r="AW405">
            <v>2</v>
          </cell>
          <cell r="AX405">
            <v>2</v>
          </cell>
          <cell r="AY405" t="str">
            <v>NULL</v>
          </cell>
          <cell r="AZ405">
            <v>9</v>
          </cell>
          <cell r="BA405">
            <v>9</v>
          </cell>
          <cell r="BB405" t="str">
            <v>NULL</v>
          </cell>
        </row>
        <row r="406">
          <cell r="D406">
            <v>135278</v>
          </cell>
          <cell r="E406">
            <v>9336215</v>
          </cell>
          <cell r="F406" t="str">
            <v>Willows</v>
          </cell>
          <cell r="G406" t="str">
            <v>Other Independent Special School</v>
          </cell>
          <cell r="H406">
            <v>39233</v>
          </cell>
          <cell r="I406">
            <v>10</v>
          </cell>
          <cell r="J406" t="str">
            <v>South West</v>
          </cell>
          <cell r="K406" t="str">
            <v>South West</v>
          </cell>
          <cell r="L406" t="str">
            <v>Somerset</v>
          </cell>
          <cell r="M406" t="str">
            <v>Taunton Deane</v>
          </cell>
          <cell r="N406" t="str">
            <v>TA21 9LQ</v>
          </cell>
          <cell r="O406" t="str">
            <v>Not applicable</v>
          </cell>
          <cell r="P406">
            <v>11</v>
          </cell>
          <cell r="Q406">
            <v>16</v>
          </cell>
          <cell r="R406" t="str">
            <v>None</v>
          </cell>
          <cell r="S406" t="str">
            <v>Ofsted</v>
          </cell>
          <cell r="T406" t="str">
            <v>NULL</v>
          </cell>
          <cell r="U406" t="str">
            <v>NULL</v>
          </cell>
          <cell r="V406" t="str">
            <v>NULL</v>
          </cell>
          <cell r="W406" t="str">
            <v>NULL</v>
          </cell>
          <cell r="X406" t="str">
            <v>NULL</v>
          </cell>
          <cell r="Y406" t="str">
            <v>NULL</v>
          </cell>
          <cell r="Z406" t="str">
            <v>NULL</v>
          </cell>
          <cell r="AA406">
            <v>10041376</v>
          </cell>
          <cell r="AB406" t="str">
            <v>Independent school standard inspection - aligned with CH</v>
          </cell>
          <cell r="AC406" t="str">
            <v>Independent Standard Inspection</v>
          </cell>
          <cell r="AD406">
            <v>43116</v>
          </cell>
          <cell r="AE406">
            <v>43118</v>
          </cell>
          <cell r="AF406">
            <v>43171</v>
          </cell>
          <cell r="AG406">
            <v>4</v>
          </cell>
          <cell r="AH406">
            <v>4</v>
          </cell>
          <cell r="AI406">
            <v>4</v>
          </cell>
          <cell r="AJ406">
            <v>4</v>
          </cell>
          <cell r="AK406">
            <v>3</v>
          </cell>
          <cell r="AL406" t="str">
            <v>NULL</v>
          </cell>
          <cell r="AM406" t="str">
            <v>NULL</v>
          </cell>
          <cell r="AN406" t="str">
            <v>Yes</v>
          </cell>
          <cell r="AO406" t="str">
            <v>ITS446253</v>
          </cell>
          <cell r="AP406" t="str">
            <v>Independent School standard inspection</v>
          </cell>
          <cell r="AQ406" t="str">
            <v>Independent Standard Inspection</v>
          </cell>
          <cell r="AR406">
            <v>42025</v>
          </cell>
          <cell r="AS406">
            <v>42027</v>
          </cell>
          <cell r="AT406">
            <v>42066</v>
          </cell>
          <cell r="AU406">
            <v>2</v>
          </cell>
          <cell r="AV406">
            <v>2</v>
          </cell>
          <cell r="AW406">
            <v>2</v>
          </cell>
          <cell r="AX406">
            <v>2</v>
          </cell>
          <cell r="AY406" t="str">
            <v>NULL</v>
          </cell>
          <cell r="AZ406">
            <v>9</v>
          </cell>
          <cell r="BA406">
            <v>9</v>
          </cell>
          <cell r="BB406" t="str">
            <v>NULL</v>
          </cell>
        </row>
        <row r="407">
          <cell r="D407">
            <v>101576</v>
          </cell>
          <cell r="E407">
            <v>3046072</v>
          </cell>
          <cell r="F407" t="str">
            <v>Al-Sadiq and Al-Zahra Schools</v>
          </cell>
          <cell r="G407" t="str">
            <v>Other Independent School</v>
          </cell>
          <cell r="H407">
            <v>33606</v>
          </cell>
          <cell r="I407">
            <v>365</v>
          </cell>
          <cell r="J407" t="str">
            <v>London</v>
          </cell>
          <cell r="K407" t="str">
            <v>London</v>
          </cell>
          <cell r="L407" t="str">
            <v>Brent</v>
          </cell>
          <cell r="M407" t="str">
            <v>Hampstead and Kilburn</v>
          </cell>
          <cell r="N407" t="str">
            <v>NW6 6PF</v>
          </cell>
          <cell r="O407" t="str">
            <v>Does not have a sixth form</v>
          </cell>
          <cell r="P407">
            <v>3</v>
          </cell>
          <cell r="Q407">
            <v>16</v>
          </cell>
          <cell r="R407" t="str">
            <v>None</v>
          </cell>
          <cell r="S407" t="str">
            <v>Ofsted</v>
          </cell>
          <cell r="T407">
            <v>3</v>
          </cell>
          <cell r="U407">
            <v>10044672</v>
          </cell>
          <cell r="V407" t="str">
            <v>Independent school emergency inspection</v>
          </cell>
          <cell r="W407">
            <v>43116</v>
          </cell>
          <cell r="X407">
            <v>43116</v>
          </cell>
          <cell r="Y407">
            <v>43157</v>
          </cell>
          <cell r="Z407" t="str">
            <v xml:space="preserve">Did not meet all standards that were checked </v>
          </cell>
          <cell r="AA407" t="str">
            <v>ITS452042</v>
          </cell>
          <cell r="AB407" t="str">
            <v>Independent School standard inspection</v>
          </cell>
          <cell r="AC407" t="str">
            <v>Independent Standard Inspection</v>
          </cell>
          <cell r="AD407">
            <v>41982</v>
          </cell>
          <cell r="AE407">
            <v>41984</v>
          </cell>
          <cell r="AF407">
            <v>42065</v>
          </cell>
          <cell r="AG407">
            <v>4</v>
          </cell>
          <cell r="AH407">
            <v>2</v>
          </cell>
          <cell r="AI407">
            <v>2</v>
          </cell>
          <cell r="AJ407">
            <v>4</v>
          </cell>
          <cell r="AK407" t="str">
            <v>NULL</v>
          </cell>
          <cell r="AL407">
            <v>4</v>
          </cell>
          <cell r="AM407">
            <v>9</v>
          </cell>
          <cell r="AN407" t="str">
            <v>NULL</v>
          </cell>
          <cell r="AO407" t="str">
            <v>NULL</v>
          </cell>
          <cell r="AP407" t="str">
            <v>NULL</v>
          </cell>
          <cell r="AQ407" t="str">
            <v>NULL</v>
          </cell>
          <cell r="AR407" t="str">
            <v>NULL</v>
          </cell>
          <cell r="AS407" t="str">
            <v>NULL</v>
          </cell>
          <cell r="AT407" t="str">
            <v>NULL</v>
          </cell>
          <cell r="AU407" t="str">
            <v>NULL</v>
          </cell>
          <cell r="AV407" t="str">
            <v>NULL</v>
          </cell>
          <cell r="AW407" t="str">
            <v>NULL</v>
          </cell>
          <cell r="AX407" t="str">
            <v>NULL</v>
          </cell>
          <cell r="AY407" t="str">
            <v>NULL</v>
          </cell>
          <cell r="AZ407" t="str">
            <v>NULL</v>
          </cell>
          <cell r="BA407" t="str">
            <v>NULL</v>
          </cell>
          <cell r="BB407" t="str">
            <v>NULL</v>
          </cell>
        </row>
        <row r="408">
          <cell r="D408">
            <v>121250</v>
          </cell>
          <cell r="E408">
            <v>9266140</v>
          </cell>
          <cell r="F408" t="str">
            <v>All Saints School</v>
          </cell>
          <cell r="G408" t="str">
            <v>Other Independent School</v>
          </cell>
          <cell r="H408">
            <v>31951</v>
          </cell>
          <cell r="I408">
            <v>54</v>
          </cell>
          <cell r="J408" t="str">
            <v>East of England</v>
          </cell>
          <cell r="K408" t="str">
            <v>East of England</v>
          </cell>
          <cell r="L408" t="str">
            <v>Norfolk</v>
          </cell>
          <cell r="M408" t="str">
            <v>North Norfolk</v>
          </cell>
          <cell r="N408" t="str">
            <v>NR12 0DJ</v>
          </cell>
          <cell r="O408" t="str">
            <v>Does not have a sixth form</v>
          </cell>
          <cell r="P408">
            <v>7</v>
          </cell>
          <cell r="Q408">
            <v>16</v>
          </cell>
          <cell r="R408" t="str">
            <v>None</v>
          </cell>
          <cell r="S408" t="str">
            <v>Ofsted</v>
          </cell>
          <cell r="T408">
            <v>3</v>
          </cell>
          <cell r="U408">
            <v>10040376</v>
          </cell>
          <cell r="V408" t="str">
            <v>Independent school evaluation of school action plan</v>
          </cell>
          <cell r="W408">
            <v>42984</v>
          </cell>
          <cell r="X408">
            <v>42984</v>
          </cell>
          <cell r="Y408" t="str">
            <v>NULL</v>
          </cell>
          <cell r="Z408" t="str">
            <v>Action plan is not acceptable</v>
          </cell>
          <cell r="AA408">
            <v>10008571</v>
          </cell>
          <cell r="AB408" t="str">
            <v>Independent School standard inspection</v>
          </cell>
          <cell r="AC408" t="str">
            <v>Independent Standard Inspection</v>
          </cell>
          <cell r="AD408">
            <v>42696</v>
          </cell>
          <cell r="AE408">
            <v>42698</v>
          </cell>
          <cell r="AF408">
            <v>42747</v>
          </cell>
          <cell r="AG408">
            <v>4</v>
          </cell>
          <cell r="AH408">
            <v>2</v>
          </cell>
          <cell r="AI408">
            <v>2</v>
          </cell>
          <cell r="AJ408">
            <v>4</v>
          </cell>
          <cell r="AK408">
            <v>4</v>
          </cell>
          <cell r="AL408" t="str">
            <v>NULL</v>
          </cell>
          <cell r="AM408" t="str">
            <v>NULL</v>
          </cell>
          <cell r="AN408" t="str">
            <v>No</v>
          </cell>
          <cell r="AO408" t="str">
            <v>ITS342538</v>
          </cell>
          <cell r="AP408" t="str">
            <v>Independent School standard inspection</v>
          </cell>
          <cell r="AQ408" t="str">
            <v>Independent Standard Inspection</v>
          </cell>
          <cell r="AR408">
            <v>40093</v>
          </cell>
          <cell r="AS408">
            <v>40094</v>
          </cell>
          <cell r="AT408">
            <v>40165</v>
          </cell>
          <cell r="AU408">
            <v>2</v>
          </cell>
          <cell r="AV408">
            <v>2</v>
          </cell>
          <cell r="AW408">
            <v>2</v>
          </cell>
          <cell r="AX408" t="str">
            <v>NULL</v>
          </cell>
          <cell r="AY408" t="str">
            <v>NULL</v>
          </cell>
          <cell r="AZ408">
            <v>2</v>
          </cell>
          <cell r="BA408" t="str">
            <v>NULL</v>
          </cell>
          <cell r="BB408" t="str">
            <v>NULL</v>
          </cell>
        </row>
        <row r="409">
          <cell r="D409">
            <v>130391</v>
          </cell>
          <cell r="E409">
            <v>8016130</v>
          </cell>
          <cell r="F409" t="str">
            <v>Andalusia Academy Bristol</v>
          </cell>
          <cell r="G409" t="str">
            <v>Other Independent School</v>
          </cell>
          <cell r="H409">
            <v>38623</v>
          </cell>
          <cell r="I409">
            <v>259</v>
          </cell>
          <cell r="J409" t="str">
            <v>South West</v>
          </cell>
          <cell r="K409" t="str">
            <v>South West</v>
          </cell>
          <cell r="L409" t="str">
            <v>Bristol</v>
          </cell>
          <cell r="M409" t="str">
            <v>Bristol West</v>
          </cell>
          <cell r="N409" t="str">
            <v>BS2 0BA</v>
          </cell>
          <cell r="O409" t="str">
            <v>Does not have a sixth form</v>
          </cell>
          <cell r="P409">
            <v>4</v>
          </cell>
          <cell r="Q409">
            <v>16</v>
          </cell>
          <cell r="R409" t="str">
            <v>Islam</v>
          </cell>
          <cell r="S409" t="str">
            <v>Ofsted</v>
          </cell>
          <cell r="T409" t="str">
            <v>NULL</v>
          </cell>
          <cell r="U409" t="str">
            <v>NULL</v>
          </cell>
          <cell r="V409" t="str">
            <v>NULL</v>
          </cell>
          <cell r="W409" t="str">
            <v>NULL</v>
          </cell>
          <cell r="X409" t="str">
            <v>NULL</v>
          </cell>
          <cell r="Y409" t="str">
            <v>NULL</v>
          </cell>
          <cell r="Z409" t="str">
            <v>NULL</v>
          </cell>
          <cell r="AA409">
            <v>10039498</v>
          </cell>
          <cell r="AB409" t="str">
            <v>Independent School standard inspection</v>
          </cell>
          <cell r="AC409" t="str">
            <v>Independent Standard Inspection</v>
          </cell>
          <cell r="AD409">
            <v>43004</v>
          </cell>
          <cell r="AE409">
            <v>43006</v>
          </cell>
          <cell r="AF409">
            <v>43045</v>
          </cell>
          <cell r="AG409">
            <v>4</v>
          </cell>
          <cell r="AH409">
            <v>4</v>
          </cell>
          <cell r="AI409">
            <v>4</v>
          </cell>
          <cell r="AJ409">
            <v>4</v>
          </cell>
          <cell r="AK409">
            <v>3</v>
          </cell>
          <cell r="AL409">
            <v>3</v>
          </cell>
          <cell r="AM409" t="str">
            <v>NULL</v>
          </cell>
          <cell r="AN409" t="str">
            <v>Yes</v>
          </cell>
          <cell r="AO409">
            <v>10020731</v>
          </cell>
          <cell r="AP409" t="str">
            <v>Independent School standard inspection</v>
          </cell>
          <cell r="AQ409" t="str">
            <v>Independent Standard Inspection</v>
          </cell>
          <cell r="AR409">
            <v>42564</v>
          </cell>
          <cell r="AS409">
            <v>42566</v>
          </cell>
          <cell r="AT409">
            <v>42636</v>
          </cell>
          <cell r="AU409">
            <v>4</v>
          </cell>
          <cell r="AV409">
            <v>3</v>
          </cell>
          <cell r="AW409">
            <v>3</v>
          </cell>
          <cell r="AX409">
            <v>4</v>
          </cell>
          <cell r="AY409">
            <v>4</v>
          </cell>
          <cell r="AZ409">
            <v>4</v>
          </cell>
          <cell r="BA409" t="str">
            <v>NULL</v>
          </cell>
          <cell r="BB409" t="str">
            <v>No</v>
          </cell>
        </row>
        <row r="410">
          <cell r="D410">
            <v>135406</v>
          </cell>
          <cell r="E410">
            <v>3306120</v>
          </cell>
          <cell r="F410" t="str">
            <v>Archway Academy</v>
          </cell>
          <cell r="G410" t="str">
            <v>Other Independent School</v>
          </cell>
          <cell r="H410">
            <v>39331</v>
          </cell>
          <cell r="I410">
            <v>66</v>
          </cell>
          <cell r="J410" t="str">
            <v>West Midlands</v>
          </cell>
          <cell r="K410" t="str">
            <v>West Midlands</v>
          </cell>
          <cell r="L410" t="str">
            <v>Birmingham</v>
          </cell>
          <cell r="M410" t="str">
            <v>Birmingham, Ladywood</v>
          </cell>
          <cell r="N410" t="str">
            <v>B9 4HN</v>
          </cell>
          <cell r="O410" t="str">
            <v>Has a sixth form</v>
          </cell>
          <cell r="P410">
            <v>14</v>
          </cell>
          <cell r="Q410">
            <v>19</v>
          </cell>
          <cell r="R410" t="str">
            <v>None</v>
          </cell>
          <cell r="S410" t="str">
            <v>Ofsted</v>
          </cell>
          <cell r="T410">
            <v>1</v>
          </cell>
          <cell r="U410">
            <v>10048913</v>
          </cell>
          <cell r="V410" t="str">
            <v>Independent school evaluation of school action plan</v>
          </cell>
          <cell r="W410">
            <v>43172</v>
          </cell>
          <cell r="X410">
            <v>43172</v>
          </cell>
          <cell r="Y410" t="str">
            <v>NULL</v>
          </cell>
          <cell r="Z410" t="str">
            <v>Action plan is not acceptable</v>
          </cell>
          <cell r="AA410">
            <v>10020748</v>
          </cell>
          <cell r="AB410" t="str">
            <v>Independent School standard inspection</v>
          </cell>
          <cell r="AC410" t="str">
            <v>Independent Standard Inspection</v>
          </cell>
          <cell r="AD410">
            <v>43025</v>
          </cell>
          <cell r="AE410">
            <v>43027</v>
          </cell>
          <cell r="AF410">
            <v>43070</v>
          </cell>
          <cell r="AG410">
            <v>4</v>
          </cell>
          <cell r="AH410">
            <v>3</v>
          </cell>
          <cell r="AI410">
            <v>4</v>
          </cell>
          <cell r="AJ410">
            <v>4</v>
          </cell>
          <cell r="AK410">
            <v>4</v>
          </cell>
          <cell r="AL410" t="str">
            <v>NULL</v>
          </cell>
          <cell r="AM410" t="str">
            <v>NULL</v>
          </cell>
          <cell r="AN410" t="str">
            <v>No</v>
          </cell>
          <cell r="AO410" t="str">
            <v>ITS386825</v>
          </cell>
          <cell r="AP410" t="str">
            <v>Independent School standard inspection</v>
          </cell>
          <cell r="AQ410" t="str">
            <v>Independent Standard Inspection</v>
          </cell>
          <cell r="AR410">
            <v>40974</v>
          </cell>
          <cell r="AS410">
            <v>40975</v>
          </cell>
          <cell r="AT410">
            <v>40998</v>
          </cell>
          <cell r="AU410">
            <v>2</v>
          </cell>
          <cell r="AV410">
            <v>2</v>
          </cell>
          <cell r="AW410">
            <v>2</v>
          </cell>
          <cell r="AX410" t="str">
            <v>NULL</v>
          </cell>
          <cell r="AY410" t="str">
            <v>NULL</v>
          </cell>
          <cell r="AZ410">
            <v>8</v>
          </cell>
          <cell r="BA410" t="str">
            <v>NULL</v>
          </cell>
          <cell r="BB410" t="str">
            <v>NULL</v>
          </cell>
        </row>
        <row r="411">
          <cell r="D411">
            <v>107168</v>
          </cell>
          <cell r="E411">
            <v>3736027</v>
          </cell>
          <cell r="F411" t="str">
            <v>Bethany School</v>
          </cell>
          <cell r="G411" t="str">
            <v>Other Independent School</v>
          </cell>
          <cell r="H411">
            <v>32264</v>
          </cell>
          <cell r="I411">
            <v>84</v>
          </cell>
          <cell r="J411" t="str">
            <v>North East, Yorkshire and the Humber</v>
          </cell>
          <cell r="K411" t="str">
            <v>Yorkshire and the Humber</v>
          </cell>
          <cell r="L411" t="str">
            <v>Sheffield</v>
          </cell>
          <cell r="M411" t="str">
            <v>Sheffield Central</v>
          </cell>
          <cell r="N411" t="str">
            <v>S3 7PS</v>
          </cell>
          <cell r="O411" t="str">
            <v>Does not have a sixth form</v>
          </cell>
          <cell r="P411">
            <v>4</v>
          </cell>
          <cell r="Q411">
            <v>16</v>
          </cell>
          <cell r="R411" t="str">
            <v>Christian</v>
          </cell>
          <cell r="S411" t="str">
            <v>Ofsted</v>
          </cell>
          <cell r="T411" t="str">
            <v>NULL</v>
          </cell>
          <cell r="U411" t="str">
            <v>NULL</v>
          </cell>
          <cell r="V411" t="str">
            <v>NULL</v>
          </cell>
          <cell r="W411" t="str">
            <v>NULL</v>
          </cell>
          <cell r="X411" t="str">
            <v>NULL</v>
          </cell>
          <cell r="Y411" t="str">
            <v>NULL</v>
          </cell>
          <cell r="Z411" t="str">
            <v>NULL</v>
          </cell>
          <cell r="AA411">
            <v>10007853</v>
          </cell>
          <cell r="AB411" t="str">
            <v>Independent School standard inspection</v>
          </cell>
          <cell r="AC411" t="str">
            <v>Independent Standard Inspection</v>
          </cell>
          <cell r="AD411">
            <v>42291</v>
          </cell>
          <cell r="AE411">
            <v>42293</v>
          </cell>
          <cell r="AF411">
            <v>42328</v>
          </cell>
          <cell r="AG411">
            <v>2</v>
          </cell>
          <cell r="AH411">
            <v>2</v>
          </cell>
          <cell r="AI411">
            <v>2</v>
          </cell>
          <cell r="AJ411">
            <v>2</v>
          </cell>
          <cell r="AK411">
            <v>2</v>
          </cell>
          <cell r="AL411">
            <v>2</v>
          </cell>
          <cell r="AM411" t="str">
            <v>NULL</v>
          </cell>
          <cell r="AN411" t="str">
            <v>Yes</v>
          </cell>
          <cell r="AO411" t="str">
            <v>ITS296779</v>
          </cell>
          <cell r="AP411" t="str">
            <v>Independent School standard inspection</v>
          </cell>
          <cell r="AQ411" t="str">
            <v>Independent Standard Inspection</v>
          </cell>
          <cell r="AR411">
            <v>39154</v>
          </cell>
          <cell r="AS411">
            <v>39155</v>
          </cell>
          <cell r="AT411">
            <v>39177</v>
          </cell>
          <cell r="AU411">
            <v>3</v>
          </cell>
          <cell r="AV411">
            <v>3</v>
          </cell>
          <cell r="AW411">
            <v>3</v>
          </cell>
          <cell r="AX411" t="str">
            <v>NULL</v>
          </cell>
          <cell r="AY411" t="str">
            <v>NULL</v>
          </cell>
          <cell r="AZ411" t="str">
            <v>NULL</v>
          </cell>
          <cell r="BA411" t="str">
            <v>NULL</v>
          </cell>
          <cell r="BB411" t="str">
            <v>NULL</v>
          </cell>
        </row>
        <row r="412">
          <cell r="D412">
            <v>117654</v>
          </cell>
          <cell r="E412">
            <v>9196228</v>
          </cell>
          <cell r="F412" t="str">
            <v>Bhaktivedanta Manor School</v>
          </cell>
          <cell r="G412" t="str">
            <v>Other Independent School</v>
          </cell>
          <cell r="H412">
            <v>31183</v>
          </cell>
          <cell r="I412">
            <v>53</v>
          </cell>
          <cell r="J412" t="str">
            <v>East of England</v>
          </cell>
          <cell r="K412" t="str">
            <v>East of England</v>
          </cell>
          <cell r="L412" t="str">
            <v>Hertfordshire</v>
          </cell>
          <cell r="M412" t="str">
            <v>Hertsmere</v>
          </cell>
          <cell r="N412" t="str">
            <v>WD25 8HB</v>
          </cell>
          <cell r="O412" t="str">
            <v>Does not have a sixth form</v>
          </cell>
          <cell r="P412">
            <v>4</v>
          </cell>
          <cell r="Q412">
            <v>11</v>
          </cell>
          <cell r="R412" t="str">
            <v>Hindu</v>
          </cell>
          <cell r="S412" t="str">
            <v>Ofsted</v>
          </cell>
          <cell r="T412">
            <v>4</v>
          </cell>
          <cell r="U412">
            <v>10041245</v>
          </cell>
          <cell r="V412" t="str">
            <v>Independent school Progress Monitoring inspection</v>
          </cell>
          <cell r="W412">
            <v>43111</v>
          </cell>
          <cell r="X412">
            <v>43111</v>
          </cell>
          <cell r="Y412">
            <v>43139</v>
          </cell>
          <cell r="Z412" t="str">
            <v>Met all standards that were checked</v>
          </cell>
          <cell r="AA412">
            <v>10020392</v>
          </cell>
          <cell r="AB412" t="str">
            <v>Independent School standard inspection</v>
          </cell>
          <cell r="AC412" t="str">
            <v>Independent Standard Inspection</v>
          </cell>
          <cell r="AD412">
            <v>42626</v>
          </cell>
          <cell r="AE412">
            <v>42628</v>
          </cell>
          <cell r="AF412">
            <v>42655</v>
          </cell>
          <cell r="AG412">
            <v>3</v>
          </cell>
          <cell r="AH412">
            <v>3</v>
          </cell>
          <cell r="AI412">
            <v>3</v>
          </cell>
          <cell r="AJ412">
            <v>3</v>
          </cell>
          <cell r="AK412">
            <v>2</v>
          </cell>
          <cell r="AL412">
            <v>3</v>
          </cell>
          <cell r="AM412" t="str">
            <v>NULL</v>
          </cell>
          <cell r="AN412" t="str">
            <v>Yes</v>
          </cell>
          <cell r="AO412" t="str">
            <v>ITS385096</v>
          </cell>
          <cell r="AP412" t="str">
            <v>Independent School standard inspection</v>
          </cell>
          <cell r="AQ412" t="str">
            <v>Independent Standard Inspection</v>
          </cell>
          <cell r="AR412">
            <v>40967</v>
          </cell>
          <cell r="AS412">
            <v>40968</v>
          </cell>
          <cell r="AT412">
            <v>40991</v>
          </cell>
          <cell r="AU412">
            <v>2</v>
          </cell>
          <cell r="AV412">
            <v>2</v>
          </cell>
          <cell r="AW412">
            <v>2</v>
          </cell>
          <cell r="AX412" t="str">
            <v>NULL</v>
          </cell>
          <cell r="AY412" t="str">
            <v>NULL</v>
          </cell>
          <cell r="AZ412">
            <v>8</v>
          </cell>
          <cell r="BA412" t="str">
            <v>NULL</v>
          </cell>
          <cell r="BB412" t="str">
            <v>NULL</v>
          </cell>
        </row>
        <row r="413">
          <cell r="D413">
            <v>130283</v>
          </cell>
          <cell r="E413">
            <v>9256041</v>
          </cell>
          <cell r="F413" t="str">
            <v>Bicker Preparatory and Early Years School</v>
          </cell>
          <cell r="G413" t="str">
            <v>Other Independent School</v>
          </cell>
          <cell r="H413">
            <v>35087</v>
          </cell>
          <cell r="I413">
            <v>67</v>
          </cell>
          <cell r="J413" t="str">
            <v>East Midlands</v>
          </cell>
          <cell r="K413" t="str">
            <v>East Midlands</v>
          </cell>
          <cell r="L413" t="str">
            <v>Lincolnshire</v>
          </cell>
          <cell r="M413" t="str">
            <v>Boston and Skegness</v>
          </cell>
          <cell r="N413" t="str">
            <v>PE20 3DW</v>
          </cell>
          <cell r="O413" t="str">
            <v>Does not have a sixth form</v>
          </cell>
          <cell r="P413">
            <v>3</v>
          </cell>
          <cell r="Q413">
            <v>11</v>
          </cell>
          <cell r="R413" t="str">
            <v>None</v>
          </cell>
          <cell r="S413" t="str">
            <v>Ofsted</v>
          </cell>
          <cell r="T413" t="str">
            <v>NULL</v>
          </cell>
          <cell r="U413" t="str">
            <v>NULL</v>
          </cell>
          <cell r="V413" t="str">
            <v>NULL</v>
          </cell>
          <cell r="W413" t="str">
            <v>NULL</v>
          </cell>
          <cell r="X413" t="str">
            <v>NULL</v>
          </cell>
          <cell r="Y413" t="str">
            <v>NULL</v>
          </cell>
          <cell r="Z413" t="str">
            <v>NULL</v>
          </cell>
          <cell r="AA413" t="str">
            <v>ITS462917</v>
          </cell>
          <cell r="AB413" t="str">
            <v>Independent School standard inspection</v>
          </cell>
          <cell r="AC413" t="str">
            <v>Independent Standard Inspection</v>
          </cell>
          <cell r="AD413">
            <v>42179</v>
          </cell>
          <cell r="AE413">
            <v>42181</v>
          </cell>
          <cell r="AF413">
            <v>42200</v>
          </cell>
          <cell r="AG413">
            <v>1</v>
          </cell>
          <cell r="AH413">
            <v>1</v>
          </cell>
          <cell r="AI413">
            <v>1</v>
          </cell>
          <cell r="AJ413">
            <v>1</v>
          </cell>
          <cell r="AK413" t="str">
            <v>NULL</v>
          </cell>
          <cell r="AL413">
            <v>1</v>
          </cell>
          <cell r="AM413">
            <v>9</v>
          </cell>
          <cell r="AN413" t="str">
            <v>NULL</v>
          </cell>
          <cell r="AO413" t="str">
            <v>ITS334292</v>
          </cell>
          <cell r="AP413" t="str">
            <v>S162a - LTI Inspection Historic</v>
          </cell>
          <cell r="AQ413" t="str">
            <v>Independent Standard Inspection</v>
          </cell>
          <cell r="AR413">
            <v>40002</v>
          </cell>
          <cell r="AS413">
            <v>40002</v>
          </cell>
          <cell r="AT413">
            <v>40025</v>
          </cell>
          <cell r="AU413">
            <v>1</v>
          </cell>
          <cell r="AV413">
            <v>1</v>
          </cell>
          <cell r="AW413">
            <v>1</v>
          </cell>
          <cell r="AX413" t="str">
            <v>NULL</v>
          </cell>
          <cell r="AY413" t="str">
            <v>NULL</v>
          </cell>
          <cell r="AZ413">
            <v>1</v>
          </cell>
          <cell r="BA413" t="str">
            <v>NULL</v>
          </cell>
          <cell r="BB413" t="str">
            <v>NULL</v>
          </cell>
        </row>
        <row r="414">
          <cell r="D414">
            <v>141411</v>
          </cell>
          <cell r="E414">
            <v>3206005</v>
          </cell>
          <cell r="F414" t="str">
            <v>Big Creative Independent School</v>
          </cell>
          <cell r="G414" t="str">
            <v>Other Independent School</v>
          </cell>
          <cell r="H414">
            <v>41907</v>
          </cell>
          <cell r="I414">
            <v>11</v>
          </cell>
          <cell r="J414" t="str">
            <v>London</v>
          </cell>
          <cell r="K414" t="str">
            <v>London</v>
          </cell>
          <cell r="L414" t="str">
            <v>Waltham Forest</v>
          </cell>
          <cell r="M414" t="str">
            <v>Walthamstow</v>
          </cell>
          <cell r="N414" t="str">
            <v>E17 5QJ</v>
          </cell>
          <cell r="O414" t="str">
            <v>Does not have a sixth form</v>
          </cell>
          <cell r="P414">
            <v>15</v>
          </cell>
          <cell r="Q414">
            <v>16</v>
          </cell>
          <cell r="R414" t="str">
            <v>None</v>
          </cell>
          <cell r="S414" t="str">
            <v>Ofsted</v>
          </cell>
          <cell r="T414" t="str">
            <v>NULL</v>
          </cell>
          <cell r="U414" t="str">
            <v>NULL</v>
          </cell>
          <cell r="V414" t="str">
            <v>NULL</v>
          </cell>
          <cell r="W414" t="str">
            <v>NULL</v>
          </cell>
          <cell r="X414" t="str">
            <v>NULL</v>
          </cell>
          <cell r="Y414" t="str">
            <v>NULL</v>
          </cell>
          <cell r="Z414" t="str">
            <v>NULL</v>
          </cell>
          <cell r="AA414">
            <v>10006032</v>
          </cell>
          <cell r="AB414" t="str">
            <v>Independent school standard inspection - first</v>
          </cell>
          <cell r="AC414" t="str">
            <v>Independent Standard Inspection</v>
          </cell>
          <cell r="AD414">
            <v>42437</v>
          </cell>
          <cell r="AE414">
            <v>42439</v>
          </cell>
          <cell r="AF414">
            <v>42478</v>
          </cell>
          <cell r="AG414">
            <v>2</v>
          </cell>
          <cell r="AH414">
            <v>2</v>
          </cell>
          <cell r="AI414">
            <v>2</v>
          </cell>
          <cell r="AJ414">
            <v>2</v>
          </cell>
          <cell r="AK414">
            <v>2</v>
          </cell>
          <cell r="AL414" t="str">
            <v>NULL</v>
          </cell>
          <cell r="AM414" t="str">
            <v>NULL</v>
          </cell>
          <cell r="AN414" t="str">
            <v>Yes</v>
          </cell>
          <cell r="AO414" t="str">
            <v>NULL</v>
          </cell>
          <cell r="AP414" t="str">
            <v>NULL</v>
          </cell>
          <cell r="AQ414" t="str">
            <v>NULL</v>
          </cell>
          <cell r="AR414" t="str">
            <v>NULL</v>
          </cell>
          <cell r="AS414" t="str">
            <v>NULL</v>
          </cell>
          <cell r="AT414" t="str">
            <v>NULL</v>
          </cell>
          <cell r="AU414" t="str">
            <v>NULL</v>
          </cell>
          <cell r="AV414" t="str">
            <v>NULL</v>
          </cell>
          <cell r="AW414" t="str">
            <v>NULL</v>
          </cell>
          <cell r="AX414" t="str">
            <v>NULL</v>
          </cell>
          <cell r="AY414" t="str">
            <v>NULL</v>
          </cell>
          <cell r="AZ414" t="str">
            <v>NULL</v>
          </cell>
          <cell r="BA414" t="str">
            <v>NULL</v>
          </cell>
          <cell r="BB414" t="str">
            <v>NULL</v>
          </cell>
        </row>
        <row r="415">
          <cell r="D415">
            <v>110557</v>
          </cell>
          <cell r="E415">
            <v>8256016</v>
          </cell>
          <cell r="F415" t="str">
            <v>Crown House School</v>
          </cell>
          <cell r="G415" t="str">
            <v>Other Independent School</v>
          </cell>
          <cell r="H415">
            <v>21107</v>
          </cell>
          <cell r="I415">
            <v>156</v>
          </cell>
          <cell r="J415" t="str">
            <v>South East</v>
          </cell>
          <cell r="K415" t="str">
            <v>South East</v>
          </cell>
          <cell r="L415" t="str">
            <v>Buckinghamshire</v>
          </cell>
          <cell r="M415" t="str">
            <v>Wycombe</v>
          </cell>
          <cell r="N415" t="str">
            <v>HP11 1QX</v>
          </cell>
          <cell r="O415" t="str">
            <v>Does not have a sixth form</v>
          </cell>
          <cell r="P415">
            <v>3</v>
          </cell>
          <cell r="Q415">
            <v>11</v>
          </cell>
          <cell r="R415" t="str">
            <v>None</v>
          </cell>
          <cell r="S415" t="str">
            <v>Ofsted</v>
          </cell>
          <cell r="T415">
            <v>1</v>
          </cell>
          <cell r="U415">
            <v>10021172</v>
          </cell>
          <cell r="V415" t="str">
            <v>Independent school evaluation of school action plan</v>
          </cell>
          <cell r="W415">
            <v>42548</v>
          </cell>
          <cell r="X415">
            <v>42548</v>
          </cell>
          <cell r="Y415" t="str">
            <v>NULL</v>
          </cell>
          <cell r="Z415" t="str">
            <v>Action plan requires improvement</v>
          </cell>
          <cell r="AA415">
            <v>10012906</v>
          </cell>
          <cell r="AB415" t="str">
            <v>Independent School standard inspection</v>
          </cell>
          <cell r="AC415" t="str">
            <v>Independent Standard Inspection</v>
          </cell>
          <cell r="AD415">
            <v>42535</v>
          </cell>
          <cell r="AE415">
            <v>42537</v>
          </cell>
          <cell r="AF415">
            <v>42562</v>
          </cell>
          <cell r="AG415">
            <v>3</v>
          </cell>
          <cell r="AH415">
            <v>2</v>
          </cell>
          <cell r="AI415">
            <v>2</v>
          </cell>
          <cell r="AJ415">
            <v>3</v>
          </cell>
          <cell r="AK415">
            <v>2</v>
          </cell>
          <cell r="AL415">
            <v>3</v>
          </cell>
          <cell r="AM415" t="str">
            <v>NULL</v>
          </cell>
          <cell r="AN415" t="str">
            <v>Yes</v>
          </cell>
          <cell r="AO415" t="str">
            <v>ITS397567</v>
          </cell>
          <cell r="AP415" t="str">
            <v>Independent School standard inspection</v>
          </cell>
          <cell r="AQ415" t="str">
            <v>Independent Standard Inspection</v>
          </cell>
          <cell r="AR415">
            <v>41094</v>
          </cell>
          <cell r="AS415">
            <v>41095</v>
          </cell>
          <cell r="AT415">
            <v>41169</v>
          </cell>
          <cell r="AU415">
            <v>2</v>
          </cell>
          <cell r="AV415">
            <v>2</v>
          </cell>
          <cell r="AW415">
            <v>2</v>
          </cell>
          <cell r="AX415" t="str">
            <v>NULL</v>
          </cell>
          <cell r="AY415" t="str">
            <v>NULL</v>
          </cell>
          <cell r="AZ415">
            <v>8</v>
          </cell>
          <cell r="BA415" t="str">
            <v>NULL</v>
          </cell>
          <cell r="BB415" t="str">
            <v>NULL</v>
          </cell>
        </row>
        <row r="416">
          <cell r="D416">
            <v>137567</v>
          </cell>
          <cell r="E416">
            <v>3066000</v>
          </cell>
          <cell r="F416" t="str">
            <v>Croydon Metropolitan College</v>
          </cell>
          <cell r="G416" t="str">
            <v>Other Independent School</v>
          </cell>
          <cell r="H416">
            <v>40827</v>
          </cell>
          <cell r="I416">
            <v>37</v>
          </cell>
          <cell r="J416" t="str">
            <v>London</v>
          </cell>
          <cell r="K416" t="str">
            <v>London</v>
          </cell>
          <cell r="L416" t="str">
            <v>Croydon</v>
          </cell>
          <cell r="M416" t="str">
            <v>Croydon Central</v>
          </cell>
          <cell r="N416" t="str">
            <v>CR0 1DN</v>
          </cell>
          <cell r="O416" t="str">
            <v>Has a sixth form</v>
          </cell>
          <cell r="P416">
            <v>14</v>
          </cell>
          <cell r="Q416">
            <v>35</v>
          </cell>
          <cell r="R416" t="str">
            <v>None</v>
          </cell>
          <cell r="S416" t="str">
            <v>Ofsted</v>
          </cell>
          <cell r="T416" t="str">
            <v>NULL</v>
          </cell>
          <cell r="U416" t="str">
            <v>NULL</v>
          </cell>
          <cell r="V416" t="str">
            <v>NULL</v>
          </cell>
          <cell r="W416" t="str">
            <v>NULL</v>
          </cell>
          <cell r="X416" t="str">
            <v>NULL</v>
          </cell>
          <cell r="Y416" t="str">
            <v>NULL</v>
          </cell>
          <cell r="Z416" t="str">
            <v>NULL</v>
          </cell>
          <cell r="AA416">
            <v>10006056</v>
          </cell>
          <cell r="AB416" t="str">
            <v>Independent School standard inspection</v>
          </cell>
          <cell r="AC416" t="str">
            <v>Independent Standard Inspection</v>
          </cell>
          <cell r="AD416">
            <v>42319</v>
          </cell>
          <cell r="AE416">
            <v>42321</v>
          </cell>
          <cell r="AF416">
            <v>42340</v>
          </cell>
          <cell r="AG416">
            <v>2</v>
          </cell>
          <cell r="AH416">
            <v>2</v>
          </cell>
          <cell r="AI416">
            <v>2</v>
          </cell>
          <cell r="AJ416">
            <v>2</v>
          </cell>
          <cell r="AK416">
            <v>2</v>
          </cell>
          <cell r="AL416" t="str">
            <v>NULL</v>
          </cell>
          <cell r="AM416">
            <v>2</v>
          </cell>
          <cell r="AN416" t="str">
            <v>Yes</v>
          </cell>
          <cell r="AO416" t="str">
            <v>ITS397686</v>
          </cell>
          <cell r="AP416" t="str">
            <v>Independent school standard inspection - first</v>
          </cell>
          <cell r="AQ416" t="str">
            <v>Independent Standard Inspection</v>
          </cell>
          <cell r="AR416">
            <v>41177</v>
          </cell>
          <cell r="AS416">
            <v>41178</v>
          </cell>
          <cell r="AT416">
            <v>41200</v>
          </cell>
          <cell r="AU416">
            <v>2</v>
          </cell>
          <cell r="AV416">
            <v>2</v>
          </cell>
          <cell r="AW416">
            <v>2</v>
          </cell>
          <cell r="AX416" t="str">
            <v>NULL</v>
          </cell>
          <cell r="AY416" t="str">
            <v>NULL</v>
          </cell>
          <cell r="AZ416">
            <v>8</v>
          </cell>
          <cell r="BA416" t="str">
            <v>NULL</v>
          </cell>
          <cell r="BB416" t="str">
            <v>NULL</v>
          </cell>
        </row>
        <row r="417">
          <cell r="D417">
            <v>130857</v>
          </cell>
          <cell r="E417">
            <v>3806066</v>
          </cell>
          <cell r="F417" t="str">
            <v>Crystal Gardens Primary School</v>
          </cell>
          <cell r="G417" t="str">
            <v>Other Independent School</v>
          </cell>
          <cell r="H417">
            <v>38618</v>
          </cell>
          <cell r="I417">
            <v>136</v>
          </cell>
          <cell r="J417" t="str">
            <v>North East, Yorkshire and the Humber</v>
          </cell>
          <cell r="K417" t="str">
            <v>Yorkshire and the Humber</v>
          </cell>
          <cell r="L417" t="str">
            <v>Bradford</v>
          </cell>
          <cell r="M417" t="str">
            <v>Bradford East</v>
          </cell>
          <cell r="N417" t="str">
            <v>BD5 7PE</v>
          </cell>
          <cell r="O417" t="str">
            <v>Does not have a sixth form</v>
          </cell>
          <cell r="P417">
            <v>4</v>
          </cell>
          <cell r="Q417">
            <v>11</v>
          </cell>
          <cell r="R417" t="str">
            <v>Muslim</v>
          </cell>
          <cell r="S417" t="str">
            <v>Ofsted</v>
          </cell>
          <cell r="T417" t="str">
            <v>NULL</v>
          </cell>
          <cell r="U417" t="str">
            <v>NULL</v>
          </cell>
          <cell r="V417" t="str">
            <v>NULL</v>
          </cell>
          <cell r="W417" t="str">
            <v>NULL</v>
          </cell>
          <cell r="X417" t="str">
            <v>NULL</v>
          </cell>
          <cell r="Y417" t="str">
            <v>NULL</v>
          </cell>
          <cell r="Z417" t="str">
            <v>NULL</v>
          </cell>
          <cell r="AA417">
            <v>10007706</v>
          </cell>
          <cell r="AB417" t="str">
            <v>Independent School standard inspection</v>
          </cell>
          <cell r="AC417" t="str">
            <v>Independent Standard Inspection</v>
          </cell>
          <cell r="AD417">
            <v>42437</v>
          </cell>
          <cell r="AE417">
            <v>42439</v>
          </cell>
          <cell r="AF417">
            <v>42466</v>
          </cell>
          <cell r="AG417">
            <v>2</v>
          </cell>
          <cell r="AH417">
            <v>2</v>
          </cell>
          <cell r="AI417">
            <v>2</v>
          </cell>
          <cell r="AJ417">
            <v>2</v>
          </cell>
          <cell r="AK417">
            <v>2</v>
          </cell>
          <cell r="AL417">
            <v>2</v>
          </cell>
          <cell r="AM417" t="str">
            <v>NULL</v>
          </cell>
          <cell r="AN417" t="str">
            <v>Yes</v>
          </cell>
          <cell r="AO417" t="str">
            <v>ITS353895</v>
          </cell>
          <cell r="AP417" t="str">
            <v>S162a - LTI Inspection Historic</v>
          </cell>
          <cell r="AQ417" t="str">
            <v>Independent Standard Inspection</v>
          </cell>
          <cell r="AR417">
            <v>40289</v>
          </cell>
          <cell r="AS417">
            <v>40289</v>
          </cell>
          <cell r="AT417">
            <v>40310</v>
          </cell>
          <cell r="AU417">
            <v>2</v>
          </cell>
          <cell r="AV417">
            <v>2</v>
          </cell>
          <cell r="AW417">
            <v>2</v>
          </cell>
          <cell r="AX417" t="str">
            <v>NULL</v>
          </cell>
          <cell r="AY417" t="str">
            <v>NULL</v>
          </cell>
          <cell r="AZ417">
            <v>2</v>
          </cell>
          <cell r="BA417" t="str">
            <v>NULL</v>
          </cell>
          <cell r="BB417" t="str">
            <v>NULL</v>
          </cell>
        </row>
        <row r="418">
          <cell r="D418">
            <v>137819</v>
          </cell>
          <cell r="E418">
            <v>3306010</v>
          </cell>
          <cell r="F418" t="str">
            <v>City United Academy (CUA)</v>
          </cell>
          <cell r="G418" t="str">
            <v>Other Independent School</v>
          </cell>
          <cell r="H418">
            <v>40920</v>
          </cell>
          <cell r="I418">
            <v>28</v>
          </cell>
          <cell r="J418" t="str">
            <v>West Midlands</v>
          </cell>
          <cell r="K418" t="str">
            <v>West Midlands</v>
          </cell>
          <cell r="L418" t="str">
            <v>Birmingham</v>
          </cell>
          <cell r="M418" t="str">
            <v>Birmingham, Ladywood</v>
          </cell>
          <cell r="N418" t="str">
            <v>B1 2RX</v>
          </cell>
          <cell r="O418" t="str">
            <v>Does not have a sixth form</v>
          </cell>
          <cell r="P418">
            <v>11</v>
          </cell>
          <cell r="Q418">
            <v>16</v>
          </cell>
          <cell r="R418" t="str">
            <v>None</v>
          </cell>
          <cell r="S418" t="str">
            <v>Ofsted</v>
          </cell>
          <cell r="T418">
            <v>4</v>
          </cell>
          <cell r="U418">
            <v>10010402</v>
          </cell>
          <cell r="V418" t="str">
            <v>Independent school Progress Monitoring inspection</v>
          </cell>
          <cell r="W418">
            <v>42397</v>
          </cell>
          <cell r="X418">
            <v>42397</v>
          </cell>
          <cell r="Y418">
            <v>42432</v>
          </cell>
          <cell r="Z418" t="str">
            <v>Standards met</v>
          </cell>
          <cell r="AA418" t="str">
            <v>ITS408670</v>
          </cell>
          <cell r="AB418" t="str">
            <v>Independent school standard inspection - first</v>
          </cell>
          <cell r="AC418" t="str">
            <v>Independent Standard Inspection</v>
          </cell>
          <cell r="AD418">
            <v>41254</v>
          </cell>
          <cell r="AE418">
            <v>41255</v>
          </cell>
          <cell r="AF418">
            <v>41289</v>
          </cell>
          <cell r="AG418">
            <v>2</v>
          </cell>
          <cell r="AH418">
            <v>2</v>
          </cell>
          <cell r="AI418">
            <v>2</v>
          </cell>
          <cell r="AJ418" t="str">
            <v>NULL</v>
          </cell>
          <cell r="AK418" t="str">
            <v>NULL</v>
          </cell>
          <cell r="AL418">
            <v>8</v>
          </cell>
          <cell r="AM418" t="str">
            <v>NULL</v>
          </cell>
          <cell r="AN418" t="str">
            <v>NULL</v>
          </cell>
          <cell r="AO418" t="str">
            <v>NULL</v>
          </cell>
          <cell r="AP418" t="str">
            <v>NULL</v>
          </cell>
          <cell r="AQ418" t="str">
            <v>NULL</v>
          </cell>
          <cell r="AR418" t="str">
            <v>NULL</v>
          </cell>
          <cell r="AS418" t="str">
            <v>NULL</v>
          </cell>
          <cell r="AT418" t="str">
            <v>NULL</v>
          </cell>
          <cell r="AU418" t="str">
            <v>NULL</v>
          </cell>
          <cell r="AV418" t="str">
            <v>NULL</v>
          </cell>
          <cell r="AW418" t="str">
            <v>NULL</v>
          </cell>
          <cell r="AX418" t="str">
            <v>NULL</v>
          </cell>
          <cell r="AY418" t="str">
            <v>NULL</v>
          </cell>
          <cell r="AZ418" t="str">
            <v>NULL</v>
          </cell>
          <cell r="BA418" t="str">
            <v>NULL</v>
          </cell>
          <cell r="BB418" t="str">
            <v>NULL</v>
          </cell>
        </row>
        <row r="419">
          <cell r="D419">
            <v>131128</v>
          </cell>
          <cell r="E419">
            <v>3026107</v>
          </cell>
          <cell r="F419" t="str">
            <v>Finchley and Acton Yochien School</v>
          </cell>
          <cell r="G419" t="str">
            <v>Other Independent School</v>
          </cell>
          <cell r="H419">
            <v>35403</v>
          </cell>
          <cell r="I419">
            <v>107</v>
          </cell>
          <cell r="J419" t="str">
            <v>London</v>
          </cell>
          <cell r="K419" t="str">
            <v>London</v>
          </cell>
          <cell r="L419" t="str">
            <v>Barnet</v>
          </cell>
          <cell r="M419" t="str">
            <v>Finchley and Golders Green</v>
          </cell>
          <cell r="N419" t="str">
            <v>N3 1UE</v>
          </cell>
          <cell r="O419" t="str">
            <v>Does not have a sixth form</v>
          </cell>
          <cell r="P419">
            <v>2</v>
          </cell>
          <cell r="Q419">
            <v>6</v>
          </cell>
          <cell r="R419" t="str">
            <v>None</v>
          </cell>
          <cell r="S419" t="str">
            <v>Ofsted</v>
          </cell>
          <cell r="T419" t="str">
            <v>NULL</v>
          </cell>
          <cell r="U419" t="str">
            <v>NULL</v>
          </cell>
          <cell r="V419" t="str">
            <v>NULL</v>
          </cell>
          <cell r="W419" t="str">
            <v>NULL</v>
          </cell>
          <cell r="X419" t="str">
            <v>NULL</v>
          </cell>
          <cell r="Y419" t="str">
            <v>NULL</v>
          </cell>
          <cell r="Z419" t="str">
            <v>NULL</v>
          </cell>
          <cell r="AA419">
            <v>10035789</v>
          </cell>
          <cell r="AB419" t="str">
            <v>Independent School standard inspection</v>
          </cell>
          <cell r="AC419" t="str">
            <v>Independent Standard Inspection</v>
          </cell>
          <cell r="AD419">
            <v>43011</v>
          </cell>
          <cell r="AE419">
            <v>43013</v>
          </cell>
          <cell r="AF419">
            <v>43082</v>
          </cell>
          <cell r="AG419">
            <v>3</v>
          </cell>
          <cell r="AH419">
            <v>3</v>
          </cell>
          <cell r="AI419">
            <v>3</v>
          </cell>
          <cell r="AJ419">
            <v>3</v>
          </cell>
          <cell r="AK419">
            <v>2</v>
          </cell>
          <cell r="AL419">
            <v>3</v>
          </cell>
          <cell r="AM419" t="str">
            <v>NULL</v>
          </cell>
          <cell r="AN419" t="str">
            <v>Yes</v>
          </cell>
          <cell r="AO419" t="str">
            <v>ITS462874</v>
          </cell>
          <cell r="AP419" t="str">
            <v>Independent School standard inspection</v>
          </cell>
          <cell r="AQ419" t="str">
            <v>Independent Standard Inspection</v>
          </cell>
          <cell r="AR419">
            <v>42172</v>
          </cell>
          <cell r="AS419">
            <v>42174</v>
          </cell>
          <cell r="AT419">
            <v>42263</v>
          </cell>
          <cell r="AU419">
            <v>3</v>
          </cell>
          <cell r="AV419">
            <v>3</v>
          </cell>
          <cell r="AW419">
            <v>3</v>
          </cell>
          <cell r="AX419">
            <v>3</v>
          </cell>
          <cell r="AY419" t="str">
            <v>NULL</v>
          </cell>
          <cell r="AZ419">
            <v>3</v>
          </cell>
          <cell r="BA419">
            <v>9</v>
          </cell>
          <cell r="BB419" t="str">
            <v>NULL</v>
          </cell>
        </row>
        <row r="420">
          <cell r="D420">
            <v>105587</v>
          </cell>
          <cell r="E420">
            <v>3536017</v>
          </cell>
          <cell r="F420" t="str">
            <v>Firwood Manor Preparatory School</v>
          </cell>
          <cell r="G420" t="str">
            <v>Other Independent School</v>
          </cell>
          <cell r="H420">
            <v>21241</v>
          </cell>
          <cell r="I420">
            <v>76</v>
          </cell>
          <cell r="J420" t="str">
            <v>North West</v>
          </cell>
          <cell r="K420" t="str">
            <v>North West</v>
          </cell>
          <cell r="L420" t="str">
            <v>Oldham</v>
          </cell>
          <cell r="M420" t="str">
            <v>Oldham West and Royton</v>
          </cell>
          <cell r="N420" t="str">
            <v>OL9 0AD</v>
          </cell>
          <cell r="O420" t="str">
            <v>Does not have a sixth form</v>
          </cell>
          <cell r="P420">
            <v>2</v>
          </cell>
          <cell r="Q420">
            <v>11</v>
          </cell>
          <cell r="R420" t="str">
            <v>None</v>
          </cell>
          <cell r="S420" t="str">
            <v>Ofsted</v>
          </cell>
          <cell r="T420" t="str">
            <v>NULL</v>
          </cell>
          <cell r="U420" t="str">
            <v>NULL</v>
          </cell>
          <cell r="V420" t="str">
            <v>NULL</v>
          </cell>
          <cell r="W420" t="str">
            <v>NULL</v>
          </cell>
          <cell r="X420" t="str">
            <v>NULL</v>
          </cell>
          <cell r="Y420" t="str">
            <v>NULL</v>
          </cell>
          <cell r="Z420" t="str">
            <v>NULL</v>
          </cell>
          <cell r="AA420">
            <v>10012976</v>
          </cell>
          <cell r="AB420" t="str">
            <v>Independent School standard inspection</v>
          </cell>
          <cell r="AC420" t="str">
            <v>Independent Standard Inspection</v>
          </cell>
          <cell r="AD420">
            <v>42822</v>
          </cell>
          <cell r="AE420">
            <v>42824</v>
          </cell>
          <cell r="AF420">
            <v>42859</v>
          </cell>
          <cell r="AG420">
            <v>3</v>
          </cell>
          <cell r="AH420">
            <v>3</v>
          </cell>
          <cell r="AI420">
            <v>3</v>
          </cell>
          <cell r="AJ420">
            <v>3</v>
          </cell>
          <cell r="AK420">
            <v>2</v>
          </cell>
          <cell r="AL420">
            <v>2</v>
          </cell>
          <cell r="AM420" t="str">
            <v>NULL</v>
          </cell>
          <cell r="AN420" t="str">
            <v>Yes</v>
          </cell>
          <cell r="AO420" t="str">
            <v>NULL</v>
          </cell>
          <cell r="AP420" t="str">
            <v>NULL</v>
          </cell>
          <cell r="AQ420" t="str">
            <v>NULL</v>
          </cell>
          <cell r="AR420" t="str">
            <v>NULL</v>
          </cell>
          <cell r="AS420" t="str">
            <v>NULL</v>
          </cell>
          <cell r="AT420" t="str">
            <v>NULL</v>
          </cell>
          <cell r="AU420" t="str">
            <v>NULL</v>
          </cell>
          <cell r="AV420" t="str">
            <v>NULL</v>
          </cell>
          <cell r="AW420" t="str">
            <v>NULL</v>
          </cell>
          <cell r="AX420" t="str">
            <v>NULL</v>
          </cell>
          <cell r="AY420" t="str">
            <v>NULL</v>
          </cell>
          <cell r="AZ420" t="str">
            <v>NULL</v>
          </cell>
          <cell r="BA420" t="str">
            <v>NULL</v>
          </cell>
          <cell r="BB420" t="str">
            <v>NULL</v>
          </cell>
        </row>
        <row r="421">
          <cell r="D421">
            <v>136210</v>
          </cell>
          <cell r="E421">
            <v>8526011</v>
          </cell>
          <cell r="F421" t="str">
            <v>Fitrah Sips</v>
          </cell>
          <cell r="G421" t="str">
            <v>Other Independent School</v>
          </cell>
          <cell r="H421">
            <v>40416</v>
          </cell>
          <cell r="I421">
            <v>51</v>
          </cell>
          <cell r="J421" t="str">
            <v>South East</v>
          </cell>
          <cell r="K421" t="str">
            <v>South East</v>
          </cell>
          <cell r="L421" t="str">
            <v>Southampton</v>
          </cell>
          <cell r="M421" t="str">
            <v>Southampton, Test</v>
          </cell>
          <cell r="N421" t="str">
            <v>SO14 0EJ</v>
          </cell>
          <cell r="O421" t="str">
            <v>Does not have a sixth form</v>
          </cell>
          <cell r="P421">
            <v>5</v>
          </cell>
          <cell r="Q421">
            <v>16</v>
          </cell>
          <cell r="R421" t="str">
            <v>Islam</v>
          </cell>
          <cell r="S421" t="str">
            <v>Ofsted</v>
          </cell>
          <cell r="T421" t="str">
            <v>NULL</v>
          </cell>
          <cell r="U421" t="str">
            <v>NULL</v>
          </cell>
          <cell r="V421" t="str">
            <v>NULL</v>
          </cell>
          <cell r="W421" t="str">
            <v>NULL</v>
          </cell>
          <cell r="X421" t="str">
            <v>NULL</v>
          </cell>
          <cell r="Y421" t="str">
            <v>NULL</v>
          </cell>
          <cell r="Z421" t="str">
            <v>NULL</v>
          </cell>
          <cell r="AA421">
            <v>10033954</v>
          </cell>
          <cell r="AB421" t="str">
            <v>Independent School standard inspection</v>
          </cell>
          <cell r="AC421" t="str">
            <v>Independent Standard Inspection</v>
          </cell>
          <cell r="AD421">
            <v>43046</v>
          </cell>
          <cell r="AE421">
            <v>43048</v>
          </cell>
          <cell r="AF421">
            <v>43069</v>
          </cell>
          <cell r="AG421">
            <v>3</v>
          </cell>
          <cell r="AH421">
            <v>3</v>
          </cell>
          <cell r="AI421">
            <v>3</v>
          </cell>
          <cell r="AJ421">
            <v>3</v>
          </cell>
          <cell r="AK421">
            <v>1</v>
          </cell>
          <cell r="AL421" t="str">
            <v>NULL</v>
          </cell>
          <cell r="AM421" t="str">
            <v>NULL</v>
          </cell>
          <cell r="AN421" t="str">
            <v>Yes</v>
          </cell>
          <cell r="AO421" t="str">
            <v>ITS366886</v>
          </cell>
          <cell r="AP421" t="str">
            <v>Independent School standard inspection</v>
          </cell>
          <cell r="AQ421" t="str">
            <v>Independent Standard Inspection</v>
          </cell>
          <cell r="AR421">
            <v>40729</v>
          </cell>
          <cell r="AS421">
            <v>40730</v>
          </cell>
          <cell r="AT421">
            <v>40746</v>
          </cell>
          <cell r="AU421">
            <v>3</v>
          </cell>
          <cell r="AV421">
            <v>3</v>
          </cell>
          <cell r="AW421">
            <v>3</v>
          </cell>
          <cell r="AX421" t="str">
            <v>NULL</v>
          </cell>
          <cell r="AY421" t="str">
            <v>NULL</v>
          </cell>
          <cell r="AZ421">
            <v>8</v>
          </cell>
          <cell r="BA421" t="str">
            <v>NULL</v>
          </cell>
          <cell r="BB421" t="str">
            <v>NULL</v>
          </cell>
        </row>
        <row r="422">
          <cell r="D422">
            <v>113594</v>
          </cell>
          <cell r="E422">
            <v>8796001</v>
          </cell>
          <cell r="F422" t="str">
            <v>Fletewood School at Derry Villas</v>
          </cell>
          <cell r="G422" t="str">
            <v>Other Independent School</v>
          </cell>
          <cell r="H422">
            <v>21157</v>
          </cell>
          <cell r="I422">
            <v>66</v>
          </cell>
          <cell r="J422" t="str">
            <v>South West</v>
          </cell>
          <cell r="K422" t="str">
            <v>South West</v>
          </cell>
          <cell r="L422" t="str">
            <v>Plymouth</v>
          </cell>
          <cell r="M422" t="str">
            <v>Plymouth, Sutton and Devonport</v>
          </cell>
          <cell r="N422" t="str">
            <v>PL4 6AN</v>
          </cell>
          <cell r="O422" t="str">
            <v>Does not have a sixth form</v>
          </cell>
          <cell r="P422">
            <v>3</v>
          </cell>
          <cell r="Q422">
            <v>11</v>
          </cell>
          <cell r="R422" t="str">
            <v>Seventh Day Adventist</v>
          </cell>
          <cell r="S422" t="str">
            <v>Ofsted</v>
          </cell>
          <cell r="T422" t="str">
            <v>NULL</v>
          </cell>
          <cell r="U422" t="str">
            <v>NULL</v>
          </cell>
          <cell r="V422" t="str">
            <v>NULL</v>
          </cell>
          <cell r="W422" t="str">
            <v>NULL</v>
          </cell>
          <cell r="X422" t="str">
            <v>NULL</v>
          </cell>
          <cell r="Y422" t="str">
            <v>NULL</v>
          </cell>
          <cell r="Z422" t="str">
            <v>NULL</v>
          </cell>
          <cell r="AA422">
            <v>10020897</v>
          </cell>
          <cell r="AB422" t="str">
            <v>Independent School standard inspection</v>
          </cell>
          <cell r="AC422" t="str">
            <v>Independent Standard Inspection</v>
          </cell>
          <cell r="AD422">
            <v>42822</v>
          </cell>
          <cell r="AE422">
            <v>42824</v>
          </cell>
          <cell r="AF422">
            <v>42866</v>
          </cell>
          <cell r="AG422">
            <v>2</v>
          </cell>
          <cell r="AH422">
            <v>2</v>
          </cell>
          <cell r="AI422">
            <v>2</v>
          </cell>
          <cell r="AJ422">
            <v>2</v>
          </cell>
          <cell r="AK422">
            <v>1</v>
          </cell>
          <cell r="AL422">
            <v>2</v>
          </cell>
          <cell r="AM422" t="str">
            <v>NULL</v>
          </cell>
          <cell r="AN422" t="str">
            <v>Yes</v>
          </cell>
          <cell r="AO422" t="str">
            <v>ITS397674</v>
          </cell>
          <cell r="AP422" t="str">
            <v>Independent School standard inspection</v>
          </cell>
          <cell r="AQ422" t="str">
            <v>Independent Standard Inspection</v>
          </cell>
          <cell r="AR422">
            <v>41094</v>
          </cell>
          <cell r="AS422">
            <v>41095</v>
          </cell>
          <cell r="AT422">
            <v>41158</v>
          </cell>
          <cell r="AU422">
            <v>2</v>
          </cell>
          <cell r="AV422">
            <v>2</v>
          </cell>
          <cell r="AW422">
            <v>2</v>
          </cell>
          <cell r="AX422" t="str">
            <v>NULL</v>
          </cell>
          <cell r="AY422" t="str">
            <v>NULL</v>
          </cell>
          <cell r="AZ422">
            <v>8</v>
          </cell>
          <cell r="BA422" t="str">
            <v>NULL</v>
          </cell>
          <cell r="BB422" t="str">
            <v>NULL</v>
          </cell>
        </row>
        <row r="423">
          <cell r="D423">
            <v>135418</v>
          </cell>
          <cell r="E423">
            <v>9376106</v>
          </cell>
          <cell r="F423" t="str">
            <v>Henley-in-Arden Montessori Primary School</v>
          </cell>
          <cell r="G423" t="str">
            <v>Other Independent School</v>
          </cell>
          <cell r="H423">
            <v>39345</v>
          </cell>
          <cell r="I423">
            <v>10</v>
          </cell>
          <cell r="J423" t="str">
            <v>West Midlands</v>
          </cell>
          <cell r="K423" t="str">
            <v>West Midlands</v>
          </cell>
          <cell r="L423" t="str">
            <v>Warwickshire</v>
          </cell>
          <cell r="M423" t="str">
            <v>Stratford-on-Avon</v>
          </cell>
          <cell r="N423" t="str">
            <v>B95 5JP</v>
          </cell>
          <cell r="O423" t="str">
            <v>Does not have a sixth form</v>
          </cell>
          <cell r="P423">
            <v>2</v>
          </cell>
          <cell r="Q423">
            <v>11</v>
          </cell>
          <cell r="R423" t="str">
            <v>None</v>
          </cell>
          <cell r="S423" t="str">
            <v>Ofsted</v>
          </cell>
          <cell r="T423">
            <v>2</v>
          </cell>
          <cell r="U423">
            <v>10044609</v>
          </cell>
          <cell r="V423" t="str">
            <v>Independent school Progress Monitoring inspection</v>
          </cell>
          <cell r="W423">
            <v>43111</v>
          </cell>
          <cell r="X423">
            <v>43111</v>
          </cell>
          <cell r="Y423">
            <v>43139</v>
          </cell>
          <cell r="Z423" t="str">
            <v>Met all standards that were checked</v>
          </cell>
          <cell r="AA423">
            <v>10026105</v>
          </cell>
          <cell r="AB423" t="str">
            <v>Independent School standard inspection</v>
          </cell>
          <cell r="AC423" t="str">
            <v>Independent Standard Inspection</v>
          </cell>
          <cell r="AD423">
            <v>42920</v>
          </cell>
          <cell r="AE423">
            <v>42922</v>
          </cell>
          <cell r="AF423">
            <v>42989</v>
          </cell>
          <cell r="AG423">
            <v>3</v>
          </cell>
          <cell r="AH423">
            <v>3</v>
          </cell>
          <cell r="AI423">
            <v>3</v>
          </cell>
          <cell r="AJ423">
            <v>3</v>
          </cell>
          <cell r="AK423">
            <v>2</v>
          </cell>
          <cell r="AL423">
            <v>3</v>
          </cell>
          <cell r="AM423" t="str">
            <v>NULL</v>
          </cell>
          <cell r="AN423" t="str">
            <v>Yes</v>
          </cell>
          <cell r="AO423" t="str">
            <v>ITS386831</v>
          </cell>
          <cell r="AP423" t="str">
            <v>Independent School standard inspection</v>
          </cell>
          <cell r="AQ423" t="str">
            <v>Independent Standard Inspection</v>
          </cell>
          <cell r="AR423">
            <v>40989</v>
          </cell>
          <cell r="AS423">
            <v>40990</v>
          </cell>
          <cell r="AT423">
            <v>41023</v>
          </cell>
          <cell r="AU423">
            <v>2</v>
          </cell>
          <cell r="AV423">
            <v>2</v>
          </cell>
          <cell r="AW423">
            <v>2</v>
          </cell>
          <cell r="AX423" t="str">
            <v>NULL</v>
          </cell>
          <cell r="AY423" t="str">
            <v>NULL</v>
          </cell>
          <cell r="AZ423">
            <v>2</v>
          </cell>
          <cell r="BA423" t="str">
            <v>NULL</v>
          </cell>
          <cell r="BB423" t="str">
            <v>NULL</v>
          </cell>
        </row>
        <row r="424">
          <cell r="D424">
            <v>115418</v>
          </cell>
          <cell r="E424">
            <v>8816024</v>
          </cell>
          <cell r="F424" t="str">
            <v>Herington House School</v>
          </cell>
          <cell r="G424" t="str">
            <v>Other Independent School</v>
          </cell>
          <cell r="H424">
            <v>21109</v>
          </cell>
          <cell r="I424">
            <v>136</v>
          </cell>
          <cell r="J424" t="str">
            <v>East of England</v>
          </cell>
          <cell r="K424" t="str">
            <v>East of England</v>
          </cell>
          <cell r="L424" t="str">
            <v>Essex</v>
          </cell>
          <cell r="M424" t="str">
            <v>Brentwood and Ongar</v>
          </cell>
          <cell r="N424" t="str">
            <v>CM13 2NS</v>
          </cell>
          <cell r="O424" t="str">
            <v>Does not have a sixth form</v>
          </cell>
          <cell r="P424">
            <v>3</v>
          </cell>
          <cell r="Q424">
            <v>11</v>
          </cell>
          <cell r="R424" t="str">
            <v>None</v>
          </cell>
          <cell r="S424" t="str">
            <v>Ofsted</v>
          </cell>
          <cell r="T424" t="str">
            <v>NULL</v>
          </cell>
          <cell r="U424" t="str">
            <v>NULL</v>
          </cell>
          <cell r="V424" t="str">
            <v>NULL</v>
          </cell>
          <cell r="W424" t="str">
            <v>NULL</v>
          </cell>
          <cell r="X424" t="str">
            <v>NULL</v>
          </cell>
          <cell r="Y424" t="str">
            <v>NULL</v>
          </cell>
          <cell r="Z424" t="str">
            <v>NULL</v>
          </cell>
          <cell r="AA424">
            <v>10008564</v>
          </cell>
          <cell r="AB424" t="str">
            <v>Independent School standard inspection</v>
          </cell>
          <cell r="AC424" t="str">
            <v>Independent Standard Inspection</v>
          </cell>
          <cell r="AD424">
            <v>42535</v>
          </cell>
          <cell r="AE424">
            <v>42537</v>
          </cell>
          <cell r="AF424">
            <v>42625</v>
          </cell>
          <cell r="AG424">
            <v>2</v>
          </cell>
          <cell r="AH424">
            <v>2</v>
          </cell>
          <cell r="AI424">
            <v>2</v>
          </cell>
          <cell r="AJ424">
            <v>2</v>
          </cell>
          <cell r="AK424">
            <v>1</v>
          </cell>
          <cell r="AL424">
            <v>2</v>
          </cell>
          <cell r="AM424" t="str">
            <v>NULL</v>
          </cell>
          <cell r="AN424" t="str">
            <v>Yes</v>
          </cell>
          <cell r="AO424" t="str">
            <v>ITS335353</v>
          </cell>
          <cell r="AP424" t="str">
            <v>S162a - LTI Inspection Historic</v>
          </cell>
          <cell r="AQ424" t="str">
            <v>Independent Standard Inspection</v>
          </cell>
          <cell r="AR424">
            <v>40198</v>
          </cell>
          <cell r="AS424">
            <v>40198</v>
          </cell>
          <cell r="AT424">
            <v>40257</v>
          </cell>
          <cell r="AU424">
            <v>2</v>
          </cell>
          <cell r="AV424">
            <v>2</v>
          </cell>
          <cell r="AW424">
            <v>2</v>
          </cell>
          <cell r="AX424" t="str">
            <v>NULL</v>
          </cell>
          <cell r="AY424" t="str">
            <v>NULL</v>
          </cell>
          <cell r="AZ424">
            <v>2</v>
          </cell>
          <cell r="BA424" t="str">
            <v>NULL</v>
          </cell>
          <cell r="BB424" t="str">
            <v>NULL</v>
          </cell>
        </row>
        <row r="425">
          <cell r="D425">
            <v>118127</v>
          </cell>
          <cell r="E425">
            <v>8116001</v>
          </cell>
          <cell r="F425" t="str">
            <v>Hessle Mount School</v>
          </cell>
          <cell r="G425" t="str">
            <v>Other Independent School</v>
          </cell>
          <cell r="H425">
            <v>21241</v>
          </cell>
          <cell r="I425">
            <v>115</v>
          </cell>
          <cell r="J425" t="str">
            <v>North East, Yorkshire and the Humber</v>
          </cell>
          <cell r="K425" t="str">
            <v>Yorkshire and the Humber</v>
          </cell>
          <cell r="L425" t="str">
            <v>East Riding of Yorkshire</v>
          </cell>
          <cell r="M425" t="str">
            <v>Kingston upon Hull West and Hessle</v>
          </cell>
          <cell r="N425" t="str">
            <v>HU13 0JZ</v>
          </cell>
          <cell r="O425" t="str">
            <v>Does not have a sixth form</v>
          </cell>
          <cell r="P425">
            <v>3</v>
          </cell>
          <cell r="Q425">
            <v>8</v>
          </cell>
          <cell r="R425" t="str">
            <v>None</v>
          </cell>
          <cell r="S425" t="str">
            <v>Ofsted</v>
          </cell>
          <cell r="T425" t="str">
            <v>NULL</v>
          </cell>
          <cell r="U425" t="str">
            <v>NULL</v>
          </cell>
          <cell r="V425" t="str">
            <v>NULL</v>
          </cell>
          <cell r="W425" t="str">
            <v>NULL</v>
          </cell>
          <cell r="X425" t="str">
            <v>NULL</v>
          </cell>
          <cell r="Y425" t="str">
            <v>NULL</v>
          </cell>
          <cell r="Z425" t="str">
            <v>NULL</v>
          </cell>
          <cell r="AA425">
            <v>10008557</v>
          </cell>
          <cell r="AB425" t="str">
            <v>Independent School standard inspection</v>
          </cell>
          <cell r="AC425" t="str">
            <v>Independent Standard Inspection</v>
          </cell>
          <cell r="AD425">
            <v>42549</v>
          </cell>
          <cell r="AE425">
            <v>42551</v>
          </cell>
          <cell r="AF425">
            <v>42626</v>
          </cell>
          <cell r="AG425">
            <v>1</v>
          </cell>
          <cell r="AH425">
            <v>1</v>
          </cell>
          <cell r="AI425">
            <v>1</v>
          </cell>
          <cell r="AJ425">
            <v>1</v>
          </cell>
          <cell r="AK425">
            <v>1</v>
          </cell>
          <cell r="AL425">
            <v>1</v>
          </cell>
          <cell r="AM425" t="str">
            <v>NULL</v>
          </cell>
          <cell r="AN425" t="str">
            <v>Yes</v>
          </cell>
          <cell r="AO425" t="str">
            <v>ITS342468</v>
          </cell>
          <cell r="AP425" t="str">
            <v>Independent School standard inspection</v>
          </cell>
          <cell r="AQ425" t="str">
            <v>Independent Standard Inspection</v>
          </cell>
          <cell r="AR425">
            <v>40079</v>
          </cell>
          <cell r="AS425">
            <v>40080</v>
          </cell>
          <cell r="AT425">
            <v>40115</v>
          </cell>
          <cell r="AU425">
            <v>2</v>
          </cell>
          <cell r="AV425">
            <v>2</v>
          </cell>
          <cell r="AW425">
            <v>2</v>
          </cell>
          <cell r="AX425" t="str">
            <v>NULL</v>
          </cell>
          <cell r="AY425" t="str">
            <v>NULL</v>
          </cell>
          <cell r="AZ425">
            <v>2</v>
          </cell>
          <cell r="BA425" t="str">
            <v>NULL</v>
          </cell>
          <cell r="BB425" t="str">
            <v>NULL</v>
          </cell>
        </row>
        <row r="426">
          <cell r="D426">
            <v>117660</v>
          </cell>
          <cell r="E426">
            <v>9196234</v>
          </cell>
          <cell r="F426" t="str">
            <v>High Elms Manor School</v>
          </cell>
          <cell r="G426" t="str">
            <v>Other Independent School</v>
          </cell>
          <cell r="H426">
            <v>33731</v>
          </cell>
          <cell r="I426">
            <v>73</v>
          </cell>
          <cell r="J426" t="str">
            <v>East of England</v>
          </cell>
          <cell r="K426" t="str">
            <v>East of England</v>
          </cell>
          <cell r="L426" t="str">
            <v>Hertfordshire</v>
          </cell>
          <cell r="M426" t="str">
            <v>Watford</v>
          </cell>
          <cell r="N426" t="str">
            <v>WD25 0JX</v>
          </cell>
          <cell r="O426" t="str">
            <v>Does not have a sixth form</v>
          </cell>
          <cell r="P426">
            <v>1</v>
          </cell>
          <cell r="Q426">
            <v>11</v>
          </cell>
          <cell r="R426" t="str">
            <v>None</v>
          </cell>
          <cell r="S426" t="str">
            <v>Ofsted</v>
          </cell>
          <cell r="T426" t="str">
            <v>NULL</v>
          </cell>
          <cell r="U426" t="str">
            <v>NULL</v>
          </cell>
          <cell r="V426" t="str">
            <v>NULL</v>
          </cell>
          <cell r="W426" t="str">
            <v>NULL</v>
          </cell>
          <cell r="X426" t="str">
            <v>NULL</v>
          </cell>
          <cell r="Y426" t="str">
            <v>NULL</v>
          </cell>
          <cell r="Z426" t="str">
            <v>NULL</v>
          </cell>
          <cell r="AA426">
            <v>10012937</v>
          </cell>
          <cell r="AB426" t="str">
            <v>Independent School standard inspection</v>
          </cell>
          <cell r="AC426" t="str">
            <v>Independent Standard Inspection</v>
          </cell>
          <cell r="AD426">
            <v>42710</v>
          </cell>
          <cell r="AE426">
            <v>42712</v>
          </cell>
          <cell r="AF426">
            <v>42760</v>
          </cell>
          <cell r="AG426">
            <v>2</v>
          </cell>
          <cell r="AH426">
            <v>2</v>
          </cell>
          <cell r="AI426">
            <v>2</v>
          </cell>
          <cell r="AJ426">
            <v>2</v>
          </cell>
          <cell r="AK426">
            <v>2</v>
          </cell>
          <cell r="AL426">
            <v>2</v>
          </cell>
          <cell r="AM426" t="str">
            <v>NULL</v>
          </cell>
          <cell r="AN426" t="str">
            <v>Yes</v>
          </cell>
          <cell r="AO426" t="str">
            <v>ITS361346</v>
          </cell>
          <cell r="AP426" t="str">
            <v>Independent School standard inspection</v>
          </cell>
          <cell r="AQ426" t="str">
            <v>Independent Standard Inspection</v>
          </cell>
          <cell r="AR426">
            <v>40680</v>
          </cell>
          <cell r="AS426">
            <v>40681</v>
          </cell>
          <cell r="AT426">
            <v>40709</v>
          </cell>
          <cell r="AU426">
            <v>2</v>
          </cell>
          <cell r="AV426">
            <v>2</v>
          </cell>
          <cell r="AW426">
            <v>2</v>
          </cell>
          <cell r="AX426" t="str">
            <v>NULL</v>
          </cell>
          <cell r="AY426" t="str">
            <v>NULL</v>
          </cell>
          <cell r="AZ426">
            <v>2</v>
          </cell>
          <cell r="BA426" t="str">
            <v>NULL</v>
          </cell>
          <cell r="BB426" t="str">
            <v>NULL</v>
          </cell>
        </row>
        <row r="427">
          <cell r="D427">
            <v>131388</v>
          </cell>
          <cell r="E427">
            <v>2116387</v>
          </cell>
          <cell r="F427" t="str">
            <v>Jamiatul Ummah School</v>
          </cell>
          <cell r="G427" t="str">
            <v>Other Independent School</v>
          </cell>
          <cell r="H427">
            <v>35716</v>
          </cell>
          <cell r="I427">
            <v>156</v>
          </cell>
          <cell r="J427" t="str">
            <v>London</v>
          </cell>
          <cell r="K427" t="str">
            <v>London</v>
          </cell>
          <cell r="L427" t="str">
            <v>Tower Hamlets</v>
          </cell>
          <cell r="M427" t="str">
            <v>Poplar and Limehouse</v>
          </cell>
          <cell r="N427" t="str">
            <v>E1 2ND</v>
          </cell>
          <cell r="O427" t="str">
            <v>Does not have a sixth form</v>
          </cell>
          <cell r="P427">
            <v>11</v>
          </cell>
          <cell r="Q427">
            <v>16</v>
          </cell>
          <cell r="R427" t="str">
            <v>None</v>
          </cell>
          <cell r="S427" t="str">
            <v>Ofsted</v>
          </cell>
          <cell r="T427" t="str">
            <v>NULL</v>
          </cell>
          <cell r="U427" t="str">
            <v>NULL</v>
          </cell>
          <cell r="V427" t="str">
            <v>NULL</v>
          </cell>
          <cell r="W427" t="str">
            <v>NULL</v>
          </cell>
          <cell r="X427" t="str">
            <v>NULL</v>
          </cell>
          <cell r="Y427" t="str">
            <v>NULL</v>
          </cell>
          <cell r="Z427" t="str">
            <v>NULL</v>
          </cell>
          <cell r="AA427">
            <v>10038161</v>
          </cell>
          <cell r="AB427" t="str">
            <v>Independent School standard inspection</v>
          </cell>
          <cell r="AC427" t="str">
            <v>Independent Standard Inspection</v>
          </cell>
          <cell r="AD427">
            <v>43109</v>
          </cell>
          <cell r="AE427">
            <v>43111</v>
          </cell>
          <cell r="AF427">
            <v>43157</v>
          </cell>
          <cell r="AG427">
            <v>2</v>
          </cell>
          <cell r="AH427">
            <v>2</v>
          </cell>
          <cell r="AI427">
            <v>2</v>
          </cell>
          <cell r="AJ427">
            <v>2</v>
          </cell>
          <cell r="AK427">
            <v>1</v>
          </cell>
          <cell r="AL427" t="str">
            <v>NULL</v>
          </cell>
          <cell r="AM427" t="str">
            <v>NULL</v>
          </cell>
          <cell r="AN427" t="str">
            <v>Yes</v>
          </cell>
          <cell r="AO427" t="str">
            <v>ITS442963</v>
          </cell>
          <cell r="AP427" t="str">
            <v>Independent School standard inspection</v>
          </cell>
          <cell r="AQ427" t="str">
            <v>Independent Standard Inspection</v>
          </cell>
          <cell r="AR427">
            <v>41920</v>
          </cell>
          <cell r="AS427">
            <v>41922</v>
          </cell>
          <cell r="AT427">
            <v>42039</v>
          </cell>
          <cell r="AU427">
            <v>4</v>
          </cell>
          <cell r="AV427">
            <v>4</v>
          </cell>
          <cell r="AW427">
            <v>4</v>
          </cell>
          <cell r="AX427">
            <v>4</v>
          </cell>
          <cell r="AY427" t="str">
            <v>NULL</v>
          </cell>
          <cell r="AZ427">
            <v>9</v>
          </cell>
          <cell r="BA427">
            <v>4</v>
          </cell>
          <cell r="BB427" t="str">
            <v>NULL</v>
          </cell>
        </row>
        <row r="428">
          <cell r="D428">
            <v>131389</v>
          </cell>
          <cell r="E428">
            <v>8896005</v>
          </cell>
          <cell r="F428" t="str">
            <v>Jamiatul-Ilm Wal-Huda UK School</v>
          </cell>
          <cell r="G428" t="str">
            <v>Other Independent School</v>
          </cell>
          <cell r="H428">
            <v>35717</v>
          </cell>
          <cell r="I428">
            <v>465</v>
          </cell>
          <cell r="J428" t="str">
            <v>North West</v>
          </cell>
          <cell r="K428" t="str">
            <v>North West</v>
          </cell>
          <cell r="L428" t="str">
            <v>Blackburn with Darwen</v>
          </cell>
          <cell r="M428" t="str">
            <v>Blackburn</v>
          </cell>
          <cell r="N428" t="str">
            <v>BB1 5JT</v>
          </cell>
          <cell r="O428" t="str">
            <v>Has a sixth form</v>
          </cell>
          <cell r="P428">
            <v>11</v>
          </cell>
          <cell r="Q428">
            <v>25</v>
          </cell>
          <cell r="R428" t="str">
            <v>None</v>
          </cell>
          <cell r="S428" t="str">
            <v>Ofsted</v>
          </cell>
          <cell r="T428" t="str">
            <v>NULL</v>
          </cell>
          <cell r="U428" t="str">
            <v>NULL</v>
          </cell>
          <cell r="V428" t="str">
            <v>NULL</v>
          </cell>
          <cell r="W428" t="str">
            <v>NULL</v>
          </cell>
          <cell r="X428" t="str">
            <v>NULL</v>
          </cell>
          <cell r="Y428" t="str">
            <v>NULL</v>
          </cell>
          <cell r="Z428" t="str">
            <v>NULL</v>
          </cell>
          <cell r="AA428">
            <v>10020865</v>
          </cell>
          <cell r="AB428" t="str">
            <v>Independent School standard inspection</v>
          </cell>
          <cell r="AC428" t="str">
            <v>Independent Standard Inspection</v>
          </cell>
          <cell r="AD428">
            <v>42773</v>
          </cell>
          <cell r="AE428">
            <v>42775</v>
          </cell>
          <cell r="AF428">
            <v>42814</v>
          </cell>
          <cell r="AG428">
            <v>1</v>
          </cell>
          <cell r="AH428">
            <v>1</v>
          </cell>
          <cell r="AI428">
            <v>1</v>
          </cell>
          <cell r="AJ428">
            <v>1</v>
          </cell>
          <cell r="AK428">
            <v>1</v>
          </cell>
          <cell r="AL428" t="str">
            <v>NULL</v>
          </cell>
          <cell r="AM428">
            <v>1</v>
          </cell>
          <cell r="AN428" t="str">
            <v>Yes</v>
          </cell>
          <cell r="AO428" t="str">
            <v>ITS301543</v>
          </cell>
          <cell r="AP428" t="str">
            <v>Independent School standard inspection</v>
          </cell>
          <cell r="AQ428" t="str">
            <v>Independent Standard Inspection</v>
          </cell>
          <cell r="AR428">
            <v>39198</v>
          </cell>
          <cell r="AS428">
            <v>39199</v>
          </cell>
          <cell r="AT428">
            <v>39224</v>
          </cell>
          <cell r="AU428">
            <v>2</v>
          </cell>
          <cell r="AV428">
            <v>2</v>
          </cell>
          <cell r="AW428">
            <v>2</v>
          </cell>
          <cell r="AX428" t="str">
            <v>NULL</v>
          </cell>
          <cell r="AY428" t="str">
            <v>NULL</v>
          </cell>
          <cell r="AZ428" t="str">
            <v>NULL</v>
          </cell>
          <cell r="BA428" t="str">
            <v>NULL</v>
          </cell>
          <cell r="BB428" t="str">
            <v>NULL</v>
          </cell>
        </row>
        <row r="429">
          <cell r="D429">
            <v>140496</v>
          </cell>
          <cell r="E429">
            <v>3156006</v>
          </cell>
          <cell r="F429" t="str">
            <v>Jus'T'Learn</v>
          </cell>
          <cell r="G429" t="str">
            <v>Other Independent School</v>
          </cell>
          <cell r="H429">
            <v>41626</v>
          </cell>
          <cell r="I429">
            <v>11</v>
          </cell>
          <cell r="J429" t="str">
            <v>London</v>
          </cell>
          <cell r="K429" t="str">
            <v>London</v>
          </cell>
          <cell r="L429" t="str">
            <v>Merton</v>
          </cell>
          <cell r="M429" t="str">
            <v>Mitcham and Morden</v>
          </cell>
          <cell r="N429" t="str">
            <v>CR4 2QA</v>
          </cell>
          <cell r="O429" t="str">
            <v>Does not have a sixth form</v>
          </cell>
          <cell r="P429">
            <v>11</v>
          </cell>
          <cell r="Q429">
            <v>16</v>
          </cell>
          <cell r="R429" t="str">
            <v>None</v>
          </cell>
          <cell r="S429" t="str">
            <v>Ofsted</v>
          </cell>
          <cell r="T429" t="str">
            <v>NULL</v>
          </cell>
          <cell r="U429" t="str">
            <v>NULL</v>
          </cell>
          <cell r="V429" t="str">
            <v>NULL</v>
          </cell>
          <cell r="W429" t="str">
            <v>NULL</v>
          </cell>
          <cell r="X429" t="str">
            <v>NULL</v>
          </cell>
          <cell r="Y429" t="str">
            <v>NULL</v>
          </cell>
          <cell r="Z429" t="str">
            <v>NULL</v>
          </cell>
          <cell r="AA429" t="str">
            <v>ITS447231</v>
          </cell>
          <cell r="AB429" t="str">
            <v>Independent school standard inspection - first</v>
          </cell>
          <cell r="AC429" t="str">
            <v>Independent Standard Inspection</v>
          </cell>
          <cell r="AD429">
            <v>41962</v>
          </cell>
          <cell r="AE429">
            <v>41964</v>
          </cell>
          <cell r="AF429">
            <v>41984</v>
          </cell>
          <cell r="AG429">
            <v>2</v>
          </cell>
          <cell r="AH429">
            <v>2</v>
          </cell>
          <cell r="AI429">
            <v>2</v>
          </cell>
          <cell r="AJ429">
            <v>2</v>
          </cell>
          <cell r="AK429" t="str">
            <v>NULL</v>
          </cell>
          <cell r="AL429">
            <v>9</v>
          </cell>
          <cell r="AM429">
            <v>9</v>
          </cell>
          <cell r="AN429" t="str">
            <v>NULL</v>
          </cell>
          <cell r="AO429" t="str">
            <v>NULL</v>
          </cell>
          <cell r="AP429" t="str">
            <v>NULL</v>
          </cell>
          <cell r="AQ429" t="str">
            <v>NULL</v>
          </cell>
          <cell r="AR429" t="str">
            <v>NULL</v>
          </cell>
          <cell r="AS429" t="str">
            <v>NULL</v>
          </cell>
          <cell r="AT429" t="str">
            <v>NULL</v>
          </cell>
          <cell r="AU429" t="str">
            <v>NULL</v>
          </cell>
          <cell r="AV429" t="str">
            <v>NULL</v>
          </cell>
          <cell r="AW429" t="str">
            <v>NULL</v>
          </cell>
          <cell r="AX429" t="str">
            <v>NULL</v>
          </cell>
          <cell r="AY429" t="str">
            <v>NULL</v>
          </cell>
          <cell r="AZ429" t="str">
            <v>NULL</v>
          </cell>
          <cell r="BA429" t="str">
            <v>NULL</v>
          </cell>
          <cell r="BB429" t="str">
            <v>NULL</v>
          </cell>
        </row>
        <row r="430">
          <cell r="D430">
            <v>140491</v>
          </cell>
          <cell r="E430">
            <v>3556001</v>
          </cell>
          <cell r="F430" t="str">
            <v>Kerem Shloime</v>
          </cell>
          <cell r="G430" t="str">
            <v>Other Independent School</v>
          </cell>
          <cell r="H430">
            <v>41619</v>
          </cell>
          <cell r="I430">
            <v>167</v>
          </cell>
          <cell r="J430" t="str">
            <v>North West</v>
          </cell>
          <cell r="K430" t="str">
            <v>North West</v>
          </cell>
          <cell r="L430" t="str">
            <v>Salford</v>
          </cell>
          <cell r="M430" t="str">
            <v>Blackley and Broughton</v>
          </cell>
          <cell r="N430" t="str">
            <v>M7 4DQ</v>
          </cell>
          <cell r="O430" t="str">
            <v>Does not have a sixth form</v>
          </cell>
          <cell r="P430">
            <v>3</v>
          </cell>
          <cell r="Q430">
            <v>10</v>
          </cell>
          <cell r="R430" t="str">
            <v>None</v>
          </cell>
          <cell r="S430" t="str">
            <v>Ofsted</v>
          </cell>
          <cell r="T430">
            <v>1</v>
          </cell>
          <cell r="U430">
            <v>10041267</v>
          </cell>
          <cell r="V430" t="str">
            <v>Independent school Progress Monitoring inspection</v>
          </cell>
          <cell r="W430">
            <v>43076</v>
          </cell>
          <cell r="X430">
            <v>43076</v>
          </cell>
          <cell r="Y430">
            <v>43115</v>
          </cell>
          <cell r="Z430" t="str">
            <v>Met all standards that were checked</v>
          </cell>
          <cell r="AA430">
            <v>10026019</v>
          </cell>
          <cell r="AB430" t="str">
            <v>Independent School standard inspection</v>
          </cell>
          <cell r="AC430" t="str">
            <v>Independent Standard Inspection</v>
          </cell>
          <cell r="AD430">
            <v>42780</v>
          </cell>
          <cell r="AE430">
            <v>42782</v>
          </cell>
          <cell r="AF430">
            <v>42817</v>
          </cell>
          <cell r="AG430">
            <v>4</v>
          </cell>
          <cell r="AH430">
            <v>4</v>
          </cell>
          <cell r="AI430">
            <v>4</v>
          </cell>
          <cell r="AJ430">
            <v>4</v>
          </cell>
          <cell r="AK430">
            <v>2</v>
          </cell>
          <cell r="AL430">
            <v>4</v>
          </cell>
          <cell r="AM430" t="str">
            <v>NULL</v>
          </cell>
          <cell r="AN430" t="str">
            <v>Yes</v>
          </cell>
          <cell r="AO430" t="str">
            <v>ITS447292</v>
          </cell>
          <cell r="AP430" t="str">
            <v>Independent school standard inspection - first</v>
          </cell>
          <cell r="AQ430" t="str">
            <v>Independent Standard Inspection</v>
          </cell>
          <cell r="AR430">
            <v>42038</v>
          </cell>
          <cell r="AS430">
            <v>42040</v>
          </cell>
          <cell r="AT430">
            <v>42075</v>
          </cell>
          <cell r="AU430">
            <v>4</v>
          </cell>
          <cell r="AV430">
            <v>4</v>
          </cell>
          <cell r="AW430">
            <v>4</v>
          </cell>
          <cell r="AX430">
            <v>4</v>
          </cell>
          <cell r="AY430" t="str">
            <v>NULL</v>
          </cell>
          <cell r="AZ430">
            <v>4</v>
          </cell>
          <cell r="BA430">
            <v>9</v>
          </cell>
          <cell r="BB430" t="str">
            <v>NULL</v>
          </cell>
        </row>
        <row r="431">
          <cell r="D431">
            <v>100547</v>
          </cell>
          <cell r="E431">
            <v>2076391</v>
          </cell>
          <cell r="F431" t="str">
            <v>Lycee Francais Charles de Gaulle</v>
          </cell>
          <cell r="G431" t="str">
            <v>Other Independent School</v>
          </cell>
          <cell r="H431">
            <v>34435</v>
          </cell>
          <cell r="I431">
            <v>3826</v>
          </cell>
          <cell r="J431" t="str">
            <v>London</v>
          </cell>
          <cell r="K431" t="str">
            <v>London</v>
          </cell>
          <cell r="L431" t="str">
            <v>Kensington and Chelsea</v>
          </cell>
          <cell r="M431" t="str">
            <v>Kensington</v>
          </cell>
          <cell r="N431" t="str">
            <v>SW7 2DG</v>
          </cell>
          <cell r="O431" t="str">
            <v>Has a sixth form</v>
          </cell>
          <cell r="P431">
            <v>3</v>
          </cell>
          <cell r="Q431">
            <v>19</v>
          </cell>
          <cell r="R431" t="str">
            <v>None</v>
          </cell>
          <cell r="S431" t="str">
            <v>Ofsted</v>
          </cell>
          <cell r="T431">
            <v>2</v>
          </cell>
          <cell r="U431" t="str">
            <v>ITS450905</v>
          </cell>
          <cell r="V431" t="str">
            <v>Independent school emergency inspection</v>
          </cell>
          <cell r="W431">
            <v>41814</v>
          </cell>
          <cell r="X431">
            <v>41814</v>
          </cell>
          <cell r="Y431" t="str">
            <v>NULL</v>
          </cell>
          <cell r="Z431" t="str">
            <v>NULL</v>
          </cell>
          <cell r="AA431" t="str">
            <v>ITS397589</v>
          </cell>
          <cell r="AB431" t="str">
            <v>Independent School standard inspection</v>
          </cell>
          <cell r="AC431" t="str">
            <v>Independent Standard Inspection</v>
          </cell>
          <cell r="AD431">
            <v>41241</v>
          </cell>
          <cell r="AE431">
            <v>41242</v>
          </cell>
          <cell r="AF431">
            <v>41263</v>
          </cell>
          <cell r="AG431">
            <v>2</v>
          </cell>
          <cell r="AH431">
            <v>1</v>
          </cell>
          <cell r="AI431">
            <v>2</v>
          </cell>
          <cell r="AJ431" t="str">
            <v>NULL</v>
          </cell>
          <cell r="AK431" t="str">
            <v>NULL</v>
          </cell>
          <cell r="AL431">
            <v>8</v>
          </cell>
          <cell r="AM431" t="str">
            <v>NULL</v>
          </cell>
          <cell r="AN431" t="str">
            <v>NULL</v>
          </cell>
          <cell r="AO431" t="str">
            <v>ITS330443</v>
          </cell>
          <cell r="AP431" t="str">
            <v>S162a - LTI Inspection Historic</v>
          </cell>
          <cell r="AQ431" t="str">
            <v>Independent Standard Inspection</v>
          </cell>
          <cell r="AR431">
            <v>39904</v>
          </cell>
          <cell r="AS431">
            <v>39905</v>
          </cell>
          <cell r="AT431">
            <v>39941</v>
          </cell>
          <cell r="AU431">
            <v>2</v>
          </cell>
          <cell r="AV431">
            <v>1</v>
          </cell>
          <cell r="AW431">
            <v>2</v>
          </cell>
          <cell r="AX431" t="str">
            <v>NULL</v>
          </cell>
          <cell r="AY431" t="str">
            <v>NULL</v>
          </cell>
          <cell r="AZ431">
            <v>2</v>
          </cell>
          <cell r="BA431" t="str">
            <v>NULL</v>
          </cell>
          <cell r="BB431" t="str">
            <v>NULL</v>
          </cell>
        </row>
        <row r="432">
          <cell r="D432">
            <v>134386</v>
          </cell>
          <cell r="E432">
            <v>3806115</v>
          </cell>
          <cell r="F432" t="str">
            <v>Elite Grammar School</v>
          </cell>
          <cell r="G432" t="str">
            <v>Other Independent School</v>
          </cell>
          <cell r="H432">
            <v>37862</v>
          </cell>
          <cell r="I432">
            <v>0</v>
          </cell>
          <cell r="J432" t="str">
            <v>North East, Yorkshire and the Humber</v>
          </cell>
          <cell r="K432" t="str">
            <v>Yorkshire and the Humber</v>
          </cell>
          <cell r="L432" t="str">
            <v>Bradford</v>
          </cell>
          <cell r="M432" t="str">
            <v>Bradford West</v>
          </cell>
          <cell r="N432" t="str">
            <v>BD5 0HT</v>
          </cell>
          <cell r="O432" t="str">
            <v>Does not have a sixth form</v>
          </cell>
          <cell r="P432">
            <v>11</v>
          </cell>
          <cell r="Q432">
            <v>16</v>
          </cell>
          <cell r="R432" t="str">
            <v>None</v>
          </cell>
          <cell r="S432" t="str">
            <v>Ofsted</v>
          </cell>
          <cell r="T432">
            <v>1</v>
          </cell>
          <cell r="U432">
            <v>10021864</v>
          </cell>
          <cell r="V432" t="str">
            <v>Independent school Material Change inspection</v>
          </cell>
          <cell r="W432">
            <v>42593</v>
          </cell>
          <cell r="X432">
            <v>42593</v>
          </cell>
          <cell r="Y432" t="str">
            <v>NULL</v>
          </cell>
          <cell r="Z432" t="str">
            <v>Likely to meet relevant standards</v>
          </cell>
          <cell r="AA432">
            <v>10012814</v>
          </cell>
          <cell r="AB432" t="str">
            <v>Independent School standard inspection</v>
          </cell>
          <cell r="AC432" t="str">
            <v>Independent Standard Inspection</v>
          </cell>
          <cell r="AD432">
            <v>42507</v>
          </cell>
          <cell r="AE432">
            <v>42509</v>
          </cell>
          <cell r="AF432">
            <v>42545</v>
          </cell>
          <cell r="AG432">
            <v>2</v>
          </cell>
          <cell r="AH432">
            <v>2</v>
          </cell>
          <cell r="AI432">
            <v>2</v>
          </cell>
          <cell r="AJ432">
            <v>2</v>
          </cell>
          <cell r="AK432">
            <v>2</v>
          </cell>
          <cell r="AL432" t="str">
            <v>NULL</v>
          </cell>
          <cell r="AM432" t="str">
            <v>NULL</v>
          </cell>
          <cell r="AN432" t="str">
            <v>Yes</v>
          </cell>
          <cell r="AO432" t="str">
            <v>ITS361411</v>
          </cell>
          <cell r="AP432" t="str">
            <v>Independent School standard inspection</v>
          </cell>
          <cell r="AQ432" t="str">
            <v>Independent Standard Inspection</v>
          </cell>
          <cell r="AR432">
            <v>40463</v>
          </cell>
          <cell r="AS432">
            <v>40464</v>
          </cell>
          <cell r="AT432">
            <v>40494</v>
          </cell>
          <cell r="AU432">
            <v>2</v>
          </cell>
          <cell r="AV432">
            <v>2</v>
          </cell>
          <cell r="AW432">
            <v>2</v>
          </cell>
          <cell r="AX432" t="str">
            <v>NULL</v>
          </cell>
          <cell r="AY432" t="str">
            <v>NULL</v>
          </cell>
          <cell r="AZ432">
            <v>8</v>
          </cell>
          <cell r="BA432" t="str">
            <v>NULL</v>
          </cell>
          <cell r="BB432" t="str">
            <v>NULL</v>
          </cell>
        </row>
        <row r="433">
          <cell r="D433">
            <v>135995</v>
          </cell>
          <cell r="E433">
            <v>8706016</v>
          </cell>
          <cell r="F433" t="str">
            <v>The Deenway Montessori School</v>
          </cell>
          <cell r="G433" t="str">
            <v>Other Independent School</v>
          </cell>
          <cell r="H433">
            <v>40078</v>
          </cell>
          <cell r="I433">
            <v>80</v>
          </cell>
          <cell r="J433" t="str">
            <v>South East</v>
          </cell>
          <cell r="K433" t="str">
            <v>South East</v>
          </cell>
          <cell r="L433" t="str">
            <v>Reading</v>
          </cell>
          <cell r="M433" t="str">
            <v>Reading East</v>
          </cell>
          <cell r="N433" t="str">
            <v>RG1 4QX</v>
          </cell>
          <cell r="O433" t="str">
            <v>Does not have a sixth form</v>
          </cell>
          <cell r="P433">
            <v>3</v>
          </cell>
          <cell r="Q433">
            <v>16</v>
          </cell>
          <cell r="R433" t="str">
            <v>None</v>
          </cell>
          <cell r="S433" t="str">
            <v>Ofsted</v>
          </cell>
          <cell r="T433" t="str">
            <v>NULL</v>
          </cell>
          <cell r="U433" t="str">
            <v>NULL</v>
          </cell>
          <cell r="V433" t="str">
            <v>NULL</v>
          </cell>
          <cell r="W433" t="str">
            <v>NULL</v>
          </cell>
          <cell r="X433" t="str">
            <v>NULL</v>
          </cell>
          <cell r="Y433" t="str">
            <v>NULL</v>
          </cell>
          <cell r="Z433" t="str">
            <v>NULL</v>
          </cell>
          <cell r="AA433">
            <v>10033953</v>
          </cell>
          <cell r="AB433" t="str">
            <v>Independent School standard inspection</v>
          </cell>
          <cell r="AC433" t="str">
            <v>Independent Standard Inspection</v>
          </cell>
          <cell r="AD433">
            <v>43130</v>
          </cell>
          <cell r="AE433">
            <v>43132</v>
          </cell>
          <cell r="AF433">
            <v>43164</v>
          </cell>
          <cell r="AG433">
            <v>2</v>
          </cell>
          <cell r="AH433">
            <v>2</v>
          </cell>
          <cell r="AI433">
            <v>2</v>
          </cell>
          <cell r="AJ433">
            <v>2</v>
          </cell>
          <cell r="AK433">
            <v>1</v>
          </cell>
          <cell r="AL433">
            <v>2</v>
          </cell>
          <cell r="AM433" t="str">
            <v>NULL</v>
          </cell>
          <cell r="AN433" t="str">
            <v>Yes</v>
          </cell>
          <cell r="AO433" t="str">
            <v>ITS440226</v>
          </cell>
          <cell r="AP433" t="str">
            <v>Independent School standard inspection</v>
          </cell>
          <cell r="AQ433" t="str">
            <v>Independent Standard Inspection</v>
          </cell>
          <cell r="AR433">
            <v>41674</v>
          </cell>
          <cell r="AS433">
            <v>41676</v>
          </cell>
          <cell r="AT433">
            <v>41697</v>
          </cell>
          <cell r="AU433">
            <v>2</v>
          </cell>
          <cell r="AV433">
            <v>2</v>
          </cell>
          <cell r="AW433">
            <v>2</v>
          </cell>
          <cell r="AX433">
            <v>3</v>
          </cell>
          <cell r="AY433" t="str">
            <v>NULL</v>
          </cell>
          <cell r="AZ433" t="str">
            <v>NULL</v>
          </cell>
          <cell r="BA433" t="str">
            <v>NULL</v>
          </cell>
          <cell r="BB433" t="str">
            <v>NULL</v>
          </cell>
        </row>
        <row r="434">
          <cell r="D434">
            <v>101964</v>
          </cell>
          <cell r="E434">
            <v>3136003</v>
          </cell>
          <cell r="F434" t="str">
            <v>The Eden SDA School</v>
          </cell>
          <cell r="G434" t="str">
            <v>Other Independent School</v>
          </cell>
          <cell r="H434">
            <v>34968</v>
          </cell>
          <cell r="I434">
            <v>42</v>
          </cell>
          <cell r="J434" t="str">
            <v>London</v>
          </cell>
          <cell r="K434" t="str">
            <v>London</v>
          </cell>
          <cell r="L434" t="str">
            <v>Hounslow</v>
          </cell>
          <cell r="M434" t="str">
            <v>Brentford and Isleworth</v>
          </cell>
          <cell r="N434" t="str">
            <v>W3 8JY</v>
          </cell>
          <cell r="O434" t="str">
            <v>Has a sixth form</v>
          </cell>
          <cell r="P434">
            <v>3</v>
          </cell>
          <cell r="Q434">
            <v>18</v>
          </cell>
          <cell r="R434" t="str">
            <v>None</v>
          </cell>
          <cell r="S434" t="str">
            <v>Ofsted</v>
          </cell>
          <cell r="T434" t="str">
            <v>NULL</v>
          </cell>
          <cell r="U434" t="str">
            <v>NULL</v>
          </cell>
          <cell r="V434" t="str">
            <v>NULL</v>
          </cell>
          <cell r="W434" t="str">
            <v>NULL</v>
          </cell>
          <cell r="X434" t="str">
            <v>NULL</v>
          </cell>
          <cell r="Y434" t="str">
            <v>NULL</v>
          </cell>
          <cell r="Z434" t="str">
            <v>NULL</v>
          </cell>
          <cell r="AA434">
            <v>10026278</v>
          </cell>
          <cell r="AB434" t="str">
            <v>Independent School standard inspection</v>
          </cell>
          <cell r="AC434" t="str">
            <v>Independent Standard Inspection</v>
          </cell>
          <cell r="AD434">
            <v>43053</v>
          </cell>
          <cell r="AE434">
            <v>43055</v>
          </cell>
          <cell r="AF434">
            <v>43077</v>
          </cell>
          <cell r="AG434">
            <v>3</v>
          </cell>
          <cell r="AH434">
            <v>3</v>
          </cell>
          <cell r="AI434">
            <v>3</v>
          </cell>
          <cell r="AJ434">
            <v>3</v>
          </cell>
          <cell r="AK434">
            <v>3</v>
          </cell>
          <cell r="AL434">
            <v>3</v>
          </cell>
          <cell r="AM434" t="str">
            <v>NULL</v>
          </cell>
          <cell r="AN434" t="str">
            <v>Yes</v>
          </cell>
          <cell r="AO434" t="str">
            <v>ITS393358</v>
          </cell>
          <cell r="AP434" t="str">
            <v>Independent School standard inspection</v>
          </cell>
          <cell r="AQ434" t="str">
            <v>Independent Standard Inspection</v>
          </cell>
          <cell r="AR434">
            <v>40927</v>
          </cell>
          <cell r="AS434">
            <v>40928</v>
          </cell>
          <cell r="AT434">
            <v>41236</v>
          </cell>
          <cell r="AU434">
            <v>2</v>
          </cell>
          <cell r="AV434">
            <v>2</v>
          </cell>
          <cell r="AW434">
            <v>2</v>
          </cell>
          <cell r="AX434" t="str">
            <v>NULL</v>
          </cell>
          <cell r="AY434" t="str">
            <v>NULL</v>
          </cell>
          <cell r="AZ434">
            <v>2</v>
          </cell>
          <cell r="BA434" t="str">
            <v>NULL</v>
          </cell>
          <cell r="BB434" t="str">
            <v>NULL</v>
          </cell>
        </row>
        <row r="435">
          <cell r="D435">
            <v>134587</v>
          </cell>
          <cell r="E435">
            <v>3806116</v>
          </cell>
          <cell r="F435" t="str">
            <v>The Fountain</v>
          </cell>
          <cell r="G435" t="str">
            <v>Other Independent School</v>
          </cell>
          <cell r="H435">
            <v>37862</v>
          </cell>
          <cell r="I435">
            <v>103</v>
          </cell>
          <cell r="J435" t="str">
            <v>North East, Yorkshire and the Humber</v>
          </cell>
          <cell r="K435" t="str">
            <v>Yorkshire and the Humber</v>
          </cell>
          <cell r="L435" t="str">
            <v>Bradford</v>
          </cell>
          <cell r="M435" t="str">
            <v>Bradford East</v>
          </cell>
          <cell r="N435" t="str">
            <v>BD5 8BP</v>
          </cell>
          <cell r="O435" t="str">
            <v>Does not have a sixth form</v>
          </cell>
          <cell r="P435">
            <v>10</v>
          </cell>
          <cell r="Q435">
            <v>16</v>
          </cell>
          <cell r="R435" t="str">
            <v>None</v>
          </cell>
          <cell r="S435" t="str">
            <v>Ofsted</v>
          </cell>
          <cell r="T435">
            <v>2</v>
          </cell>
          <cell r="U435">
            <v>10047073</v>
          </cell>
          <cell r="V435" t="str">
            <v>Independent school Progress Monitoring inspection</v>
          </cell>
          <cell r="W435">
            <v>43166</v>
          </cell>
          <cell r="X435">
            <v>43166</v>
          </cell>
          <cell r="Y435" t="str">
            <v>NULL</v>
          </cell>
          <cell r="Z435" t="str">
            <v>Met all standards that were checked</v>
          </cell>
          <cell r="AA435">
            <v>10026034</v>
          </cell>
          <cell r="AB435" t="str">
            <v>Independent School standard inspection</v>
          </cell>
          <cell r="AC435" t="str">
            <v>Independent Standard Inspection</v>
          </cell>
          <cell r="AD435">
            <v>42752</v>
          </cell>
          <cell r="AE435">
            <v>42754</v>
          </cell>
          <cell r="AF435">
            <v>42781</v>
          </cell>
          <cell r="AG435">
            <v>3</v>
          </cell>
          <cell r="AH435">
            <v>3</v>
          </cell>
          <cell r="AI435">
            <v>3</v>
          </cell>
          <cell r="AJ435">
            <v>3</v>
          </cell>
          <cell r="AK435">
            <v>3</v>
          </cell>
          <cell r="AL435" t="str">
            <v>NULL</v>
          </cell>
          <cell r="AM435" t="str">
            <v>NULL</v>
          </cell>
          <cell r="AN435" t="str">
            <v>Yes</v>
          </cell>
          <cell r="AO435" t="str">
            <v>ITS364292</v>
          </cell>
          <cell r="AP435" t="str">
            <v>Independent School standard inspection</v>
          </cell>
          <cell r="AQ435" t="str">
            <v>Independent Standard Inspection</v>
          </cell>
          <cell r="AR435">
            <v>40631</v>
          </cell>
          <cell r="AS435">
            <v>40632</v>
          </cell>
          <cell r="AT435">
            <v>40653</v>
          </cell>
          <cell r="AU435">
            <v>2</v>
          </cell>
          <cell r="AV435">
            <v>2</v>
          </cell>
          <cell r="AW435">
            <v>2</v>
          </cell>
          <cell r="AX435" t="str">
            <v>NULL</v>
          </cell>
          <cell r="AY435" t="str">
            <v>NULL</v>
          </cell>
          <cell r="AZ435">
            <v>8</v>
          </cell>
          <cell r="BA435" t="str">
            <v>NULL</v>
          </cell>
          <cell r="BB435" t="str">
            <v>NULL</v>
          </cell>
        </row>
        <row r="436">
          <cell r="D436">
            <v>134573</v>
          </cell>
          <cell r="E436">
            <v>2106394</v>
          </cell>
          <cell r="F436" t="str">
            <v>The From Boyhood To Manhood Foundation</v>
          </cell>
          <cell r="G436" t="str">
            <v>Other Independent School</v>
          </cell>
          <cell r="H436">
            <v>37862</v>
          </cell>
          <cell r="I436">
            <v>6</v>
          </cell>
          <cell r="J436" t="str">
            <v>London</v>
          </cell>
          <cell r="K436" t="str">
            <v>London</v>
          </cell>
          <cell r="L436" t="str">
            <v>Southwark</v>
          </cell>
          <cell r="M436" t="str">
            <v>Camberwell and Peckham</v>
          </cell>
          <cell r="N436" t="str">
            <v>SE15 6EF</v>
          </cell>
          <cell r="O436" t="str">
            <v>Has a sixth form</v>
          </cell>
          <cell r="P436">
            <v>11</v>
          </cell>
          <cell r="Q436">
            <v>21</v>
          </cell>
          <cell r="R436" t="str">
            <v>None</v>
          </cell>
          <cell r="S436" t="str">
            <v>Ofsted</v>
          </cell>
          <cell r="T436">
            <v>1</v>
          </cell>
          <cell r="U436" t="str">
            <v>ITS433416</v>
          </cell>
          <cell r="V436" t="str">
            <v xml:space="preserve">Independent School material change inspection - Integrated </v>
          </cell>
          <cell r="W436">
            <v>41625</v>
          </cell>
          <cell r="X436">
            <v>41625</v>
          </cell>
          <cell r="Y436" t="str">
            <v>NULL</v>
          </cell>
          <cell r="Z436" t="str">
            <v>NULL</v>
          </cell>
          <cell r="AA436" t="str">
            <v>ITS385632</v>
          </cell>
          <cell r="AB436" t="str">
            <v>Independent School standard inspection</v>
          </cell>
          <cell r="AC436" t="str">
            <v>Independent Standard Inspection</v>
          </cell>
          <cell r="AD436">
            <v>40862</v>
          </cell>
          <cell r="AE436">
            <v>40863</v>
          </cell>
          <cell r="AF436">
            <v>40886</v>
          </cell>
          <cell r="AG436">
            <v>2</v>
          </cell>
          <cell r="AH436">
            <v>2</v>
          </cell>
          <cell r="AI436">
            <v>2</v>
          </cell>
          <cell r="AJ436" t="str">
            <v>NULL</v>
          </cell>
          <cell r="AK436" t="str">
            <v>NULL</v>
          </cell>
          <cell r="AL436">
            <v>8</v>
          </cell>
          <cell r="AM436" t="str">
            <v>NULL</v>
          </cell>
          <cell r="AN436" t="str">
            <v>NULL</v>
          </cell>
          <cell r="AO436" t="str">
            <v>ITS302905</v>
          </cell>
          <cell r="AP436" t="str">
            <v>Independent School standard inspection</v>
          </cell>
          <cell r="AQ436" t="str">
            <v>Independent Standard Inspection</v>
          </cell>
          <cell r="AR436">
            <v>39259</v>
          </cell>
          <cell r="AS436">
            <v>39260</v>
          </cell>
          <cell r="AT436">
            <v>39289</v>
          </cell>
          <cell r="AU436">
            <v>2</v>
          </cell>
          <cell r="AV436">
            <v>2</v>
          </cell>
          <cell r="AW436">
            <v>2</v>
          </cell>
          <cell r="AX436" t="str">
            <v>NULL</v>
          </cell>
          <cell r="AY436" t="str">
            <v>NULL</v>
          </cell>
          <cell r="AZ436" t="str">
            <v>NULL</v>
          </cell>
          <cell r="BA436" t="str">
            <v>NULL</v>
          </cell>
          <cell r="BB436" t="str">
            <v>NULL</v>
          </cell>
        </row>
        <row r="437">
          <cell r="D437">
            <v>138873</v>
          </cell>
          <cell r="E437">
            <v>9316011</v>
          </cell>
          <cell r="F437" t="str">
            <v>The Treehouse School</v>
          </cell>
          <cell r="G437" t="str">
            <v>Other Independent School</v>
          </cell>
          <cell r="H437">
            <v>41197</v>
          </cell>
          <cell r="I437">
            <v>15</v>
          </cell>
          <cell r="J437" t="str">
            <v>South East</v>
          </cell>
          <cell r="K437" t="str">
            <v>South East</v>
          </cell>
          <cell r="L437" t="str">
            <v>Oxfordshire</v>
          </cell>
          <cell r="M437" t="str">
            <v>Wantage</v>
          </cell>
          <cell r="N437" t="str">
            <v>OX10 9LG</v>
          </cell>
          <cell r="O437" t="str">
            <v>Does not have a sixth form</v>
          </cell>
          <cell r="P437">
            <v>5</v>
          </cell>
          <cell r="Q437">
            <v>11</v>
          </cell>
          <cell r="R437" t="str">
            <v>None</v>
          </cell>
          <cell r="S437" t="str">
            <v>Ofsted</v>
          </cell>
          <cell r="T437" t="str">
            <v>NULL</v>
          </cell>
          <cell r="U437" t="str">
            <v>NULL</v>
          </cell>
          <cell r="V437" t="str">
            <v>NULL</v>
          </cell>
          <cell r="W437" t="str">
            <v>NULL</v>
          </cell>
          <cell r="X437" t="str">
            <v>NULL</v>
          </cell>
          <cell r="Y437" t="str">
            <v>NULL</v>
          </cell>
          <cell r="Z437" t="str">
            <v>NULL</v>
          </cell>
          <cell r="AA437">
            <v>10025991</v>
          </cell>
          <cell r="AB437" t="str">
            <v>Independent School standard inspection</v>
          </cell>
          <cell r="AC437" t="str">
            <v>Independent Standard Inspection</v>
          </cell>
          <cell r="AD437">
            <v>42871</v>
          </cell>
          <cell r="AE437">
            <v>42873</v>
          </cell>
          <cell r="AF437">
            <v>42902</v>
          </cell>
          <cell r="AG437">
            <v>3</v>
          </cell>
          <cell r="AH437">
            <v>3</v>
          </cell>
          <cell r="AI437">
            <v>3</v>
          </cell>
          <cell r="AJ437">
            <v>3</v>
          </cell>
          <cell r="AK437">
            <v>2</v>
          </cell>
          <cell r="AL437" t="str">
            <v>NULL</v>
          </cell>
          <cell r="AM437" t="str">
            <v>NULL</v>
          </cell>
          <cell r="AN437" t="str">
            <v>Yes</v>
          </cell>
          <cell r="AO437" t="str">
            <v>ITS422833</v>
          </cell>
          <cell r="AP437" t="str">
            <v>Independent school standard inspection - first</v>
          </cell>
          <cell r="AQ437" t="str">
            <v>Independent Standard Inspection</v>
          </cell>
          <cell r="AR437">
            <v>41597</v>
          </cell>
          <cell r="AS437">
            <v>41599</v>
          </cell>
          <cell r="AT437">
            <v>41619</v>
          </cell>
          <cell r="AU437">
            <v>2</v>
          </cell>
          <cell r="AV437">
            <v>2</v>
          </cell>
          <cell r="AW437">
            <v>2</v>
          </cell>
          <cell r="AX437">
            <v>2</v>
          </cell>
          <cell r="AY437" t="str">
            <v>NULL</v>
          </cell>
          <cell r="AZ437" t="str">
            <v>NULL</v>
          </cell>
          <cell r="BA437" t="str">
            <v>NULL</v>
          </cell>
          <cell r="BB437" t="str">
            <v>NULL</v>
          </cell>
        </row>
        <row r="438">
          <cell r="D438">
            <v>120739</v>
          </cell>
          <cell r="E438">
            <v>9256033</v>
          </cell>
          <cell r="F438" t="str">
            <v>The Viking School</v>
          </cell>
          <cell r="G438" t="str">
            <v>Other Independent School</v>
          </cell>
          <cell r="H438">
            <v>30200</v>
          </cell>
          <cell r="I438">
            <v>83</v>
          </cell>
          <cell r="J438" t="str">
            <v>East Midlands</v>
          </cell>
          <cell r="K438" t="str">
            <v>East Midlands</v>
          </cell>
          <cell r="L438" t="str">
            <v>Lincolnshire</v>
          </cell>
          <cell r="M438" t="str">
            <v>Boston and Skegness</v>
          </cell>
          <cell r="N438" t="str">
            <v>PE25 2QJ</v>
          </cell>
          <cell r="O438" t="str">
            <v>Does not have a sixth form</v>
          </cell>
          <cell r="P438">
            <v>2</v>
          </cell>
          <cell r="Q438">
            <v>11</v>
          </cell>
          <cell r="R438" t="str">
            <v>None</v>
          </cell>
          <cell r="S438" t="str">
            <v>Ofsted</v>
          </cell>
          <cell r="T438" t="str">
            <v>NULL</v>
          </cell>
          <cell r="U438" t="str">
            <v>NULL</v>
          </cell>
          <cell r="V438" t="str">
            <v>NULL</v>
          </cell>
          <cell r="W438" t="str">
            <v>NULL</v>
          </cell>
          <cell r="X438" t="str">
            <v>NULL</v>
          </cell>
          <cell r="Y438" t="str">
            <v>NULL</v>
          </cell>
          <cell r="Z438" t="str">
            <v>NULL</v>
          </cell>
          <cell r="AA438">
            <v>10033526</v>
          </cell>
          <cell r="AB438" t="str">
            <v>Independent School standard inspection</v>
          </cell>
          <cell r="AC438" t="str">
            <v>Independent Standard Inspection</v>
          </cell>
          <cell r="AD438">
            <v>43046</v>
          </cell>
          <cell r="AE438">
            <v>43048</v>
          </cell>
          <cell r="AF438">
            <v>43136</v>
          </cell>
          <cell r="AG438">
            <v>4</v>
          </cell>
          <cell r="AH438">
            <v>4</v>
          </cell>
          <cell r="AI438">
            <v>4</v>
          </cell>
          <cell r="AJ438">
            <v>4</v>
          </cell>
          <cell r="AK438">
            <v>4</v>
          </cell>
          <cell r="AL438">
            <v>4</v>
          </cell>
          <cell r="AM438" t="str">
            <v>NULL</v>
          </cell>
          <cell r="AN438" t="str">
            <v>No</v>
          </cell>
          <cell r="AO438" t="str">
            <v>ITS443465</v>
          </cell>
          <cell r="AP438" t="str">
            <v>Independent School standard inspection</v>
          </cell>
          <cell r="AQ438" t="str">
            <v>Independent Standard Inspection</v>
          </cell>
          <cell r="AR438">
            <v>41794</v>
          </cell>
          <cell r="AS438">
            <v>41796</v>
          </cell>
          <cell r="AT438">
            <v>41816</v>
          </cell>
          <cell r="AU438">
            <v>2</v>
          </cell>
          <cell r="AV438">
            <v>2</v>
          </cell>
          <cell r="AW438">
            <v>2</v>
          </cell>
          <cell r="AX438">
            <v>2</v>
          </cell>
          <cell r="AY438" t="str">
            <v>NULL</v>
          </cell>
          <cell r="AZ438" t="str">
            <v>NULL</v>
          </cell>
          <cell r="BA438" t="str">
            <v>NULL</v>
          </cell>
          <cell r="BB438" t="str">
            <v>NULL</v>
          </cell>
        </row>
        <row r="439">
          <cell r="D439">
            <v>134142</v>
          </cell>
          <cell r="E439">
            <v>2106393</v>
          </cell>
          <cell r="F439" t="str">
            <v>The Villa</v>
          </cell>
          <cell r="G439" t="str">
            <v>Other Independent School</v>
          </cell>
          <cell r="H439">
            <v>37680</v>
          </cell>
          <cell r="I439">
            <v>215</v>
          </cell>
          <cell r="J439" t="str">
            <v>London</v>
          </cell>
          <cell r="K439" t="str">
            <v>London</v>
          </cell>
          <cell r="L439" t="str">
            <v>Southwark</v>
          </cell>
          <cell r="M439" t="str">
            <v>Camberwell and Peckham</v>
          </cell>
          <cell r="N439" t="str">
            <v>SE15 5AH</v>
          </cell>
          <cell r="O439" t="str">
            <v>Does not have a sixth form</v>
          </cell>
          <cell r="P439">
            <v>2</v>
          </cell>
          <cell r="Q439">
            <v>7</v>
          </cell>
          <cell r="R439" t="str">
            <v>None</v>
          </cell>
          <cell r="S439" t="str">
            <v>Ofsted</v>
          </cell>
          <cell r="T439" t="str">
            <v>NULL</v>
          </cell>
          <cell r="U439" t="str">
            <v>NULL</v>
          </cell>
          <cell r="V439" t="str">
            <v>NULL</v>
          </cell>
          <cell r="W439" t="str">
            <v>NULL</v>
          </cell>
          <cell r="X439" t="str">
            <v>NULL</v>
          </cell>
          <cell r="Y439" t="str">
            <v>NULL</v>
          </cell>
          <cell r="Z439" t="str">
            <v>NULL</v>
          </cell>
          <cell r="AA439" t="str">
            <v>ITS420194</v>
          </cell>
          <cell r="AB439" t="str">
            <v>Independent School standard inspection</v>
          </cell>
          <cell r="AC439" t="str">
            <v>Independent Standard Inspection</v>
          </cell>
          <cell r="AD439">
            <v>41387</v>
          </cell>
          <cell r="AE439">
            <v>41389</v>
          </cell>
          <cell r="AF439">
            <v>41410</v>
          </cell>
          <cell r="AG439">
            <v>2</v>
          </cell>
          <cell r="AH439">
            <v>2</v>
          </cell>
          <cell r="AI439">
            <v>2</v>
          </cell>
          <cell r="AJ439">
            <v>2</v>
          </cell>
          <cell r="AK439" t="str">
            <v>NULL</v>
          </cell>
          <cell r="AL439" t="str">
            <v>NULL</v>
          </cell>
          <cell r="AM439" t="str">
            <v>NULL</v>
          </cell>
          <cell r="AN439" t="str">
            <v>NULL</v>
          </cell>
          <cell r="AO439" t="str">
            <v>ITS344607</v>
          </cell>
          <cell r="AP439" t="str">
            <v>S162a - LTI Inspection Historic</v>
          </cell>
          <cell r="AQ439" t="str">
            <v>Independent Standard Inspection</v>
          </cell>
          <cell r="AR439">
            <v>40234</v>
          </cell>
          <cell r="AS439">
            <v>40234</v>
          </cell>
          <cell r="AT439">
            <v>40261</v>
          </cell>
          <cell r="AU439">
            <v>2</v>
          </cell>
          <cell r="AV439">
            <v>2</v>
          </cell>
          <cell r="AW439">
            <v>2</v>
          </cell>
          <cell r="AX439" t="str">
            <v>NULL</v>
          </cell>
          <cell r="AY439" t="str">
            <v>NULL</v>
          </cell>
          <cell r="AZ439">
            <v>2</v>
          </cell>
          <cell r="BA439" t="str">
            <v>NULL</v>
          </cell>
          <cell r="BB439" t="str">
            <v>NULL</v>
          </cell>
        </row>
        <row r="440">
          <cell r="D440">
            <v>100077</v>
          </cell>
          <cell r="E440">
            <v>2026353</v>
          </cell>
          <cell r="F440" t="str">
            <v>The Village School</v>
          </cell>
          <cell r="G440" t="str">
            <v>Other Independent School</v>
          </cell>
          <cell r="H440">
            <v>31322</v>
          </cell>
          <cell r="I440">
            <v>91</v>
          </cell>
          <cell r="J440" t="str">
            <v>London</v>
          </cell>
          <cell r="K440" t="str">
            <v>London</v>
          </cell>
          <cell r="L440" t="str">
            <v>Camden</v>
          </cell>
          <cell r="M440" t="str">
            <v>Holborn and St Pancras</v>
          </cell>
          <cell r="N440" t="str">
            <v>NW3 2YN</v>
          </cell>
          <cell r="O440" t="str">
            <v>Does not have a sixth form</v>
          </cell>
          <cell r="P440">
            <v>3</v>
          </cell>
          <cell r="Q440">
            <v>11</v>
          </cell>
          <cell r="R440" t="str">
            <v>None</v>
          </cell>
          <cell r="S440" t="str">
            <v>Ofsted</v>
          </cell>
          <cell r="T440" t="str">
            <v>NULL</v>
          </cell>
          <cell r="U440" t="str">
            <v>NULL</v>
          </cell>
          <cell r="V440" t="str">
            <v>NULL</v>
          </cell>
          <cell r="W440" t="str">
            <v>NULL</v>
          </cell>
          <cell r="X440" t="str">
            <v>NULL</v>
          </cell>
          <cell r="Y440" t="str">
            <v>NULL</v>
          </cell>
          <cell r="Z440" t="str">
            <v>NULL</v>
          </cell>
          <cell r="AA440">
            <v>10006054</v>
          </cell>
          <cell r="AB440" t="str">
            <v>Independent School standard inspection</v>
          </cell>
          <cell r="AC440" t="str">
            <v>Independent Standard Inspection</v>
          </cell>
          <cell r="AD440">
            <v>42773</v>
          </cell>
          <cell r="AE440">
            <v>42775</v>
          </cell>
          <cell r="AF440">
            <v>42815</v>
          </cell>
          <cell r="AG440">
            <v>1</v>
          </cell>
          <cell r="AH440">
            <v>1</v>
          </cell>
          <cell r="AI440">
            <v>1</v>
          </cell>
          <cell r="AJ440">
            <v>1</v>
          </cell>
          <cell r="AK440">
            <v>1</v>
          </cell>
          <cell r="AL440">
            <v>1</v>
          </cell>
          <cell r="AM440" t="str">
            <v>NULL</v>
          </cell>
          <cell r="AN440" t="str">
            <v>Yes</v>
          </cell>
          <cell r="AO440" t="str">
            <v>ITS408700</v>
          </cell>
          <cell r="AP440" t="str">
            <v>Independent School standard inspection</v>
          </cell>
          <cell r="AQ440" t="str">
            <v>Independent Standard Inspection</v>
          </cell>
          <cell r="AR440">
            <v>41185</v>
          </cell>
          <cell r="AS440">
            <v>41186</v>
          </cell>
          <cell r="AT440">
            <v>41207</v>
          </cell>
          <cell r="AU440">
            <v>1</v>
          </cell>
          <cell r="AV440">
            <v>1</v>
          </cell>
          <cell r="AW440">
            <v>1</v>
          </cell>
          <cell r="AX440" t="str">
            <v>NULL</v>
          </cell>
          <cell r="AY440" t="str">
            <v>NULL</v>
          </cell>
          <cell r="AZ440">
            <v>8</v>
          </cell>
          <cell r="BA440" t="str">
            <v>NULL</v>
          </cell>
          <cell r="BB440" t="str">
            <v>NULL</v>
          </cell>
        </row>
        <row r="441">
          <cell r="D441">
            <v>138101</v>
          </cell>
          <cell r="E441">
            <v>2046005</v>
          </cell>
          <cell r="F441" t="str">
            <v>TTD Gur School</v>
          </cell>
          <cell r="G441" t="str">
            <v>Other Independent School</v>
          </cell>
          <cell r="H441">
            <v>41023</v>
          </cell>
          <cell r="I441">
            <v>186</v>
          </cell>
          <cell r="J441" t="str">
            <v>London</v>
          </cell>
          <cell r="K441" t="str">
            <v>London</v>
          </cell>
          <cell r="L441" t="str">
            <v>Hackney</v>
          </cell>
          <cell r="M441" t="str">
            <v>Hackney North and Stoke Newington</v>
          </cell>
          <cell r="N441" t="str">
            <v>N16 6UX</v>
          </cell>
          <cell r="O441" t="str">
            <v>Does not have a sixth form</v>
          </cell>
          <cell r="P441">
            <v>3</v>
          </cell>
          <cell r="Q441">
            <v>7</v>
          </cell>
          <cell r="R441" t="str">
            <v>None</v>
          </cell>
          <cell r="S441" t="str">
            <v>Ofsted</v>
          </cell>
          <cell r="T441">
            <v>4</v>
          </cell>
          <cell r="U441">
            <v>10030986</v>
          </cell>
          <cell r="V441" t="str">
            <v>Independent school Progress Monitoring inspection</v>
          </cell>
          <cell r="W441">
            <v>42815</v>
          </cell>
          <cell r="X441">
            <v>42815</v>
          </cell>
          <cell r="Y441">
            <v>42857</v>
          </cell>
          <cell r="Z441" t="str">
            <v>Did not meet all standards that were checked</v>
          </cell>
          <cell r="AA441">
            <v>10007769</v>
          </cell>
          <cell r="AB441" t="str">
            <v>Independent School standard inspection</v>
          </cell>
          <cell r="AC441" t="str">
            <v>Independent Standard Inspection</v>
          </cell>
          <cell r="AD441">
            <v>42339</v>
          </cell>
          <cell r="AE441">
            <v>42341</v>
          </cell>
          <cell r="AF441">
            <v>42430</v>
          </cell>
          <cell r="AG441">
            <v>4</v>
          </cell>
          <cell r="AH441">
            <v>4</v>
          </cell>
          <cell r="AI441">
            <v>4</v>
          </cell>
          <cell r="AJ441">
            <v>4</v>
          </cell>
          <cell r="AK441">
            <v>4</v>
          </cell>
          <cell r="AL441">
            <v>4</v>
          </cell>
          <cell r="AM441" t="str">
            <v>NULL</v>
          </cell>
          <cell r="AN441" t="str">
            <v>No</v>
          </cell>
          <cell r="AO441" t="str">
            <v>ITS408689</v>
          </cell>
          <cell r="AP441" t="str">
            <v>Independent school standard inspection - first</v>
          </cell>
          <cell r="AQ441" t="str">
            <v>Independent Standard Inspection</v>
          </cell>
          <cell r="AR441">
            <v>41338</v>
          </cell>
          <cell r="AS441">
            <v>41340</v>
          </cell>
          <cell r="AT441">
            <v>41377</v>
          </cell>
          <cell r="AU441">
            <v>1</v>
          </cell>
          <cell r="AV441">
            <v>1</v>
          </cell>
          <cell r="AW441">
            <v>1</v>
          </cell>
          <cell r="AX441">
            <v>1</v>
          </cell>
          <cell r="AY441" t="str">
            <v>NULL</v>
          </cell>
          <cell r="AZ441" t="str">
            <v>NULL</v>
          </cell>
          <cell r="BA441" t="str">
            <v>NULL</v>
          </cell>
          <cell r="BB441" t="str">
            <v>NULL</v>
          </cell>
        </row>
        <row r="442">
          <cell r="D442">
            <v>120336</v>
          </cell>
          <cell r="E442">
            <v>8556014</v>
          </cell>
          <cell r="F442" t="str">
            <v>Twycross House Pre-Preparatory School</v>
          </cell>
          <cell r="G442" t="str">
            <v>Other Independent School</v>
          </cell>
          <cell r="H442">
            <v>30266</v>
          </cell>
          <cell r="I442">
            <v>117</v>
          </cell>
          <cell r="J442" t="str">
            <v>East Midlands</v>
          </cell>
          <cell r="K442" t="str">
            <v>East Midlands</v>
          </cell>
          <cell r="L442" t="str">
            <v>Leicestershire</v>
          </cell>
          <cell r="M442" t="str">
            <v>Bosworth</v>
          </cell>
          <cell r="N442" t="str">
            <v>CV9 3PQ</v>
          </cell>
          <cell r="O442" t="str">
            <v>Does not have a sixth form</v>
          </cell>
          <cell r="P442">
            <v>5</v>
          </cell>
          <cell r="Q442">
            <v>8</v>
          </cell>
          <cell r="R442" t="str">
            <v>None</v>
          </cell>
          <cell r="S442" t="str">
            <v>Ofsted</v>
          </cell>
          <cell r="T442" t="str">
            <v>NULL</v>
          </cell>
          <cell r="U442" t="str">
            <v>NULL</v>
          </cell>
          <cell r="V442" t="str">
            <v>NULL</v>
          </cell>
          <cell r="W442" t="str">
            <v>NULL</v>
          </cell>
          <cell r="X442" t="str">
            <v>NULL</v>
          </cell>
          <cell r="Y442" t="str">
            <v>NULL</v>
          </cell>
          <cell r="Z442" t="str">
            <v>NULL</v>
          </cell>
          <cell r="AA442" t="str">
            <v>ITS443464</v>
          </cell>
          <cell r="AB442" t="str">
            <v>Independent School standard inspection</v>
          </cell>
          <cell r="AC442" t="str">
            <v>Independent Standard Inspection</v>
          </cell>
          <cell r="AD442">
            <v>41814</v>
          </cell>
          <cell r="AE442">
            <v>41816</v>
          </cell>
          <cell r="AF442">
            <v>41848</v>
          </cell>
          <cell r="AG442">
            <v>1</v>
          </cell>
          <cell r="AH442">
            <v>1</v>
          </cell>
          <cell r="AI442">
            <v>1</v>
          </cell>
          <cell r="AJ442">
            <v>1</v>
          </cell>
          <cell r="AK442" t="str">
            <v>NULL</v>
          </cell>
          <cell r="AL442" t="str">
            <v>NULL</v>
          </cell>
          <cell r="AM442" t="str">
            <v>NULL</v>
          </cell>
          <cell r="AN442" t="str">
            <v>NULL</v>
          </cell>
          <cell r="AO442" t="str">
            <v>ITS329430</v>
          </cell>
          <cell r="AP442" t="str">
            <v>S162a - LTI Inspection Historic</v>
          </cell>
          <cell r="AQ442" t="str">
            <v>Independent Standard Inspection</v>
          </cell>
          <cell r="AR442">
            <v>39723</v>
          </cell>
          <cell r="AS442">
            <v>39723</v>
          </cell>
          <cell r="AT442">
            <v>39759</v>
          </cell>
          <cell r="AU442">
            <v>2</v>
          </cell>
          <cell r="AV442">
            <v>2</v>
          </cell>
          <cell r="AW442">
            <v>2</v>
          </cell>
          <cell r="AX442" t="str">
            <v>NULL</v>
          </cell>
          <cell r="AY442" t="str">
            <v>NULL</v>
          </cell>
          <cell r="AZ442">
            <v>2</v>
          </cell>
          <cell r="BA442" t="str">
            <v>NULL</v>
          </cell>
          <cell r="BB442" t="str">
            <v>NULL</v>
          </cell>
        </row>
        <row r="443">
          <cell r="D443">
            <v>120331</v>
          </cell>
          <cell r="E443">
            <v>8556006</v>
          </cell>
          <cell r="F443" t="str">
            <v>Twycross House School</v>
          </cell>
          <cell r="G443" t="str">
            <v>Other Independent School</v>
          </cell>
          <cell r="H443">
            <v>28551</v>
          </cell>
          <cell r="I443">
            <v>383</v>
          </cell>
          <cell r="J443" t="str">
            <v>East Midlands</v>
          </cell>
          <cell r="K443" t="str">
            <v>East Midlands</v>
          </cell>
          <cell r="L443" t="str">
            <v>Leicestershire</v>
          </cell>
          <cell r="M443" t="str">
            <v>Bosworth</v>
          </cell>
          <cell r="N443" t="str">
            <v>CV9 3PL</v>
          </cell>
          <cell r="O443" t="str">
            <v>Has a sixth form</v>
          </cell>
          <cell r="P443">
            <v>8</v>
          </cell>
          <cell r="Q443">
            <v>18</v>
          </cell>
          <cell r="R443" t="str">
            <v>None</v>
          </cell>
          <cell r="S443" t="str">
            <v>Ofsted</v>
          </cell>
          <cell r="T443" t="str">
            <v>NULL</v>
          </cell>
          <cell r="U443" t="str">
            <v>NULL</v>
          </cell>
          <cell r="V443" t="str">
            <v>NULL</v>
          </cell>
          <cell r="W443" t="str">
            <v>NULL</v>
          </cell>
          <cell r="X443" t="str">
            <v>NULL</v>
          </cell>
          <cell r="Y443" t="str">
            <v>NULL</v>
          </cell>
          <cell r="Z443" t="str">
            <v>NULL</v>
          </cell>
          <cell r="AA443">
            <v>10026046</v>
          </cell>
          <cell r="AB443" t="str">
            <v>Independent School standard inspection</v>
          </cell>
          <cell r="AC443" t="str">
            <v>Independent Standard Inspection</v>
          </cell>
          <cell r="AD443">
            <v>42892</v>
          </cell>
          <cell r="AE443">
            <v>42894</v>
          </cell>
          <cell r="AF443">
            <v>42989</v>
          </cell>
          <cell r="AG443">
            <v>1</v>
          </cell>
          <cell r="AH443">
            <v>1</v>
          </cell>
          <cell r="AI443">
            <v>1</v>
          </cell>
          <cell r="AJ443">
            <v>1</v>
          </cell>
          <cell r="AK443">
            <v>1</v>
          </cell>
          <cell r="AL443" t="str">
            <v>NULL</v>
          </cell>
          <cell r="AM443">
            <v>1</v>
          </cell>
          <cell r="AN443" t="str">
            <v>Yes</v>
          </cell>
          <cell r="AO443" t="str">
            <v>ITS409500</v>
          </cell>
          <cell r="AP443" t="str">
            <v>Independent School standard inspection</v>
          </cell>
          <cell r="AQ443" t="str">
            <v>Independent Standard Inspection</v>
          </cell>
          <cell r="AR443">
            <v>41324</v>
          </cell>
          <cell r="AS443">
            <v>41326</v>
          </cell>
          <cell r="AT443">
            <v>41346</v>
          </cell>
          <cell r="AU443">
            <v>2</v>
          </cell>
          <cell r="AV443">
            <v>2</v>
          </cell>
          <cell r="AW443">
            <v>2</v>
          </cell>
          <cell r="AX443">
            <v>2</v>
          </cell>
          <cell r="AY443" t="str">
            <v>NULL</v>
          </cell>
          <cell r="AZ443" t="str">
            <v>NULL</v>
          </cell>
          <cell r="BA443" t="str">
            <v>NULL</v>
          </cell>
          <cell r="BB443" t="str">
            <v>NULL</v>
          </cell>
        </row>
        <row r="444">
          <cell r="D444">
            <v>137784</v>
          </cell>
          <cell r="E444">
            <v>3026015</v>
          </cell>
          <cell r="F444" t="str">
            <v>Unity Girls High School</v>
          </cell>
          <cell r="G444" t="str">
            <v>Other Independent School</v>
          </cell>
          <cell r="H444">
            <v>40884</v>
          </cell>
          <cell r="I444">
            <v>28</v>
          </cell>
          <cell r="J444" t="str">
            <v>London</v>
          </cell>
          <cell r="K444" t="str">
            <v>London</v>
          </cell>
          <cell r="L444" t="str">
            <v>Barnet</v>
          </cell>
          <cell r="M444" t="str">
            <v>Hendon</v>
          </cell>
          <cell r="N444" t="str">
            <v>NW9 7DY</v>
          </cell>
          <cell r="O444" t="str">
            <v>Does not have a sixth form</v>
          </cell>
          <cell r="P444">
            <v>11</v>
          </cell>
          <cell r="Q444">
            <v>16</v>
          </cell>
          <cell r="R444" t="str">
            <v>None</v>
          </cell>
          <cell r="S444" t="str">
            <v>Ofsted</v>
          </cell>
          <cell r="T444" t="str">
            <v>NULL</v>
          </cell>
          <cell r="U444" t="str">
            <v>NULL</v>
          </cell>
          <cell r="V444" t="str">
            <v>NULL</v>
          </cell>
          <cell r="W444" t="str">
            <v>NULL</v>
          </cell>
          <cell r="X444" t="str">
            <v>NULL</v>
          </cell>
          <cell r="Y444" t="str">
            <v>NULL</v>
          </cell>
          <cell r="Z444" t="str">
            <v>NULL</v>
          </cell>
          <cell r="AA444" t="str">
            <v>ITS397700</v>
          </cell>
          <cell r="AB444" t="str">
            <v>Independent school standard inspection - first</v>
          </cell>
          <cell r="AC444" t="str">
            <v>Independent Standard Inspection</v>
          </cell>
          <cell r="AD444">
            <v>41234</v>
          </cell>
          <cell r="AE444">
            <v>41235</v>
          </cell>
          <cell r="AF444">
            <v>41256</v>
          </cell>
          <cell r="AG444">
            <v>1</v>
          </cell>
          <cell r="AH444">
            <v>1</v>
          </cell>
          <cell r="AI444">
            <v>1</v>
          </cell>
          <cell r="AJ444" t="str">
            <v>NULL</v>
          </cell>
          <cell r="AK444" t="str">
            <v>NULL</v>
          </cell>
          <cell r="AL444">
            <v>8</v>
          </cell>
          <cell r="AM444" t="str">
            <v>NULL</v>
          </cell>
          <cell r="AN444" t="str">
            <v>NULL</v>
          </cell>
          <cell r="AO444" t="str">
            <v>NULL</v>
          </cell>
          <cell r="AP444" t="str">
            <v>NULL</v>
          </cell>
          <cell r="AQ444" t="str">
            <v>NULL</v>
          </cell>
          <cell r="AR444" t="str">
            <v>NULL</v>
          </cell>
          <cell r="AS444" t="str">
            <v>NULL</v>
          </cell>
          <cell r="AT444" t="str">
            <v>NULL</v>
          </cell>
          <cell r="AU444" t="str">
            <v>NULL</v>
          </cell>
          <cell r="AV444" t="str">
            <v>NULL</v>
          </cell>
          <cell r="AW444" t="str">
            <v>NULL</v>
          </cell>
          <cell r="AX444" t="str">
            <v>NULL</v>
          </cell>
          <cell r="AY444" t="str">
            <v>NULL</v>
          </cell>
          <cell r="AZ444" t="str">
            <v>NULL</v>
          </cell>
          <cell r="BA444" t="str">
            <v>NULL</v>
          </cell>
          <cell r="BB444" t="str">
            <v>NULL</v>
          </cell>
        </row>
        <row r="445">
          <cell r="D445">
            <v>142330</v>
          </cell>
          <cell r="E445">
            <v>3826004</v>
          </cell>
          <cell r="F445" t="str">
            <v>Cambridge Street School</v>
          </cell>
          <cell r="G445" t="str">
            <v>Other Independent School</v>
          </cell>
          <cell r="H445">
            <v>42241</v>
          </cell>
          <cell r="I445">
            <v>26</v>
          </cell>
          <cell r="J445" t="str">
            <v>North East, Yorkshire and the Humber</v>
          </cell>
          <cell r="K445" t="str">
            <v>Yorkshire and the Humber</v>
          </cell>
          <cell r="L445" t="str">
            <v>Kirklees</v>
          </cell>
          <cell r="M445" t="str">
            <v>Batley and Spen</v>
          </cell>
          <cell r="N445" t="str">
            <v>WF17 5JB</v>
          </cell>
          <cell r="O445" t="str">
            <v>Does not have a sixth form</v>
          </cell>
          <cell r="P445">
            <v>11</v>
          </cell>
          <cell r="Q445">
            <v>16</v>
          </cell>
          <cell r="R445" t="str">
            <v>None</v>
          </cell>
          <cell r="S445" t="str">
            <v>Ofsted</v>
          </cell>
          <cell r="T445">
            <v>4</v>
          </cell>
          <cell r="U445">
            <v>10048560</v>
          </cell>
          <cell r="V445" t="str">
            <v>Independent school Progress Monitoring inspection</v>
          </cell>
          <cell r="W445">
            <v>43179</v>
          </cell>
          <cell r="X445">
            <v>43179</v>
          </cell>
          <cell r="Y445" t="str">
            <v>NULL</v>
          </cell>
          <cell r="Z445" t="str">
            <v>Met all standards that were checked</v>
          </cell>
          <cell r="AA445">
            <v>10012860</v>
          </cell>
          <cell r="AB445" t="str">
            <v>Independent school standard inspection - first</v>
          </cell>
          <cell r="AC445" t="str">
            <v>Independent Standard Inspection</v>
          </cell>
          <cell r="AD445">
            <v>42633</v>
          </cell>
          <cell r="AE445">
            <v>42635</v>
          </cell>
          <cell r="AF445">
            <v>42683</v>
          </cell>
          <cell r="AG445">
            <v>4</v>
          </cell>
          <cell r="AH445">
            <v>4</v>
          </cell>
          <cell r="AI445">
            <v>4</v>
          </cell>
          <cell r="AJ445">
            <v>4</v>
          </cell>
          <cell r="AK445">
            <v>3</v>
          </cell>
          <cell r="AL445" t="str">
            <v>NULL</v>
          </cell>
          <cell r="AM445" t="str">
            <v>NULL</v>
          </cell>
          <cell r="AN445" t="str">
            <v>Yes</v>
          </cell>
          <cell r="AO445" t="str">
            <v>NULL</v>
          </cell>
          <cell r="AP445" t="str">
            <v>NULL</v>
          </cell>
          <cell r="AQ445" t="str">
            <v>NULL</v>
          </cell>
          <cell r="AR445" t="str">
            <v>NULL</v>
          </cell>
          <cell r="AS445" t="str">
            <v>NULL</v>
          </cell>
          <cell r="AT445" t="str">
            <v>NULL</v>
          </cell>
          <cell r="AU445" t="str">
            <v>NULL</v>
          </cell>
          <cell r="AV445" t="str">
            <v>NULL</v>
          </cell>
          <cell r="AW445" t="str">
            <v>NULL</v>
          </cell>
          <cell r="AX445" t="str">
            <v>NULL</v>
          </cell>
          <cell r="AY445" t="str">
            <v>NULL</v>
          </cell>
          <cell r="AZ445" t="str">
            <v>NULL</v>
          </cell>
          <cell r="BA445" t="str">
            <v>NULL</v>
          </cell>
          <cell r="BB445" t="str">
            <v>NULL</v>
          </cell>
        </row>
        <row r="446">
          <cell r="D446">
            <v>142332</v>
          </cell>
          <cell r="E446">
            <v>8966002</v>
          </cell>
          <cell r="F446" t="str">
            <v>Jefferson House</v>
          </cell>
          <cell r="G446" t="str">
            <v>Other Independent School</v>
          </cell>
          <cell r="H446">
            <v>42244</v>
          </cell>
          <cell r="I446">
            <v>5</v>
          </cell>
          <cell r="J446" t="str">
            <v>North West</v>
          </cell>
          <cell r="K446" t="str">
            <v>North West</v>
          </cell>
          <cell r="L446" t="str">
            <v>Cheshire West and Chester</v>
          </cell>
          <cell r="M446" t="str">
            <v>Eddisbury</v>
          </cell>
          <cell r="N446" t="str">
            <v>CW7 1JT</v>
          </cell>
          <cell r="O446" t="str">
            <v>Has a sixth form</v>
          </cell>
          <cell r="P446">
            <v>11</v>
          </cell>
          <cell r="Q446">
            <v>18</v>
          </cell>
          <cell r="R446" t="str">
            <v>None</v>
          </cell>
          <cell r="S446" t="str">
            <v>Ofsted</v>
          </cell>
          <cell r="T446" t="str">
            <v>NULL</v>
          </cell>
          <cell r="U446" t="str">
            <v>NULL</v>
          </cell>
          <cell r="V446" t="str">
            <v>NULL</v>
          </cell>
          <cell r="W446" t="str">
            <v>NULL</v>
          </cell>
          <cell r="X446" t="str">
            <v>NULL</v>
          </cell>
          <cell r="Y446" t="str">
            <v>NULL</v>
          </cell>
          <cell r="Z446" t="str">
            <v>NULL</v>
          </cell>
          <cell r="AA446">
            <v>10012942</v>
          </cell>
          <cell r="AB446" t="str">
            <v>Independent school standard inspection - first</v>
          </cell>
          <cell r="AC446" t="str">
            <v>Independent Standard Inspection</v>
          </cell>
          <cell r="AD446">
            <v>42703</v>
          </cell>
          <cell r="AE446">
            <v>42705</v>
          </cell>
          <cell r="AF446">
            <v>42752</v>
          </cell>
          <cell r="AG446">
            <v>2</v>
          </cell>
          <cell r="AH446">
            <v>2</v>
          </cell>
          <cell r="AI446">
            <v>2</v>
          </cell>
          <cell r="AJ446">
            <v>2</v>
          </cell>
          <cell r="AK446">
            <v>2</v>
          </cell>
          <cell r="AL446" t="str">
            <v>NULL</v>
          </cell>
          <cell r="AM446" t="str">
            <v>NULL</v>
          </cell>
          <cell r="AN446" t="str">
            <v>Yes</v>
          </cell>
          <cell r="AO446" t="str">
            <v>NULL</v>
          </cell>
          <cell r="AP446" t="str">
            <v>NULL</v>
          </cell>
          <cell r="AQ446" t="str">
            <v>NULL</v>
          </cell>
          <cell r="AR446" t="str">
            <v>NULL</v>
          </cell>
          <cell r="AS446" t="str">
            <v>NULL</v>
          </cell>
          <cell r="AT446" t="str">
            <v>NULL</v>
          </cell>
          <cell r="AU446" t="str">
            <v>NULL</v>
          </cell>
          <cell r="AV446" t="str">
            <v>NULL</v>
          </cell>
          <cell r="AW446" t="str">
            <v>NULL</v>
          </cell>
          <cell r="AX446" t="str">
            <v>NULL</v>
          </cell>
          <cell r="AY446" t="str">
            <v>NULL</v>
          </cell>
          <cell r="AZ446" t="str">
            <v>NULL</v>
          </cell>
          <cell r="BA446" t="str">
            <v>NULL</v>
          </cell>
          <cell r="BB446" t="str">
            <v>NULL</v>
          </cell>
        </row>
        <row r="447">
          <cell r="D447">
            <v>142333</v>
          </cell>
          <cell r="E447">
            <v>8886062</v>
          </cell>
          <cell r="F447" t="str">
            <v>Austen House</v>
          </cell>
          <cell r="G447" t="str">
            <v>Other Independent School</v>
          </cell>
          <cell r="H447">
            <v>42244</v>
          </cell>
          <cell r="I447">
            <v>4</v>
          </cell>
          <cell r="J447" t="str">
            <v>North West</v>
          </cell>
          <cell r="K447" t="str">
            <v>North West</v>
          </cell>
          <cell r="L447" t="str">
            <v>Lancashire</v>
          </cell>
          <cell r="M447" t="str">
            <v>Hyndburn</v>
          </cell>
          <cell r="N447" t="str">
            <v>BB4 5TS</v>
          </cell>
          <cell r="O447" t="str">
            <v>Has a sixth form</v>
          </cell>
          <cell r="P447">
            <v>11</v>
          </cell>
          <cell r="Q447">
            <v>18</v>
          </cell>
          <cell r="R447" t="str">
            <v>None</v>
          </cell>
          <cell r="S447" t="str">
            <v>Ofsted</v>
          </cell>
          <cell r="T447" t="str">
            <v>NULL</v>
          </cell>
          <cell r="U447" t="str">
            <v>NULL</v>
          </cell>
          <cell r="V447" t="str">
            <v>NULL</v>
          </cell>
          <cell r="W447" t="str">
            <v>NULL</v>
          </cell>
          <cell r="X447" t="str">
            <v>NULL</v>
          </cell>
          <cell r="Y447" t="str">
            <v>NULL</v>
          </cell>
          <cell r="Z447" t="str">
            <v>NULL</v>
          </cell>
          <cell r="AA447">
            <v>10012972</v>
          </cell>
          <cell r="AB447" t="str">
            <v>Independent school standard inspection - first</v>
          </cell>
          <cell r="AC447" t="str">
            <v>Independent Standard Inspection</v>
          </cell>
          <cell r="AD447">
            <v>42633</v>
          </cell>
          <cell r="AE447">
            <v>42634</v>
          </cell>
          <cell r="AF447">
            <v>42657</v>
          </cell>
          <cell r="AG447">
            <v>2</v>
          </cell>
          <cell r="AH447">
            <v>2</v>
          </cell>
          <cell r="AI447">
            <v>2</v>
          </cell>
          <cell r="AJ447">
            <v>2</v>
          </cell>
          <cell r="AK447">
            <v>2</v>
          </cell>
          <cell r="AL447" t="str">
            <v>NULL</v>
          </cell>
          <cell r="AM447">
            <v>2</v>
          </cell>
          <cell r="AN447" t="str">
            <v>Yes</v>
          </cell>
          <cell r="AO447" t="str">
            <v>NULL</v>
          </cell>
          <cell r="AP447" t="str">
            <v>NULL</v>
          </cell>
          <cell r="AQ447" t="str">
            <v>NULL</v>
          </cell>
          <cell r="AR447" t="str">
            <v>NULL</v>
          </cell>
          <cell r="AS447" t="str">
            <v>NULL</v>
          </cell>
          <cell r="AT447" t="str">
            <v>NULL</v>
          </cell>
          <cell r="AU447" t="str">
            <v>NULL</v>
          </cell>
          <cell r="AV447" t="str">
            <v>NULL</v>
          </cell>
          <cell r="AW447" t="str">
            <v>NULL</v>
          </cell>
          <cell r="AX447" t="str">
            <v>NULL</v>
          </cell>
          <cell r="AY447" t="str">
            <v>NULL</v>
          </cell>
          <cell r="AZ447" t="str">
            <v>NULL</v>
          </cell>
          <cell r="BA447" t="str">
            <v>NULL</v>
          </cell>
          <cell r="BB447" t="str">
            <v>NULL</v>
          </cell>
        </row>
        <row r="448">
          <cell r="D448">
            <v>142334</v>
          </cell>
          <cell r="E448">
            <v>3116001</v>
          </cell>
          <cell r="F448" t="str">
            <v>Youth Empowerment Education Programme</v>
          </cell>
          <cell r="G448" t="str">
            <v>Other Independent Special School</v>
          </cell>
          <cell r="H448">
            <v>42248</v>
          </cell>
          <cell r="I448">
            <v>0</v>
          </cell>
          <cell r="J448" t="str">
            <v>London</v>
          </cell>
          <cell r="K448" t="str">
            <v>London</v>
          </cell>
          <cell r="L448" t="str">
            <v>Havering</v>
          </cell>
          <cell r="M448" t="str">
            <v>Dagenham and Rainham</v>
          </cell>
          <cell r="N448" t="str">
            <v>RM13 8EU</v>
          </cell>
          <cell r="O448" t="str">
            <v>Not applicable</v>
          </cell>
          <cell r="P448">
            <v>7</v>
          </cell>
          <cell r="Q448">
            <v>14</v>
          </cell>
          <cell r="R448" t="str">
            <v>None</v>
          </cell>
          <cell r="S448" t="str">
            <v>Ofsted</v>
          </cell>
          <cell r="T448">
            <v>1</v>
          </cell>
          <cell r="U448">
            <v>10048483</v>
          </cell>
          <cell r="V448" t="str">
            <v>Independent school Material Change inspection</v>
          </cell>
          <cell r="W448">
            <v>43174</v>
          </cell>
          <cell r="X448">
            <v>43174</v>
          </cell>
          <cell r="Y448" t="str">
            <v>NULL</v>
          </cell>
          <cell r="Z448" t="str">
            <v>Likely to meet relevant standards</v>
          </cell>
          <cell r="AA448">
            <v>10041270</v>
          </cell>
          <cell r="AB448" t="str">
            <v>Independent School standard inspection</v>
          </cell>
          <cell r="AC448" t="str">
            <v>Independent Standard Inspection</v>
          </cell>
          <cell r="AD448">
            <v>43018</v>
          </cell>
          <cell r="AE448">
            <v>43020</v>
          </cell>
          <cell r="AF448">
            <v>43077</v>
          </cell>
          <cell r="AG448">
            <v>3</v>
          </cell>
          <cell r="AH448">
            <v>3</v>
          </cell>
          <cell r="AI448">
            <v>3</v>
          </cell>
          <cell r="AJ448">
            <v>3</v>
          </cell>
          <cell r="AK448">
            <v>2</v>
          </cell>
          <cell r="AL448" t="str">
            <v>NULL</v>
          </cell>
          <cell r="AM448" t="str">
            <v>NULL</v>
          </cell>
          <cell r="AN448" t="str">
            <v>Yes</v>
          </cell>
          <cell r="AO448">
            <v>10012822</v>
          </cell>
          <cell r="AP448" t="str">
            <v>Independent school standard inspection - first</v>
          </cell>
          <cell r="AQ448" t="str">
            <v>Independent Standard Inspection</v>
          </cell>
          <cell r="AR448">
            <v>42704</v>
          </cell>
          <cell r="AS448">
            <v>42706</v>
          </cell>
          <cell r="AT448">
            <v>42752</v>
          </cell>
          <cell r="AU448">
            <v>0</v>
          </cell>
          <cell r="AV448">
            <v>0</v>
          </cell>
          <cell r="AW448">
            <v>0</v>
          </cell>
          <cell r="AX448">
            <v>0</v>
          </cell>
          <cell r="AY448">
            <v>0</v>
          </cell>
          <cell r="AZ448" t="str">
            <v>NULL</v>
          </cell>
          <cell r="BA448" t="str">
            <v>NULL</v>
          </cell>
          <cell r="BB448" t="str">
            <v>Yes</v>
          </cell>
        </row>
        <row r="449">
          <cell r="D449">
            <v>142538</v>
          </cell>
          <cell r="E449">
            <v>8916037</v>
          </cell>
          <cell r="F449" t="str">
            <v>REAL Alternative Provision School</v>
          </cell>
          <cell r="G449" t="str">
            <v>Other Independent Special School</v>
          </cell>
          <cell r="H449">
            <v>42341</v>
          </cell>
          <cell r="I449">
            <v>56</v>
          </cell>
          <cell r="J449" t="str">
            <v>East Midlands</v>
          </cell>
          <cell r="K449" t="str">
            <v>East Midlands</v>
          </cell>
          <cell r="L449" t="str">
            <v>Nottinghamshire</v>
          </cell>
          <cell r="M449" t="str">
            <v>Mansfield</v>
          </cell>
          <cell r="N449" t="str">
            <v>NG18 2AD</v>
          </cell>
          <cell r="O449" t="str">
            <v>Not applicable</v>
          </cell>
          <cell r="P449">
            <v>14</v>
          </cell>
          <cell r="Q449">
            <v>19</v>
          </cell>
          <cell r="R449" t="str">
            <v>None</v>
          </cell>
          <cell r="S449" t="str">
            <v>Ofsted</v>
          </cell>
          <cell r="T449" t="str">
            <v>NULL</v>
          </cell>
          <cell r="U449" t="str">
            <v>NULL</v>
          </cell>
          <cell r="V449" t="str">
            <v>NULL</v>
          </cell>
          <cell r="W449" t="str">
            <v>NULL</v>
          </cell>
          <cell r="X449" t="str">
            <v>NULL</v>
          </cell>
          <cell r="Y449" t="str">
            <v>NULL</v>
          </cell>
          <cell r="Z449" t="str">
            <v>NULL</v>
          </cell>
          <cell r="AA449">
            <v>10020879</v>
          </cell>
          <cell r="AB449" t="str">
            <v>Independent school standard inspection - first</v>
          </cell>
          <cell r="AC449" t="str">
            <v>Independent Standard Inspection</v>
          </cell>
          <cell r="AD449">
            <v>42675</v>
          </cell>
          <cell r="AE449">
            <v>42677</v>
          </cell>
          <cell r="AF449">
            <v>42717</v>
          </cell>
          <cell r="AG449">
            <v>2</v>
          </cell>
          <cell r="AH449">
            <v>2</v>
          </cell>
          <cell r="AI449">
            <v>2</v>
          </cell>
          <cell r="AJ449">
            <v>2</v>
          </cell>
          <cell r="AK449">
            <v>2</v>
          </cell>
          <cell r="AL449" t="str">
            <v>NULL</v>
          </cell>
          <cell r="AM449">
            <v>2</v>
          </cell>
          <cell r="AN449" t="str">
            <v>Yes</v>
          </cell>
          <cell r="AO449" t="str">
            <v>NULL</v>
          </cell>
          <cell r="AP449" t="str">
            <v>NULL</v>
          </cell>
          <cell r="AQ449" t="str">
            <v>NULL</v>
          </cell>
          <cell r="AR449" t="str">
            <v>NULL</v>
          </cell>
          <cell r="AS449" t="str">
            <v>NULL</v>
          </cell>
          <cell r="AT449" t="str">
            <v>NULL</v>
          </cell>
          <cell r="AU449" t="str">
            <v>NULL</v>
          </cell>
          <cell r="AV449" t="str">
            <v>NULL</v>
          </cell>
          <cell r="AW449" t="str">
            <v>NULL</v>
          </cell>
          <cell r="AX449" t="str">
            <v>NULL</v>
          </cell>
          <cell r="AY449" t="str">
            <v>NULL</v>
          </cell>
          <cell r="AZ449" t="str">
            <v>NULL</v>
          </cell>
          <cell r="BA449" t="str">
            <v>NULL</v>
          </cell>
          <cell r="BB449" t="str">
            <v>NULL</v>
          </cell>
        </row>
        <row r="450">
          <cell r="D450">
            <v>142568</v>
          </cell>
          <cell r="E450">
            <v>8876010</v>
          </cell>
          <cell r="F450" t="str">
            <v>The GFC School</v>
          </cell>
          <cell r="G450" t="str">
            <v>Other Independent School</v>
          </cell>
          <cell r="H450">
            <v>42345</v>
          </cell>
          <cell r="I450">
            <v>15</v>
          </cell>
          <cell r="J450" t="str">
            <v>South East</v>
          </cell>
          <cell r="K450" t="str">
            <v>South East</v>
          </cell>
          <cell r="L450" t="str">
            <v>Medway</v>
          </cell>
          <cell r="M450" t="str">
            <v>Gillingham and Rainham</v>
          </cell>
          <cell r="N450" t="str">
            <v>ME7 4DD</v>
          </cell>
          <cell r="O450" t="str">
            <v>Does not have a sixth form</v>
          </cell>
          <cell r="P450">
            <v>11</v>
          </cell>
          <cell r="Q450">
            <v>16</v>
          </cell>
          <cell r="R450" t="str">
            <v>None</v>
          </cell>
          <cell r="S450" t="str">
            <v>Ofsted</v>
          </cell>
          <cell r="T450" t="str">
            <v>NULL</v>
          </cell>
          <cell r="U450" t="str">
            <v>NULL</v>
          </cell>
          <cell r="V450" t="str">
            <v>NULL</v>
          </cell>
          <cell r="W450" t="str">
            <v>NULL</v>
          </cell>
          <cell r="X450" t="str">
            <v>NULL</v>
          </cell>
          <cell r="Y450" t="str">
            <v>NULL</v>
          </cell>
          <cell r="Z450" t="str">
            <v>NULL</v>
          </cell>
          <cell r="AA450">
            <v>10044261</v>
          </cell>
          <cell r="AB450" t="str">
            <v>Independent School standard inspection</v>
          </cell>
          <cell r="AC450" t="str">
            <v>Independent Standard Inspection</v>
          </cell>
          <cell r="AD450">
            <v>43116</v>
          </cell>
          <cell r="AE450">
            <v>43118</v>
          </cell>
          <cell r="AF450">
            <v>43137</v>
          </cell>
          <cell r="AG450">
            <v>3</v>
          </cell>
          <cell r="AH450">
            <v>3</v>
          </cell>
          <cell r="AI450">
            <v>3</v>
          </cell>
          <cell r="AJ450">
            <v>3</v>
          </cell>
          <cell r="AK450">
            <v>2</v>
          </cell>
          <cell r="AL450" t="str">
            <v>NULL</v>
          </cell>
          <cell r="AM450" t="str">
            <v>NULL</v>
          </cell>
          <cell r="AN450" t="str">
            <v>Yes</v>
          </cell>
          <cell r="AO450">
            <v>10020881</v>
          </cell>
          <cell r="AP450" t="str">
            <v>Independent school standard inspection - first</v>
          </cell>
          <cell r="AQ450" t="str">
            <v>Independent Standard Inspection</v>
          </cell>
          <cell r="AR450">
            <v>42683</v>
          </cell>
          <cell r="AS450">
            <v>42685</v>
          </cell>
          <cell r="AT450">
            <v>42740</v>
          </cell>
          <cell r="AU450">
            <v>3</v>
          </cell>
          <cell r="AV450">
            <v>3</v>
          </cell>
          <cell r="AW450">
            <v>3</v>
          </cell>
          <cell r="AX450">
            <v>3</v>
          </cell>
          <cell r="AY450">
            <v>2</v>
          </cell>
          <cell r="AZ450" t="str">
            <v>NULL</v>
          </cell>
          <cell r="BA450" t="str">
            <v>NULL</v>
          </cell>
          <cell r="BB450" t="str">
            <v>Yes</v>
          </cell>
        </row>
        <row r="451">
          <cell r="D451">
            <v>142572</v>
          </cell>
          <cell r="E451">
            <v>2046012</v>
          </cell>
          <cell r="F451" t="str">
            <v>Talmud Torah London</v>
          </cell>
          <cell r="G451" t="str">
            <v>Other Independent School</v>
          </cell>
          <cell r="H451">
            <v>42453</v>
          </cell>
          <cell r="I451">
            <v>40</v>
          </cell>
          <cell r="J451" t="str">
            <v>London</v>
          </cell>
          <cell r="K451" t="str">
            <v>London</v>
          </cell>
          <cell r="L451" t="str">
            <v>Hackney</v>
          </cell>
          <cell r="M451" t="str">
            <v>Hackney North and Stoke Newington</v>
          </cell>
          <cell r="N451" t="str">
            <v>E5 9DH</v>
          </cell>
          <cell r="O451" t="str">
            <v>Does not have a sixth form</v>
          </cell>
          <cell r="P451">
            <v>5</v>
          </cell>
          <cell r="Q451">
            <v>7</v>
          </cell>
          <cell r="R451" t="str">
            <v>None</v>
          </cell>
          <cell r="S451" t="str">
            <v>Ofsted</v>
          </cell>
          <cell r="T451">
            <v>1</v>
          </cell>
          <cell r="U451">
            <v>10047002</v>
          </cell>
          <cell r="V451" t="str">
            <v>Independent school evaluation of school action plan</v>
          </cell>
          <cell r="W451">
            <v>43137</v>
          </cell>
          <cell r="X451">
            <v>43137</v>
          </cell>
          <cell r="Y451" t="str">
            <v>NULL</v>
          </cell>
          <cell r="Z451" t="str">
            <v>Action plan is not acceptable</v>
          </cell>
          <cell r="AA451">
            <v>10026300</v>
          </cell>
          <cell r="AB451" t="str">
            <v>Independent school standard inspection - first</v>
          </cell>
          <cell r="AC451" t="str">
            <v>Independent Standard Inspection</v>
          </cell>
          <cell r="AD451">
            <v>42913</v>
          </cell>
          <cell r="AE451">
            <v>42915</v>
          </cell>
          <cell r="AF451">
            <v>43033</v>
          </cell>
          <cell r="AG451">
            <v>4</v>
          </cell>
          <cell r="AH451">
            <v>3</v>
          </cell>
          <cell r="AI451">
            <v>3</v>
          </cell>
          <cell r="AJ451">
            <v>4</v>
          </cell>
          <cell r="AK451">
            <v>3</v>
          </cell>
          <cell r="AL451" t="str">
            <v>NULL</v>
          </cell>
          <cell r="AM451" t="str">
            <v>NULL</v>
          </cell>
          <cell r="AN451" t="str">
            <v>Yes</v>
          </cell>
          <cell r="AO451" t="str">
            <v>NULL</v>
          </cell>
          <cell r="AP451" t="str">
            <v>NULL</v>
          </cell>
          <cell r="AQ451" t="str">
            <v>NULL</v>
          </cell>
          <cell r="AR451" t="str">
            <v>NULL</v>
          </cell>
          <cell r="AS451" t="str">
            <v>NULL</v>
          </cell>
          <cell r="AT451" t="str">
            <v>NULL</v>
          </cell>
          <cell r="AU451" t="str">
            <v>NULL</v>
          </cell>
          <cell r="AV451" t="str">
            <v>NULL</v>
          </cell>
          <cell r="AW451" t="str">
            <v>NULL</v>
          </cell>
          <cell r="AX451" t="str">
            <v>NULL</v>
          </cell>
          <cell r="AY451" t="str">
            <v>NULL</v>
          </cell>
          <cell r="AZ451" t="str">
            <v>NULL</v>
          </cell>
          <cell r="BA451" t="str">
            <v>NULL</v>
          </cell>
          <cell r="BB451" t="str">
            <v>NULL</v>
          </cell>
        </row>
        <row r="452">
          <cell r="D452">
            <v>142603</v>
          </cell>
          <cell r="E452">
            <v>3366001</v>
          </cell>
          <cell r="F452" t="str">
            <v>Bow Street School</v>
          </cell>
          <cell r="G452" t="str">
            <v>Other Independent Special School</v>
          </cell>
          <cell r="H452">
            <v>42690</v>
          </cell>
          <cell r="I452">
            <v>8</v>
          </cell>
          <cell r="J452" t="str">
            <v>West Midlands</v>
          </cell>
          <cell r="K452" t="str">
            <v>West Midlands</v>
          </cell>
          <cell r="L452" t="str">
            <v>Wolverhampton</v>
          </cell>
          <cell r="M452" t="str">
            <v>Wolverhampton South East</v>
          </cell>
          <cell r="N452" t="str">
            <v>WV14 7NB</v>
          </cell>
          <cell r="O452" t="str">
            <v>Not applicable</v>
          </cell>
          <cell r="P452">
            <v>13</v>
          </cell>
          <cell r="Q452">
            <v>16</v>
          </cell>
          <cell r="R452" t="str">
            <v>None</v>
          </cell>
          <cell r="S452" t="str">
            <v>Ofsted</v>
          </cell>
          <cell r="T452" t="str">
            <v>NULL</v>
          </cell>
          <cell r="U452" t="str">
            <v>NULL</v>
          </cell>
          <cell r="V452" t="str">
            <v>NULL</v>
          </cell>
          <cell r="W452" t="str">
            <v>NULL</v>
          </cell>
          <cell r="X452" t="str">
            <v>NULL</v>
          </cell>
          <cell r="Y452" t="str">
            <v>NULL</v>
          </cell>
          <cell r="Z452" t="str">
            <v>NULL</v>
          </cell>
          <cell r="AA452">
            <v>10039279</v>
          </cell>
          <cell r="AB452" t="str">
            <v>Independent school standard inspection - first</v>
          </cell>
          <cell r="AC452" t="str">
            <v>Independent Standard Inspection</v>
          </cell>
          <cell r="AD452">
            <v>43074</v>
          </cell>
          <cell r="AE452">
            <v>43076</v>
          </cell>
          <cell r="AF452">
            <v>43118</v>
          </cell>
          <cell r="AG452">
            <v>1</v>
          </cell>
          <cell r="AH452">
            <v>1</v>
          </cell>
          <cell r="AI452">
            <v>1</v>
          </cell>
          <cell r="AJ452">
            <v>1</v>
          </cell>
          <cell r="AK452">
            <v>1</v>
          </cell>
          <cell r="AL452" t="str">
            <v>NULL</v>
          </cell>
          <cell r="AM452" t="str">
            <v>NULL</v>
          </cell>
          <cell r="AN452" t="str">
            <v>Yes</v>
          </cell>
          <cell r="AO452" t="str">
            <v>NULL</v>
          </cell>
          <cell r="AP452" t="str">
            <v>NULL</v>
          </cell>
          <cell r="AQ452" t="str">
            <v>NULL</v>
          </cell>
          <cell r="AR452" t="str">
            <v>NULL</v>
          </cell>
          <cell r="AS452" t="str">
            <v>NULL</v>
          </cell>
          <cell r="AT452" t="str">
            <v>NULL</v>
          </cell>
          <cell r="AU452" t="str">
            <v>NULL</v>
          </cell>
          <cell r="AV452" t="str">
            <v>NULL</v>
          </cell>
          <cell r="AW452" t="str">
            <v>NULL</v>
          </cell>
          <cell r="AX452" t="str">
            <v>NULL</v>
          </cell>
          <cell r="AY452" t="str">
            <v>NULL</v>
          </cell>
          <cell r="AZ452" t="str">
            <v>NULL</v>
          </cell>
          <cell r="BA452" t="str">
            <v>NULL</v>
          </cell>
          <cell r="BB452" t="str">
            <v>NULL</v>
          </cell>
        </row>
        <row r="453">
          <cell r="D453">
            <v>143039</v>
          </cell>
          <cell r="E453">
            <v>3306026</v>
          </cell>
          <cell r="F453" t="str">
            <v>Blackwater Academy</v>
          </cell>
          <cell r="G453" t="str">
            <v>Other Independent School</v>
          </cell>
          <cell r="H453">
            <v>42696</v>
          </cell>
          <cell r="I453">
            <v>2</v>
          </cell>
          <cell r="J453" t="str">
            <v>West Midlands</v>
          </cell>
          <cell r="K453" t="str">
            <v>West Midlands</v>
          </cell>
          <cell r="L453" t="str">
            <v>Birmingham</v>
          </cell>
          <cell r="M453" t="str">
            <v>Birmingham, Ladywood</v>
          </cell>
          <cell r="N453" t="str">
            <v>B1 3ND</v>
          </cell>
          <cell r="O453" t="str">
            <v>Does not have a sixth form</v>
          </cell>
          <cell r="P453">
            <v>14</v>
          </cell>
          <cell r="Q453">
            <v>16</v>
          </cell>
          <cell r="R453" t="str">
            <v>None</v>
          </cell>
          <cell r="S453" t="str">
            <v>Ofsted</v>
          </cell>
          <cell r="T453">
            <v>1</v>
          </cell>
          <cell r="U453">
            <v>10022661</v>
          </cell>
          <cell r="V453" t="str">
            <v>Independent School Pre-registration Inspection</v>
          </cell>
          <cell r="W453">
            <v>42627</v>
          </cell>
          <cell r="X453">
            <v>42627</v>
          </cell>
          <cell r="Y453" t="str">
            <v>NULL</v>
          </cell>
          <cell r="Z453" t="str">
            <v>Likely to meet all standards</v>
          </cell>
          <cell r="AA453" t="str">
            <v>NULL</v>
          </cell>
          <cell r="AB453" t="str">
            <v>NULL</v>
          </cell>
          <cell r="AC453" t="str">
            <v>NULL</v>
          </cell>
          <cell r="AD453" t="str">
            <v>NULL</v>
          </cell>
          <cell r="AE453" t="str">
            <v>NULL</v>
          </cell>
          <cell r="AF453" t="str">
            <v>NULL</v>
          </cell>
          <cell r="AG453" t="str">
            <v>NULL</v>
          </cell>
          <cell r="AH453" t="str">
            <v>NULL</v>
          </cell>
          <cell r="AI453" t="str">
            <v>NULL</v>
          </cell>
          <cell r="AJ453" t="str">
            <v>NULL</v>
          </cell>
          <cell r="AK453" t="str">
            <v>NULL</v>
          </cell>
          <cell r="AL453" t="str">
            <v>NULL</v>
          </cell>
          <cell r="AM453" t="str">
            <v>NULL</v>
          </cell>
          <cell r="AN453" t="str">
            <v>NULL</v>
          </cell>
          <cell r="AO453" t="str">
            <v>NULL</v>
          </cell>
          <cell r="AP453" t="str">
            <v>NULL</v>
          </cell>
          <cell r="AQ453" t="str">
            <v>NULL</v>
          </cell>
          <cell r="AR453" t="str">
            <v>NULL</v>
          </cell>
          <cell r="AS453" t="str">
            <v>NULL</v>
          </cell>
          <cell r="AT453" t="str">
            <v>NULL</v>
          </cell>
          <cell r="AU453" t="str">
            <v>NULL</v>
          </cell>
          <cell r="AV453" t="str">
            <v>NULL</v>
          </cell>
          <cell r="AW453" t="str">
            <v>NULL</v>
          </cell>
          <cell r="AX453" t="str">
            <v>NULL</v>
          </cell>
          <cell r="AY453" t="str">
            <v>NULL</v>
          </cell>
          <cell r="AZ453" t="str">
            <v>NULL</v>
          </cell>
          <cell r="BA453" t="str">
            <v>NULL</v>
          </cell>
          <cell r="BB453" t="str">
            <v>NULL</v>
          </cell>
        </row>
        <row r="454">
          <cell r="D454">
            <v>143040</v>
          </cell>
          <cell r="E454">
            <v>3306030</v>
          </cell>
          <cell r="F454" t="str">
            <v>Imedia School</v>
          </cell>
          <cell r="G454" t="str">
            <v>Other Independent School</v>
          </cell>
          <cell r="H454">
            <v>42860</v>
          </cell>
          <cell r="I454" t="str">
            <v>NULL</v>
          </cell>
          <cell r="J454" t="str">
            <v>West Midlands</v>
          </cell>
          <cell r="K454" t="str">
            <v>West Midlands</v>
          </cell>
          <cell r="L454" t="str">
            <v>Birmingham</v>
          </cell>
          <cell r="M454" t="str">
            <v>Birmingham, Erdington</v>
          </cell>
          <cell r="N454" t="str">
            <v>B23 6UT</v>
          </cell>
          <cell r="O454" t="str">
            <v>Does not have a sixth form</v>
          </cell>
          <cell r="P454">
            <v>14</v>
          </cell>
          <cell r="Q454">
            <v>16</v>
          </cell>
          <cell r="R454" t="str">
            <v>None</v>
          </cell>
          <cell r="S454" t="str">
            <v>Ofsted</v>
          </cell>
          <cell r="T454">
            <v>2</v>
          </cell>
          <cell r="U454">
            <v>10034422</v>
          </cell>
          <cell r="V454" t="str">
            <v>Independent School Pre-registration Inspection</v>
          </cell>
          <cell r="W454">
            <v>42837</v>
          </cell>
          <cell r="X454">
            <v>42837</v>
          </cell>
          <cell r="Y454" t="str">
            <v>NULL</v>
          </cell>
          <cell r="Z454" t="str">
            <v>Likely to meet all standards</v>
          </cell>
          <cell r="AA454" t="str">
            <v>NULL</v>
          </cell>
          <cell r="AB454" t="str">
            <v>NULL</v>
          </cell>
          <cell r="AC454" t="str">
            <v>NULL</v>
          </cell>
          <cell r="AD454" t="str">
            <v>NULL</v>
          </cell>
          <cell r="AE454" t="str">
            <v>NULL</v>
          </cell>
          <cell r="AF454" t="str">
            <v>NULL</v>
          </cell>
          <cell r="AG454" t="str">
            <v>NULL</v>
          </cell>
          <cell r="AH454" t="str">
            <v>NULL</v>
          </cell>
          <cell r="AI454" t="str">
            <v>NULL</v>
          </cell>
          <cell r="AJ454" t="str">
            <v>NULL</v>
          </cell>
          <cell r="AK454" t="str">
            <v>NULL</v>
          </cell>
          <cell r="AL454" t="str">
            <v>NULL</v>
          </cell>
          <cell r="AM454" t="str">
            <v>NULL</v>
          </cell>
          <cell r="AN454" t="str">
            <v>NULL</v>
          </cell>
          <cell r="AO454" t="str">
            <v>NULL</v>
          </cell>
          <cell r="AP454" t="str">
            <v>NULL</v>
          </cell>
          <cell r="AQ454" t="str">
            <v>NULL</v>
          </cell>
          <cell r="AR454" t="str">
            <v>NULL</v>
          </cell>
          <cell r="AS454" t="str">
            <v>NULL</v>
          </cell>
          <cell r="AT454" t="str">
            <v>NULL</v>
          </cell>
          <cell r="AU454" t="str">
            <v>NULL</v>
          </cell>
          <cell r="AV454" t="str">
            <v>NULL</v>
          </cell>
          <cell r="AW454" t="str">
            <v>NULL</v>
          </cell>
          <cell r="AX454" t="str">
            <v>NULL</v>
          </cell>
          <cell r="AY454" t="str">
            <v>NULL</v>
          </cell>
          <cell r="AZ454" t="str">
            <v>NULL</v>
          </cell>
          <cell r="BA454" t="str">
            <v>NULL</v>
          </cell>
          <cell r="BB454" t="str">
            <v>NULL</v>
          </cell>
        </row>
        <row r="455">
          <cell r="D455">
            <v>143041</v>
          </cell>
          <cell r="E455">
            <v>8886064</v>
          </cell>
          <cell r="F455" t="str">
            <v>Hope House School</v>
          </cell>
          <cell r="G455" t="str">
            <v>Other Independent School</v>
          </cell>
          <cell r="H455">
            <v>42724</v>
          </cell>
          <cell r="I455">
            <v>3</v>
          </cell>
          <cell r="J455" t="str">
            <v>North West</v>
          </cell>
          <cell r="K455" t="str">
            <v>North West</v>
          </cell>
          <cell r="L455" t="str">
            <v>Lancashire</v>
          </cell>
          <cell r="M455" t="str">
            <v>Wyre and Preston North</v>
          </cell>
          <cell r="N455" t="str">
            <v>PR4 0HP</v>
          </cell>
          <cell r="O455" t="str">
            <v>Has a sixth form</v>
          </cell>
          <cell r="P455">
            <v>11</v>
          </cell>
          <cell r="Q455">
            <v>18</v>
          </cell>
          <cell r="R455" t="str">
            <v>None</v>
          </cell>
          <cell r="S455" t="str">
            <v>Ofsted</v>
          </cell>
          <cell r="T455" t="str">
            <v>NULL</v>
          </cell>
          <cell r="U455" t="str">
            <v>NULL</v>
          </cell>
          <cell r="V455" t="str">
            <v>NULL</v>
          </cell>
          <cell r="W455" t="str">
            <v>NULL</v>
          </cell>
          <cell r="X455" t="str">
            <v>NULL</v>
          </cell>
          <cell r="Y455" t="str">
            <v>NULL</v>
          </cell>
          <cell r="Z455" t="str">
            <v>NULL</v>
          </cell>
          <cell r="AA455">
            <v>10038937</v>
          </cell>
          <cell r="AB455" t="str">
            <v>Independent School standard inspection</v>
          </cell>
          <cell r="AC455" t="str">
            <v>Independent Standard Inspection</v>
          </cell>
          <cell r="AD455">
            <v>43004</v>
          </cell>
          <cell r="AE455">
            <v>43005</v>
          </cell>
          <cell r="AF455">
            <v>43027</v>
          </cell>
          <cell r="AG455">
            <v>2</v>
          </cell>
          <cell r="AH455">
            <v>2</v>
          </cell>
          <cell r="AI455">
            <v>2</v>
          </cell>
          <cell r="AJ455">
            <v>2</v>
          </cell>
          <cell r="AK455">
            <v>2</v>
          </cell>
          <cell r="AL455" t="str">
            <v>NULL</v>
          </cell>
          <cell r="AM455" t="str">
            <v>NULL</v>
          </cell>
          <cell r="AN455" t="str">
            <v>Yes</v>
          </cell>
          <cell r="AO455" t="str">
            <v>NULL</v>
          </cell>
          <cell r="AP455" t="str">
            <v>NULL</v>
          </cell>
          <cell r="AQ455" t="str">
            <v>NULL</v>
          </cell>
          <cell r="AR455" t="str">
            <v>NULL</v>
          </cell>
          <cell r="AS455" t="str">
            <v>NULL</v>
          </cell>
          <cell r="AT455" t="str">
            <v>NULL</v>
          </cell>
          <cell r="AU455" t="str">
            <v>NULL</v>
          </cell>
          <cell r="AV455" t="str">
            <v>NULL</v>
          </cell>
          <cell r="AW455" t="str">
            <v>NULL</v>
          </cell>
          <cell r="AX455" t="str">
            <v>NULL</v>
          </cell>
          <cell r="AY455" t="str">
            <v>NULL</v>
          </cell>
          <cell r="AZ455" t="str">
            <v>NULL</v>
          </cell>
          <cell r="BA455" t="str">
            <v>NULL</v>
          </cell>
          <cell r="BB455" t="str">
            <v>NULL</v>
          </cell>
        </row>
        <row r="456">
          <cell r="D456">
            <v>143042</v>
          </cell>
          <cell r="E456">
            <v>9316016</v>
          </cell>
          <cell r="F456" t="str">
            <v>Cherwell College Oxford</v>
          </cell>
          <cell r="G456" t="str">
            <v>Other Independent School</v>
          </cell>
          <cell r="H456">
            <v>42664</v>
          </cell>
          <cell r="I456">
            <v>27</v>
          </cell>
          <cell r="J456" t="str">
            <v>South East</v>
          </cell>
          <cell r="K456" t="str">
            <v>South East</v>
          </cell>
          <cell r="L456" t="str">
            <v>Oxfordshire</v>
          </cell>
          <cell r="M456" t="str">
            <v>Oxford East</v>
          </cell>
          <cell r="N456" t="str">
            <v>OX1 2AR</v>
          </cell>
          <cell r="O456" t="str">
            <v>Has a sixth form</v>
          </cell>
          <cell r="P456">
            <v>14</v>
          </cell>
          <cell r="Q456">
            <v>19</v>
          </cell>
          <cell r="R456" t="str">
            <v>None</v>
          </cell>
          <cell r="S456" t="str">
            <v>Ofsted</v>
          </cell>
          <cell r="T456" t="str">
            <v>NULL</v>
          </cell>
          <cell r="U456" t="str">
            <v>NULL</v>
          </cell>
          <cell r="V456" t="str">
            <v>NULL</v>
          </cell>
          <cell r="W456" t="str">
            <v>NULL</v>
          </cell>
          <cell r="X456" t="str">
            <v>NULL</v>
          </cell>
          <cell r="Y456" t="str">
            <v>NULL</v>
          </cell>
          <cell r="Z456" t="str">
            <v>NULL</v>
          </cell>
          <cell r="AA456">
            <v>10039170</v>
          </cell>
          <cell r="AB456" t="str">
            <v>Independent school standard inspection - first</v>
          </cell>
          <cell r="AC456" t="str">
            <v>Independent Standard Inspection</v>
          </cell>
          <cell r="AD456">
            <v>43004</v>
          </cell>
          <cell r="AE456">
            <v>43006</v>
          </cell>
          <cell r="AF456">
            <v>43041</v>
          </cell>
          <cell r="AG456">
            <v>2</v>
          </cell>
          <cell r="AH456">
            <v>2</v>
          </cell>
          <cell r="AI456">
            <v>2</v>
          </cell>
          <cell r="AJ456">
            <v>2</v>
          </cell>
          <cell r="AK456">
            <v>2</v>
          </cell>
          <cell r="AL456" t="str">
            <v>NULL</v>
          </cell>
          <cell r="AM456">
            <v>2</v>
          </cell>
          <cell r="AN456" t="str">
            <v>Yes</v>
          </cell>
          <cell r="AO456" t="str">
            <v>NULL</v>
          </cell>
          <cell r="AP456" t="str">
            <v>NULL</v>
          </cell>
          <cell r="AQ456" t="str">
            <v>NULL</v>
          </cell>
          <cell r="AR456" t="str">
            <v>NULL</v>
          </cell>
          <cell r="AS456" t="str">
            <v>NULL</v>
          </cell>
          <cell r="AT456" t="str">
            <v>NULL</v>
          </cell>
          <cell r="AU456" t="str">
            <v>NULL</v>
          </cell>
          <cell r="AV456" t="str">
            <v>NULL</v>
          </cell>
          <cell r="AW456" t="str">
            <v>NULL</v>
          </cell>
          <cell r="AX456" t="str">
            <v>NULL</v>
          </cell>
          <cell r="AY456" t="str">
            <v>NULL</v>
          </cell>
          <cell r="AZ456" t="str">
            <v>NULL</v>
          </cell>
          <cell r="BA456" t="str">
            <v>NULL</v>
          </cell>
          <cell r="BB456" t="str">
            <v>NULL</v>
          </cell>
        </row>
        <row r="457">
          <cell r="D457">
            <v>143046</v>
          </cell>
          <cell r="E457">
            <v>8466024</v>
          </cell>
          <cell r="F457" t="str">
            <v>Kings Brighton</v>
          </cell>
          <cell r="G457" t="str">
            <v>Other Independent School</v>
          </cell>
          <cell r="H457">
            <v>42830</v>
          </cell>
          <cell r="I457" t="str">
            <v>NULL</v>
          </cell>
          <cell r="J457" t="str">
            <v>South East</v>
          </cell>
          <cell r="K457" t="str">
            <v>South East</v>
          </cell>
          <cell r="L457" t="str">
            <v>Brighton and Hove</v>
          </cell>
          <cell r="M457" t="str">
            <v>Brighton, Pavilion</v>
          </cell>
          <cell r="N457" t="str">
            <v>BN1 4SB</v>
          </cell>
          <cell r="O457" t="str">
            <v>Has a sixth form</v>
          </cell>
          <cell r="P457">
            <v>14</v>
          </cell>
          <cell r="Q457">
            <v>19</v>
          </cell>
          <cell r="R457" t="str">
            <v>None</v>
          </cell>
          <cell r="S457" t="str">
            <v>Ofsted</v>
          </cell>
          <cell r="T457">
            <v>1</v>
          </cell>
          <cell r="U457">
            <v>10026641</v>
          </cell>
          <cell r="V457" t="str">
            <v xml:space="preserve">Independent School Pre-Registration inspection - integrated </v>
          </cell>
          <cell r="W457">
            <v>42807</v>
          </cell>
          <cell r="X457">
            <v>42807</v>
          </cell>
          <cell r="Y457" t="str">
            <v>NULL</v>
          </cell>
          <cell r="Z457" t="str">
            <v>Likely to meet all standards</v>
          </cell>
          <cell r="AA457" t="str">
            <v>NULL</v>
          </cell>
          <cell r="AB457" t="str">
            <v>NULL</v>
          </cell>
          <cell r="AC457" t="str">
            <v>NULL</v>
          </cell>
          <cell r="AD457" t="str">
            <v>NULL</v>
          </cell>
          <cell r="AE457" t="str">
            <v>NULL</v>
          </cell>
          <cell r="AF457" t="str">
            <v>NULL</v>
          </cell>
          <cell r="AG457" t="str">
            <v>NULL</v>
          </cell>
          <cell r="AH457" t="str">
            <v>NULL</v>
          </cell>
          <cell r="AI457" t="str">
            <v>NULL</v>
          </cell>
          <cell r="AJ457" t="str">
            <v>NULL</v>
          </cell>
          <cell r="AK457" t="str">
            <v>NULL</v>
          </cell>
          <cell r="AL457" t="str">
            <v>NULL</v>
          </cell>
          <cell r="AM457" t="str">
            <v>NULL</v>
          </cell>
          <cell r="AN457" t="str">
            <v>NULL</v>
          </cell>
          <cell r="AO457" t="str">
            <v>NULL</v>
          </cell>
          <cell r="AP457" t="str">
            <v>NULL</v>
          </cell>
          <cell r="AQ457" t="str">
            <v>NULL</v>
          </cell>
          <cell r="AR457" t="str">
            <v>NULL</v>
          </cell>
          <cell r="AS457" t="str">
            <v>NULL</v>
          </cell>
          <cell r="AT457" t="str">
            <v>NULL</v>
          </cell>
          <cell r="AU457" t="str">
            <v>NULL</v>
          </cell>
          <cell r="AV457" t="str">
            <v>NULL</v>
          </cell>
          <cell r="AW457" t="str">
            <v>NULL</v>
          </cell>
          <cell r="AX457" t="str">
            <v>NULL</v>
          </cell>
          <cell r="AY457" t="str">
            <v>NULL</v>
          </cell>
          <cell r="AZ457" t="str">
            <v>NULL</v>
          </cell>
          <cell r="BA457" t="str">
            <v>NULL</v>
          </cell>
          <cell r="BB457" t="str">
            <v>NULL</v>
          </cell>
        </row>
        <row r="458">
          <cell r="D458">
            <v>143048</v>
          </cell>
          <cell r="E458">
            <v>3186007</v>
          </cell>
          <cell r="F458" t="str">
            <v>Azbuka Russian-English Bilingual School</v>
          </cell>
          <cell r="G458" t="str">
            <v>Other Independent School</v>
          </cell>
          <cell r="H458">
            <v>42657</v>
          </cell>
          <cell r="I458" t="str">
            <v>NULL</v>
          </cell>
          <cell r="J458" t="str">
            <v>London</v>
          </cell>
          <cell r="K458" t="str">
            <v>London</v>
          </cell>
          <cell r="L458" t="str">
            <v>Richmond upon Thames</v>
          </cell>
          <cell r="M458" t="str">
            <v>Richmond Park</v>
          </cell>
          <cell r="N458" t="str">
            <v>SW14 8NH</v>
          </cell>
          <cell r="O458" t="str">
            <v>Does not have a sixth form</v>
          </cell>
          <cell r="P458">
            <v>2</v>
          </cell>
          <cell r="Q458">
            <v>11</v>
          </cell>
          <cell r="R458" t="str">
            <v>None</v>
          </cell>
          <cell r="S458" t="str">
            <v>Ofsted</v>
          </cell>
          <cell r="T458" t="str">
            <v>NULL</v>
          </cell>
          <cell r="U458" t="str">
            <v>NULL</v>
          </cell>
          <cell r="V458" t="str">
            <v>NULL</v>
          </cell>
          <cell r="W458" t="str">
            <v>NULL</v>
          </cell>
          <cell r="X458" t="str">
            <v>NULL</v>
          </cell>
          <cell r="Y458" t="str">
            <v>NULL</v>
          </cell>
          <cell r="Z458" t="str">
            <v>NULL</v>
          </cell>
          <cell r="AA458">
            <v>10041013</v>
          </cell>
          <cell r="AB458" t="str">
            <v>Independent school standard inspection - first</v>
          </cell>
          <cell r="AC458" t="str">
            <v>Independent Standard Inspection</v>
          </cell>
          <cell r="AD458">
            <v>43060</v>
          </cell>
          <cell r="AE458">
            <v>43062</v>
          </cell>
          <cell r="AF458">
            <v>43091</v>
          </cell>
          <cell r="AG458">
            <v>2</v>
          </cell>
          <cell r="AH458">
            <v>2</v>
          </cell>
          <cell r="AI458">
            <v>2</v>
          </cell>
          <cell r="AJ458">
            <v>2</v>
          </cell>
          <cell r="AK458">
            <v>2</v>
          </cell>
          <cell r="AL458" t="str">
            <v>NULL</v>
          </cell>
          <cell r="AM458" t="str">
            <v>NULL</v>
          </cell>
          <cell r="AN458" t="str">
            <v>Yes</v>
          </cell>
          <cell r="AO458" t="str">
            <v>NULL</v>
          </cell>
          <cell r="AP458" t="str">
            <v>NULL</v>
          </cell>
          <cell r="AQ458" t="str">
            <v>NULL</v>
          </cell>
          <cell r="AR458" t="str">
            <v>NULL</v>
          </cell>
          <cell r="AS458" t="str">
            <v>NULL</v>
          </cell>
          <cell r="AT458" t="str">
            <v>NULL</v>
          </cell>
          <cell r="AU458" t="str">
            <v>NULL</v>
          </cell>
          <cell r="AV458" t="str">
            <v>NULL</v>
          </cell>
          <cell r="AW458" t="str">
            <v>NULL</v>
          </cell>
          <cell r="AX458" t="str">
            <v>NULL</v>
          </cell>
          <cell r="AY458" t="str">
            <v>NULL</v>
          </cell>
          <cell r="AZ458" t="str">
            <v>NULL</v>
          </cell>
          <cell r="BA458" t="str">
            <v>NULL</v>
          </cell>
          <cell r="BB458" t="str">
            <v>NULL</v>
          </cell>
        </row>
        <row r="459">
          <cell r="D459">
            <v>143911</v>
          </cell>
          <cell r="E459">
            <v>9356004</v>
          </cell>
          <cell r="F459" t="str">
            <v>The Ryes College and Community</v>
          </cell>
          <cell r="G459" t="str">
            <v>Other Independent Special School</v>
          </cell>
          <cell r="H459">
            <v>29018</v>
          </cell>
          <cell r="I459">
            <v>13</v>
          </cell>
          <cell r="J459" t="str">
            <v>East of England</v>
          </cell>
          <cell r="K459" t="str">
            <v>East of England</v>
          </cell>
          <cell r="L459" t="str">
            <v>Suffolk</v>
          </cell>
          <cell r="M459" t="str">
            <v>South Suffolk</v>
          </cell>
          <cell r="N459" t="str">
            <v>CO10 5NA</v>
          </cell>
          <cell r="O459" t="str">
            <v>Not applicable</v>
          </cell>
          <cell r="P459">
            <v>11</v>
          </cell>
          <cell r="Q459">
            <v>18</v>
          </cell>
          <cell r="R459" t="str">
            <v>None</v>
          </cell>
          <cell r="S459" t="str">
            <v>Ofsted</v>
          </cell>
          <cell r="T459" t="str">
            <v>NULL</v>
          </cell>
          <cell r="U459" t="str">
            <v>NULL</v>
          </cell>
          <cell r="V459" t="str">
            <v>NULL</v>
          </cell>
          <cell r="W459" t="str">
            <v>NULL</v>
          </cell>
          <cell r="X459" t="str">
            <v>NULL</v>
          </cell>
          <cell r="Y459" t="str">
            <v>NULL</v>
          </cell>
          <cell r="Z459" t="str">
            <v>NULL</v>
          </cell>
          <cell r="AA459">
            <v>10038910</v>
          </cell>
          <cell r="AB459" t="str">
            <v>Independent School standard inspection</v>
          </cell>
          <cell r="AC459" t="str">
            <v>Independent Standard Inspection</v>
          </cell>
          <cell r="AD459">
            <v>43074</v>
          </cell>
          <cell r="AE459">
            <v>43076</v>
          </cell>
          <cell r="AF459">
            <v>43116</v>
          </cell>
          <cell r="AG459">
            <v>2</v>
          </cell>
          <cell r="AH459">
            <v>2</v>
          </cell>
          <cell r="AI459">
            <v>2</v>
          </cell>
          <cell r="AJ459">
            <v>2</v>
          </cell>
          <cell r="AK459">
            <v>2</v>
          </cell>
          <cell r="AL459" t="str">
            <v>NULL</v>
          </cell>
          <cell r="AM459">
            <v>2</v>
          </cell>
          <cell r="AN459" t="str">
            <v>Yes</v>
          </cell>
          <cell r="AO459" t="str">
            <v>NULL</v>
          </cell>
          <cell r="AP459" t="str">
            <v>NULL</v>
          </cell>
          <cell r="AQ459" t="str">
            <v>NULL</v>
          </cell>
          <cell r="AR459" t="str">
            <v>NULL</v>
          </cell>
          <cell r="AS459" t="str">
            <v>NULL</v>
          </cell>
          <cell r="AT459" t="str">
            <v>NULL</v>
          </cell>
          <cell r="AU459" t="str">
            <v>NULL</v>
          </cell>
          <cell r="AV459" t="str">
            <v>NULL</v>
          </cell>
          <cell r="AW459" t="str">
            <v>NULL</v>
          </cell>
          <cell r="AX459" t="str">
            <v>NULL</v>
          </cell>
          <cell r="AY459" t="str">
            <v>NULL</v>
          </cell>
          <cell r="AZ459" t="str">
            <v>NULL</v>
          </cell>
          <cell r="BA459" t="str">
            <v>NULL</v>
          </cell>
          <cell r="BB459" t="str">
            <v>NULL</v>
          </cell>
        </row>
        <row r="460">
          <cell r="D460">
            <v>143928</v>
          </cell>
          <cell r="E460">
            <v>8616014</v>
          </cell>
          <cell r="F460" t="str">
            <v>Foundation Bridge Academy</v>
          </cell>
          <cell r="G460" t="str">
            <v>Other Independent School</v>
          </cell>
          <cell r="H460">
            <v>42796</v>
          </cell>
          <cell r="I460" t="str">
            <v>NULL</v>
          </cell>
          <cell r="J460" t="str">
            <v>West Midlands</v>
          </cell>
          <cell r="K460" t="str">
            <v>West Midlands</v>
          </cell>
          <cell r="L460" t="str">
            <v>Stoke-on-Trent</v>
          </cell>
          <cell r="M460" t="str">
            <v>Stoke-on-Trent North</v>
          </cell>
          <cell r="N460" t="str">
            <v>ST6 1JJ</v>
          </cell>
          <cell r="O460" t="str">
            <v>Has a sixth form</v>
          </cell>
          <cell r="P460">
            <v>13</v>
          </cell>
          <cell r="Q460">
            <v>19</v>
          </cell>
          <cell r="R460" t="str">
            <v>None</v>
          </cell>
          <cell r="S460" t="str">
            <v>Ofsted</v>
          </cell>
          <cell r="T460" t="str">
            <v>NULL</v>
          </cell>
          <cell r="U460" t="str">
            <v>NULL</v>
          </cell>
          <cell r="V460" t="str">
            <v>NULL</v>
          </cell>
          <cell r="W460" t="str">
            <v>NULL</v>
          </cell>
          <cell r="X460" t="str">
            <v>NULL</v>
          </cell>
          <cell r="Y460" t="str">
            <v>NULL</v>
          </cell>
          <cell r="Z460" t="str">
            <v>NULL</v>
          </cell>
          <cell r="AA460">
            <v>10041369</v>
          </cell>
          <cell r="AB460" t="str">
            <v>Independent school standard inspection - first</v>
          </cell>
          <cell r="AC460" t="str">
            <v>Independent Standard Inspection</v>
          </cell>
          <cell r="AD460">
            <v>43130</v>
          </cell>
          <cell r="AE460">
            <v>43132</v>
          </cell>
          <cell r="AF460">
            <v>43172</v>
          </cell>
          <cell r="AG460">
            <v>2</v>
          </cell>
          <cell r="AH460">
            <v>3</v>
          </cell>
          <cell r="AI460">
            <v>2</v>
          </cell>
          <cell r="AJ460">
            <v>2</v>
          </cell>
          <cell r="AK460">
            <v>2</v>
          </cell>
          <cell r="AL460" t="str">
            <v>NULL</v>
          </cell>
          <cell r="AM460" t="str">
            <v>NULL</v>
          </cell>
          <cell r="AN460" t="str">
            <v>Yes</v>
          </cell>
          <cell r="AO460" t="str">
            <v>NULL</v>
          </cell>
          <cell r="AP460" t="str">
            <v>NULL</v>
          </cell>
          <cell r="AQ460" t="str">
            <v>NULL</v>
          </cell>
          <cell r="AR460" t="str">
            <v>NULL</v>
          </cell>
          <cell r="AS460" t="str">
            <v>NULL</v>
          </cell>
          <cell r="AT460" t="str">
            <v>NULL</v>
          </cell>
          <cell r="AU460" t="str">
            <v>NULL</v>
          </cell>
          <cell r="AV460" t="str">
            <v>NULL</v>
          </cell>
          <cell r="AW460" t="str">
            <v>NULL</v>
          </cell>
          <cell r="AX460" t="str">
            <v>NULL</v>
          </cell>
          <cell r="AY460" t="str">
            <v>NULL</v>
          </cell>
          <cell r="AZ460" t="str">
            <v>NULL</v>
          </cell>
          <cell r="BA460" t="str">
            <v>NULL</v>
          </cell>
          <cell r="BB460" t="str">
            <v>NULL</v>
          </cell>
        </row>
        <row r="461">
          <cell r="D461">
            <v>143930</v>
          </cell>
          <cell r="E461">
            <v>8956004</v>
          </cell>
          <cell r="F461" t="str">
            <v>Cheshire Alternative Provision School</v>
          </cell>
          <cell r="G461" t="str">
            <v>Other Independent School</v>
          </cell>
          <cell r="H461">
            <v>42845</v>
          </cell>
          <cell r="I461" t="str">
            <v>NULL</v>
          </cell>
          <cell r="J461" t="str">
            <v>North West</v>
          </cell>
          <cell r="K461" t="str">
            <v>North West</v>
          </cell>
          <cell r="L461" t="str">
            <v>Cheshire East</v>
          </cell>
          <cell r="M461" t="str">
            <v>Congleton</v>
          </cell>
          <cell r="N461" t="str">
            <v>CW12 1EH</v>
          </cell>
          <cell r="O461" t="str">
            <v>Does not have a sixth form</v>
          </cell>
          <cell r="P461">
            <v>11</v>
          </cell>
          <cell r="Q461">
            <v>16</v>
          </cell>
          <cell r="R461" t="str">
            <v>None</v>
          </cell>
          <cell r="S461" t="str">
            <v>Ofsted</v>
          </cell>
          <cell r="T461">
            <v>1</v>
          </cell>
          <cell r="U461">
            <v>10033702</v>
          </cell>
          <cell r="V461" t="str">
            <v>Independent School Pre-registration Inspection</v>
          </cell>
          <cell r="W461">
            <v>42817</v>
          </cell>
          <cell r="X461">
            <v>42817</v>
          </cell>
          <cell r="Y461" t="str">
            <v>NULL</v>
          </cell>
          <cell r="Z461" t="str">
            <v>Likely to meet all standards</v>
          </cell>
          <cell r="AA461" t="str">
            <v>NULL</v>
          </cell>
          <cell r="AB461" t="str">
            <v>NULL</v>
          </cell>
          <cell r="AC461" t="str">
            <v>NULL</v>
          </cell>
          <cell r="AD461" t="str">
            <v>NULL</v>
          </cell>
          <cell r="AE461" t="str">
            <v>NULL</v>
          </cell>
          <cell r="AF461" t="str">
            <v>NULL</v>
          </cell>
          <cell r="AG461" t="str">
            <v>NULL</v>
          </cell>
          <cell r="AH461" t="str">
            <v>NULL</v>
          </cell>
          <cell r="AI461" t="str">
            <v>NULL</v>
          </cell>
          <cell r="AJ461" t="str">
            <v>NULL</v>
          </cell>
          <cell r="AK461" t="str">
            <v>NULL</v>
          </cell>
          <cell r="AL461" t="str">
            <v>NULL</v>
          </cell>
          <cell r="AM461" t="str">
            <v>NULL</v>
          </cell>
          <cell r="AN461" t="str">
            <v>NULL</v>
          </cell>
          <cell r="AO461" t="str">
            <v>NULL</v>
          </cell>
          <cell r="AP461" t="str">
            <v>NULL</v>
          </cell>
          <cell r="AQ461" t="str">
            <v>NULL</v>
          </cell>
          <cell r="AR461" t="str">
            <v>NULL</v>
          </cell>
          <cell r="AS461" t="str">
            <v>NULL</v>
          </cell>
          <cell r="AT461" t="str">
            <v>NULL</v>
          </cell>
          <cell r="AU461" t="str">
            <v>NULL</v>
          </cell>
          <cell r="AV461" t="str">
            <v>NULL</v>
          </cell>
          <cell r="AW461" t="str">
            <v>NULL</v>
          </cell>
          <cell r="AX461" t="str">
            <v>NULL</v>
          </cell>
          <cell r="AY461" t="str">
            <v>NULL</v>
          </cell>
          <cell r="AZ461" t="str">
            <v>NULL</v>
          </cell>
          <cell r="BA461" t="str">
            <v>NULL</v>
          </cell>
          <cell r="BB461" t="str">
            <v>NULL</v>
          </cell>
        </row>
        <row r="462">
          <cell r="D462">
            <v>143932</v>
          </cell>
          <cell r="E462">
            <v>8606045</v>
          </cell>
          <cell r="F462" t="str">
            <v>Bluebell School</v>
          </cell>
          <cell r="G462" t="str">
            <v>Other Independent Special School</v>
          </cell>
          <cell r="H462">
            <v>42905</v>
          </cell>
          <cell r="I462" t="str">
            <v>NULL</v>
          </cell>
          <cell r="J462" t="str">
            <v>West Midlands</v>
          </cell>
          <cell r="K462" t="str">
            <v>West Midlands</v>
          </cell>
          <cell r="L462" t="str">
            <v>Staffordshire</v>
          </cell>
          <cell r="M462" t="str">
            <v>Stoke-on-Trent North</v>
          </cell>
          <cell r="N462" t="str">
            <v>ST7 1EH</v>
          </cell>
          <cell r="O462" t="str">
            <v>Not applicable</v>
          </cell>
          <cell r="P462">
            <v>5</v>
          </cell>
          <cell r="Q462">
            <v>16</v>
          </cell>
          <cell r="R462" t="str">
            <v>None</v>
          </cell>
          <cell r="S462" t="str">
            <v>Ofsted</v>
          </cell>
          <cell r="T462">
            <v>1</v>
          </cell>
          <cell r="U462">
            <v>10034591</v>
          </cell>
          <cell r="V462" t="str">
            <v>Independent School Pre-registration Inspection</v>
          </cell>
          <cell r="W462">
            <v>42872</v>
          </cell>
          <cell r="X462">
            <v>42872</v>
          </cell>
          <cell r="Y462" t="str">
            <v>NULL</v>
          </cell>
          <cell r="Z462" t="str">
            <v>Likely to meet all standards</v>
          </cell>
          <cell r="AA462" t="str">
            <v>NULL</v>
          </cell>
          <cell r="AB462" t="str">
            <v>NULL</v>
          </cell>
          <cell r="AC462" t="str">
            <v>NULL</v>
          </cell>
          <cell r="AD462" t="str">
            <v>NULL</v>
          </cell>
          <cell r="AE462" t="str">
            <v>NULL</v>
          </cell>
          <cell r="AF462" t="str">
            <v>NULL</v>
          </cell>
          <cell r="AG462" t="str">
            <v>NULL</v>
          </cell>
          <cell r="AH462" t="str">
            <v>NULL</v>
          </cell>
          <cell r="AI462" t="str">
            <v>NULL</v>
          </cell>
          <cell r="AJ462" t="str">
            <v>NULL</v>
          </cell>
          <cell r="AK462" t="str">
            <v>NULL</v>
          </cell>
          <cell r="AL462" t="str">
            <v>NULL</v>
          </cell>
          <cell r="AM462" t="str">
            <v>NULL</v>
          </cell>
          <cell r="AN462" t="str">
            <v>NULL</v>
          </cell>
          <cell r="AO462" t="str">
            <v>NULL</v>
          </cell>
          <cell r="AP462" t="str">
            <v>NULL</v>
          </cell>
          <cell r="AQ462" t="str">
            <v>NULL</v>
          </cell>
          <cell r="AR462" t="str">
            <v>NULL</v>
          </cell>
          <cell r="AS462" t="str">
            <v>NULL</v>
          </cell>
          <cell r="AT462" t="str">
            <v>NULL</v>
          </cell>
          <cell r="AU462" t="str">
            <v>NULL</v>
          </cell>
          <cell r="AV462" t="str">
            <v>NULL</v>
          </cell>
          <cell r="AW462" t="str">
            <v>NULL</v>
          </cell>
          <cell r="AX462" t="str">
            <v>NULL</v>
          </cell>
          <cell r="AY462" t="str">
            <v>NULL</v>
          </cell>
          <cell r="AZ462" t="str">
            <v>NULL</v>
          </cell>
          <cell r="BA462" t="str">
            <v>NULL</v>
          </cell>
          <cell r="BB462" t="str">
            <v>NULL</v>
          </cell>
        </row>
        <row r="463">
          <cell r="D463">
            <v>143933</v>
          </cell>
          <cell r="E463">
            <v>2096003</v>
          </cell>
          <cell r="F463" t="str">
            <v>Education My Life Matters</v>
          </cell>
          <cell r="G463" t="str">
            <v>Other Independent School</v>
          </cell>
          <cell r="H463">
            <v>42718</v>
          </cell>
          <cell r="I463">
            <v>6</v>
          </cell>
          <cell r="J463" t="str">
            <v>London</v>
          </cell>
          <cell r="K463" t="str">
            <v>London</v>
          </cell>
          <cell r="L463" t="str">
            <v>Lewisham</v>
          </cell>
          <cell r="M463" t="str">
            <v>Lewisham West and Penge</v>
          </cell>
          <cell r="N463" t="str">
            <v>SE26 6AD</v>
          </cell>
          <cell r="O463" t="str">
            <v>Does not have a sixth form</v>
          </cell>
          <cell r="P463">
            <v>11</v>
          </cell>
          <cell r="Q463">
            <v>16</v>
          </cell>
          <cell r="R463" t="str">
            <v>None</v>
          </cell>
          <cell r="S463" t="str">
            <v>Ofsted</v>
          </cell>
          <cell r="T463">
            <v>1</v>
          </cell>
          <cell r="U463">
            <v>10011332</v>
          </cell>
          <cell r="V463" t="str">
            <v>Independent School Pre-registration Inspection</v>
          </cell>
          <cell r="W463">
            <v>42486</v>
          </cell>
          <cell r="X463">
            <v>42486</v>
          </cell>
          <cell r="Y463" t="str">
            <v>NULL</v>
          </cell>
          <cell r="Z463" t="str">
            <v>Likely to meet all standards</v>
          </cell>
          <cell r="AA463" t="str">
            <v>NULL</v>
          </cell>
          <cell r="AB463" t="str">
            <v>NULL</v>
          </cell>
          <cell r="AC463" t="str">
            <v>NULL</v>
          </cell>
          <cell r="AD463" t="str">
            <v>NULL</v>
          </cell>
          <cell r="AE463" t="str">
            <v>NULL</v>
          </cell>
          <cell r="AF463" t="str">
            <v>NULL</v>
          </cell>
          <cell r="AG463" t="str">
            <v>NULL</v>
          </cell>
          <cell r="AH463" t="str">
            <v>NULL</v>
          </cell>
          <cell r="AI463" t="str">
            <v>NULL</v>
          </cell>
          <cell r="AJ463" t="str">
            <v>NULL</v>
          </cell>
          <cell r="AK463" t="str">
            <v>NULL</v>
          </cell>
          <cell r="AL463" t="str">
            <v>NULL</v>
          </cell>
          <cell r="AM463" t="str">
            <v>NULL</v>
          </cell>
          <cell r="AN463" t="str">
            <v>NULL</v>
          </cell>
          <cell r="AO463" t="str">
            <v>NULL</v>
          </cell>
          <cell r="AP463" t="str">
            <v>NULL</v>
          </cell>
          <cell r="AQ463" t="str">
            <v>NULL</v>
          </cell>
          <cell r="AR463" t="str">
            <v>NULL</v>
          </cell>
          <cell r="AS463" t="str">
            <v>NULL</v>
          </cell>
          <cell r="AT463" t="str">
            <v>NULL</v>
          </cell>
          <cell r="AU463" t="str">
            <v>NULL</v>
          </cell>
          <cell r="AV463" t="str">
            <v>NULL</v>
          </cell>
          <cell r="AW463" t="str">
            <v>NULL</v>
          </cell>
          <cell r="AX463" t="str">
            <v>NULL</v>
          </cell>
          <cell r="AY463" t="str">
            <v>NULL</v>
          </cell>
          <cell r="AZ463" t="str">
            <v>NULL</v>
          </cell>
          <cell r="BA463" t="str">
            <v>NULL</v>
          </cell>
          <cell r="BB463" t="str">
            <v>NULL</v>
          </cell>
        </row>
        <row r="464">
          <cell r="D464">
            <v>143935</v>
          </cell>
          <cell r="E464">
            <v>9386003</v>
          </cell>
          <cell r="F464" t="str">
            <v>Reflections Small School</v>
          </cell>
          <cell r="G464" t="str">
            <v>Other Independent School</v>
          </cell>
          <cell r="H464">
            <v>42816</v>
          </cell>
          <cell r="I464" t="str">
            <v>NULL</v>
          </cell>
          <cell r="J464" t="str">
            <v>South East</v>
          </cell>
          <cell r="K464" t="str">
            <v>South East</v>
          </cell>
          <cell r="L464" t="str">
            <v>West Sussex</v>
          </cell>
          <cell r="M464" t="str">
            <v>Worthing West</v>
          </cell>
          <cell r="N464" t="str">
            <v>BN11 1PS</v>
          </cell>
          <cell r="O464" t="str">
            <v>Does not have a sixth form</v>
          </cell>
          <cell r="P464">
            <v>4</v>
          </cell>
          <cell r="Q464">
            <v>8</v>
          </cell>
          <cell r="R464" t="str">
            <v>None</v>
          </cell>
          <cell r="S464" t="str">
            <v>Ofsted</v>
          </cell>
          <cell r="T464">
            <v>1</v>
          </cell>
          <cell r="U464">
            <v>10026718</v>
          </cell>
          <cell r="V464" t="str">
            <v>Independent School Pre-registration Inspection</v>
          </cell>
          <cell r="W464">
            <v>42774</v>
          </cell>
          <cell r="X464">
            <v>42774</v>
          </cell>
          <cell r="Y464" t="str">
            <v>NULL</v>
          </cell>
          <cell r="Z464" t="str">
            <v>Likely to meet all standards</v>
          </cell>
          <cell r="AA464" t="str">
            <v>NULL</v>
          </cell>
          <cell r="AB464" t="str">
            <v>NULL</v>
          </cell>
          <cell r="AC464" t="str">
            <v>NULL</v>
          </cell>
          <cell r="AD464" t="str">
            <v>NULL</v>
          </cell>
          <cell r="AE464" t="str">
            <v>NULL</v>
          </cell>
          <cell r="AF464" t="str">
            <v>NULL</v>
          </cell>
          <cell r="AG464" t="str">
            <v>NULL</v>
          </cell>
          <cell r="AH464" t="str">
            <v>NULL</v>
          </cell>
          <cell r="AI464" t="str">
            <v>NULL</v>
          </cell>
          <cell r="AJ464" t="str">
            <v>NULL</v>
          </cell>
          <cell r="AK464" t="str">
            <v>NULL</v>
          </cell>
          <cell r="AL464" t="str">
            <v>NULL</v>
          </cell>
          <cell r="AM464" t="str">
            <v>NULL</v>
          </cell>
          <cell r="AN464" t="str">
            <v>NULL</v>
          </cell>
          <cell r="AO464" t="str">
            <v>NULL</v>
          </cell>
          <cell r="AP464" t="str">
            <v>NULL</v>
          </cell>
          <cell r="AQ464" t="str">
            <v>NULL</v>
          </cell>
          <cell r="AR464" t="str">
            <v>NULL</v>
          </cell>
          <cell r="AS464" t="str">
            <v>NULL</v>
          </cell>
          <cell r="AT464" t="str">
            <v>NULL</v>
          </cell>
          <cell r="AU464" t="str">
            <v>NULL</v>
          </cell>
          <cell r="AV464" t="str">
            <v>NULL</v>
          </cell>
          <cell r="AW464" t="str">
            <v>NULL</v>
          </cell>
          <cell r="AX464" t="str">
            <v>NULL</v>
          </cell>
          <cell r="AY464" t="str">
            <v>NULL</v>
          </cell>
          <cell r="AZ464" t="str">
            <v>NULL</v>
          </cell>
          <cell r="BA464" t="str">
            <v>NULL</v>
          </cell>
          <cell r="BB464" t="str">
            <v>NULL</v>
          </cell>
        </row>
        <row r="465">
          <cell r="D465">
            <v>144811</v>
          </cell>
          <cell r="E465">
            <v>3826007</v>
          </cell>
          <cell r="F465" t="str">
            <v>Rida Girls' High School</v>
          </cell>
          <cell r="G465" t="str">
            <v>Other Independent School</v>
          </cell>
          <cell r="H465">
            <v>42937</v>
          </cell>
          <cell r="I465" t="str">
            <v>NULL</v>
          </cell>
          <cell r="J465" t="str">
            <v>North East, Yorkshire and the Humber</v>
          </cell>
          <cell r="K465" t="str">
            <v>Yorkshire and the Humber</v>
          </cell>
          <cell r="L465" t="str">
            <v>Kirklees</v>
          </cell>
          <cell r="M465" t="str">
            <v>Dewsbury</v>
          </cell>
          <cell r="N465" t="str">
            <v>WF12 9NQ</v>
          </cell>
          <cell r="O465" t="str">
            <v>Does not have a sixth form</v>
          </cell>
          <cell r="P465">
            <v>11</v>
          </cell>
          <cell r="Q465">
            <v>12</v>
          </cell>
          <cell r="R465" t="str">
            <v>None</v>
          </cell>
          <cell r="S465" t="str">
            <v>Ofsted</v>
          </cell>
          <cell r="T465">
            <v>1</v>
          </cell>
          <cell r="U465">
            <v>10037908</v>
          </cell>
          <cell r="V465" t="str">
            <v>Independent School Pre-registration Inspection</v>
          </cell>
          <cell r="W465">
            <v>42914</v>
          </cell>
          <cell r="X465">
            <v>42914</v>
          </cell>
          <cell r="Y465" t="str">
            <v>NULL</v>
          </cell>
          <cell r="Z465" t="str">
            <v>Likely to meet all standards</v>
          </cell>
          <cell r="AA465" t="str">
            <v>NULL</v>
          </cell>
          <cell r="AB465" t="str">
            <v>NULL</v>
          </cell>
          <cell r="AC465" t="str">
            <v>NULL</v>
          </cell>
          <cell r="AD465" t="str">
            <v>NULL</v>
          </cell>
          <cell r="AE465" t="str">
            <v>NULL</v>
          </cell>
          <cell r="AF465" t="str">
            <v>NULL</v>
          </cell>
          <cell r="AG465" t="str">
            <v>NULL</v>
          </cell>
          <cell r="AH465" t="str">
            <v>NULL</v>
          </cell>
          <cell r="AI465" t="str">
            <v>NULL</v>
          </cell>
          <cell r="AJ465" t="str">
            <v>NULL</v>
          </cell>
          <cell r="AK465" t="str">
            <v>NULL</v>
          </cell>
          <cell r="AL465" t="str">
            <v>NULL</v>
          </cell>
          <cell r="AM465" t="str">
            <v>NULL</v>
          </cell>
          <cell r="AN465" t="str">
            <v>NULL</v>
          </cell>
          <cell r="AO465" t="str">
            <v>NULL</v>
          </cell>
          <cell r="AP465" t="str">
            <v>NULL</v>
          </cell>
          <cell r="AQ465" t="str">
            <v>NULL</v>
          </cell>
          <cell r="AR465" t="str">
            <v>NULL</v>
          </cell>
          <cell r="AS465" t="str">
            <v>NULL</v>
          </cell>
          <cell r="AT465" t="str">
            <v>NULL</v>
          </cell>
          <cell r="AU465" t="str">
            <v>NULL</v>
          </cell>
          <cell r="AV465" t="str">
            <v>NULL</v>
          </cell>
          <cell r="AW465" t="str">
            <v>NULL</v>
          </cell>
          <cell r="AX465" t="str">
            <v>NULL</v>
          </cell>
          <cell r="AY465" t="str">
            <v>NULL</v>
          </cell>
          <cell r="AZ465" t="str">
            <v>NULL</v>
          </cell>
          <cell r="BA465" t="str">
            <v>NULL</v>
          </cell>
          <cell r="BB465" t="str">
            <v>NULL</v>
          </cell>
        </row>
        <row r="466">
          <cell r="D466">
            <v>144816</v>
          </cell>
          <cell r="E466">
            <v>8886073</v>
          </cell>
          <cell r="F466" t="str">
            <v>Olive High Ltd</v>
          </cell>
          <cell r="G466" t="str">
            <v>Other Independent School</v>
          </cell>
          <cell r="H466">
            <v>42923</v>
          </cell>
          <cell r="I466" t="str">
            <v>NULL</v>
          </cell>
          <cell r="J466" t="str">
            <v>North West</v>
          </cell>
          <cell r="K466" t="str">
            <v>North West</v>
          </cell>
          <cell r="L466" t="str">
            <v>Lancashire</v>
          </cell>
          <cell r="M466" t="str">
            <v>Burnley</v>
          </cell>
          <cell r="N466" t="str">
            <v>BB10 1LJ</v>
          </cell>
          <cell r="O466" t="str">
            <v>Does not have a sixth form</v>
          </cell>
          <cell r="P466">
            <v>11</v>
          </cell>
          <cell r="Q466">
            <v>16</v>
          </cell>
          <cell r="R466" t="str">
            <v>None</v>
          </cell>
          <cell r="S466" t="str">
            <v>Ofsted</v>
          </cell>
          <cell r="T466">
            <v>1</v>
          </cell>
          <cell r="U466">
            <v>10037576</v>
          </cell>
          <cell r="V466" t="str">
            <v>Independent School Pre-registration Inspection</v>
          </cell>
          <cell r="W466">
            <v>42908</v>
          </cell>
          <cell r="X466">
            <v>42908</v>
          </cell>
          <cell r="Y466" t="str">
            <v>NULL</v>
          </cell>
          <cell r="Z466" t="str">
            <v>Likely to meet all standards</v>
          </cell>
          <cell r="AA466" t="str">
            <v>NULL</v>
          </cell>
          <cell r="AB466" t="str">
            <v>NULL</v>
          </cell>
          <cell r="AC466" t="str">
            <v>NULL</v>
          </cell>
          <cell r="AD466" t="str">
            <v>NULL</v>
          </cell>
          <cell r="AE466" t="str">
            <v>NULL</v>
          </cell>
          <cell r="AF466" t="str">
            <v>NULL</v>
          </cell>
          <cell r="AG466" t="str">
            <v>NULL</v>
          </cell>
          <cell r="AH466" t="str">
            <v>NULL</v>
          </cell>
          <cell r="AI466" t="str">
            <v>NULL</v>
          </cell>
          <cell r="AJ466" t="str">
            <v>NULL</v>
          </cell>
          <cell r="AK466" t="str">
            <v>NULL</v>
          </cell>
          <cell r="AL466" t="str">
            <v>NULL</v>
          </cell>
          <cell r="AM466" t="str">
            <v>NULL</v>
          </cell>
          <cell r="AN466" t="str">
            <v>NULL</v>
          </cell>
          <cell r="AO466" t="str">
            <v>NULL</v>
          </cell>
          <cell r="AP466" t="str">
            <v>NULL</v>
          </cell>
          <cell r="AQ466" t="str">
            <v>NULL</v>
          </cell>
          <cell r="AR466" t="str">
            <v>NULL</v>
          </cell>
          <cell r="AS466" t="str">
            <v>NULL</v>
          </cell>
          <cell r="AT466" t="str">
            <v>NULL</v>
          </cell>
          <cell r="AU466" t="str">
            <v>NULL</v>
          </cell>
          <cell r="AV466" t="str">
            <v>NULL</v>
          </cell>
          <cell r="AW466" t="str">
            <v>NULL</v>
          </cell>
          <cell r="AX466" t="str">
            <v>NULL</v>
          </cell>
          <cell r="AY466" t="str">
            <v>NULL</v>
          </cell>
          <cell r="AZ466" t="str">
            <v>NULL</v>
          </cell>
          <cell r="BA466" t="str">
            <v>NULL</v>
          </cell>
          <cell r="BB466" t="str">
            <v>NULL</v>
          </cell>
        </row>
        <row r="467">
          <cell r="D467">
            <v>144818</v>
          </cell>
          <cell r="E467">
            <v>8816069</v>
          </cell>
          <cell r="F467" t="str">
            <v>Open Box Education Centre</v>
          </cell>
          <cell r="G467" t="str">
            <v>Other Independent School</v>
          </cell>
          <cell r="H467">
            <v>42993</v>
          </cell>
          <cell r="I467" t="str">
            <v>NULL</v>
          </cell>
          <cell r="J467" t="str">
            <v>East of England</v>
          </cell>
          <cell r="K467" t="str">
            <v>East of England</v>
          </cell>
          <cell r="L467" t="str">
            <v>Essex</v>
          </cell>
          <cell r="M467" t="str">
            <v>Epping Forest</v>
          </cell>
          <cell r="N467" t="str">
            <v>CM16 5DN</v>
          </cell>
          <cell r="O467" t="str">
            <v>Does not have a sixth form</v>
          </cell>
          <cell r="P467">
            <v>14</v>
          </cell>
          <cell r="Q467">
            <v>16</v>
          </cell>
          <cell r="R467" t="str">
            <v>None</v>
          </cell>
          <cell r="S467" t="str">
            <v>Ofsted</v>
          </cell>
          <cell r="T467">
            <v>2</v>
          </cell>
          <cell r="U467">
            <v>10038402</v>
          </cell>
          <cell r="V467" t="str">
            <v>Independent School Pre-registration Inspection</v>
          </cell>
          <cell r="W467">
            <v>42934</v>
          </cell>
          <cell r="X467">
            <v>42934</v>
          </cell>
          <cell r="Y467" t="str">
            <v>NULL</v>
          </cell>
          <cell r="Z467" t="str">
            <v>Operating without registration and unlikely to meet all standards</v>
          </cell>
          <cell r="AA467" t="str">
            <v>NULL</v>
          </cell>
          <cell r="AB467" t="str">
            <v>NULL</v>
          </cell>
          <cell r="AC467" t="str">
            <v>NULL</v>
          </cell>
          <cell r="AD467" t="str">
            <v>NULL</v>
          </cell>
          <cell r="AE467" t="str">
            <v>NULL</v>
          </cell>
          <cell r="AF467" t="str">
            <v>NULL</v>
          </cell>
          <cell r="AG467" t="str">
            <v>NULL</v>
          </cell>
          <cell r="AH467" t="str">
            <v>NULL</v>
          </cell>
          <cell r="AI467" t="str">
            <v>NULL</v>
          </cell>
          <cell r="AJ467" t="str">
            <v>NULL</v>
          </cell>
          <cell r="AK467" t="str">
            <v>NULL</v>
          </cell>
          <cell r="AL467" t="str">
            <v>NULL</v>
          </cell>
          <cell r="AM467" t="str">
            <v>NULL</v>
          </cell>
          <cell r="AN467" t="str">
            <v>NULL</v>
          </cell>
          <cell r="AO467" t="str">
            <v>NULL</v>
          </cell>
          <cell r="AP467" t="str">
            <v>NULL</v>
          </cell>
          <cell r="AQ467" t="str">
            <v>NULL</v>
          </cell>
          <cell r="AR467" t="str">
            <v>NULL</v>
          </cell>
          <cell r="AS467" t="str">
            <v>NULL</v>
          </cell>
          <cell r="AT467" t="str">
            <v>NULL</v>
          </cell>
          <cell r="AU467" t="str">
            <v>NULL</v>
          </cell>
          <cell r="AV467" t="str">
            <v>NULL</v>
          </cell>
          <cell r="AW467" t="str">
            <v>NULL</v>
          </cell>
          <cell r="AX467" t="str">
            <v>NULL</v>
          </cell>
          <cell r="AY467" t="str">
            <v>NULL</v>
          </cell>
          <cell r="AZ467" t="str">
            <v>NULL</v>
          </cell>
          <cell r="BA467" t="str">
            <v>NULL</v>
          </cell>
          <cell r="BB467" t="str">
            <v>NULL</v>
          </cell>
        </row>
        <row r="468">
          <cell r="D468">
            <v>144820</v>
          </cell>
          <cell r="E468">
            <v>3306034</v>
          </cell>
          <cell r="F468" t="str">
            <v>Central Birmingham Education Centre</v>
          </cell>
          <cell r="G468" t="str">
            <v>Other Independent School</v>
          </cell>
          <cell r="H468">
            <v>42979</v>
          </cell>
          <cell r="I468" t="str">
            <v>NULL</v>
          </cell>
          <cell r="J468" t="str">
            <v>West Midlands</v>
          </cell>
          <cell r="K468" t="str">
            <v>West Midlands</v>
          </cell>
          <cell r="L468" t="str">
            <v>Birmingham</v>
          </cell>
          <cell r="M468" t="str">
            <v>Birmingham, Ladywood</v>
          </cell>
          <cell r="N468" t="str">
            <v>B18 7HF</v>
          </cell>
          <cell r="O468" t="str">
            <v>Does not have a sixth form</v>
          </cell>
          <cell r="P468">
            <v>11</v>
          </cell>
          <cell r="Q468">
            <v>16</v>
          </cell>
          <cell r="R468" t="str">
            <v>None</v>
          </cell>
          <cell r="S468" t="str">
            <v>Ofsted</v>
          </cell>
          <cell r="T468">
            <v>1</v>
          </cell>
          <cell r="U468">
            <v>10038726</v>
          </cell>
          <cell r="V468" t="str">
            <v>Independent School Pre-registration Inspection</v>
          </cell>
          <cell r="W468">
            <v>42935</v>
          </cell>
          <cell r="X468">
            <v>42935</v>
          </cell>
          <cell r="Y468" t="str">
            <v>NULL</v>
          </cell>
          <cell r="Z468" t="str">
            <v>Operating without registration and likely to meet all standards</v>
          </cell>
          <cell r="AA468" t="str">
            <v>NULL</v>
          </cell>
          <cell r="AB468" t="str">
            <v>NULL</v>
          </cell>
          <cell r="AC468" t="str">
            <v>NULL</v>
          </cell>
          <cell r="AD468" t="str">
            <v>NULL</v>
          </cell>
          <cell r="AE468" t="str">
            <v>NULL</v>
          </cell>
          <cell r="AF468" t="str">
            <v>NULL</v>
          </cell>
          <cell r="AG468" t="str">
            <v>NULL</v>
          </cell>
          <cell r="AH468" t="str">
            <v>NULL</v>
          </cell>
          <cell r="AI468" t="str">
            <v>NULL</v>
          </cell>
          <cell r="AJ468" t="str">
            <v>NULL</v>
          </cell>
          <cell r="AK468" t="str">
            <v>NULL</v>
          </cell>
          <cell r="AL468" t="str">
            <v>NULL</v>
          </cell>
          <cell r="AM468" t="str">
            <v>NULL</v>
          </cell>
          <cell r="AN468" t="str">
            <v>NULL</v>
          </cell>
          <cell r="AO468" t="str">
            <v>NULL</v>
          </cell>
          <cell r="AP468" t="str">
            <v>NULL</v>
          </cell>
          <cell r="AQ468" t="str">
            <v>NULL</v>
          </cell>
          <cell r="AR468" t="str">
            <v>NULL</v>
          </cell>
          <cell r="AS468" t="str">
            <v>NULL</v>
          </cell>
          <cell r="AT468" t="str">
            <v>NULL</v>
          </cell>
          <cell r="AU468" t="str">
            <v>NULL</v>
          </cell>
          <cell r="AV468" t="str">
            <v>NULL</v>
          </cell>
          <cell r="AW468" t="str">
            <v>NULL</v>
          </cell>
          <cell r="AX468" t="str">
            <v>NULL</v>
          </cell>
          <cell r="AY468" t="str">
            <v>NULL</v>
          </cell>
          <cell r="AZ468" t="str">
            <v>NULL</v>
          </cell>
          <cell r="BA468" t="str">
            <v>NULL</v>
          </cell>
          <cell r="BB468" t="str">
            <v>NULL</v>
          </cell>
        </row>
        <row r="469">
          <cell r="D469">
            <v>144855</v>
          </cell>
          <cell r="E469">
            <v>8526012</v>
          </cell>
          <cell r="F469" t="str">
            <v>Assure Community College</v>
          </cell>
          <cell r="G469" t="str">
            <v>Other Independent School</v>
          </cell>
          <cell r="H469">
            <v>43019</v>
          </cell>
          <cell r="I469" t="str">
            <v>NULL</v>
          </cell>
          <cell r="J469" t="str">
            <v>South East</v>
          </cell>
          <cell r="K469" t="str">
            <v>South East</v>
          </cell>
          <cell r="L469" t="str">
            <v>Southampton</v>
          </cell>
          <cell r="M469" t="str">
            <v>Romsey and Southampton North</v>
          </cell>
          <cell r="N469" t="str">
            <v>SO16 6RB</v>
          </cell>
          <cell r="O469" t="str">
            <v>Has a sixth form</v>
          </cell>
          <cell r="P469">
            <v>5</v>
          </cell>
          <cell r="Q469">
            <v>25</v>
          </cell>
          <cell r="R469" t="str">
            <v>None</v>
          </cell>
          <cell r="S469" t="str">
            <v>Ofsted</v>
          </cell>
          <cell r="T469">
            <v>1</v>
          </cell>
          <cell r="U469">
            <v>10039985</v>
          </cell>
          <cell r="V469" t="str">
            <v>Independent School Pre-registration Inspection</v>
          </cell>
          <cell r="W469">
            <v>42984</v>
          </cell>
          <cell r="X469">
            <v>42984</v>
          </cell>
          <cell r="Y469" t="str">
            <v>NULL</v>
          </cell>
          <cell r="Z469" t="str">
            <v>Likely to meet all standards</v>
          </cell>
          <cell r="AA469" t="str">
            <v>NULL</v>
          </cell>
          <cell r="AB469" t="str">
            <v>NULL</v>
          </cell>
          <cell r="AC469" t="str">
            <v>NULL</v>
          </cell>
          <cell r="AD469" t="str">
            <v>NULL</v>
          </cell>
          <cell r="AE469" t="str">
            <v>NULL</v>
          </cell>
          <cell r="AF469" t="str">
            <v>NULL</v>
          </cell>
          <cell r="AG469" t="str">
            <v>NULL</v>
          </cell>
          <cell r="AH469" t="str">
            <v>NULL</v>
          </cell>
          <cell r="AI469" t="str">
            <v>NULL</v>
          </cell>
          <cell r="AJ469" t="str">
            <v>NULL</v>
          </cell>
          <cell r="AK469" t="str">
            <v>NULL</v>
          </cell>
          <cell r="AL469" t="str">
            <v>NULL</v>
          </cell>
          <cell r="AM469" t="str">
            <v>NULL</v>
          </cell>
          <cell r="AN469" t="str">
            <v>NULL</v>
          </cell>
          <cell r="AO469" t="str">
            <v>NULL</v>
          </cell>
          <cell r="AP469" t="str">
            <v>NULL</v>
          </cell>
          <cell r="AQ469" t="str">
            <v>NULL</v>
          </cell>
          <cell r="AR469" t="str">
            <v>NULL</v>
          </cell>
          <cell r="AS469" t="str">
            <v>NULL</v>
          </cell>
          <cell r="AT469" t="str">
            <v>NULL</v>
          </cell>
          <cell r="AU469" t="str">
            <v>NULL</v>
          </cell>
          <cell r="AV469" t="str">
            <v>NULL</v>
          </cell>
          <cell r="AW469" t="str">
            <v>NULL</v>
          </cell>
          <cell r="AX469" t="str">
            <v>NULL</v>
          </cell>
          <cell r="AY469" t="str">
            <v>NULL</v>
          </cell>
          <cell r="AZ469" t="str">
            <v>NULL</v>
          </cell>
          <cell r="BA469" t="str">
            <v>NULL</v>
          </cell>
          <cell r="BB469" t="str">
            <v>NULL</v>
          </cell>
        </row>
        <row r="470">
          <cell r="D470">
            <v>144856</v>
          </cell>
          <cell r="E470">
            <v>3416010</v>
          </cell>
          <cell r="F470" t="str">
            <v>Progress Schools - Wirral</v>
          </cell>
          <cell r="G470" t="str">
            <v>Other Independent School</v>
          </cell>
          <cell r="H470">
            <v>42991</v>
          </cell>
          <cell r="I470" t="str">
            <v>NULL</v>
          </cell>
          <cell r="J470" t="str">
            <v>North West</v>
          </cell>
          <cell r="K470" t="str">
            <v>North West</v>
          </cell>
          <cell r="L470" t="str">
            <v>Liverpool</v>
          </cell>
          <cell r="M470" t="str">
            <v>Birkenhead</v>
          </cell>
          <cell r="N470" t="str">
            <v>CH41 4EA</v>
          </cell>
          <cell r="O470" t="str">
            <v>Does not have a sixth form</v>
          </cell>
          <cell r="P470">
            <v>12</v>
          </cell>
          <cell r="Q470">
            <v>16</v>
          </cell>
          <cell r="R470" t="str">
            <v>None</v>
          </cell>
          <cell r="S470" t="str">
            <v>Ofsted</v>
          </cell>
          <cell r="T470">
            <v>1</v>
          </cell>
          <cell r="U470">
            <v>10039948</v>
          </cell>
          <cell r="V470" t="str">
            <v>Independent School Pre-registration Inspection</v>
          </cell>
          <cell r="W470">
            <v>42964</v>
          </cell>
          <cell r="X470">
            <v>42964</v>
          </cell>
          <cell r="Y470" t="str">
            <v>NULL</v>
          </cell>
          <cell r="Z470" t="str">
            <v>Likely to meet all standards</v>
          </cell>
          <cell r="AA470" t="str">
            <v>NULL</v>
          </cell>
          <cell r="AB470" t="str">
            <v>NULL</v>
          </cell>
          <cell r="AC470" t="str">
            <v>NULL</v>
          </cell>
          <cell r="AD470" t="str">
            <v>NULL</v>
          </cell>
          <cell r="AE470" t="str">
            <v>NULL</v>
          </cell>
          <cell r="AF470" t="str">
            <v>NULL</v>
          </cell>
          <cell r="AG470" t="str">
            <v>NULL</v>
          </cell>
          <cell r="AH470" t="str">
            <v>NULL</v>
          </cell>
          <cell r="AI470" t="str">
            <v>NULL</v>
          </cell>
          <cell r="AJ470" t="str">
            <v>NULL</v>
          </cell>
          <cell r="AK470" t="str">
            <v>NULL</v>
          </cell>
          <cell r="AL470" t="str">
            <v>NULL</v>
          </cell>
          <cell r="AM470" t="str">
            <v>NULL</v>
          </cell>
          <cell r="AN470" t="str">
            <v>NULL</v>
          </cell>
          <cell r="AO470" t="str">
            <v>NULL</v>
          </cell>
          <cell r="AP470" t="str">
            <v>NULL</v>
          </cell>
          <cell r="AQ470" t="str">
            <v>NULL</v>
          </cell>
          <cell r="AR470" t="str">
            <v>NULL</v>
          </cell>
          <cell r="AS470" t="str">
            <v>NULL</v>
          </cell>
          <cell r="AT470" t="str">
            <v>NULL</v>
          </cell>
          <cell r="AU470" t="str">
            <v>NULL</v>
          </cell>
          <cell r="AV470" t="str">
            <v>NULL</v>
          </cell>
          <cell r="AW470" t="str">
            <v>NULL</v>
          </cell>
          <cell r="AX470" t="str">
            <v>NULL</v>
          </cell>
          <cell r="AY470" t="str">
            <v>NULL</v>
          </cell>
          <cell r="AZ470" t="str">
            <v>NULL</v>
          </cell>
          <cell r="BA470" t="str">
            <v>NULL</v>
          </cell>
          <cell r="BB470" t="str">
            <v>NULL</v>
          </cell>
        </row>
        <row r="471">
          <cell r="D471">
            <v>113623</v>
          </cell>
          <cell r="E471">
            <v>8786045</v>
          </cell>
          <cell r="F471" t="str">
            <v>Magdalen Court School</v>
          </cell>
          <cell r="G471" t="str">
            <v>Other Independent School</v>
          </cell>
          <cell r="H471">
            <v>33522</v>
          </cell>
          <cell r="I471">
            <v>51</v>
          </cell>
          <cell r="J471" t="str">
            <v>South West</v>
          </cell>
          <cell r="K471" t="str">
            <v>South West</v>
          </cell>
          <cell r="L471" t="str">
            <v>Devon</v>
          </cell>
          <cell r="M471" t="str">
            <v>Exeter</v>
          </cell>
          <cell r="N471" t="str">
            <v>EX2 4NU</v>
          </cell>
          <cell r="O471" t="str">
            <v>Has a sixth form</v>
          </cell>
          <cell r="P471">
            <v>5</v>
          </cell>
          <cell r="Q471">
            <v>18</v>
          </cell>
          <cell r="R471" t="str">
            <v>None</v>
          </cell>
          <cell r="S471" t="str">
            <v>Ofsted</v>
          </cell>
          <cell r="T471" t="str">
            <v>NULL</v>
          </cell>
          <cell r="U471" t="str">
            <v>NULL</v>
          </cell>
          <cell r="V471" t="str">
            <v>NULL</v>
          </cell>
          <cell r="W471" t="str">
            <v>NULL</v>
          </cell>
          <cell r="X471" t="str">
            <v>NULL</v>
          </cell>
          <cell r="Y471" t="str">
            <v>NULL</v>
          </cell>
          <cell r="Z471" t="str">
            <v>NULL</v>
          </cell>
          <cell r="AA471">
            <v>10035558</v>
          </cell>
          <cell r="AB471" t="str">
            <v>Independent School standard inspection</v>
          </cell>
          <cell r="AC471" t="str">
            <v>Independent Standard Inspection</v>
          </cell>
          <cell r="AD471">
            <v>43067</v>
          </cell>
          <cell r="AE471">
            <v>43069</v>
          </cell>
          <cell r="AF471">
            <v>43116</v>
          </cell>
          <cell r="AG471">
            <v>4</v>
          </cell>
          <cell r="AH471">
            <v>4</v>
          </cell>
          <cell r="AI471">
            <v>4</v>
          </cell>
          <cell r="AJ471">
            <v>4</v>
          </cell>
          <cell r="AK471">
            <v>4</v>
          </cell>
          <cell r="AL471" t="str">
            <v>NULL</v>
          </cell>
          <cell r="AM471" t="str">
            <v>NULL</v>
          </cell>
          <cell r="AN471" t="str">
            <v>Yes</v>
          </cell>
          <cell r="AO471" t="str">
            <v>ITS364237</v>
          </cell>
          <cell r="AP471" t="str">
            <v>Independent School standard inspection</v>
          </cell>
          <cell r="AQ471" t="str">
            <v>Independent Standard Inspection</v>
          </cell>
          <cell r="AR471">
            <v>40583</v>
          </cell>
          <cell r="AS471">
            <v>40584</v>
          </cell>
          <cell r="AT471">
            <v>40635</v>
          </cell>
          <cell r="AU471">
            <v>3</v>
          </cell>
          <cell r="AV471">
            <v>3</v>
          </cell>
          <cell r="AW471">
            <v>3</v>
          </cell>
          <cell r="AX471" t="str">
            <v>NULL</v>
          </cell>
          <cell r="AY471" t="str">
            <v>NULL</v>
          </cell>
          <cell r="AZ471">
            <v>3</v>
          </cell>
          <cell r="BA471" t="str">
            <v>NULL</v>
          </cell>
          <cell r="BB471" t="str">
            <v>NULL</v>
          </cell>
        </row>
        <row r="472">
          <cell r="D472">
            <v>136264</v>
          </cell>
          <cell r="E472">
            <v>3526071</v>
          </cell>
          <cell r="F472" t="str">
            <v>Manchester  Young Lives</v>
          </cell>
          <cell r="G472" t="str">
            <v>Other Independent School</v>
          </cell>
          <cell r="H472">
            <v>40518</v>
          </cell>
          <cell r="I472">
            <v>36</v>
          </cell>
          <cell r="J472" t="str">
            <v>North West</v>
          </cell>
          <cell r="K472" t="str">
            <v>North West</v>
          </cell>
          <cell r="L472" t="str">
            <v>Manchester</v>
          </cell>
          <cell r="M472" t="str">
            <v>Wythenshawe and Sale East</v>
          </cell>
          <cell r="N472" t="str">
            <v>M22 9TF</v>
          </cell>
          <cell r="O472" t="str">
            <v>Does not have a sixth form</v>
          </cell>
          <cell r="P472">
            <v>13</v>
          </cell>
          <cell r="Q472">
            <v>16</v>
          </cell>
          <cell r="R472" t="str">
            <v>None</v>
          </cell>
          <cell r="S472" t="str">
            <v>Ofsted</v>
          </cell>
          <cell r="T472" t="str">
            <v>NULL</v>
          </cell>
          <cell r="U472" t="str">
            <v>NULL</v>
          </cell>
          <cell r="V472" t="str">
            <v>NULL</v>
          </cell>
          <cell r="W472" t="str">
            <v>NULL</v>
          </cell>
          <cell r="X472" t="str">
            <v>NULL</v>
          </cell>
          <cell r="Y472" t="str">
            <v>NULL</v>
          </cell>
          <cell r="Z472" t="str">
            <v>NULL</v>
          </cell>
          <cell r="AA472" t="str">
            <v>ITS454299</v>
          </cell>
          <cell r="AB472" t="str">
            <v>Independent School standard inspection</v>
          </cell>
          <cell r="AC472" t="str">
            <v>Independent Standard Inspection</v>
          </cell>
          <cell r="AD472">
            <v>42080</v>
          </cell>
          <cell r="AE472">
            <v>42082</v>
          </cell>
          <cell r="AF472">
            <v>42116</v>
          </cell>
          <cell r="AG472">
            <v>2</v>
          </cell>
          <cell r="AH472">
            <v>2</v>
          </cell>
          <cell r="AI472">
            <v>2</v>
          </cell>
          <cell r="AJ472">
            <v>2</v>
          </cell>
          <cell r="AK472" t="str">
            <v>NULL</v>
          </cell>
          <cell r="AL472">
            <v>9</v>
          </cell>
          <cell r="AM472">
            <v>9</v>
          </cell>
          <cell r="AN472" t="str">
            <v>NULL</v>
          </cell>
          <cell r="AO472" t="str">
            <v>ITS385138</v>
          </cell>
          <cell r="AP472" t="str">
            <v>Independent School standard inspection</v>
          </cell>
          <cell r="AQ472" t="str">
            <v>Independent Standard Inspection</v>
          </cell>
          <cell r="AR472">
            <v>40862</v>
          </cell>
          <cell r="AS472">
            <v>40863</v>
          </cell>
          <cell r="AT472">
            <v>40884</v>
          </cell>
          <cell r="AU472">
            <v>3</v>
          </cell>
          <cell r="AV472">
            <v>3</v>
          </cell>
          <cell r="AW472">
            <v>3</v>
          </cell>
          <cell r="AX472" t="str">
            <v>NULL</v>
          </cell>
          <cell r="AY472" t="str">
            <v>NULL</v>
          </cell>
          <cell r="AZ472">
            <v>8</v>
          </cell>
          <cell r="BA472" t="str">
            <v>NULL</v>
          </cell>
          <cell r="BB472" t="str">
            <v>NULL</v>
          </cell>
        </row>
        <row r="473">
          <cell r="D473">
            <v>130318</v>
          </cell>
          <cell r="E473">
            <v>3526040</v>
          </cell>
          <cell r="F473" t="str">
            <v>Manchester Islamic High School for Girls</v>
          </cell>
          <cell r="G473" t="str">
            <v>Other Independent School</v>
          </cell>
          <cell r="H473">
            <v>33764</v>
          </cell>
          <cell r="I473">
            <v>226</v>
          </cell>
          <cell r="J473" t="str">
            <v>North West</v>
          </cell>
          <cell r="K473" t="str">
            <v>North West</v>
          </cell>
          <cell r="L473" t="str">
            <v>Manchester</v>
          </cell>
          <cell r="M473" t="str">
            <v>Manchester, Withington</v>
          </cell>
          <cell r="N473" t="str">
            <v>M21 9FA</v>
          </cell>
          <cell r="O473" t="str">
            <v>Does not have a sixth form</v>
          </cell>
          <cell r="P473">
            <v>11</v>
          </cell>
          <cell r="Q473">
            <v>16</v>
          </cell>
          <cell r="R473" t="str">
            <v>Islam</v>
          </cell>
          <cell r="S473" t="str">
            <v>Ofsted</v>
          </cell>
          <cell r="T473" t="str">
            <v>NULL</v>
          </cell>
          <cell r="U473" t="str">
            <v>NULL</v>
          </cell>
          <cell r="V473" t="str">
            <v>NULL</v>
          </cell>
          <cell r="W473" t="str">
            <v>NULL</v>
          </cell>
          <cell r="X473" t="str">
            <v>NULL</v>
          </cell>
          <cell r="Y473" t="str">
            <v>NULL</v>
          </cell>
          <cell r="Z473" t="str">
            <v>NULL</v>
          </cell>
          <cell r="AA473">
            <v>10007534</v>
          </cell>
          <cell r="AB473" t="str">
            <v>Independent School standard inspection</v>
          </cell>
          <cell r="AC473" t="str">
            <v>Independent Standard Inspection</v>
          </cell>
          <cell r="AD473">
            <v>42276</v>
          </cell>
          <cell r="AE473">
            <v>42278</v>
          </cell>
          <cell r="AF473">
            <v>42318</v>
          </cell>
          <cell r="AG473">
            <v>1</v>
          </cell>
          <cell r="AH473">
            <v>1</v>
          </cell>
          <cell r="AI473">
            <v>1</v>
          </cell>
          <cell r="AJ473">
            <v>1</v>
          </cell>
          <cell r="AK473">
            <v>1</v>
          </cell>
          <cell r="AL473" t="str">
            <v>NULL</v>
          </cell>
          <cell r="AM473" t="str">
            <v>NULL</v>
          </cell>
          <cell r="AN473" t="str">
            <v>Yes</v>
          </cell>
          <cell r="AO473" t="str">
            <v>ITS364248</v>
          </cell>
          <cell r="AP473" t="str">
            <v>Independent School standard inspection</v>
          </cell>
          <cell r="AQ473" t="str">
            <v>Independent Standard Inspection</v>
          </cell>
          <cell r="AR473">
            <v>40575</v>
          </cell>
          <cell r="AS473">
            <v>40576</v>
          </cell>
          <cell r="AT473">
            <v>40604</v>
          </cell>
          <cell r="AU473">
            <v>1</v>
          </cell>
          <cell r="AV473">
            <v>1</v>
          </cell>
          <cell r="AW473">
            <v>2</v>
          </cell>
          <cell r="AX473" t="str">
            <v>NULL</v>
          </cell>
          <cell r="AY473" t="str">
            <v>NULL</v>
          </cell>
          <cell r="AZ473">
            <v>8</v>
          </cell>
          <cell r="BA473" t="str">
            <v>NULL</v>
          </cell>
          <cell r="BB473" t="str">
            <v>NULL</v>
          </cell>
        </row>
        <row r="474">
          <cell r="D474">
            <v>106003</v>
          </cell>
          <cell r="E474">
            <v>3556027</v>
          </cell>
          <cell r="F474" t="str">
            <v>Manchester Junior Girls' School</v>
          </cell>
          <cell r="G474" t="str">
            <v>Other Independent School</v>
          </cell>
          <cell r="H474">
            <v>34656</v>
          </cell>
          <cell r="I474">
            <v>231</v>
          </cell>
          <cell r="J474" t="str">
            <v>North West</v>
          </cell>
          <cell r="K474" t="str">
            <v>North West</v>
          </cell>
          <cell r="L474" t="str">
            <v>Salford</v>
          </cell>
          <cell r="M474" t="str">
            <v>Blackley and Broughton</v>
          </cell>
          <cell r="N474" t="str">
            <v>M7 4JA</v>
          </cell>
          <cell r="O474" t="str">
            <v>Does not have a sixth form</v>
          </cell>
          <cell r="P474">
            <v>3</v>
          </cell>
          <cell r="Q474">
            <v>13</v>
          </cell>
          <cell r="R474" t="str">
            <v>Orthodox Jewish</v>
          </cell>
          <cell r="S474" t="str">
            <v>Ofsted</v>
          </cell>
          <cell r="T474">
            <v>2</v>
          </cell>
          <cell r="U474">
            <v>10043704</v>
          </cell>
          <cell r="V474" t="str">
            <v>Independent school Progress Monitoring inspection</v>
          </cell>
          <cell r="W474">
            <v>43061</v>
          </cell>
          <cell r="X474">
            <v>43061</v>
          </cell>
          <cell r="Y474">
            <v>43109</v>
          </cell>
          <cell r="Z474" t="str">
            <v>Met all standards that were checked</v>
          </cell>
          <cell r="AA474">
            <v>10026002</v>
          </cell>
          <cell r="AB474" t="str">
            <v>Independent School standard inspection</v>
          </cell>
          <cell r="AC474" t="str">
            <v>Independent Standard Inspection</v>
          </cell>
          <cell r="AD474">
            <v>42773</v>
          </cell>
          <cell r="AE474">
            <v>42775</v>
          </cell>
          <cell r="AF474">
            <v>42930</v>
          </cell>
          <cell r="AG474">
            <v>3</v>
          </cell>
          <cell r="AH474">
            <v>2</v>
          </cell>
          <cell r="AI474">
            <v>2</v>
          </cell>
          <cell r="AJ474">
            <v>3</v>
          </cell>
          <cell r="AK474">
            <v>3</v>
          </cell>
          <cell r="AL474">
            <v>2</v>
          </cell>
          <cell r="AM474" t="str">
            <v>NULL</v>
          </cell>
          <cell r="AN474" t="str">
            <v>Yes</v>
          </cell>
          <cell r="AO474" t="str">
            <v>ITS388385</v>
          </cell>
          <cell r="AP474" t="str">
            <v>Independent School standard inspection</v>
          </cell>
          <cell r="AQ474" t="str">
            <v>Independent Standard Inspection</v>
          </cell>
          <cell r="AR474">
            <v>40982</v>
          </cell>
          <cell r="AS474">
            <v>40983</v>
          </cell>
          <cell r="AT474">
            <v>41019</v>
          </cell>
          <cell r="AU474">
            <v>2</v>
          </cell>
          <cell r="AV474">
            <v>2</v>
          </cell>
          <cell r="AW474">
            <v>2</v>
          </cell>
          <cell r="AX474" t="str">
            <v>NULL</v>
          </cell>
          <cell r="AY474" t="str">
            <v>NULL</v>
          </cell>
          <cell r="AZ474">
            <v>8</v>
          </cell>
          <cell r="BA474" t="str">
            <v>NULL</v>
          </cell>
          <cell r="BB474" t="str">
            <v>NULL</v>
          </cell>
        </row>
        <row r="475">
          <cell r="D475">
            <v>135764</v>
          </cell>
          <cell r="E475">
            <v>2056000</v>
          </cell>
          <cell r="F475" t="str">
            <v>Dalling House Mandarin Immersion School</v>
          </cell>
          <cell r="G475" t="str">
            <v>Other Independent School</v>
          </cell>
          <cell r="H475">
            <v>39784</v>
          </cell>
          <cell r="I475">
            <v>13</v>
          </cell>
          <cell r="J475" t="str">
            <v>London</v>
          </cell>
          <cell r="K475" t="str">
            <v>London</v>
          </cell>
          <cell r="L475" t="str">
            <v>Hammersmith and Fulham</v>
          </cell>
          <cell r="M475" t="str">
            <v>Hammersmith</v>
          </cell>
          <cell r="N475" t="str">
            <v>W6 0EU</v>
          </cell>
          <cell r="O475" t="str">
            <v>Does not have a sixth form</v>
          </cell>
          <cell r="P475">
            <v>3</v>
          </cell>
          <cell r="Q475">
            <v>11</v>
          </cell>
          <cell r="R475" t="str">
            <v>None</v>
          </cell>
          <cell r="S475" t="str">
            <v>Ofsted</v>
          </cell>
          <cell r="T475">
            <v>1</v>
          </cell>
          <cell r="U475" t="str">
            <v>ITS465214</v>
          </cell>
          <cell r="V475" t="str">
            <v xml:space="preserve">Independent School material change inspection - Integrated </v>
          </cell>
          <cell r="W475">
            <v>42172</v>
          </cell>
          <cell r="X475">
            <v>42172</v>
          </cell>
          <cell r="Y475" t="str">
            <v>NULL</v>
          </cell>
          <cell r="Z475" t="str">
            <v>Likely to meet relevant standards</v>
          </cell>
          <cell r="AA475" t="str">
            <v>ITS408746</v>
          </cell>
          <cell r="AB475" t="str">
            <v>Independent School standard inspection</v>
          </cell>
          <cell r="AC475" t="str">
            <v>Independent Standard Inspection</v>
          </cell>
          <cell r="AD475">
            <v>41338</v>
          </cell>
          <cell r="AE475">
            <v>41340</v>
          </cell>
          <cell r="AF475">
            <v>41361</v>
          </cell>
          <cell r="AG475">
            <v>2</v>
          </cell>
          <cell r="AH475">
            <v>2</v>
          </cell>
          <cell r="AI475">
            <v>2</v>
          </cell>
          <cell r="AJ475">
            <v>2</v>
          </cell>
          <cell r="AK475" t="str">
            <v>NULL</v>
          </cell>
          <cell r="AL475" t="str">
            <v>NULL</v>
          </cell>
          <cell r="AM475" t="str">
            <v>NULL</v>
          </cell>
          <cell r="AN475" t="str">
            <v>NULL</v>
          </cell>
          <cell r="AO475" t="str">
            <v>ITS342006</v>
          </cell>
          <cell r="AP475" t="str">
            <v>Independent School standard inspection</v>
          </cell>
          <cell r="AQ475" t="str">
            <v>Independent Standard Inspection</v>
          </cell>
          <cell r="AR475">
            <v>40149</v>
          </cell>
          <cell r="AS475">
            <v>40150</v>
          </cell>
          <cell r="AT475">
            <v>40185</v>
          </cell>
          <cell r="AU475">
            <v>3</v>
          </cell>
          <cell r="AV475">
            <v>3</v>
          </cell>
          <cell r="AW475">
            <v>3</v>
          </cell>
          <cell r="AX475" t="str">
            <v>NULL</v>
          </cell>
          <cell r="AY475" t="str">
            <v>NULL</v>
          </cell>
          <cell r="AZ475">
            <v>2</v>
          </cell>
          <cell r="BA475" t="str">
            <v>NULL</v>
          </cell>
          <cell r="BB475" t="str">
            <v>NULL</v>
          </cell>
        </row>
        <row r="476">
          <cell r="D476">
            <v>122933</v>
          </cell>
          <cell r="E476">
            <v>8916015</v>
          </cell>
          <cell r="F476" t="str">
            <v>Orchard School</v>
          </cell>
          <cell r="G476" t="str">
            <v>Other Independent School</v>
          </cell>
          <cell r="H476">
            <v>28443</v>
          </cell>
          <cell r="I476">
            <v>141</v>
          </cell>
          <cell r="J476" t="str">
            <v>East Midlands</v>
          </cell>
          <cell r="K476" t="str">
            <v>East Midlands</v>
          </cell>
          <cell r="L476" t="str">
            <v>Nottinghamshire</v>
          </cell>
          <cell r="M476" t="str">
            <v>Newark</v>
          </cell>
          <cell r="N476" t="str">
            <v>DN22 0DJ</v>
          </cell>
          <cell r="O476" t="str">
            <v>Does not have a sixth form</v>
          </cell>
          <cell r="P476">
            <v>2</v>
          </cell>
          <cell r="Q476">
            <v>16</v>
          </cell>
          <cell r="R476" t="str">
            <v>None</v>
          </cell>
          <cell r="S476" t="str">
            <v>Ofsted</v>
          </cell>
          <cell r="T476" t="str">
            <v>NULL</v>
          </cell>
          <cell r="U476" t="str">
            <v>NULL</v>
          </cell>
          <cell r="V476" t="str">
            <v>NULL</v>
          </cell>
          <cell r="W476" t="str">
            <v>NULL</v>
          </cell>
          <cell r="X476" t="str">
            <v>NULL</v>
          </cell>
          <cell r="Y476" t="str">
            <v>NULL</v>
          </cell>
          <cell r="Z476" t="str">
            <v>NULL</v>
          </cell>
          <cell r="AA476">
            <v>10033529</v>
          </cell>
          <cell r="AB476" t="str">
            <v>Independent School standard inspection</v>
          </cell>
          <cell r="AC476" t="str">
            <v>Independent Standard Inspection</v>
          </cell>
          <cell r="AD476">
            <v>43046</v>
          </cell>
          <cell r="AE476">
            <v>43048</v>
          </cell>
          <cell r="AF476">
            <v>43080</v>
          </cell>
          <cell r="AG476">
            <v>2</v>
          </cell>
          <cell r="AH476">
            <v>2</v>
          </cell>
          <cell r="AI476">
            <v>2</v>
          </cell>
          <cell r="AJ476">
            <v>2</v>
          </cell>
          <cell r="AK476">
            <v>1</v>
          </cell>
          <cell r="AL476">
            <v>2</v>
          </cell>
          <cell r="AM476" t="str">
            <v>NULL</v>
          </cell>
          <cell r="AN476" t="str">
            <v>Yes</v>
          </cell>
          <cell r="AO476" t="str">
            <v>ITS443469</v>
          </cell>
          <cell r="AP476" t="str">
            <v>Independent School standard inspection</v>
          </cell>
          <cell r="AQ476" t="str">
            <v>Independent Standard Inspection</v>
          </cell>
          <cell r="AR476">
            <v>41828</v>
          </cell>
          <cell r="AS476">
            <v>41830</v>
          </cell>
          <cell r="AT476">
            <v>41893</v>
          </cell>
          <cell r="AU476">
            <v>2</v>
          </cell>
          <cell r="AV476">
            <v>2</v>
          </cell>
          <cell r="AW476">
            <v>2</v>
          </cell>
          <cell r="AX476">
            <v>2</v>
          </cell>
          <cell r="AY476" t="str">
            <v>NULL</v>
          </cell>
          <cell r="AZ476" t="str">
            <v>NULL</v>
          </cell>
          <cell r="BA476" t="str">
            <v>NULL</v>
          </cell>
          <cell r="BB476" t="str">
            <v>NULL</v>
          </cell>
        </row>
        <row r="477">
          <cell r="D477">
            <v>139779</v>
          </cell>
          <cell r="E477">
            <v>9316012</v>
          </cell>
          <cell r="F477" t="str">
            <v>Oxford Tutorial College</v>
          </cell>
          <cell r="G477" t="str">
            <v>Other Independent School</v>
          </cell>
          <cell r="H477">
            <v>41429</v>
          </cell>
          <cell r="I477">
            <v>173</v>
          </cell>
          <cell r="J477" t="str">
            <v>South East</v>
          </cell>
          <cell r="K477" t="str">
            <v>South East</v>
          </cell>
          <cell r="L477" t="str">
            <v>Oxfordshire</v>
          </cell>
          <cell r="M477" t="str">
            <v>Oxford East</v>
          </cell>
          <cell r="N477" t="str">
            <v>OX1 4HT</v>
          </cell>
          <cell r="O477" t="str">
            <v>Does not have a sixth form</v>
          </cell>
          <cell r="P477">
            <v>15</v>
          </cell>
          <cell r="Q477">
            <v>16</v>
          </cell>
          <cell r="R477" t="str">
            <v>None</v>
          </cell>
          <cell r="S477" t="str">
            <v>Ofsted</v>
          </cell>
          <cell r="T477" t="str">
            <v>NULL</v>
          </cell>
          <cell r="U477" t="str">
            <v>NULL</v>
          </cell>
          <cell r="V477" t="str">
            <v>NULL</v>
          </cell>
          <cell r="W477" t="str">
            <v>NULL</v>
          </cell>
          <cell r="X477" t="str">
            <v>NULL</v>
          </cell>
          <cell r="Y477" t="str">
            <v>NULL</v>
          </cell>
          <cell r="Z477" t="str">
            <v>NULL</v>
          </cell>
          <cell r="AA477">
            <v>10039166</v>
          </cell>
          <cell r="AB477" t="str">
            <v>Independent School standard inspection</v>
          </cell>
          <cell r="AC477" t="str">
            <v>Independent Standard Inspection</v>
          </cell>
          <cell r="AD477">
            <v>42990</v>
          </cell>
          <cell r="AE477">
            <v>42992</v>
          </cell>
          <cell r="AF477">
            <v>43018</v>
          </cell>
          <cell r="AG477">
            <v>2</v>
          </cell>
          <cell r="AH477">
            <v>2</v>
          </cell>
          <cell r="AI477">
            <v>2</v>
          </cell>
          <cell r="AJ477">
            <v>2</v>
          </cell>
          <cell r="AK477">
            <v>2</v>
          </cell>
          <cell r="AL477" t="str">
            <v>NULL</v>
          </cell>
          <cell r="AM477" t="str">
            <v>NULL</v>
          </cell>
          <cell r="AN477" t="str">
            <v>Yes</v>
          </cell>
          <cell r="AO477" t="str">
            <v>ITS446395</v>
          </cell>
          <cell r="AP477" t="str">
            <v xml:space="preserve">Independent school standard inspection - integrated - first </v>
          </cell>
          <cell r="AQ477" t="str">
            <v>Independent Standard Inspection</v>
          </cell>
          <cell r="AR477">
            <v>41982</v>
          </cell>
          <cell r="AS477">
            <v>41984</v>
          </cell>
          <cell r="AT477">
            <v>42053</v>
          </cell>
          <cell r="AU477">
            <v>4</v>
          </cell>
          <cell r="AV477">
            <v>2</v>
          </cell>
          <cell r="AW477">
            <v>2</v>
          </cell>
          <cell r="AX477">
            <v>4</v>
          </cell>
          <cell r="AY477" t="str">
            <v>NULL</v>
          </cell>
          <cell r="AZ477">
            <v>9</v>
          </cell>
          <cell r="BA477">
            <v>9</v>
          </cell>
          <cell r="BB477" t="str">
            <v>NULL</v>
          </cell>
        </row>
        <row r="478">
          <cell r="D478">
            <v>104267</v>
          </cell>
          <cell r="E478">
            <v>3356008</v>
          </cell>
          <cell r="F478" t="str">
            <v>Palfrey Girls School</v>
          </cell>
          <cell r="G478" t="str">
            <v>Other Independent School</v>
          </cell>
          <cell r="H478">
            <v>34267</v>
          </cell>
          <cell r="I478">
            <v>126</v>
          </cell>
          <cell r="J478" t="str">
            <v>West Midlands</v>
          </cell>
          <cell r="K478" t="str">
            <v>West Midlands</v>
          </cell>
          <cell r="L478" t="str">
            <v>Walsall</v>
          </cell>
          <cell r="M478" t="str">
            <v>Walsall South</v>
          </cell>
          <cell r="N478" t="str">
            <v>WS1 4AB</v>
          </cell>
          <cell r="O478" t="str">
            <v>Does not have a sixth form</v>
          </cell>
          <cell r="P478">
            <v>4</v>
          </cell>
          <cell r="Q478">
            <v>16</v>
          </cell>
          <cell r="R478" t="str">
            <v>None</v>
          </cell>
          <cell r="S478" t="str">
            <v>Ofsted</v>
          </cell>
          <cell r="T478">
            <v>4</v>
          </cell>
          <cell r="U478">
            <v>10034632</v>
          </cell>
          <cell r="V478" t="str">
            <v>Independent school emergency inspection</v>
          </cell>
          <cell r="W478">
            <v>42858</v>
          </cell>
          <cell r="X478">
            <v>42858</v>
          </cell>
          <cell r="Y478" t="str">
            <v>NULL</v>
          </cell>
          <cell r="Z478" t="str">
            <v>Met all standards that were checked</v>
          </cell>
          <cell r="AA478">
            <v>10007690</v>
          </cell>
          <cell r="AB478" t="str">
            <v>Independent School standard inspection</v>
          </cell>
          <cell r="AC478" t="str">
            <v>Independent Standard Inspection</v>
          </cell>
          <cell r="AD478">
            <v>42276</v>
          </cell>
          <cell r="AE478">
            <v>42278</v>
          </cell>
          <cell r="AF478">
            <v>42326</v>
          </cell>
          <cell r="AG478">
            <v>4</v>
          </cell>
          <cell r="AH478">
            <v>4</v>
          </cell>
          <cell r="AI478">
            <v>4</v>
          </cell>
          <cell r="AJ478">
            <v>4</v>
          </cell>
          <cell r="AK478">
            <v>4</v>
          </cell>
          <cell r="AL478">
            <v>4</v>
          </cell>
          <cell r="AM478" t="str">
            <v>NULL</v>
          </cell>
          <cell r="AN478" t="str">
            <v>No</v>
          </cell>
          <cell r="AO478" t="str">
            <v>NULL</v>
          </cell>
          <cell r="AP478" t="str">
            <v>NULL</v>
          </cell>
          <cell r="AQ478" t="str">
            <v>NULL</v>
          </cell>
          <cell r="AR478" t="str">
            <v>NULL</v>
          </cell>
          <cell r="AS478" t="str">
            <v>NULL</v>
          </cell>
          <cell r="AT478" t="str">
            <v>NULL</v>
          </cell>
          <cell r="AU478" t="str">
            <v>NULL</v>
          </cell>
          <cell r="AV478" t="str">
            <v>NULL</v>
          </cell>
          <cell r="AW478" t="str">
            <v>NULL</v>
          </cell>
          <cell r="AX478" t="str">
            <v>NULL</v>
          </cell>
          <cell r="AY478" t="str">
            <v>NULL</v>
          </cell>
          <cell r="AZ478" t="str">
            <v>NULL</v>
          </cell>
          <cell r="BA478" t="str">
            <v>NULL</v>
          </cell>
          <cell r="BB478" t="str">
            <v>NULL</v>
          </cell>
        </row>
        <row r="479">
          <cell r="D479">
            <v>115408</v>
          </cell>
          <cell r="E479">
            <v>8826007</v>
          </cell>
          <cell r="F479" t="str">
            <v>Saint Pierre School</v>
          </cell>
          <cell r="G479" t="str">
            <v>Other Independent School</v>
          </cell>
          <cell r="H479">
            <v>21228</v>
          </cell>
          <cell r="I479">
            <v>122</v>
          </cell>
          <cell r="J479" t="str">
            <v>East of England</v>
          </cell>
          <cell r="K479" t="str">
            <v>East of England</v>
          </cell>
          <cell r="L479" t="str">
            <v>Southend on Sea</v>
          </cell>
          <cell r="M479" t="str">
            <v>Southend West</v>
          </cell>
          <cell r="N479" t="str">
            <v>SS9 1LE</v>
          </cell>
          <cell r="O479" t="str">
            <v>Does not have a sixth form</v>
          </cell>
          <cell r="P479">
            <v>2</v>
          </cell>
          <cell r="Q479">
            <v>11</v>
          </cell>
          <cell r="R479" t="str">
            <v>None</v>
          </cell>
          <cell r="S479" t="str">
            <v>Ofsted</v>
          </cell>
          <cell r="T479">
            <v>1</v>
          </cell>
          <cell r="U479">
            <v>10043411</v>
          </cell>
          <cell r="V479" t="str">
            <v>Independent school evaluation of school action plan</v>
          </cell>
          <cell r="W479">
            <v>43033</v>
          </cell>
          <cell r="X479">
            <v>43033</v>
          </cell>
          <cell r="Y479" t="str">
            <v>NULL</v>
          </cell>
          <cell r="Z479" t="str">
            <v>Action plan is acceptable</v>
          </cell>
          <cell r="AA479">
            <v>10033600</v>
          </cell>
          <cell r="AB479" t="str">
            <v>Independent School standard inspection</v>
          </cell>
          <cell r="AC479" t="str">
            <v>Independent Standard Inspection</v>
          </cell>
          <cell r="AD479">
            <v>42928</v>
          </cell>
          <cell r="AE479">
            <v>42930</v>
          </cell>
          <cell r="AF479">
            <v>42996</v>
          </cell>
          <cell r="AG479">
            <v>3</v>
          </cell>
          <cell r="AH479">
            <v>2</v>
          </cell>
          <cell r="AI479">
            <v>2</v>
          </cell>
          <cell r="AJ479">
            <v>3</v>
          </cell>
          <cell r="AK479">
            <v>1</v>
          </cell>
          <cell r="AL479">
            <v>2</v>
          </cell>
          <cell r="AM479" t="str">
            <v>NULL</v>
          </cell>
          <cell r="AN479" t="str">
            <v>Yes</v>
          </cell>
          <cell r="AO479" t="str">
            <v>ITS462910</v>
          </cell>
          <cell r="AP479" t="str">
            <v>Independent School standard inspection</v>
          </cell>
          <cell r="AQ479" t="str">
            <v>Independent Standard Inspection</v>
          </cell>
          <cell r="AR479">
            <v>42192</v>
          </cell>
          <cell r="AS479">
            <v>42194</v>
          </cell>
          <cell r="AT479">
            <v>42272</v>
          </cell>
          <cell r="AU479">
            <v>4</v>
          </cell>
          <cell r="AV479">
            <v>2</v>
          </cell>
          <cell r="AW479">
            <v>2</v>
          </cell>
          <cell r="AX479">
            <v>4</v>
          </cell>
          <cell r="AY479" t="str">
            <v>NULL</v>
          </cell>
          <cell r="AZ479">
            <v>4</v>
          </cell>
          <cell r="BA479">
            <v>9</v>
          </cell>
          <cell r="BB479" t="str">
            <v>NULL</v>
          </cell>
        </row>
        <row r="480">
          <cell r="D480">
            <v>132068</v>
          </cell>
          <cell r="E480">
            <v>3046078</v>
          </cell>
          <cell r="F480" t="str">
            <v>Sakutu Organisation Montessori</v>
          </cell>
          <cell r="G480" t="str">
            <v>Other Independent School</v>
          </cell>
          <cell r="H480">
            <v>36594</v>
          </cell>
          <cell r="I480">
            <v>3</v>
          </cell>
          <cell r="J480" t="str">
            <v>London</v>
          </cell>
          <cell r="K480" t="str">
            <v>London</v>
          </cell>
          <cell r="L480" t="str">
            <v>Brent</v>
          </cell>
          <cell r="M480" t="str">
            <v>Brent Central</v>
          </cell>
          <cell r="N480" t="str">
            <v>NW2 6HL</v>
          </cell>
          <cell r="O480" t="str">
            <v>Does not have a sixth form</v>
          </cell>
          <cell r="P480">
            <v>5</v>
          </cell>
          <cell r="Q480">
            <v>11</v>
          </cell>
          <cell r="R480" t="str">
            <v>None</v>
          </cell>
          <cell r="S480" t="str">
            <v>Ofsted</v>
          </cell>
          <cell r="T480" t="str">
            <v>NULL</v>
          </cell>
          <cell r="U480" t="str">
            <v>NULL</v>
          </cell>
          <cell r="V480" t="str">
            <v>NULL</v>
          </cell>
          <cell r="W480" t="str">
            <v>NULL</v>
          </cell>
          <cell r="X480" t="str">
            <v>NULL</v>
          </cell>
          <cell r="Y480" t="str">
            <v>NULL</v>
          </cell>
          <cell r="Z480" t="str">
            <v>NULL</v>
          </cell>
          <cell r="AA480">
            <v>10020770</v>
          </cell>
          <cell r="AB480" t="str">
            <v>Independent School standard inspection</v>
          </cell>
          <cell r="AC480" t="str">
            <v>Independent Standard Inspection</v>
          </cell>
          <cell r="AD480">
            <v>42906</v>
          </cell>
          <cell r="AE480">
            <v>42907</v>
          </cell>
          <cell r="AF480">
            <v>42930</v>
          </cell>
          <cell r="AG480">
            <v>3</v>
          </cell>
          <cell r="AH480">
            <v>3</v>
          </cell>
          <cell r="AI480">
            <v>3</v>
          </cell>
          <cell r="AJ480">
            <v>3</v>
          </cell>
          <cell r="AK480">
            <v>2</v>
          </cell>
          <cell r="AL480" t="str">
            <v>NULL</v>
          </cell>
          <cell r="AM480" t="str">
            <v>NULL</v>
          </cell>
          <cell r="AN480" t="str">
            <v>Yes</v>
          </cell>
          <cell r="AO480" t="str">
            <v>ITS420180</v>
          </cell>
          <cell r="AP480" t="str">
            <v>Independent School standard inspection</v>
          </cell>
          <cell r="AQ480" t="str">
            <v>Independent Standard Inspection</v>
          </cell>
          <cell r="AR480">
            <v>41556</v>
          </cell>
          <cell r="AS480">
            <v>41558</v>
          </cell>
          <cell r="AT480">
            <v>41585</v>
          </cell>
          <cell r="AU480">
            <v>2</v>
          </cell>
          <cell r="AV480">
            <v>2</v>
          </cell>
          <cell r="AW480">
            <v>2</v>
          </cell>
          <cell r="AX480">
            <v>2</v>
          </cell>
          <cell r="AY480" t="str">
            <v>NULL</v>
          </cell>
          <cell r="AZ480" t="str">
            <v>NULL</v>
          </cell>
          <cell r="BA480" t="str">
            <v>NULL</v>
          </cell>
          <cell r="BB480" t="str">
            <v>NULL</v>
          </cell>
        </row>
        <row r="481">
          <cell r="D481">
            <v>133603</v>
          </cell>
          <cell r="E481">
            <v>3306103</v>
          </cell>
          <cell r="F481" t="str">
            <v>Greenfields Primary School</v>
          </cell>
          <cell r="G481" t="str">
            <v>Other Independent School</v>
          </cell>
          <cell r="H481">
            <v>37280</v>
          </cell>
          <cell r="I481">
            <v>155</v>
          </cell>
          <cell r="J481" t="str">
            <v>West Midlands</v>
          </cell>
          <cell r="K481" t="str">
            <v>West Midlands</v>
          </cell>
          <cell r="L481" t="str">
            <v>Birmingham</v>
          </cell>
          <cell r="M481" t="str">
            <v>Birmingham, Hodge Hill</v>
          </cell>
          <cell r="N481" t="str">
            <v>B10 9SN</v>
          </cell>
          <cell r="O481" t="str">
            <v>Does not have a sixth form</v>
          </cell>
          <cell r="P481">
            <v>5</v>
          </cell>
          <cell r="Q481">
            <v>11</v>
          </cell>
          <cell r="R481" t="str">
            <v>Islam</v>
          </cell>
          <cell r="S481" t="str">
            <v>Ofsted</v>
          </cell>
          <cell r="T481">
            <v>2</v>
          </cell>
          <cell r="U481">
            <v>10022074</v>
          </cell>
          <cell r="V481" t="str">
            <v>Independent school Progress Monitoring inspection</v>
          </cell>
          <cell r="W481">
            <v>42774</v>
          </cell>
          <cell r="X481">
            <v>42774</v>
          </cell>
          <cell r="Y481">
            <v>42814</v>
          </cell>
          <cell r="Z481" t="str">
            <v>Met all standards that were checked</v>
          </cell>
          <cell r="AA481">
            <v>10006855</v>
          </cell>
          <cell r="AB481" t="str">
            <v>Independent School standard inspection</v>
          </cell>
          <cell r="AC481" t="str">
            <v>Independent Standard Inspection</v>
          </cell>
          <cell r="AD481">
            <v>42331</v>
          </cell>
          <cell r="AE481">
            <v>42333</v>
          </cell>
          <cell r="AF481">
            <v>42380</v>
          </cell>
          <cell r="AG481">
            <v>4</v>
          </cell>
          <cell r="AH481">
            <v>4</v>
          </cell>
          <cell r="AI481">
            <v>4</v>
          </cell>
          <cell r="AJ481">
            <v>4</v>
          </cell>
          <cell r="AK481">
            <v>2</v>
          </cell>
          <cell r="AL481" t="str">
            <v>NULL</v>
          </cell>
          <cell r="AM481" t="str">
            <v>NULL</v>
          </cell>
          <cell r="AN481" t="str">
            <v>Yes</v>
          </cell>
          <cell r="AO481" t="str">
            <v>ITS422756</v>
          </cell>
          <cell r="AP481" t="str">
            <v>Independent School standard inspection</v>
          </cell>
          <cell r="AQ481" t="str">
            <v>Independent Standard Inspection</v>
          </cell>
          <cell r="AR481">
            <v>41618</v>
          </cell>
          <cell r="AS481">
            <v>41620</v>
          </cell>
          <cell r="AT481">
            <v>41655</v>
          </cell>
          <cell r="AU481">
            <v>3</v>
          </cell>
          <cell r="AV481">
            <v>3</v>
          </cell>
          <cell r="AW481">
            <v>3</v>
          </cell>
          <cell r="AX481">
            <v>3</v>
          </cell>
          <cell r="AY481" t="str">
            <v>NULL</v>
          </cell>
          <cell r="AZ481" t="str">
            <v>NULL</v>
          </cell>
          <cell r="BA481" t="str">
            <v>NULL</v>
          </cell>
          <cell r="BB481" t="str">
            <v>NULL</v>
          </cell>
        </row>
        <row r="482">
          <cell r="D482">
            <v>122926</v>
          </cell>
          <cell r="E482">
            <v>8916008</v>
          </cell>
          <cell r="F482" t="str">
            <v>Saville House School</v>
          </cell>
          <cell r="G482" t="str">
            <v>Other Independent School</v>
          </cell>
          <cell r="H482">
            <v>21109</v>
          </cell>
          <cell r="I482">
            <v>58</v>
          </cell>
          <cell r="J482" t="str">
            <v>East Midlands</v>
          </cell>
          <cell r="K482" t="str">
            <v>East Midlands</v>
          </cell>
          <cell r="L482" t="str">
            <v>Nottinghamshire</v>
          </cell>
          <cell r="M482" t="str">
            <v>Mansfield</v>
          </cell>
          <cell r="N482" t="str">
            <v>NG19 8AH</v>
          </cell>
          <cell r="O482" t="str">
            <v>Does not have a sixth form</v>
          </cell>
          <cell r="P482">
            <v>3</v>
          </cell>
          <cell r="Q482">
            <v>11</v>
          </cell>
          <cell r="R482" t="str">
            <v>None</v>
          </cell>
          <cell r="S482" t="str">
            <v>Ofsted</v>
          </cell>
          <cell r="T482" t="str">
            <v>NULL</v>
          </cell>
          <cell r="U482" t="str">
            <v>NULL</v>
          </cell>
          <cell r="V482" t="str">
            <v>NULL</v>
          </cell>
          <cell r="W482" t="str">
            <v>NULL</v>
          </cell>
          <cell r="X482" t="str">
            <v>NULL</v>
          </cell>
          <cell r="Y482" t="str">
            <v>NULL</v>
          </cell>
          <cell r="Z482" t="str">
            <v>NULL</v>
          </cell>
          <cell r="AA482">
            <v>10033528</v>
          </cell>
          <cell r="AB482" t="str">
            <v>Independent School standard inspection</v>
          </cell>
          <cell r="AC482" t="str">
            <v>Independent Standard Inspection</v>
          </cell>
          <cell r="AD482">
            <v>43004</v>
          </cell>
          <cell r="AE482">
            <v>43006</v>
          </cell>
          <cell r="AF482">
            <v>43027</v>
          </cell>
          <cell r="AG482">
            <v>3</v>
          </cell>
          <cell r="AH482">
            <v>3</v>
          </cell>
          <cell r="AI482">
            <v>3</v>
          </cell>
          <cell r="AJ482">
            <v>3</v>
          </cell>
          <cell r="AK482">
            <v>2</v>
          </cell>
          <cell r="AL482">
            <v>2</v>
          </cell>
          <cell r="AM482" t="str">
            <v>NULL</v>
          </cell>
          <cell r="AN482" t="str">
            <v>Yes</v>
          </cell>
          <cell r="AO482" t="str">
            <v>ITS451168</v>
          </cell>
          <cell r="AP482" t="str">
            <v>Independent School standard inspection</v>
          </cell>
          <cell r="AQ482" t="str">
            <v>Independent Standard Inspection</v>
          </cell>
          <cell r="AR482">
            <v>41821</v>
          </cell>
          <cell r="AS482">
            <v>41823</v>
          </cell>
          <cell r="AT482">
            <v>41900</v>
          </cell>
          <cell r="AU482">
            <v>4</v>
          </cell>
          <cell r="AV482">
            <v>2</v>
          </cell>
          <cell r="AW482">
            <v>2</v>
          </cell>
          <cell r="AX482">
            <v>4</v>
          </cell>
          <cell r="AY482" t="str">
            <v>NULL</v>
          </cell>
          <cell r="AZ482" t="str">
            <v>NULL</v>
          </cell>
          <cell r="BA482" t="str">
            <v>NULL</v>
          </cell>
          <cell r="BB482" t="str">
            <v>NULL</v>
          </cell>
        </row>
        <row r="483">
          <cell r="D483">
            <v>102168</v>
          </cell>
          <cell r="E483">
            <v>3096066</v>
          </cell>
          <cell r="F483" t="str">
            <v>Sunrise Primary School</v>
          </cell>
          <cell r="G483" t="str">
            <v>Other Independent School</v>
          </cell>
          <cell r="H483">
            <v>32085</v>
          </cell>
          <cell r="I483">
            <v>56</v>
          </cell>
          <cell r="J483" t="str">
            <v>London</v>
          </cell>
          <cell r="K483" t="str">
            <v>London</v>
          </cell>
          <cell r="L483" t="str">
            <v>Haringey</v>
          </cell>
          <cell r="M483" t="str">
            <v>Tottenham</v>
          </cell>
          <cell r="N483" t="str">
            <v>N17 0EX</v>
          </cell>
          <cell r="O483" t="str">
            <v>Does not have a sixth form</v>
          </cell>
          <cell r="P483">
            <v>2</v>
          </cell>
          <cell r="Q483">
            <v>11</v>
          </cell>
          <cell r="R483" t="str">
            <v>None</v>
          </cell>
          <cell r="S483" t="str">
            <v>Ofsted</v>
          </cell>
          <cell r="T483">
            <v>2</v>
          </cell>
          <cell r="U483">
            <v>10048554</v>
          </cell>
          <cell r="V483" t="str">
            <v>Independent school Progress Monitoring inspection</v>
          </cell>
          <cell r="W483">
            <v>43186</v>
          </cell>
          <cell r="X483">
            <v>43186</v>
          </cell>
          <cell r="Y483" t="str">
            <v>NULL</v>
          </cell>
          <cell r="Z483" t="str">
            <v>Did not meet all standards that were checked</v>
          </cell>
          <cell r="AA483">
            <v>10008573</v>
          </cell>
          <cell r="AB483" t="str">
            <v>Independent School standard inspection</v>
          </cell>
          <cell r="AC483" t="str">
            <v>Independent Standard Inspection</v>
          </cell>
          <cell r="AD483">
            <v>42927</v>
          </cell>
          <cell r="AE483">
            <v>42929</v>
          </cell>
          <cell r="AF483">
            <v>43019</v>
          </cell>
          <cell r="AG483">
            <v>4</v>
          </cell>
          <cell r="AH483">
            <v>4</v>
          </cell>
          <cell r="AI483">
            <v>4</v>
          </cell>
          <cell r="AJ483">
            <v>4</v>
          </cell>
          <cell r="AK483">
            <v>4</v>
          </cell>
          <cell r="AL483">
            <v>4</v>
          </cell>
          <cell r="AM483" t="str">
            <v>NULL</v>
          </cell>
          <cell r="AN483" t="str">
            <v>No</v>
          </cell>
          <cell r="AO483" t="str">
            <v>ITS408705</v>
          </cell>
          <cell r="AP483" t="str">
            <v>Independent School standard inspection</v>
          </cell>
          <cell r="AQ483" t="str">
            <v>Independent Standard Inspection</v>
          </cell>
          <cell r="AR483">
            <v>41255</v>
          </cell>
          <cell r="AS483">
            <v>41256</v>
          </cell>
          <cell r="AT483">
            <v>41292</v>
          </cell>
          <cell r="AU483">
            <v>3</v>
          </cell>
          <cell r="AV483">
            <v>3</v>
          </cell>
          <cell r="AW483">
            <v>3</v>
          </cell>
          <cell r="AX483" t="str">
            <v>NULL</v>
          </cell>
          <cell r="AY483" t="str">
            <v>NULL</v>
          </cell>
          <cell r="AZ483">
            <v>8</v>
          </cell>
          <cell r="BA483" t="str">
            <v>NULL</v>
          </cell>
          <cell r="BB483" t="str">
            <v>NULL</v>
          </cell>
        </row>
        <row r="484">
          <cell r="D484">
            <v>138249</v>
          </cell>
          <cell r="E484">
            <v>8376008</v>
          </cell>
          <cell r="F484" t="str">
            <v>Switched-On Christian School</v>
          </cell>
          <cell r="G484" t="str">
            <v>Other Independent School</v>
          </cell>
          <cell r="H484">
            <v>41078</v>
          </cell>
          <cell r="I484">
            <v>9</v>
          </cell>
          <cell r="J484" t="str">
            <v>South West</v>
          </cell>
          <cell r="K484" t="str">
            <v>South West</v>
          </cell>
          <cell r="L484" t="str">
            <v>Bournemouth</v>
          </cell>
          <cell r="M484" t="str">
            <v>Bournemouth West</v>
          </cell>
          <cell r="N484" t="str">
            <v>BH2 6NA</v>
          </cell>
          <cell r="O484" t="str">
            <v>Has a sixth form</v>
          </cell>
          <cell r="P484">
            <v>3</v>
          </cell>
          <cell r="Q484">
            <v>18</v>
          </cell>
          <cell r="R484" t="str">
            <v>None</v>
          </cell>
          <cell r="S484" t="str">
            <v>Ofsted</v>
          </cell>
          <cell r="T484">
            <v>3</v>
          </cell>
          <cell r="U484">
            <v>10039732</v>
          </cell>
          <cell r="V484" t="str">
            <v>Independent school Progress Monitoring inspection</v>
          </cell>
          <cell r="W484">
            <v>42935</v>
          </cell>
          <cell r="X484">
            <v>42935</v>
          </cell>
          <cell r="Y484">
            <v>42986</v>
          </cell>
          <cell r="Z484" t="str">
            <v>Met all standards that were checked</v>
          </cell>
          <cell r="AA484">
            <v>10012901</v>
          </cell>
          <cell r="AB484" t="str">
            <v>Independent School standard inspection</v>
          </cell>
          <cell r="AC484" t="str">
            <v>Independent Standard Inspection</v>
          </cell>
          <cell r="AD484">
            <v>42689</v>
          </cell>
          <cell r="AE484">
            <v>42691</v>
          </cell>
          <cell r="AF484">
            <v>42718</v>
          </cell>
          <cell r="AG484">
            <v>3</v>
          </cell>
          <cell r="AH484">
            <v>2</v>
          </cell>
          <cell r="AI484">
            <v>2</v>
          </cell>
          <cell r="AJ484">
            <v>3</v>
          </cell>
          <cell r="AK484">
            <v>2</v>
          </cell>
          <cell r="AL484" t="str">
            <v>NULL</v>
          </cell>
          <cell r="AM484" t="str">
            <v>NULL</v>
          </cell>
          <cell r="AN484" t="str">
            <v>Yes</v>
          </cell>
          <cell r="AO484" t="str">
            <v>ITS420245</v>
          </cell>
          <cell r="AP484" t="str">
            <v>Independent school standard inspection - first</v>
          </cell>
          <cell r="AQ484" t="str">
            <v>Independent Standard Inspection</v>
          </cell>
          <cell r="AR484">
            <v>41409</v>
          </cell>
          <cell r="AS484">
            <v>41410</v>
          </cell>
          <cell r="AT484">
            <v>41431</v>
          </cell>
          <cell r="AU484">
            <v>2</v>
          </cell>
          <cell r="AV484">
            <v>2</v>
          </cell>
          <cell r="AW484">
            <v>2</v>
          </cell>
          <cell r="AX484">
            <v>2</v>
          </cell>
          <cell r="AY484" t="str">
            <v>NULL</v>
          </cell>
          <cell r="AZ484" t="str">
            <v>NULL</v>
          </cell>
          <cell r="BA484" t="str">
            <v>NULL</v>
          </cell>
          <cell r="BB484" t="str">
            <v>NULL</v>
          </cell>
        </row>
        <row r="485">
          <cell r="D485">
            <v>106816</v>
          </cell>
          <cell r="E485">
            <v>3716010</v>
          </cell>
          <cell r="F485" t="str">
            <v>Sycamore Hall Preparatory School</v>
          </cell>
          <cell r="G485" t="str">
            <v>Other Independent School</v>
          </cell>
          <cell r="H485">
            <v>29419</v>
          </cell>
          <cell r="I485">
            <v>29</v>
          </cell>
          <cell r="J485" t="str">
            <v>North East, Yorkshire and the Humber</v>
          </cell>
          <cell r="K485" t="str">
            <v>Yorkshire and the Humber</v>
          </cell>
          <cell r="L485" t="str">
            <v>Doncaster</v>
          </cell>
          <cell r="M485" t="str">
            <v>Doncaster Central</v>
          </cell>
          <cell r="N485" t="str">
            <v>DN4 8PT</v>
          </cell>
          <cell r="O485" t="str">
            <v>Does not have a sixth form</v>
          </cell>
          <cell r="P485">
            <v>2</v>
          </cell>
          <cell r="Q485">
            <v>11</v>
          </cell>
          <cell r="R485" t="str">
            <v>None</v>
          </cell>
          <cell r="S485" t="str">
            <v>Ofsted</v>
          </cell>
          <cell r="T485" t="str">
            <v>NULL</v>
          </cell>
          <cell r="U485" t="str">
            <v>NULL</v>
          </cell>
          <cell r="V485" t="str">
            <v>NULL</v>
          </cell>
          <cell r="W485" t="str">
            <v>NULL</v>
          </cell>
          <cell r="X485" t="str">
            <v>NULL</v>
          </cell>
          <cell r="Y485" t="str">
            <v>NULL</v>
          </cell>
          <cell r="Z485" t="str">
            <v>NULL</v>
          </cell>
          <cell r="AA485">
            <v>10012838</v>
          </cell>
          <cell r="AB485" t="str">
            <v>Independent School standard inspection</v>
          </cell>
          <cell r="AC485" t="str">
            <v>Independent Standard Inspection</v>
          </cell>
          <cell r="AD485">
            <v>42500</v>
          </cell>
          <cell r="AE485">
            <v>42502</v>
          </cell>
          <cell r="AF485">
            <v>42534</v>
          </cell>
          <cell r="AG485">
            <v>3</v>
          </cell>
          <cell r="AH485">
            <v>2</v>
          </cell>
          <cell r="AI485">
            <v>2</v>
          </cell>
          <cell r="AJ485">
            <v>3</v>
          </cell>
          <cell r="AK485">
            <v>2</v>
          </cell>
          <cell r="AL485">
            <v>2</v>
          </cell>
          <cell r="AM485" t="str">
            <v>NULL</v>
          </cell>
          <cell r="AN485" t="str">
            <v>Yes</v>
          </cell>
          <cell r="AO485" t="str">
            <v>ITS420202</v>
          </cell>
          <cell r="AP485" t="str">
            <v>Independent School standard inspection</v>
          </cell>
          <cell r="AQ485" t="str">
            <v>Independent Standard Inspection</v>
          </cell>
          <cell r="AR485">
            <v>41437</v>
          </cell>
          <cell r="AS485">
            <v>41438</v>
          </cell>
          <cell r="AT485">
            <v>41458</v>
          </cell>
          <cell r="AU485">
            <v>2</v>
          </cell>
          <cell r="AV485">
            <v>2</v>
          </cell>
          <cell r="AW485">
            <v>2</v>
          </cell>
          <cell r="AX485">
            <v>2</v>
          </cell>
          <cell r="AY485" t="str">
            <v>NULL</v>
          </cell>
          <cell r="AZ485" t="str">
            <v>NULL</v>
          </cell>
          <cell r="BA485" t="str">
            <v>NULL</v>
          </cell>
          <cell r="BB485" t="str">
            <v>NULL</v>
          </cell>
        </row>
        <row r="486">
          <cell r="D486">
            <v>100299</v>
          </cell>
          <cell r="E486">
            <v>2046387</v>
          </cell>
          <cell r="F486" t="str">
            <v>T T T Y Y School</v>
          </cell>
          <cell r="G486" t="str">
            <v>Other Independent School</v>
          </cell>
          <cell r="H486">
            <v>33785</v>
          </cell>
          <cell r="I486">
            <v>177</v>
          </cell>
          <cell r="J486" t="str">
            <v>London</v>
          </cell>
          <cell r="K486" t="str">
            <v>London</v>
          </cell>
          <cell r="L486" t="str">
            <v>Hackney</v>
          </cell>
          <cell r="M486" t="str">
            <v>Hackney North and Stoke Newington</v>
          </cell>
          <cell r="N486" t="str">
            <v>N16 5NH</v>
          </cell>
          <cell r="O486" t="str">
            <v>Does not have a sixth form</v>
          </cell>
          <cell r="P486">
            <v>2</v>
          </cell>
          <cell r="Q486">
            <v>13</v>
          </cell>
          <cell r="R486" t="str">
            <v>None</v>
          </cell>
          <cell r="S486" t="str">
            <v>Ofsted</v>
          </cell>
          <cell r="T486" t="str">
            <v>NULL</v>
          </cell>
          <cell r="U486" t="str">
            <v>NULL</v>
          </cell>
          <cell r="V486" t="str">
            <v>NULL</v>
          </cell>
          <cell r="W486" t="str">
            <v>NULL</v>
          </cell>
          <cell r="X486" t="str">
            <v>NULL</v>
          </cell>
          <cell r="Y486" t="str">
            <v>NULL</v>
          </cell>
          <cell r="Z486" t="str">
            <v>NULL</v>
          </cell>
          <cell r="AA486">
            <v>10035532</v>
          </cell>
          <cell r="AB486" t="str">
            <v>Independent School standard inspection</v>
          </cell>
          <cell r="AC486" t="str">
            <v>Independent Standard Inspection</v>
          </cell>
          <cell r="AD486">
            <v>42899</v>
          </cell>
          <cell r="AE486">
            <v>42901</v>
          </cell>
          <cell r="AF486">
            <v>43031</v>
          </cell>
          <cell r="AG486">
            <v>4</v>
          </cell>
          <cell r="AH486">
            <v>4</v>
          </cell>
          <cell r="AI486">
            <v>4</v>
          </cell>
          <cell r="AJ486">
            <v>4</v>
          </cell>
          <cell r="AK486">
            <v>3</v>
          </cell>
          <cell r="AL486">
            <v>4</v>
          </cell>
          <cell r="AM486" t="str">
            <v>NULL</v>
          </cell>
          <cell r="AN486" t="str">
            <v>No</v>
          </cell>
          <cell r="AO486" t="str">
            <v>ITS447185</v>
          </cell>
          <cell r="AP486" t="str">
            <v>Independent School standard inspection</v>
          </cell>
          <cell r="AQ486" t="str">
            <v>Independent Standard Inspection</v>
          </cell>
          <cell r="AR486">
            <v>41961</v>
          </cell>
          <cell r="AS486">
            <v>41963</v>
          </cell>
          <cell r="AT486">
            <v>42168</v>
          </cell>
          <cell r="AU486">
            <v>4</v>
          </cell>
          <cell r="AV486">
            <v>4</v>
          </cell>
          <cell r="AW486">
            <v>4</v>
          </cell>
          <cell r="AX486">
            <v>4</v>
          </cell>
          <cell r="AY486" t="str">
            <v>NULL</v>
          </cell>
          <cell r="AZ486">
            <v>4</v>
          </cell>
          <cell r="BA486">
            <v>9</v>
          </cell>
          <cell r="BB486" t="str">
            <v>NULL</v>
          </cell>
        </row>
        <row r="487">
          <cell r="D487">
            <v>131952</v>
          </cell>
          <cell r="E487">
            <v>3046112</v>
          </cell>
          <cell r="F487" t="str">
            <v>The Noam Primary School</v>
          </cell>
          <cell r="G487" t="str">
            <v>Other Independent School</v>
          </cell>
          <cell r="H487">
            <v>36420</v>
          </cell>
          <cell r="I487">
            <v>159</v>
          </cell>
          <cell r="J487" t="str">
            <v>London</v>
          </cell>
          <cell r="K487" t="str">
            <v>London</v>
          </cell>
          <cell r="L487" t="str">
            <v>Brent</v>
          </cell>
          <cell r="M487" t="str">
            <v>Brent North</v>
          </cell>
          <cell r="N487" t="str">
            <v>HA9 8JW</v>
          </cell>
          <cell r="O487" t="str">
            <v>Does not have a sixth form</v>
          </cell>
          <cell r="P487">
            <v>3</v>
          </cell>
          <cell r="Q487">
            <v>11</v>
          </cell>
          <cell r="R487" t="str">
            <v>None</v>
          </cell>
          <cell r="S487" t="str">
            <v>Ofsted</v>
          </cell>
          <cell r="T487" t="str">
            <v>NULL</v>
          </cell>
          <cell r="U487" t="str">
            <v>NULL</v>
          </cell>
          <cell r="V487" t="str">
            <v>NULL</v>
          </cell>
          <cell r="W487" t="str">
            <v>NULL</v>
          </cell>
          <cell r="X487" t="str">
            <v>NULL</v>
          </cell>
          <cell r="Y487" t="str">
            <v>NULL</v>
          </cell>
          <cell r="Z487" t="str">
            <v>NULL</v>
          </cell>
          <cell r="AA487">
            <v>10022431</v>
          </cell>
          <cell r="AB487" t="str">
            <v>Independent School standard inspection</v>
          </cell>
          <cell r="AC487" t="str">
            <v>Independent Standard Inspection</v>
          </cell>
          <cell r="AD487">
            <v>43130</v>
          </cell>
          <cell r="AE487">
            <v>43132</v>
          </cell>
          <cell r="AF487">
            <v>43157</v>
          </cell>
          <cell r="AG487">
            <v>2</v>
          </cell>
          <cell r="AH487">
            <v>2</v>
          </cell>
          <cell r="AI487">
            <v>2</v>
          </cell>
          <cell r="AJ487">
            <v>2</v>
          </cell>
          <cell r="AK487">
            <v>1</v>
          </cell>
          <cell r="AL487">
            <v>2</v>
          </cell>
          <cell r="AM487" t="str">
            <v>NULL</v>
          </cell>
          <cell r="AN487" t="str">
            <v>Yes</v>
          </cell>
          <cell r="AO487" t="str">
            <v>ITS420184</v>
          </cell>
          <cell r="AP487" t="str">
            <v>Independent School standard inspection</v>
          </cell>
          <cell r="AQ487" t="str">
            <v>Independent Standard Inspection</v>
          </cell>
          <cell r="AR487">
            <v>41429</v>
          </cell>
          <cell r="AS487">
            <v>41431</v>
          </cell>
          <cell r="AT487">
            <v>41451</v>
          </cell>
          <cell r="AU487">
            <v>2</v>
          </cell>
          <cell r="AV487">
            <v>2</v>
          </cell>
          <cell r="AW487">
            <v>2</v>
          </cell>
          <cell r="AX487">
            <v>2</v>
          </cell>
          <cell r="AY487" t="str">
            <v>NULL</v>
          </cell>
          <cell r="AZ487" t="str">
            <v>NULL</v>
          </cell>
          <cell r="BA487" t="str">
            <v>NULL</v>
          </cell>
          <cell r="BB487" t="str">
            <v>NULL</v>
          </cell>
        </row>
        <row r="488">
          <cell r="D488">
            <v>141023</v>
          </cell>
          <cell r="E488">
            <v>3156007</v>
          </cell>
          <cell r="F488" t="str">
            <v>The Norwegian Kindergarten In London</v>
          </cell>
          <cell r="G488" t="str">
            <v>Other Independent School</v>
          </cell>
          <cell r="H488">
            <v>41803</v>
          </cell>
          <cell r="I488">
            <v>29</v>
          </cell>
          <cell r="J488" t="str">
            <v>London</v>
          </cell>
          <cell r="K488" t="str">
            <v>London</v>
          </cell>
          <cell r="L488" t="str">
            <v>Merton</v>
          </cell>
          <cell r="M488" t="str">
            <v>Wimbledon</v>
          </cell>
          <cell r="N488" t="str">
            <v>SW20 8AH</v>
          </cell>
          <cell r="O488" t="str">
            <v>Does not have a sixth form</v>
          </cell>
          <cell r="P488">
            <v>2</v>
          </cell>
          <cell r="Q488">
            <v>6</v>
          </cell>
          <cell r="R488" t="str">
            <v>None</v>
          </cell>
          <cell r="S488" t="str">
            <v>Ofsted</v>
          </cell>
          <cell r="T488" t="str">
            <v>NULL</v>
          </cell>
          <cell r="U488" t="str">
            <v>NULL</v>
          </cell>
          <cell r="V488" t="str">
            <v>NULL</v>
          </cell>
          <cell r="W488" t="str">
            <v>NULL</v>
          </cell>
          <cell r="X488" t="str">
            <v>NULL</v>
          </cell>
          <cell r="Y488" t="str">
            <v>NULL</v>
          </cell>
          <cell r="Z488" t="str">
            <v>NULL</v>
          </cell>
          <cell r="AA488" t="str">
            <v>ITS462894</v>
          </cell>
          <cell r="AB488" t="str">
            <v>Independent school standard inspection - first</v>
          </cell>
          <cell r="AC488" t="str">
            <v>Independent Standard Inspection</v>
          </cell>
          <cell r="AD488">
            <v>42108</v>
          </cell>
          <cell r="AE488">
            <v>42110</v>
          </cell>
          <cell r="AF488">
            <v>42146</v>
          </cell>
          <cell r="AG488">
            <v>1</v>
          </cell>
          <cell r="AH488">
            <v>1</v>
          </cell>
          <cell r="AI488">
            <v>1</v>
          </cell>
          <cell r="AJ488">
            <v>1</v>
          </cell>
          <cell r="AK488" t="str">
            <v>NULL</v>
          </cell>
          <cell r="AL488">
            <v>1</v>
          </cell>
          <cell r="AM488">
            <v>9</v>
          </cell>
          <cell r="AN488" t="str">
            <v>NULL</v>
          </cell>
          <cell r="AO488" t="str">
            <v>NULL</v>
          </cell>
          <cell r="AP488" t="str">
            <v>NULL</v>
          </cell>
          <cell r="AQ488" t="str">
            <v>NULL</v>
          </cell>
          <cell r="AR488" t="str">
            <v>NULL</v>
          </cell>
          <cell r="AS488" t="str">
            <v>NULL</v>
          </cell>
          <cell r="AT488" t="str">
            <v>NULL</v>
          </cell>
          <cell r="AU488" t="str">
            <v>NULL</v>
          </cell>
          <cell r="AV488" t="str">
            <v>NULL</v>
          </cell>
          <cell r="AW488" t="str">
            <v>NULL</v>
          </cell>
          <cell r="AX488" t="str">
            <v>NULL</v>
          </cell>
          <cell r="AY488" t="str">
            <v>NULL</v>
          </cell>
          <cell r="AZ488" t="str">
            <v>NULL</v>
          </cell>
          <cell r="BA488" t="str">
            <v>NULL</v>
          </cell>
          <cell r="BB488" t="str">
            <v>NULL</v>
          </cell>
        </row>
        <row r="489">
          <cell r="D489">
            <v>102693</v>
          </cell>
          <cell r="E489">
            <v>3156072</v>
          </cell>
          <cell r="F489" t="str">
            <v>The Norwegian School in London</v>
          </cell>
          <cell r="G489" t="str">
            <v>Other Independent School</v>
          </cell>
          <cell r="H489">
            <v>30207</v>
          </cell>
          <cell r="I489">
            <v>80</v>
          </cell>
          <cell r="J489" t="str">
            <v>London</v>
          </cell>
          <cell r="K489" t="str">
            <v>London</v>
          </cell>
          <cell r="L489" t="str">
            <v>Merton</v>
          </cell>
          <cell r="M489" t="str">
            <v>Wimbledon</v>
          </cell>
          <cell r="N489" t="str">
            <v>SW20 8AH</v>
          </cell>
          <cell r="O489" t="str">
            <v>Does not have a sixth form</v>
          </cell>
          <cell r="P489">
            <v>6</v>
          </cell>
          <cell r="Q489">
            <v>16</v>
          </cell>
          <cell r="R489" t="str">
            <v>None</v>
          </cell>
          <cell r="S489" t="str">
            <v>Ofsted</v>
          </cell>
          <cell r="T489" t="str">
            <v>NULL</v>
          </cell>
          <cell r="U489" t="str">
            <v>NULL</v>
          </cell>
          <cell r="V489" t="str">
            <v>NULL</v>
          </cell>
          <cell r="W489" t="str">
            <v>NULL</v>
          </cell>
          <cell r="X489" t="str">
            <v>NULL</v>
          </cell>
          <cell r="Y489" t="str">
            <v>NULL</v>
          </cell>
          <cell r="Z489" t="str">
            <v>NULL</v>
          </cell>
          <cell r="AA489">
            <v>10006058</v>
          </cell>
          <cell r="AB489" t="str">
            <v>Independent School standard inspection</v>
          </cell>
          <cell r="AC489" t="str">
            <v>Independent Standard Inspection</v>
          </cell>
          <cell r="AD489">
            <v>42332</v>
          </cell>
          <cell r="AE489">
            <v>42334</v>
          </cell>
          <cell r="AF489">
            <v>42354</v>
          </cell>
          <cell r="AG489">
            <v>3</v>
          </cell>
          <cell r="AH489">
            <v>3</v>
          </cell>
          <cell r="AI489">
            <v>3</v>
          </cell>
          <cell r="AJ489">
            <v>3</v>
          </cell>
          <cell r="AK489">
            <v>2</v>
          </cell>
          <cell r="AL489" t="str">
            <v>NULL</v>
          </cell>
          <cell r="AM489" t="str">
            <v>NULL</v>
          </cell>
          <cell r="AN489" t="str">
            <v>Yes</v>
          </cell>
          <cell r="AO489" t="str">
            <v>ITS386836</v>
          </cell>
          <cell r="AP489" t="str">
            <v>Independent School standard inspection</v>
          </cell>
          <cell r="AQ489" t="str">
            <v>Independent Standard Inspection</v>
          </cell>
          <cell r="AR489">
            <v>41184</v>
          </cell>
          <cell r="AS489">
            <v>41185</v>
          </cell>
          <cell r="AT489">
            <v>41215</v>
          </cell>
          <cell r="AU489">
            <v>2</v>
          </cell>
          <cell r="AV489">
            <v>2</v>
          </cell>
          <cell r="AW489">
            <v>2</v>
          </cell>
          <cell r="AX489" t="str">
            <v>NULL</v>
          </cell>
          <cell r="AY489" t="str">
            <v>NULL</v>
          </cell>
          <cell r="AZ489">
            <v>8</v>
          </cell>
          <cell r="BA489" t="str">
            <v>NULL</v>
          </cell>
          <cell r="BB489" t="str">
            <v>NULL</v>
          </cell>
        </row>
        <row r="490">
          <cell r="D490">
            <v>136250</v>
          </cell>
          <cell r="E490">
            <v>2116399</v>
          </cell>
          <cell r="F490" t="str">
            <v>The Pier Head Preparatory Montessori School</v>
          </cell>
          <cell r="G490" t="str">
            <v>Other Independent School</v>
          </cell>
          <cell r="H490">
            <v>40478</v>
          </cell>
          <cell r="I490">
            <v>60</v>
          </cell>
          <cell r="J490" t="str">
            <v>London</v>
          </cell>
          <cell r="K490" t="str">
            <v>London</v>
          </cell>
          <cell r="L490" t="str">
            <v>Tower Hamlets</v>
          </cell>
          <cell r="M490" t="str">
            <v>Poplar and Limehouse</v>
          </cell>
          <cell r="N490" t="str">
            <v>E1W 3TD</v>
          </cell>
          <cell r="O490" t="str">
            <v>Does not have a sixth form</v>
          </cell>
          <cell r="P490">
            <v>2</v>
          </cell>
          <cell r="Q490">
            <v>7</v>
          </cell>
          <cell r="R490" t="str">
            <v>None</v>
          </cell>
          <cell r="S490" t="str">
            <v>Ofsted</v>
          </cell>
          <cell r="T490" t="str">
            <v>NULL</v>
          </cell>
          <cell r="U490" t="str">
            <v>NULL</v>
          </cell>
          <cell r="V490" t="str">
            <v>NULL</v>
          </cell>
          <cell r="W490" t="str">
            <v>NULL</v>
          </cell>
          <cell r="X490" t="str">
            <v>NULL</v>
          </cell>
          <cell r="Y490" t="str">
            <v>NULL</v>
          </cell>
          <cell r="Z490" t="str">
            <v>NULL</v>
          </cell>
          <cell r="AA490">
            <v>10041400</v>
          </cell>
          <cell r="AB490" t="str">
            <v>Independent School standard inspection</v>
          </cell>
          <cell r="AC490" t="str">
            <v>Independent Standard Inspection</v>
          </cell>
          <cell r="AD490">
            <v>43109</v>
          </cell>
          <cell r="AE490">
            <v>43111</v>
          </cell>
          <cell r="AF490">
            <v>43140</v>
          </cell>
          <cell r="AG490">
            <v>2</v>
          </cell>
          <cell r="AH490">
            <v>2</v>
          </cell>
          <cell r="AI490">
            <v>2</v>
          </cell>
          <cell r="AJ490">
            <v>2</v>
          </cell>
          <cell r="AK490">
            <v>1</v>
          </cell>
          <cell r="AL490" t="str">
            <v>NULL</v>
          </cell>
          <cell r="AM490" t="str">
            <v>NULL</v>
          </cell>
          <cell r="AN490" t="str">
            <v>Yes</v>
          </cell>
          <cell r="AO490" t="str">
            <v>ITS454294</v>
          </cell>
          <cell r="AP490" t="str">
            <v>Independent School standard inspection</v>
          </cell>
          <cell r="AQ490" t="str">
            <v>Independent Standard Inspection</v>
          </cell>
          <cell r="AR490">
            <v>42059</v>
          </cell>
          <cell r="AS490">
            <v>42061</v>
          </cell>
          <cell r="AT490">
            <v>42090</v>
          </cell>
          <cell r="AU490">
            <v>2</v>
          </cell>
          <cell r="AV490">
            <v>2</v>
          </cell>
          <cell r="AW490">
            <v>2</v>
          </cell>
          <cell r="AX490">
            <v>2</v>
          </cell>
          <cell r="AY490" t="str">
            <v>NULL</v>
          </cell>
          <cell r="AZ490">
            <v>2</v>
          </cell>
          <cell r="BA490">
            <v>9</v>
          </cell>
          <cell r="BB490" t="str">
            <v>NULL</v>
          </cell>
        </row>
        <row r="491">
          <cell r="D491">
            <v>101075</v>
          </cell>
          <cell r="E491">
            <v>2126351</v>
          </cell>
          <cell r="F491" t="str">
            <v>The Roche School</v>
          </cell>
          <cell r="G491" t="str">
            <v>Other Independent School</v>
          </cell>
          <cell r="H491">
            <v>31197</v>
          </cell>
          <cell r="I491">
            <v>369</v>
          </cell>
          <cell r="J491" t="str">
            <v>London</v>
          </cell>
          <cell r="K491" t="str">
            <v>London</v>
          </cell>
          <cell r="L491" t="str">
            <v>Wandsworth</v>
          </cell>
          <cell r="M491" t="str">
            <v>Battersea</v>
          </cell>
          <cell r="N491" t="str">
            <v>SW18 1HW</v>
          </cell>
          <cell r="O491" t="str">
            <v>Does not have a sixth form</v>
          </cell>
          <cell r="P491">
            <v>2</v>
          </cell>
          <cell r="Q491">
            <v>11</v>
          </cell>
          <cell r="R491" t="str">
            <v>None</v>
          </cell>
          <cell r="S491" t="str">
            <v>Ofsted</v>
          </cell>
          <cell r="T491">
            <v>1</v>
          </cell>
          <cell r="U491">
            <v>10010235</v>
          </cell>
          <cell r="V491" t="str">
            <v>Independent school Material Change inspection</v>
          </cell>
          <cell r="W491">
            <v>42479</v>
          </cell>
          <cell r="X491">
            <v>42479</v>
          </cell>
          <cell r="Y491" t="str">
            <v>NULL</v>
          </cell>
          <cell r="Z491" t="str">
            <v>Likely to meet relevant standards</v>
          </cell>
          <cell r="AA491" t="str">
            <v>ITS443487</v>
          </cell>
          <cell r="AB491" t="str">
            <v>Independent School standard inspection</v>
          </cell>
          <cell r="AC491" t="str">
            <v>Independent Standard Inspection</v>
          </cell>
          <cell r="AD491">
            <v>41772</v>
          </cell>
          <cell r="AE491">
            <v>41774</v>
          </cell>
          <cell r="AF491">
            <v>41795</v>
          </cell>
          <cell r="AG491">
            <v>1</v>
          </cell>
          <cell r="AH491">
            <v>1</v>
          </cell>
          <cell r="AI491">
            <v>1</v>
          </cell>
          <cell r="AJ491">
            <v>1</v>
          </cell>
          <cell r="AK491" t="str">
            <v>NULL</v>
          </cell>
          <cell r="AL491" t="str">
            <v>NULL</v>
          </cell>
          <cell r="AM491" t="str">
            <v>NULL</v>
          </cell>
          <cell r="AN491" t="str">
            <v>NULL</v>
          </cell>
          <cell r="AO491" t="str">
            <v>ITS329570</v>
          </cell>
          <cell r="AP491" t="str">
            <v>S162a - LTI Inspection Historic</v>
          </cell>
          <cell r="AQ491" t="str">
            <v>Independent Standard Inspection</v>
          </cell>
          <cell r="AR491">
            <v>39763</v>
          </cell>
          <cell r="AS491">
            <v>39763</v>
          </cell>
          <cell r="AT491">
            <v>39786</v>
          </cell>
          <cell r="AU491">
            <v>1</v>
          </cell>
          <cell r="AV491">
            <v>1</v>
          </cell>
          <cell r="AW491">
            <v>2</v>
          </cell>
          <cell r="AX491" t="str">
            <v>NULL</v>
          </cell>
          <cell r="AY491" t="str">
            <v>NULL</v>
          </cell>
          <cell r="AZ491">
            <v>2</v>
          </cell>
          <cell r="BA491" t="str">
            <v>NULL</v>
          </cell>
          <cell r="BB491" t="str">
            <v>NULL</v>
          </cell>
        </row>
        <row r="492">
          <cell r="D492">
            <v>142324</v>
          </cell>
          <cell r="E492">
            <v>3816016</v>
          </cell>
          <cell r="F492" t="str">
            <v>Stafford Hall School</v>
          </cell>
          <cell r="G492" t="str">
            <v>Other Independent Special School</v>
          </cell>
          <cell r="H492">
            <v>42229</v>
          </cell>
          <cell r="I492">
            <v>7</v>
          </cell>
          <cell r="J492" t="str">
            <v>North East, Yorkshire and the Humber</v>
          </cell>
          <cell r="K492" t="str">
            <v>Yorkshire and the Humber</v>
          </cell>
          <cell r="L492" t="str">
            <v>Calderdale</v>
          </cell>
          <cell r="M492" t="str">
            <v>Halifax</v>
          </cell>
          <cell r="N492" t="str">
            <v>HX3 0AW</v>
          </cell>
          <cell r="O492" t="str">
            <v>Not applicable</v>
          </cell>
          <cell r="P492">
            <v>11</v>
          </cell>
          <cell r="Q492">
            <v>19</v>
          </cell>
          <cell r="R492" t="str">
            <v>None</v>
          </cell>
          <cell r="S492" t="str">
            <v>Ofsted</v>
          </cell>
          <cell r="T492" t="str">
            <v>NULL</v>
          </cell>
          <cell r="U492" t="str">
            <v>NULL</v>
          </cell>
          <cell r="V492" t="str">
            <v>NULL</v>
          </cell>
          <cell r="W492" t="str">
            <v>NULL</v>
          </cell>
          <cell r="X492" t="str">
            <v>NULL</v>
          </cell>
          <cell r="Y492" t="str">
            <v>NULL</v>
          </cell>
          <cell r="Z492" t="str">
            <v>NULL</v>
          </cell>
          <cell r="AA492">
            <v>10012870</v>
          </cell>
          <cell r="AB492" t="str">
            <v>Independent school standard inspection - first</v>
          </cell>
          <cell r="AC492" t="str">
            <v>Independent Standard Inspection</v>
          </cell>
          <cell r="AD492">
            <v>42549</v>
          </cell>
          <cell r="AE492">
            <v>42551</v>
          </cell>
          <cell r="AF492">
            <v>42634</v>
          </cell>
          <cell r="AG492">
            <v>2</v>
          </cell>
          <cell r="AH492">
            <v>2</v>
          </cell>
          <cell r="AI492">
            <v>2</v>
          </cell>
          <cell r="AJ492">
            <v>2</v>
          </cell>
          <cell r="AK492">
            <v>2</v>
          </cell>
          <cell r="AL492" t="str">
            <v>NULL</v>
          </cell>
          <cell r="AM492" t="str">
            <v>NULL</v>
          </cell>
          <cell r="AN492" t="str">
            <v>Yes</v>
          </cell>
          <cell r="AO492" t="str">
            <v>NULL</v>
          </cell>
          <cell r="AP492" t="str">
            <v>NULL</v>
          </cell>
          <cell r="AQ492" t="str">
            <v>NULL</v>
          </cell>
          <cell r="AR492" t="str">
            <v>NULL</v>
          </cell>
          <cell r="AS492" t="str">
            <v>NULL</v>
          </cell>
          <cell r="AT492" t="str">
            <v>NULL</v>
          </cell>
          <cell r="AU492" t="str">
            <v>NULL</v>
          </cell>
          <cell r="AV492" t="str">
            <v>NULL</v>
          </cell>
          <cell r="AW492" t="str">
            <v>NULL</v>
          </cell>
          <cell r="AX492" t="str">
            <v>NULL</v>
          </cell>
          <cell r="AY492" t="str">
            <v>NULL</v>
          </cell>
          <cell r="AZ492" t="str">
            <v>NULL</v>
          </cell>
          <cell r="BA492" t="str">
            <v>NULL</v>
          </cell>
          <cell r="BB492" t="str">
            <v>NULL</v>
          </cell>
        </row>
        <row r="493">
          <cell r="D493">
            <v>142325</v>
          </cell>
          <cell r="E493">
            <v>8686023</v>
          </cell>
          <cell r="F493" t="str">
            <v>Huntercombe Hospital School Maidenhead</v>
          </cell>
          <cell r="G493" t="str">
            <v>Other Independent Special School</v>
          </cell>
          <cell r="H493">
            <v>42230</v>
          </cell>
          <cell r="I493">
            <v>54</v>
          </cell>
          <cell r="J493" t="str">
            <v>South East</v>
          </cell>
          <cell r="K493" t="str">
            <v>South East</v>
          </cell>
          <cell r="L493" t="str">
            <v>Windsor and Maidenhead</v>
          </cell>
          <cell r="M493" t="str">
            <v>Beaconsfield</v>
          </cell>
          <cell r="N493" t="str">
            <v>SL6 0PQ</v>
          </cell>
          <cell r="O493" t="str">
            <v>Not applicable</v>
          </cell>
          <cell r="P493">
            <v>12</v>
          </cell>
          <cell r="Q493">
            <v>18</v>
          </cell>
          <cell r="R493" t="str">
            <v>None</v>
          </cell>
          <cell r="S493" t="str">
            <v>Ofsted</v>
          </cell>
          <cell r="T493" t="str">
            <v>NULL</v>
          </cell>
          <cell r="U493" t="str">
            <v>NULL</v>
          </cell>
          <cell r="V493" t="str">
            <v>NULL</v>
          </cell>
          <cell r="W493" t="str">
            <v>NULL</v>
          </cell>
          <cell r="X493" t="str">
            <v>NULL</v>
          </cell>
          <cell r="Y493" t="str">
            <v>NULL</v>
          </cell>
          <cell r="Z493" t="str">
            <v>NULL</v>
          </cell>
          <cell r="AA493">
            <v>10012889</v>
          </cell>
          <cell r="AB493" t="str">
            <v>Independent school standard inspection - first</v>
          </cell>
          <cell r="AC493" t="str">
            <v>Independent Standard Inspection</v>
          </cell>
          <cell r="AD493">
            <v>42556</v>
          </cell>
          <cell r="AE493">
            <v>42558</v>
          </cell>
          <cell r="AF493">
            <v>42618</v>
          </cell>
          <cell r="AG493">
            <v>2</v>
          </cell>
          <cell r="AH493">
            <v>2</v>
          </cell>
          <cell r="AI493">
            <v>2</v>
          </cell>
          <cell r="AJ493">
            <v>2</v>
          </cell>
          <cell r="AK493">
            <v>2</v>
          </cell>
          <cell r="AL493" t="str">
            <v>NULL</v>
          </cell>
          <cell r="AM493">
            <v>3</v>
          </cell>
          <cell r="AN493" t="str">
            <v>Yes</v>
          </cell>
          <cell r="AO493" t="str">
            <v>NULL</v>
          </cell>
          <cell r="AP493" t="str">
            <v>NULL</v>
          </cell>
          <cell r="AQ493" t="str">
            <v>NULL</v>
          </cell>
          <cell r="AR493" t="str">
            <v>NULL</v>
          </cell>
          <cell r="AS493" t="str">
            <v>NULL</v>
          </cell>
          <cell r="AT493" t="str">
            <v>NULL</v>
          </cell>
          <cell r="AU493" t="str">
            <v>NULL</v>
          </cell>
          <cell r="AV493" t="str">
            <v>NULL</v>
          </cell>
          <cell r="AW493" t="str">
            <v>NULL</v>
          </cell>
          <cell r="AX493" t="str">
            <v>NULL</v>
          </cell>
          <cell r="AY493" t="str">
            <v>NULL</v>
          </cell>
          <cell r="AZ493" t="str">
            <v>NULL</v>
          </cell>
          <cell r="BA493" t="str">
            <v>NULL</v>
          </cell>
          <cell r="BB493" t="str">
            <v>NULL</v>
          </cell>
        </row>
        <row r="494">
          <cell r="D494">
            <v>142328</v>
          </cell>
          <cell r="E494">
            <v>9366005</v>
          </cell>
          <cell r="F494" t="str">
            <v>My Choice School Osprey House</v>
          </cell>
          <cell r="G494" t="str">
            <v>Other Independent Special School</v>
          </cell>
          <cell r="H494">
            <v>42236</v>
          </cell>
          <cell r="I494">
            <v>2</v>
          </cell>
          <cell r="J494" t="str">
            <v>South East</v>
          </cell>
          <cell r="K494" t="str">
            <v>South East</v>
          </cell>
          <cell r="L494" t="str">
            <v>Surrey</v>
          </cell>
          <cell r="M494" t="str">
            <v>Mid Sussex</v>
          </cell>
          <cell r="N494" t="str">
            <v>RH16 1XQ</v>
          </cell>
          <cell r="O494" t="str">
            <v>Not applicable</v>
          </cell>
          <cell r="P494">
            <v>11</v>
          </cell>
          <cell r="Q494">
            <v>16</v>
          </cell>
          <cell r="R494" t="str">
            <v>None</v>
          </cell>
          <cell r="S494" t="str">
            <v>Ofsted</v>
          </cell>
          <cell r="T494" t="str">
            <v>NULL</v>
          </cell>
          <cell r="U494" t="str">
            <v>NULL</v>
          </cell>
          <cell r="V494" t="str">
            <v>NULL</v>
          </cell>
          <cell r="W494" t="str">
            <v>NULL</v>
          </cell>
          <cell r="X494" t="str">
            <v>NULL</v>
          </cell>
          <cell r="Y494" t="str">
            <v>NULL</v>
          </cell>
          <cell r="Z494" t="str">
            <v>NULL</v>
          </cell>
          <cell r="AA494">
            <v>10034346</v>
          </cell>
          <cell r="AB494" t="str">
            <v>Independent school standard inspection - first</v>
          </cell>
          <cell r="AC494" t="str">
            <v>Independent Standard Inspection</v>
          </cell>
          <cell r="AD494">
            <v>42899</v>
          </cell>
          <cell r="AE494">
            <v>42900</v>
          </cell>
          <cell r="AF494">
            <v>42930</v>
          </cell>
          <cell r="AG494">
            <v>3</v>
          </cell>
          <cell r="AH494">
            <v>0</v>
          </cell>
          <cell r="AI494">
            <v>0</v>
          </cell>
          <cell r="AJ494">
            <v>3</v>
          </cell>
          <cell r="AK494">
            <v>2</v>
          </cell>
          <cell r="AL494" t="str">
            <v>NULL</v>
          </cell>
          <cell r="AM494" t="str">
            <v>NULL</v>
          </cell>
          <cell r="AN494" t="str">
            <v>Yes</v>
          </cell>
          <cell r="AO494">
            <v>10012975</v>
          </cell>
          <cell r="AP494" t="str">
            <v>Independent school standard inspection - first</v>
          </cell>
          <cell r="AQ494" t="str">
            <v>Independent Standard Inspection</v>
          </cell>
          <cell r="AR494">
            <v>42563</v>
          </cell>
          <cell r="AS494">
            <v>42564</v>
          </cell>
          <cell r="AT494">
            <v>42628</v>
          </cell>
          <cell r="AU494">
            <v>3</v>
          </cell>
          <cell r="AV494">
            <v>0</v>
          </cell>
          <cell r="AW494">
            <v>0</v>
          </cell>
          <cell r="AX494">
            <v>3</v>
          </cell>
          <cell r="AY494">
            <v>3</v>
          </cell>
          <cell r="AZ494" t="str">
            <v>NULL</v>
          </cell>
          <cell r="BA494" t="str">
            <v>NULL</v>
          </cell>
          <cell r="BB494" t="str">
            <v>Yes</v>
          </cell>
        </row>
        <row r="495">
          <cell r="D495">
            <v>142329</v>
          </cell>
          <cell r="E495">
            <v>3046001</v>
          </cell>
          <cell r="F495" t="str">
            <v>Lycee International De Londres</v>
          </cell>
          <cell r="G495" t="str">
            <v>Other Independent School</v>
          </cell>
          <cell r="H495">
            <v>42241</v>
          </cell>
          <cell r="I495">
            <v>728</v>
          </cell>
          <cell r="J495" t="str">
            <v>London</v>
          </cell>
          <cell r="K495" t="str">
            <v>London</v>
          </cell>
          <cell r="L495" t="str">
            <v>Brent</v>
          </cell>
          <cell r="M495" t="str">
            <v>Brent North</v>
          </cell>
          <cell r="N495" t="str">
            <v>HA9 9LY</v>
          </cell>
          <cell r="O495" t="str">
            <v>Has a sixth form</v>
          </cell>
          <cell r="P495">
            <v>5</v>
          </cell>
          <cell r="Q495">
            <v>18</v>
          </cell>
          <cell r="R495" t="str">
            <v>None</v>
          </cell>
          <cell r="S495" t="str">
            <v>Ofsted</v>
          </cell>
          <cell r="T495" t="str">
            <v>NULL</v>
          </cell>
          <cell r="U495" t="str">
            <v>NULL</v>
          </cell>
          <cell r="V495" t="str">
            <v>NULL</v>
          </cell>
          <cell r="W495" t="str">
            <v>NULL</v>
          </cell>
          <cell r="X495" t="str">
            <v>NULL</v>
          </cell>
          <cell r="Y495" t="str">
            <v>NULL</v>
          </cell>
          <cell r="Z495" t="str">
            <v>NULL</v>
          </cell>
          <cell r="AA495">
            <v>10012797</v>
          </cell>
          <cell r="AB495" t="str">
            <v>Independent school standard inspection - first</v>
          </cell>
          <cell r="AC495" t="str">
            <v>Independent Standard Inspection</v>
          </cell>
          <cell r="AD495">
            <v>42759</v>
          </cell>
          <cell r="AE495">
            <v>42761</v>
          </cell>
          <cell r="AF495">
            <v>42801</v>
          </cell>
          <cell r="AG495">
            <v>3</v>
          </cell>
          <cell r="AH495">
            <v>3</v>
          </cell>
          <cell r="AI495">
            <v>3</v>
          </cell>
          <cell r="AJ495">
            <v>3</v>
          </cell>
          <cell r="AK495">
            <v>2</v>
          </cell>
          <cell r="AL495" t="str">
            <v>NULL</v>
          </cell>
          <cell r="AM495">
            <v>2</v>
          </cell>
          <cell r="AN495" t="str">
            <v>Yes</v>
          </cell>
          <cell r="AO495" t="str">
            <v>NULL</v>
          </cell>
          <cell r="AP495" t="str">
            <v>NULL</v>
          </cell>
          <cell r="AQ495" t="str">
            <v>NULL</v>
          </cell>
          <cell r="AR495" t="str">
            <v>NULL</v>
          </cell>
          <cell r="AS495" t="str">
            <v>NULL</v>
          </cell>
          <cell r="AT495" t="str">
            <v>NULL</v>
          </cell>
          <cell r="AU495" t="str">
            <v>NULL</v>
          </cell>
          <cell r="AV495" t="str">
            <v>NULL</v>
          </cell>
          <cell r="AW495" t="str">
            <v>NULL</v>
          </cell>
          <cell r="AX495" t="str">
            <v>NULL</v>
          </cell>
          <cell r="AY495" t="str">
            <v>NULL</v>
          </cell>
          <cell r="AZ495" t="str">
            <v>NULL</v>
          </cell>
          <cell r="BA495" t="str">
            <v>NULL</v>
          </cell>
          <cell r="BB495" t="str">
            <v>NULL</v>
          </cell>
        </row>
        <row r="496">
          <cell r="D496">
            <v>142833</v>
          </cell>
          <cell r="E496">
            <v>8856044</v>
          </cell>
          <cell r="F496" t="str">
            <v>Bridge Training and Development</v>
          </cell>
          <cell r="G496" t="str">
            <v>Other Independent School</v>
          </cell>
          <cell r="H496">
            <v>42493</v>
          </cell>
          <cell r="I496">
            <v>5</v>
          </cell>
          <cell r="J496" t="str">
            <v>West Midlands</v>
          </cell>
          <cell r="K496" t="str">
            <v>West Midlands</v>
          </cell>
          <cell r="L496" t="str">
            <v>Worcestershire</v>
          </cell>
          <cell r="M496" t="str">
            <v>West Worcestershire</v>
          </cell>
          <cell r="N496" t="str">
            <v>WR8 0DX</v>
          </cell>
          <cell r="O496" t="str">
            <v>Has a sixth form</v>
          </cell>
          <cell r="P496">
            <v>6</v>
          </cell>
          <cell r="Q496">
            <v>18</v>
          </cell>
          <cell r="R496" t="str">
            <v>None</v>
          </cell>
          <cell r="S496" t="str">
            <v>Ofsted</v>
          </cell>
          <cell r="T496" t="str">
            <v>NULL</v>
          </cell>
          <cell r="U496" t="str">
            <v>NULL</v>
          </cell>
          <cell r="V496" t="str">
            <v>NULL</v>
          </cell>
          <cell r="W496" t="str">
            <v>NULL</v>
          </cell>
          <cell r="X496" t="str">
            <v>NULL</v>
          </cell>
          <cell r="Y496" t="str">
            <v>NULL</v>
          </cell>
          <cell r="Z496" t="str">
            <v>NULL</v>
          </cell>
          <cell r="AA496">
            <v>10033586</v>
          </cell>
          <cell r="AB496" t="str">
            <v>Independent school standard inspection - first</v>
          </cell>
          <cell r="AC496" t="str">
            <v>Independent Standard Inspection</v>
          </cell>
          <cell r="AD496">
            <v>42899</v>
          </cell>
          <cell r="AE496">
            <v>42901</v>
          </cell>
          <cell r="AF496">
            <v>42950</v>
          </cell>
          <cell r="AG496">
            <v>1</v>
          </cell>
          <cell r="AH496">
            <v>1</v>
          </cell>
          <cell r="AI496">
            <v>1</v>
          </cell>
          <cell r="AJ496">
            <v>1</v>
          </cell>
          <cell r="AK496">
            <v>1</v>
          </cell>
          <cell r="AL496" t="str">
            <v>NULL</v>
          </cell>
          <cell r="AM496">
            <v>1</v>
          </cell>
          <cell r="AN496" t="str">
            <v>Yes</v>
          </cell>
          <cell r="AO496" t="str">
            <v>NULL</v>
          </cell>
          <cell r="AP496" t="str">
            <v>NULL</v>
          </cell>
          <cell r="AQ496" t="str">
            <v>NULL</v>
          </cell>
          <cell r="AR496" t="str">
            <v>NULL</v>
          </cell>
          <cell r="AS496" t="str">
            <v>NULL</v>
          </cell>
          <cell r="AT496" t="str">
            <v>NULL</v>
          </cell>
          <cell r="AU496" t="str">
            <v>NULL</v>
          </cell>
          <cell r="AV496" t="str">
            <v>NULL</v>
          </cell>
          <cell r="AW496" t="str">
            <v>NULL</v>
          </cell>
          <cell r="AX496" t="str">
            <v>NULL</v>
          </cell>
          <cell r="AY496" t="str">
            <v>NULL</v>
          </cell>
          <cell r="AZ496" t="str">
            <v>NULL</v>
          </cell>
          <cell r="BA496" t="str">
            <v>NULL</v>
          </cell>
          <cell r="BB496" t="str">
            <v>NULL</v>
          </cell>
        </row>
        <row r="497">
          <cell r="D497">
            <v>142859</v>
          </cell>
          <cell r="E497">
            <v>8866143</v>
          </cell>
          <cell r="F497" t="str">
            <v>The Llewellyn School and Nursery</v>
          </cell>
          <cell r="G497" t="str">
            <v>Other Independent Special School</v>
          </cell>
          <cell r="H497">
            <v>42753</v>
          </cell>
          <cell r="I497">
            <v>0</v>
          </cell>
          <cell r="J497" t="str">
            <v>South East</v>
          </cell>
          <cell r="K497" t="str">
            <v>South East</v>
          </cell>
          <cell r="L497" t="str">
            <v>Kent</v>
          </cell>
          <cell r="M497" t="str">
            <v>North Thanet</v>
          </cell>
          <cell r="N497" t="str">
            <v>CT9 5DU</v>
          </cell>
          <cell r="O497" t="str">
            <v>Not applicable</v>
          </cell>
          <cell r="P497">
            <v>2</v>
          </cell>
          <cell r="Q497">
            <v>11</v>
          </cell>
          <cell r="R497" t="str">
            <v>None</v>
          </cell>
          <cell r="S497" t="str">
            <v>Ofsted</v>
          </cell>
          <cell r="T497">
            <v>3</v>
          </cell>
          <cell r="U497">
            <v>10022898</v>
          </cell>
          <cell r="V497" t="str">
            <v>Independent School Pre-registration Inspection</v>
          </cell>
          <cell r="W497">
            <v>42717</v>
          </cell>
          <cell r="X497">
            <v>42717</v>
          </cell>
          <cell r="Y497" t="str">
            <v>NULL</v>
          </cell>
          <cell r="Z497" t="str">
            <v>Likely to meet all standards</v>
          </cell>
          <cell r="AA497" t="str">
            <v>NULL</v>
          </cell>
          <cell r="AB497" t="str">
            <v>NULL</v>
          </cell>
          <cell r="AC497" t="str">
            <v>NULL</v>
          </cell>
          <cell r="AD497" t="str">
            <v>NULL</v>
          </cell>
          <cell r="AE497" t="str">
            <v>NULL</v>
          </cell>
          <cell r="AF497" t="str">
            <v>NULL</v>
          </cell>
          <cell r="AG497" t="str">
            <v>NULL</v>
          </cell>
          <cell r="AH497" t="str">
            <v>NULL</v>
          </cell>
          <cell r="AI497" t="str">
            <v>NULL</v>
          </cell>
          <cell r="AJ497" t="str">
            <v>NULL</v>
          </cell>
          <cell r="AK497" t="str">
            <v>NULL</v>
          </cell>
          <cell r="AL497" t="str">
            <v>NULL</v>
          </cell>
          <cell r="AM497" t="str">
            <v>NULL</v>
          </cell>
          <cell r="AN497" t="str">
            <v>NULL</v>
          </cell>
          <cell r="AO497" t="str">
            <v>NULL</v>
          </cell>
          <cell r="AP497" t="str">
            <v>NULL</v>
          </cell>
          <cell r="AQ497" t="str">
            <v>NULL</v>
          </cell>
          <cell r="AR497" t="str">
            <v>NULL</v>
          </cell>
          <cell r="AS497" t="str">
            <v>NULL</v>
          </cell>
          <cell r="AT497" t="str">
            <v>NULL</v>
          </cell>
          <cell r="AU497" t="str">
            <v>NULL</v>
          </cell>
          <cell r="AV497" t="str">
            <v>NULL</v>
          </cell>
          <cell r="AW497" t="str">
            <v>NULL</v>
          </cell>
          <cell r="AX497" t="str">
            <v>NULL</v>
          </cell>
          <cell r="AY497" t="str">
            <v>NULL</v>
          </cell>
          <cell r="AZ497" t="str">
            <v>NULL</v>
          </cell>
          <cell r="BA497" t="str">
            <v>NULL</v>
          </cell>
          <cell r="BB497" t="str">
            <v>NULL</v>
          </cell>
        </row>
        <row r="498">
          <cell r="D498">
            <v>142911</v>
          </cell>
          <cell r="E498">
            <v>8156034</v>
          </cell>
          <cell r="F498" t="str">
            <v>Cambian Spring Hill</v>
          </cell>
          <cell r="G498" t="str">
            <v>Other Independent Special School</v>
          </cell>
          <cell r="H498">
            <v>42583</v>
          </cell>
          <cell r="I498">
            <v>25</v>
          </cell>
          <cell r="J498" t="str">
            <v>North East, Yorkshire and the Humber</v>
          </cell>
          <cell r="K498" t="str">
            <v>Yorkshire and the Humber</v>
          </cell>
          <cell r="L498" t="str">
            <v>North Yorkshire</v>
          </cell>
          <cell r="M498" t="str">
            <v>Skipton and Ripon</v>
          </cell>
          <cell r="N498" t="str">
            <v>HG4 3HN</v>
          </cell>
          <cell r="O498" t="str">
            <v>Not applicable</v>
          </cell>
          <cell r="P498">
            <v>8</v>
          </cell>
          <cell r="Q498">
            <v>19</v>
          </cell>
          <cell r="R498" t="str">
            <v>None</v>
          </cell>
          <cell r="S498" t="str">
            <v>Ofsted</v>
          </cell>
          <cell r="T498" t="str">
            <v>NULL</v>
          </cell>
          <cell r="U498" t="str">
            <v>NULL</v>
          </cell>
          <cell r="V498" t="str">
            <v>NULL</v>
          </cell>
          <cell r="W498" t="str">
            <v>NULL</v>
          </cell>
          <cell r="X498" t="str">
            <v>NULL</v>
          </cell>
          <cell r="Y498" t="str">
            <v>NULL</v>
          </cell>
          <cell r="Z498" t="str">
            <v>NULL</v>
          </cell>
          <cell r="AA498">
            <v>10033927</v>
          </cell>
          <cell r="AB498" t="str">
            <v>Independent school standard inspection - first</v>
          </cell>
          <cell r="AC498" t="str">
            <v>Independent Standard Inspection</v>
          </cell>
          <cell r="AD498">
            <v>42912</v>
          </cell>
          <cell r="AE498">
            <v>42914</v>
          </cell>
          <cell r="AF498">
            <v>42985</v>
          </cell>
          <cell r="AG498">
            <v>2</v>
          </cell>
          <cell r="AH498">
            <v>2</v>
          </cell>
          <cell r="AI498">
            <v>2</v>
          </cell>
          <cell r="AJ498">
            <v>2</v>
          </cell>
          <cell r="AK498">
            <v>2</v>
          </cell>
          <cell r="AL498" t="str">
            <v>NULL</v>
          </cell>
          <cell r="AM498" t="str">
            <v>NULL</v>
          </cell>
          <cell r="AN498" t="str">
            <v>Yes</v>
          </cell>
          <cell r="AO498" t="str">
            <v>NULL</v>
          </cell>
          <cell r="AP498" t="str">
            <v>NULL</v>
          </cell>
          <cell r="AQ498" t="str">
            <v>NULL</v>
          </cell>
          <cell r="AR498" t="str">
            <v>NULL</v>
          </cell>
          <cell r="AS498" t="str">
            <v>NULL</v>
          </cell>
          <cell r="AT498" t="str">
            <v>NULL</v>
          </cell>
          <cell r="AU498" t="str">
            <v>NULL</v>
          </cell>
          <cell r="AV498" t="str">
            <v>NULL</v>
          </cell>
          <cell r="AW498" t="str">
            <v>NULL</v>
          </cell>
          <cell r="AX498" t="str">
            <v>NULL</v>
          </cell>
          <cell r="AY498" t="str">
            <v>NULL</v>
          </cell>
          <cell r="AZ498" t="str">
            <v>NULL</v>
          </cell>
          <cell r="BA498" t="str">
            <v>NULL</v>
          </cell>
          <cell r="BB498" t="str">
            <v>NULL</v>
          </cell>
        </row>
        <row r="499">
          <cell r="D499">
            <v>142912</v>
          </cell>
          <cell r="E499">
            <v>3736006</v>
          </cell>
          <cell r="F499" t="str">
            <v>Phoenix School of Therapeutic Education</v>
          </cell>
          <cell r="G499" t="str">
            <v>Other Independent Special School</v>
          </cell>
          <cell r="H499">
            <v>42559</v>
          </cell>
          <cell r="I499">
            <v>22</v>
          </cell>
          <cell r="J499" t="str">
            <v>North East, Yorkshire and the Humber</v>
          </cell>
          <cell r="K499" t="str">
            <v>Yorkshire and the Humber</v>
          </cell>
          <cell r="L499" t="str">
            <v>Sheffield</v>
          </cell>
          <cell r="M499" t="str">
            <v>Sheffield, Heeley</v>
          </cell>
          <cell r="N499" t="str">
            <v>S2 3PX</v>
          </cell>
          <cell r="O499" t="str">
            <v>Not applicable</v>
          </cell>
          <cell r="P499">
            <v>11</v>
          </cell>
          <cell r="Q499">
            <v>17</v>
          </cell>
          <cell r="R499" t="str">
            <v>None</v>
          </cell>
          <cell r="S499" t="str">
            <v>Ofsted</v>
          </cell>
          <cell r="T499" t="str">
            <v>NULL</v>
          </cell>
          <cell r="U499" t="str">
            <v>NULL</v>
          </cell>
          <cell r="V499" t="str">
            <v>NULL</v>
          </cell>
          <cell r="W499" t="str">
            <v>NULL</v>
          </cell>
          <cell r="X499" t="str">
            <v>NULL</v>
          </cell>
          <cell r="Y499" t="str">
            <v>NULL</v>
          </cell>
          <cell r="Z499" t="str">
            <v>NULL</v>
          </cell>
          <cell r="AA499">
            <v>10033928</v>
          </cell>
          <cell r="AB499" t="str">
            <v>Independent school standard inspection - first</v>
          </cell>
          <cell r="AC499" t="str">
            <v>Independent Standard Inspection</v>
          </cell>
          <cell r="AD499">
            <v>42920</v>
          </cell>
          <cell r="AE499">
            <v>42922</v>
          </cell>
          <cell r="AF499">
            <v>43000</v>
          </cell>
          <cell r="AG499">
            <v>2</v>
          </cell>
          <cell r="AH499">
            <v>2</v>
          </cell>
          <cell r="AI499">
            <v>2</v>
          </cell>
          <cell r="AJ499">
            <v>2</v>
          </cell>
          <cell r="AK499">
            <v>1</v>
          </cell>
          <cell r="AL499" t="str">
            <v>NULL</v>
          </cell>
          <cell r="AM499" t="str">
            <v>NULL</v>
          </cell>
          <cell r="AN499" t="str">
            <v>Yes</v>
          </cell>
          <cell r="AO499" t="str">
            <v>NULL</v>
          </cell>
          <cell r="AP499" t="str">
            <v>NULL</v>
          </cell>
          <cell r="AQ499" t="str">
            <v>NULL</v>
          </cell>
          <cell r="AR499" t="str">
            <v>NULL</v>
          </cell>
          <cell r="AS499" t="str">
            <v>NULL</v>
          </cell>
          <cell r="AT499" t="str">
            <v>NULL</v>
          </cell>
          <cell r="AU499" t="str">
            <v>NULL</v>
          </cell>
          <cell r="AV499" t="str">
            <v>NULL</v>
          </cell>
          <cell r="AW499" t="str">
            <v>NULL</v>
          </cell>
          <cell r="AX499" t="str">
            <v>NULL</v>
          </cell>
          <cell r="AY499" t="str">
            <v>NULL</v>
          </cell>
          <cell r="AZ499" t="str">
            <v>NULL</v>
          </cell>
          <cell r="BA499" t="str">
            <v>NULL</v>
          </cell>
          <cell r="BB499" t="str">
            <v>NULL</v>
          </cell>
        </row>
        <row r="500">
          <cell r="D500">
            <v>142925</v>
          </cell>
          <cell r="E500">
            <v>8456062</v>
          </cell>
          <cell r="F500" t="str">
            <v>Ticehurst Hospital School</v>
          </cell>
          <cell r="G500" t="str">
            <v>Other Independent School</v>
          </cell>
          <cell r="H500">
            <v>42514</v>
          </cell>
          <cell r="I500">
            <v>23</v>
          </cell>
          <cell r="J500" t="str">
            <v>South East</v>
          </cell>
          <cell r="K500" t="str">
            <v>South East</v>
          </cell>
          <cell r="L500" t="str">
            <v>East Sussex</v>
          </cell>
          <cell r="M500" t="str">
            <v>Bexhill and Battle</v>
          </cell>
          <cell r="N500" t="str">
            <v>TN5 7HU</v>
          </cell>
          <cell r="O500" t="str">
            <v>Has a sixth form</v>
          </cell>
          <cell r="P500">
            <v>11</v>
          </cell>
          <cell r="Q500">
            <v>18</v>
          </cell>
          <cell r="R500" t="str">
            <v>None</v>
          </cell>
          <cell r="S500" t="str">
            <v>Ofsted</v>
          </cell>
          <cell r="T500" t="str">
            <v>NULL</v>
          </cell>
          <cell r="U500" t="str">
            <v>NULL</v>
          </cell>
          <cell r="V500" t="str">
            <v>NULL</v>
          </cell>
          <cell r="W500" t="str">
            <v>NULL</v>
          </cell>
          <cell r="X500" t="str">
            <v>NULL</v>
          </cell>
          <cell r="Y500" t="str">
            <v>NULL</v>
          </cell>
          <cell r="Z500" t="str">
            <v>NULL</v>
          </cell>
          <cell r="AA500">
            <v>10033965</v>
          </cell>
          <cell r="AB500" t="str">
            <v>Independent school standard inspection - first</v>
          </cell>
          <cell r="AC500" t="str">
            <v>Independent Standard Inspection</v>
          </cell>
          <cell r="AD500">
            <v>42850</v>
          </cell>
          <cell r="AE500">
            <v>42852</v>
          </cell>
          <cell r="AF500">
            <v>42873</v>
          </cell>
          <cell r="AG500">
            <v>2</v>
          </cell>
          <cell r="AH500">
            <v>2</v>
          </cell>
          <cell r="AI500">
            <v>2</v>
          </cell>
          <cell r="AJ500">
            <v>1</v>
          </cell>
          <cell r="AK500">
            <v>2</v>
          </cell>
          <cell r="AL500" t="str">
            <v>NULL</v>
          </cell>
          <cell r="AM500">
            <v>2</v>
          </cell>
          <cell r="AN500" t="str">
            <v>Yes</v>
          </cell>
          <cell r="AO500" t="str">
            <v>NULL</v>
          </cell>
          <cell r="AP500" t="str">
            <v>NULL</v>
          </cell>
          <cell r="AQ500" t="str">
            <v>NULL</v>
          </cell>
          <cell r="AR500" t="str">
            <v>NULL</v>
          </cell>
          <cell r="AS500" t="str">
            <v>NULL</v>
          </cell>
          <cell r="AT500" t="str">
            <v>NULL</v>
          </cell>
          <cell r="AU500" t="str">
            <v>NULL</v>
          </cell>
          <cell r="AV500" t="str">
            <v>NULL</v>
          </cell>
          <cell r="AW500" t="str">
            <v>NULL</v>
          </cell>
          <cell r="AX500" t="str">
            <v>NULL</v>
          </cell>
          <cell r="AY500" t="str">
            <v>NULL</v>
          </cell>
          <cell r="AZ500" t="str">
            <v>NULL</v>
          </cell>
          <cell r="BA500" t="str">
            <v>NULL</v>
          </cell>
          <cell r="BB500" t="str">
            <v>NULL</v>
          </cell>
        </row>
        <row r="501">
          <cell r="D501">
            <v>144374</v>
          </cell>
          <cell r="E501">
            <v>3326008</v>
          </cell>
          <cell r="F501" t="str">
            <v>The Rowan School</v>
          </cell>
          <cell r="G501" t="str">
            <v>Other Independent Special School</v>
          </cell>
          <cell r="H501">
            <v>42908</v>
          </cell>
          <cell r="I501" t="str">
            <v>NULL</v>
          </cell>
          <cell r="J501" t="str">
            <v>West Midlands</v>
          </cell>
          <cell r="K501" t="str">
            <v>West Midlands</v>
          </cell>
          <cell r="L501" t="str">
            <v>Dudley</v>
          </cell>
          <cell r="M501" t="str">
            <v>Wolverhampton South East</v>
          </cell>
          <cell r="N501" t="str">
            <v>WV14 8XH</v>
          </cell>
          <cell r="O501" t="str">
            <v>Not applicable</v>
          </cell>
          <cell r="P501">
            <v>5</v>
          </cell>
          <cell r="Q501">
            <v>11</v>
          </cell>
          <cell r="R501" t="str">
            <v>None</v>
          </cell>
          <cell r="S501" t="str">
            <v>Ofsted</v>
          </cell>
          <cell r="T501">
            <v>2</v>
          </cell>
          <cell r="U501">
            <v>10044786</v>
          </cell>
          <cell r="V501" t="str">
            <v xml:space="preserve">Independent School material change inspection - Integrated </v>
          </cell>
          <cell r="W501">
            <v>43082</v>
          </cell>
          <cell r="X501">
            <v>43082</v>
          </cell>
          <cell r="Y501">
            <v>43178</v>
          </cell>
          <cell r="Z501" t="str">
            <v>Unlikely to meet relevant standards</v>
          </cell>
          <cell r="AA501" t="str">
            <v>NULL</v>
          </cell>
          <cell r="AB501" t="str">
            <v>NULL</v>
          </cell>
          <cell r="AC501" t="str">
            <v>NULL</v>
          </cell>
          <cell r="AD501" t="str">
            <v>NULL</v>
          </cell>
          <cell r="AE501" t="str">
            <v>NULL</v>
          </cell>
          <cell r="AF501" t="str">
            <v>NULL</v>
          </cell>
          <cell r="AG501" t="str">
            <v>NULL</v>
          </cell>
          <cell r="AH501" t="str">
            <v>NULL</v>
          </cell>
          <cell r="AI501" t="str">
            <v>NULL</v>
          </cell>
          <cell r="AJ501" t="str">
            <v>NULL</v>
          </cell>
          <cell r="AK501" t="str">
            <v>NULL</v>
          </cell>
          <cell r="AL501" t="str">
            <v>NULL</v>
          </cell>
          <cell r="AM501" t="str">
            <v>NULL</v>
          </cell>
          <cell r="AN501" t="str">
            <v>NULL</v>
          </cell>
          <cell r="AO501" t="str">
            <v>NULL</v>
          </cell>
          <cell r="AP501" t="str">
            <v>NULL</v>
          </cell>
          <cell r="AQ501" t="str">
            <v>NULL</v>
          </cell>
          <cell r="AR501" t="str">
            <v>NULL</v>
          </cell>
          <cell r="AS501" t="str">
            <v>NULL</v>
          </cell>
          <cell r="AT501" t="str">
            <v>NULL</v>
          </cell>
          <cell r="AU501" t="str">
            <v>NULL</v>
          </cell>
          <cell r="AV501" t="str">
            <v>NULL</v>
          </cell>
          <cell r="AW501" t="str">
            <v>NULL</v>
          </cell>
          <cell r="AX501" t="str">
            <v>NULL</v>
          </cell>
          <cell r="AY501" t="str">
            <v>NULL</v>
          </cell>
          <cell r="AZ501" t="str">
            <v>NULL</v>
          </cell>
          <cell r="BA501" t="str">
            <v>NULL</v>
          </cell>
          <cell r="BB501" t="str">
            <v>NULL</v>
          </cell>
        </row>
        <row r="502">
          <cell r="D502">
            <v>144375</v>
          </cell>
          <cell r="E502">
            <v>8886070</v>
          </cell>
          <cell r="F502" t="str">
            <v>Maple House</v>
          </cell>
          <cell r="G502" t="str">
            <v>Other Independent Special School</v>
          </cell>
          <cell r="H502">
            <v>42825</v>
          </cell>
          <cell r="I502" t="str">
            <v>NULL</v>
          </cell>
          <cell r="J502" t="str">
            <v>North West</v>
          </cell>
          <cell r="K502" t="str">
            <v>North West</v>
          </cell>
          <cell r="L502" t="str">
            <v>Lancashire</v>
          </cell>
          <cell r="M502" t="str">
            <v>Hyndburn</v>
          </cell>
          <cell r="N502" t="str">
            <v>BB4 6LN</v>
          </cell>
          <cell r="O502" t="str">
            <v>Not applicable</v>
          </cell>
          <cell r="P502">
            <v>6</v>
          </cell>
          <cell r="Q502">
            <v>14</v>
          </cell>
          <cell r="R502" t="str">
            <v>None</v>
          </cell>
          <cell r="S502" t="str">
            <v>Ofsted</v>
          </cell>
          <cell r="T502">
            <v>1</v>
          </cell>
          <cell r="U502">
            <v>10033536</v>
          </cell>
          <cell r="V502" t="str">
            <v>Independent School Pre-registration Inspection</v>
          </cell>
          <cell r="W502">
            <v>42789</v>
          </cell>
          <cell r="X502">
            <v>42789</v>
          </cell>
          <cell r="Y502" t="str">
            <v>NULL</v>
          </cell>
          <cell r="Z502" t="str">
            <v>Likely to meet all standards</v>
          </cell>
          <cell r="AA502" t="str">
            <v>NULL</v>
          </cell>
          <cell r="AB502" t="str">
            <v>NULL</v>
          </cell>
          <cell r="AC502" t="str">
            <v>NULL</v>
          </cell>
          <cell r="AD502" t="str">
            <v>NULL</v>
          </cell>
          <cell r="AE502" t="str">
            <v>NULL</v>
          </cell>
          <cell r="AF502" t="str">
            <v>NULL</v>
          </cell>
          <cell r="AG502" t="str">
            <v>NULL</v>
          </cell>
          <cell r="AH502" t="str">
            <v>NULL</v>
          </cell>
          <cell r="AI502" t="str">
            <v>NULL</v>
          </cell>
          <cell r="AJ502" t="str">
            <v>NULL</v>
          </cell>
          <cell r="AK502" t="str">
            <v>NULL</v>
          </cell>
          <cell r="AL502" t="str">
            <v>NULL</v>
          </cell>
          <cell r="AM502" t="str">
            <v>NULL</v>
          </cell>
          <cell r="AN502" t="str">
            <v>NULL</v>
          </cell>
          <cell r="AO502" t="str">
            <v>NULL</v>
          </cell>
          <cell r="AP502" t="str">
            <v>NULL</v>
          </cell>
          <cell r="AQ502" t="str">
            <v>NULL</v>
          </cell>
          <cell r="AR502" t="str">
            <v>NULL</v>
          </cell>
          <cell r="AS502" t="str">
            <v>NULL</v>
          </cell>
          <cell r="AT502" t="str">
            <v>NULL</v>
          </cell>
          <cell r="AU502" t="str">
            <v>NULL</v>
          </cell>
          <cell r="AV502" t="str">
            <v>NULL</v>
          </cell>
          <cell r="AW502" t="str">
            <v>NULL</v>
          </cell>
          <cell r="AX502" t="str">
            <v>NULL</v>
          </cell>
          <cell r="AY502" t="str">
            <v>NULL</v>
          </cell>
          <cell r="AZ502" t="str">
            <v>NULL</v>
          </cell>
          <cell r="BA502" t="str">
            <v>NULL</v>
          </cell>
          <cell r="BB502" t="str">
            <v>NULL</v>
          </cell>
        </row>
        <row r="503">
          <cell r="D503">
            <v>144377</v>
          </cell>
          <cell r="E503">
            <v>9286003</v>
          </cell>
          <cell r="F503" t="str">
            <v>Youth Works Community College</v>
          </cell>
          <cell r="G503" t="str">
            <v>Other Independent School</v>
          </cell>
          <cell r="H503">
            <v>43020</v>
          </cell>
          <cell r="I503" t="str">
            <v>NULL</v>
          </cell>
          <cell r="J503" t="str">
            <v>East Midlands</v>
          </cell>
          <cell r="K503" t="str">
            <v>East Midlands</v>
          </cell>
          <cell r="L503" t="str">
            <v>Northamptonshire</v>
          </cell>
          <cell r="M503" t="str">
            <v>Kettering</v>
          </cell>
          <cell r="N503" t="str">
            <v>NN16 9HX</v>
          </cell>
          <cell r="O503" t="str">
            <v>Does not have a sixth form</v>
          </cell>
          <cell r="P503">
            <v>13</v>
          </cell>
          <cell r="Q503">
            <v>16</v>
          </cell>
          <cell r="R503" t="str">
            <v>None</v>
          </cell>
          <cell r="S503" t="str">
            <v>Ofsted</v>
          </cell>
          <cell r="T503">
            <v>2</v>
          </cell>
          <cell r="U503">
            <v>10041481</v>
          </cell>
          <cell r="V503" t="str">
            <v>Independent School Pre-registration Inspection</v>
          </cell>
          <cell r="W503">
            <v>43005</v>
          </cell>
          <cell r="X503">
            <v>43005</v>
          </cell>
          <cell r="Y503" t="str">
            <v>NULL</v>
          </cell>
          <cell r="Z503" t="str">
            <v>Likely to meet all standards</v>
          </cell>
          <cell r="AA503" t="str">
            <v>NULL</v>
          </cell>
          <cell r="AB503" t="str">
            <v>NULL</v>
          </cell>
          <cell r="AC503" t="str">
            <v>NULL</v>
          </cell>
          <cell r="AD503" t="str">
            <v>NULL</v>
          </cell>
          <cell r="AE503" t="str">
            <v>NULL</v>
          </cell>
          <cell r="AF503" t="str">
            <v>NULL</v>
          </cell>
          <cell r="AG503" t="str">
            <v>NULL</v>
          </cell>
          <cell r="AH503" t="str">
            <v>NULL</v>
          </cell>
          <cell r="AI503" t="str">
            <v>NULL</v>
          </cell>
          <cell r="AJ503" t="str">
            <v>NULL</v>
          </cell>
          <cell r="AK503" t="str">
            <v>NULL</v>
          </cell>
          <cell r="AL503" t="str">
            <v>NULL</v>
          </cell>
          <cell r="AM503" t="str">
            <v>NULL</v>
          </cell>
          <cell r="AN503" t="str">
            <v>NULL</v>
          </cell>
          <cell r="AO503" t="str">
            <v>NULL</v>
          </cell>
          <cell r="AP503" t="str">
            <v>NULL</v>
          </cell>
          <cell r="AQ503" t="str">
            <v>NULL</v>
          </cell>
          <cell r="AR503" t="str">
            <v>NULL</v>
          </cell>
          <cell r="AS503" t="str">
            <v>NULL</v>
          </cell>
          <cell r="AT503" t="str">
            <v>NULL</v>
          </cell>
          <cell r="AU503" t="str">
            <v>NULL</v>
          </cell>
          <cell r="AV503" t="str">
            <v>NULL</v>
          </cell>
          <cell r="AW503" t="str">
            <v>NULL</v>
          </cell>
          <cell r="AX503" t="str">
            <v>NULL</v>
          </cell>
          <cell r="AY503" t="str">
            <v>NULL</v>
          </cell>
          <cell r="AZ503" t="str">
            <v>NULL</v>
          </cell>
          <cell r="BA503" t="str">
            <v>NULL</v>
          </cell>
          <cell r="BB503" t="str">
            <v>NULL</v>
          </cell>
        </row>
        <row r="504">
          <cell r="D504">
            <v>144378</v>
          </cell>
          <cell r="E504">
            <v>8816067</v>
          </cell>
          <cell r="F504" t="str">
            <v>The Belsteads School</v>
          </cell>
          <cell r="G504" t="str">
            <v>Other Independent Special School</v>
          </cell>
          <cell r="H504">
            <v>42849</v>
          </cell>
          <cell r="I504">
            <v>5</v>
          </cell>
          <cell r="J504" t="str">
            <v>East of England</v>
          </cell>
          <cell r="K504" t="str">
            <v>East of England</v>
          </cell>
          <cell r="L504" t="str">
            <v>Essex</v>
          </cell>
          <cell r="M504" t="str">
            <v>Saffron Walden</v>
          </cell>
          <cell r="N504" t="str">
            <v>CM3 3PP</v>
          </cell>
          <cell r="O504" t="str">
            <v>Not applicable</v>
          </cell>
          <cell r="P504">
            <v>10</v>
          </cell>
          <cell r="Q504">
            <v>16</v>
          </cell>
          <cell r="R504" t="str">
            <v>None</v>
          </cell>
          <cell r="S504" t="str">
            <v>Ofsted</v>
          </cell>
          <cell r="T504">
            <v>1</v>
          </cell>
          <cell r="U504">
            <v>10033699</v>
          </cell>
          <cell r="V504" t="str">
            <v>Independent School Pre-registration Inspection</v>
          </cell>
          <cell r="W504">
            <v>42804</v>
          </cell>
          <cell r="X504">
            <v>42804</v>
          </cell>
          <cell r="Y504" t="str">
            <v>NULL</v>
          </cell>
          <cell r="Z504" t="str">
            <v>Likely to meet all standards</v>
          </cell>
          <cell r="AA504" t="str">
            <v>NULL</v>
          </cell>
          <cell r="AB504" t="str">
            <v>NULL</v>
          </cell>
          <cell r="AC504" t="str">
            <v>NULL</v>
          </cell>
          <cell r="AD504" t="str">
            <v>NULL</v>
          </cell>
          <cell r="AE504" t="str">
            <v>NULL</v>
          </cell>
          <cell r="AF504" t="str">
            <v>NULL</v>
          </cell>
          <cell r="AG504" t="str">
            <v>NULL</v>
          </cell>
          <cell r="AH504" t="str">
            <v>NULL</v>
          </cell>
          <cell r="AI504" t="str">
            <v>NULL</v>
          </cell>
          <cell r="AJ504" t="str">
            <v>NULL</v>
          </cell>
          <cell r="AK504" t="str">
            <v>NULL</v>
          </cell>
          <cell r="AL504" t="str">
            <v>NULL</v>
          </cell>
          <cell r="AM504" t="str">
            <v>NULL</v>
          </cell>
          <cell r="AN504" t="str">
            <v>NULL</v>
          </cell>
          <cell r="AO504" t="str">
            <v>NULL</v>
          </cell>
          <cell r="AP504" t="str">
            <v>NULL</v>
          </cell>
          <cell r="AQ504" t="str">
            <v>NULL</v>
          </cell>
          <cell r="AR504" t="str">
            <v>NULL</v>
          </cell>
          <cell r="AS504" t="str">
            <v>NULL</v>
          </cell>
          <cell r="AT504" t="str">
            <v>NULL</v>
          </cell>
          <cell r="AU504" t="str">
            <v>NULL</v>
          </cell>
          <cell r="AV504" t="str">
            <v>NULL</v>
          </cell>
          <cell r="AW504" t="str">
            <v>NULL</v>
          </cell>
          <cell r="AX504" t="str">
            <v>NULL</v>
          </cell>
          <cell r="AY504" t="str">
            <v>NULL</v>
          </cell>
          <cell r="AZ504" t="str">
            <v>NULL</v>
          </cell>
          <cell r="BA504" t="str">
            <v>NULL</v>
          </cell>
          <cell r="BB504" t="str">
            <v>NULL</v>
          </cell>
        </row>
        <row r="505">
          <cell r="D505">
            <v>144404</v>
          </cell>
          <cell r="E505">
            <v>8946009</v>
          </cell>
          <cell r="F505" t="str">
            <v>The Retreat</v>
          </cell>
          <cell r="G505" t="str">
            <v>Other Independent School</v>
          </cell>
          <cell r="H505">
            <v>42858</v>
          </cell>
          <cell r="I505" t="str">
            <v>NULL</v>
          </cell>
          <cell r="J505" t="str">
            <v>West Midlands</v>
          </cell>
          <cell r="K505" t="str">
            <v>West Midlands</v>
          </cell>
          <cell r="L505" t="str">
            <v>Telford and Wrekin</v>
          </cell>
          <cell r="M505" t="str">
            <v>The Wrekin</v>
          </cell>
          <cell r="N505" t="str">
            <v>TF6 6PN</v>
          </cell>
          <cell r="O505" t="str">
            <v>Has a sixth form</v>
          </cell>
          <cell r="P505">
            <v>11</v>
          </cell>
          <cell r="Q505">
            <v>18</v>
          </cell>
          <cell r="R505" t="str">
            <v>None</v>
          </cell>
          <cell r="S505" t="str">
            <v>Ofsted</v>
          </cell>
          <cell r="T505">
            <v>1</v>
          </cell>
          <cell r="U505">
            <v>10034175</v>
          </cell>
          <cell r="V505" t="str">
            <v>Independent School Pre-registration Inspection</v>
          </cell>
          <cell r="W505">
            <v>42829</v>
          </cell>
          <cell r="X505">
            <v>42829</v>
          </cell>
          <cell r="Y505" t="str">
            <v>NULL</v>
          </cell>
          <cell r="Z505" t="str">
            <v>Likely to meet all standards</v>
          </cell>
          <cell r="AA505" t="str">
            <v>NULL</v>
          </cell>
          <cell r="AB505" t="str">
            <v>NULL</v>
          </cell>
          <cell r="AC505" t="str">
            <v>NULL</v>
          </cell>
          <cell r="AD505" t="str">
            <v>NULL</v>
          </cell>
          <cell r="AE505" t="str">
            <v>NULL</v>
          </cell>
          <cell r="AF505" t="str">
            <v>NULL</v>
          </cell>
          <cell r="AG505" t="str">
            <v>NULL</v>
          </cell>
          <cell r="AH505" t="str">
            <v>NULL</v>
          </cell>
          <cell r="AI505" t="str">
            <v>NULL</v>
          </cell>
          <cell r="AJ505" t="str">
            <v>NULL</v>
          </cell>
          <cell r="AK505" t="str">
            <v>NULL</v>
          </cell>
          <cell r="AL505" t="str">
            <v>NULL</v>
          </cell>
          <cell r="AM505" t="str">
            <v>NULL</v>
          </cell>
          <cell r="AN505" t="str">
            <v>NULL</v>
          </cell>
          <cell r="AO505" t="str">
            <v>NULL</v>
          </cell>
          <cell r="AP505" t="str">
            <v>NULL</v>
          </cell>
          <cell r="AQ505" t="str">
            <v>NULL</v>
          </cell>
          <cell r="AR505" t="str">
            <v>NULL</v>
          </cell>
          <cell r="AS505" t="str">
            <v>NULL</v>
          </cell>
          <cell r="AT505" t="str">
            <v>NULL</v>
          </cell>
          <cell r="AU505" t="str">
            <v>NULL</v>
          </cell>
          <cell r="AV505" t="str">
            <v>NULL</v>
          </cell>
          <cell r="AW505" t="str">
            <v>NULL</v>
          </cell>
          <cell r="AX505" t="str">
            <v>NULL</v>
          </cell>
          <cell r="AY505" t="str">
            <v>NULL</v>
          </cell>
          <cell r="AZ505" t="str">
            <v>NULL</v>
          </cell>
          <cell r="BA505" t="str">
            <v>NULL</v>
          </cell>
          <cell r="BB505" t="str">
            <v>NULL</v>
          </cell>
        </row>
        <row r="506">
          <cell r="D506">
            <v>144475</v>
          </cell>
          <cell r="E506">
            <v>8866144</v>
          </cell>
          <cell r="F506" t="str">
            <v>Parkview Academy</v>
          </cell>
          <cell r="G506" t="str">
            <v>Other Independent Special School</v>
          </cell>
          <cell r="H506">
            <v>42803</v>
          </cell>
          <cell r="I506" t="str">
            <v>NULL</v>
          </cell>
          <cell r="J506" t="str">
            <v>South East</v>
          </cell>
          <cell r="K506" t="str">
            <v>South East</v>
          </cell>
          <cell r="L506" t="str">
            <v>Kent</v>
          </cell>
          <cell r="M506" t="str">
            <v>South Thanet</v>
          </cell>
          <cell r="N506" t="str">
            <v>CT9 2AN</v>
          </cell>
          <cell r="O506" t="str">
            <v>Not applicable</v>
          </cell>
          <cell r="P506">
            <v>9</v>
          </cell>
          <cell r="Q506">
            <v>16</v>
          </cell>
          <cell r="R506" t="str">
            <v>None</v>
          </cell>
          <cell r="S506" t="str">
            <v>Ofsted</v>
          </cell>
          <cell r="T506">
            <v>1</v>
          </cell>
          <cell r="U506">
            <v>10040575</v>
          </cell>
          <cell r="V506" t="str">
            <v>Independent school Material Change inspection</v>
          </cell>
          <cell r="W506">
            <v>42969</v>
          </cell>
          <cell r="X506">
            <v>42969</v>
          </cell>
          <cell r="Y506" t="str">
            <v>NULL</v>
          </cell>
          <cell r="Z506" t="str">
            <v>Likely to meet relevant standards</v>
          </cell>
          <cell r="AA506" t="str">
            <v>NULL</v>
          </cell>
          <cell r="AB506" t="str">
            <v>NULL</v>
          </cell>
          <cell r="AC506" t="str">
            <v>NULL</v>
          </cell>
          <cell r="AD506" t="str">
            <v>NULL</v>
          </cell>
          <cell r="AE506" t="str">
            <v>NULL</v>
          </cell>
          <cell r="AF506" t="str">
            <v>NULL</v>
          </cell>
          <cell r="AG506" t="str">
            <v>NULL</v>
          </cell>
          <cell r="AH506" t="str">
            <v>NULL</v>
          </cell>
          <cell r="AI506" t="str">
            <v>NULL</v>
          </cell>
          <cell r="AJ506" t="str">
            <v>NULL</v>
          </cell>
          <cell r="AK506" t="str">
            <v>NULL</v>
          </cell>
          <cell r="AL506" t="str">
            <v>NULL</v>
          </cell>
          <cell r="AM506" t="str">
            <v>NULL</v>
          </cell>
          <cell r="AN506" t="str">
            <v>NULL</v>
          </cell>
          <cell r="AO506" t="str">
            <v>NULL</v>
          </cell>
          <cell r="AP506" t="str">
            <v>NULL</v>
          </cell>
          <cell r="AQ506" t="str">
            <v>NULL</v>
          </cell>
          <cell r="AR506" t="str">
            <v>NULL</v>
          </cell>
          <cell r="AS506" t="str">
            <v>NULL</v>
          </cell>
          <cell r="AT506" t="str">
            <v>NULL</v>
          </cell>
          <cell r="AU506" t="str">
            <v>NULL</v>
          </cell>
          <cell r="AV506" t="str">
            <v>NULL</v>
          </cell>
          <cell r="AW506" t="str">
            <v>NULL</v>
          </cell>
          <cell r="AX506" t="str">
            <v>NULL</v>
          </cell>
          <cell r="AY506" t="str">
            <v>NULL</v>
          </cell>
          <cell r="AZ506" t="str">
            <v>NULL</v>
          </cell>
          <cell r="BA506" t="str">
            <v>NULL</v>
          </cell>
          <cell r="BB506" t="str">
            <v>NULL</v>
          </cell>
        </row>
        <row r="507">
          <cell r="D507">
            <v>144514</v>
          </cell>
          <cell r="E507">
            <v>8656046</v>
          </cell>
          <cell r="F507" t="str">
            <v>The Wasp Centre</v>
          </cell>
          <cell r="G507" t="str">
            <v>Other Independent School</v>
          </cell>
          <cell r="H507">
            <v>42871</v>
          </cell>
          <cell r="I507" t="str">
            <v>NULL</v>
          </cell>
          <cell r="J507" t="str">
            <v>South West</v>
          </cell>
          <cell r="K507" t="str">
            <v>South West</v>
          </cell>
          <cell r="L507" t="str">
            <v>Wiltshire</v>
          </cell>
          <cell r="M507" t="str">
            <v>Salisbury</v>
          </cell>
          <cell r="N507" t="str">
            <v>SP2 7PY</v>
          </cell>
          <cell r="O507" t="str">
            <v>Does not have a sixth form</v>
          </cell>
          <cell r="P507">
            <v>11</v>
          </cell>
          <cell r="Q507">
            <v>16</v>
          </cell>
          <cell r="R507" t="str">
            <v>None</v>
          </cell>
          <cell r="S507" t="str">
            <v>Ofsted</v>
          </cell>
          <cell r="T507">
            <v>2</v>
          </cell>
          <cell r="U507">
            <v>10039648</v>
          </cell>
          <cell r="V507" t="str">
            <v>Independent school Material Change inspection</v>
          </cell>
          <cell r="W507">
            <v>42969</v>
          </cell>
          <cell r="X507">
            <v>42969</v>
          </cell>
          <cell r="Y507" t="str">
            <v>NULL</v>
          </cell>
          <cell r="Z507" t="str">
            <v>Likely to meet relevant standards</v>
          </cell>
          <cell r="AA507" t="str">
            <v>NULL</v>
          </cell>
          <cell r="AB507" t="str">
            <v>NULL</v>
          </cell>
          <cell r="AC507" t="str">
            <v>NULL</v>
          </cell>
          <cell r="AD507" t="str">
            <v>NULL</v>
          </cell>
          <cell r="AE507" t="str">
            <v>NULL</v>
          </cell>
          <cell r="AF507" t="str">
            <v>NULL</v>
          </cell>
          <cell r="AG507" t="str">
            <v>NULL</v>
          </cell>
          <cell r="AH507" t="str">
            <v>NULL</v>
          </cell>
          <cell r="AI507" t="str">
            <v>NULL</v>
          </cell>
          <cell r="AJ507" t="str">
            <v>NULL</v>
          </cell>
          <cell r="AK507" t="str">
            <v>NULL</v>
          </cell>
          <cell r="AL507" t="str">
            <v>NULL</v>
          </cell>
          <cell r="AM507" t="str">
            <v>NULL</v>
          </cell>
          <cell r="AN507" t="str">
            <v>NULL</v>
          </cell>
          <cell r="AO507" t="str">
            <v>NULL</v>
          </cell>
          <cell r="AP507" t="str">
            <v>NULL</v>
          </cell>
          <cell r="AQ507" t="str">
            <v>NULL</v>
          </cell>
          <cell r="AR507" t="str">
            <v>NULL</v>
          </cell>
          <cell r="AS507" t="str">
            <v>NULL</v>
          </cell>
          <cell r="AT507" t="str">
            <v>NULL</v>
          </cell>
          <cell r="AU507" t="str">
            <v>NULL</v>
          </cell>
          <cell r="AV507" t="str">
            <v>NULL</v>
          </cell>
          <cell r="AW507" t="str">
            <v>NULL</v>
          </cell>
          <cell r="AX507" t="str">
            <v>NULL</v>
          </cell>
          <cell r="AY507" t="str">
            <v>NULL</v>
          </cell>
          <cell r="AZ507" t="str">
            <v>NULL</v>
          </cell>
          <cell r="BA507" t="str">
            <v>NULL</v>
          </cell>
          <cell r="BB507" t="str">
            <v>NULL</v>
          </cell>
        </row>
        <row r="508">
          <cell r="D508">
            <v>140624</v>
          </cell>
          <cell r="E508">
            <v>8516000</v>
          </cell>
          <cell r="F508" t="str">
            <v>Madani Primary School</v>
          </cell>
          <cell r="G508" t="str">
            <v>Other Independent School</v>
          </cell>
          <cell r="H508">
            <v>41696</v>
          </cell>
          <cell r="I508">
            <v>42</v>
          </cell>
          <cell r="J508" t="str">
            <v>South East</v>
          </cell>
          <cell r="K508" t="str">
            <v>South East</v>
          </cell>
          <cell r="L508" t="str">
            <v>Portsmouth</v>
          </cell>
          <cell r="M508" t="str">
            <v>Portsmouth South</v>
          </cell>
          <cell r="N508" t="str">
            <v>PO1 4JZ</v>
          </cell>
          <cell r="O508" t="str">
            <v>Does not have a sixth form</v>
          </cell>
          <cell r="P508">
            <v>5</v>
          </cell>
          <cell r="Q508">
            <v>11</v>
          </cell>
          <cell r="R508" t="str">
            <v>None</v>
          </cell>
          <cell r="S508" t="str">
            <v>Ofsted</v>
          </cell>
          <cell r="T508" t="str">
            <v>NULL</v>
          </cell>
          <cell r="U508" t="str">
            <v>NULL</v>
          </cell>
          <cell r="V508" t="str">
            <v>NULL</v>
          </cell>
          <cell r="W508" t="str">
            <v>NULL</v>
          </cell>
          <cell r="X508" t="str">
            <v>NULL</v>
          </cell>
          <cell r="Y508" t="str">
            <v>NULL</v>
          </cell>
          <cell r="Z508" t="str">
            <v>NULL</v>
          </cell>
          <cell r="AA508">
            <v>10025993</v>
          </cell>
          <cell r="AB508" t="str">
            <v>Independent School standard inspection</v>
          </cell>
          <cell r="AC508" t="str">
            <v>Independent Standard Inspection</v>
          </cell>
          <cell r="AD508">
            <v>42920</v>
          </cell>
          <cell r="AE508">
            <v>42922</v>
          </cell>
          <cell r="AF508">
            <v>42996</v>
          </cell>
          <cell r="AG508">
            <v>3</v>
          </cell>
          <cell r="AH508">
            <v>3</v>
          </cell>
          <cell r="AI508">
            <v>3</v>
          </cell>
          <cell r="AJ508">
            <v>3</v>
          </cell>
          <cell r="AK508">
            <v>2</v>
          </cell>
          <cell r="AL508" t="str">
            <v>NULL</v>
          </cell>
          <cell r="AM508" t="str">
            <v>NULL</v>
          </cell>
          <cell r="AN508" t="str">
            <v>Yes</v>
          </cell>
          <cell r="AO508" t="str">
            <v>ITS454305</v>
          </cell>
          <cell r="AP508" t="str">
            <v>Independent school standard inspection - first</v>
          </cell>
          <cell r="AQ508" t="str">
            <v>Independent Standard Inspection</v>
          </cell>
          <cell r="AR508">
            <v>42038</v>
          </cell>
          <cell r="AS508">
            <v>42040</v>
          </cell>
          <cell r="AT508">
            <v>42075</v>
          </cell>
          <cell r="AU508">
            <v>3</v>
          </cell>
          <cell r="AV508">
            <v>3</v>
          </cell>
          <cell r="AW508">
            <v>3</v>
          </cell>
          <cell r="AX508">
            <v>3</v>
          </cell>
          <cell r="AY508" t="str">
            <v>NULL</v>
          </cell>
          <cell r="AZ508">
            <v>9</v>
          </cell>
          <cell r="BA508">
            <v>9</v>
          </cell>
          <cell r="BB508" t="str">
            <v>NULL</v>
          </cell>
        </row>
        <row r="509">
          <cell r="D509">
            <v>100982</v>
          </cell>
          <cell r="E509">
            <v>2116383</v>
          </cell>
          <cell r="F509" t="str">
            <v>Madani Secondary Girls' School</v>
          </cell>
          <cell r="G509" t="str">
            <v>Other Independent School</v>
          </cell>
          <cell r="H509">
            <v>33563</v>
          </cell>
          <cell r="I509">
            <v>228</v>
          </cell>
          <cell r="J509" t="str">
            <v>London</v>
          </cell>
          <cell r="K509" t="str">
            <v>London</v>
          </cell>
          <cell r="L509" t="str">
            <v>Tower Hamlets</v>
          </cell>
          <cell r="M509" t="str">
            <v>Bethnal Green and Bow</v>
          </cell>
          <cell r="N509" t="str">
            <v>E1 1HL</v>
          </cell>
          <cell r="O509" t="str">
            <v>Has a sixth form</v>
          </cell>
          <cell r="P509">
            <v>11</v>
          </cell>
          <cell r="Q509">
            <v>18</v>
          </cell>
          <cell r="R509" t="str">
            <v>None</v>
          </cell>
          <cell r="S509" t="str">
            <v>Ofsted</v>
          </cell>
          <cell r="T509" t="str">
            <v>NULL</v>
          </cell>
          <cell r="U509" t="str">
            <v>NULL</v>
          </cell>
          <cell r="V509" t="str">
            <v>NULL</v>
          </cell>
          <cell r="W509" t="str">
            <v>NULL</v>
          </cell>
          <cell r="X509" t="str">
            <v>NULL</v>
          </cell>
          <cell r="Y509" t="str">
            <v>NULL</v>
          </cell>
          <cell r="Z509" t="str">
            <v>NULL</v>
          </cell>
          <cell r="AA509">
            <v>10026274</v>
          </cell>
          <cell r="AB509" t="str">
            <v>Independent School standard inspection</v>
          </cell>
          <cell r="AC509" t="str">
            <v>Independent Standard Inspection</v>
          </cell>
          <cell r="AD509">
            <v>43053</v>
          </cell>
          <cell r="AE509">
            <v>43055</v>
          </cell>
          <cell r="AF509">
            <v>43089</v>
          </cell>
          <cell r="AG509">
            <v>2</v>
          </cell>
          <cell r="AH509">
            <v>2</v>
          </cell>
          <cell r="AI509">
            <v>2</v>
          </cell>
          <cell r="AJ509">
            <v>2</v>
          </cell>
          <cell r="AK509">
            <v>2</v>
          </cell>
          <cell r="AL509" t="str">
            <v>NULL</v>
          </cell>
          <cell r="AM509">
            <v>0</v>
          </cell>
          <cell r="AN509" t="str">
            <v>Yes</v>
          </cell>
          <cell r="AO509" t="str">
            <v>ITS320364</v>
          </cell>
          <cell r="AP509" t="str">
            <v>Independent School standard inspection</v>
          </cell>
          <cell r="AQ509" t="str">
            <v>Independent Standard Inspection</v>
          </cell>
          <cell r="AR509">
            <v>39490</v>
          </cell>
          <cell r="AS509">
            <v>39491</v>
          </cell>
          <cell r="AT509">
            <v>39518</v>
          </cell>
          <cell r="AU509">
            <v>3</v>
          </cell>
          <cell r="AV509">
            <v>3</v>
          </cell>
          <cell r="AW509">
            <v>3</v>
          </cell>
          <cell r="AX509" t="str">
            <v>NULL</v>
          </cell>
          <cell r="AY509" t="str">
            <v>NULL</v>
          </cell>
          <cell r="AZ509" t="str">
            <v>NULL</v>
          </cell>
          <cell r="BA509" t="str">
            <v>NULL</v>
          </cell>
          <cell r="BB509" t="str">
            <v>NULL</v>
          </cell>
        </row>
        <row r="510">
          <cell r="D510">
            <v>141249</v>
          </cell>
          <cell r="E510">
            <v>8506091</v>
          </cell>
          <cell r="F510" t="str">
            <v>Norman Court School</v>
          </cell>
          <cell r="G510" t="str">
            <v>Other Independent School</v>
          </cell>
          <cell r="H510">
            <v>41879</v>
          </cell>
          <cell r="I510">
            <v>76</v>
          </cell>
          <cell r="J510" t="str">
            <v>South East</v>
          </cell>
          <cell r="K510" t="str">
            <v>South East</v>
          </cell>
          <cell r="L510" t="str">
            <v>Hampshire</v>
          </cell>
          <cell r="M510" t="str">
            <v>Romsey and Southampton North</v>
          </cell>
          <cell r="N510" t="str">
            <v>SP5 1NH</v>
          </cell>
          <cell r="O510" t="str">
            <v>Does not have a sixth form</v>
          </cell>
          <cell r="P510">
            <v>3</v>
          </cell>
          <cell r="Q510">
            <v>11</v>
          </cell>
          <cell r="R510" t="str">
            <v>None</v>
          </cell>
          <cell r="S510" t="str">
            <v>Ofsted</v>
          </cell>
          <cell r="T510">
            <v>1</v>
          </cell>
          <cell r="U510">
            <v>10022653</v>
          </cell>
          <cell r="V510" t="str">
            <v>Independent school Material Change inspection</v>
          </cell>
          <cell r="W510">
            <v>42636</v>
          </cell>
          <cell r="X510">
            <v>42636</v>
          </cell>
          <cell r="Y510" t="str">
            <v>NULL</v>
          </cell>
          <cell r="Z510" t="str">
            <v>NULL</v>
          </cell>
          <cell r="AA510" t="str">
            <v>ITS462905</v>
          </cell>
          <cell r="AB510" t="str">
            <v>Independent school standard inspection - first</v>
          </cell>
          <cell r="AC510" t="str">
            <v>Independent Standard Inspection</v>
          </cell>
          <cell r="AD510">
            <v>42158</v>
          </cell>
          <cell r="AE510">
            <v>42160</v>
          </cell>
          <cell r="AF510">
            <v>42193</v>
          </cell>
          <cell r="AG510">
            <v>2</v>
          </cell>
          <cell r="AH510">
            <v>2</v>
          </cell>
          <cell r="AI510">
            <v>2</v>
          </cell>
          <cell r="AJ510">
            <v>2</v>
          </cell>
          <cell r="AK510" t="str">
            <v>NULL</v>
          </cell>
          <cell r="AL510">
            <v>2</v>
          </cell>
          <cell r="AM510">
            <v>9</v>
          </cell>
          <cell r="AN510" t="str">
            <v>NULL</v>
          </cell>
          <cell r="AO510" t="str">
            <v>NULL</v>
          </cell>
          <cell r="AP510" t="str">
            <v>NULL</v>
          </cell>
          <cell r="AQ510" t="str">
            <v>NULL</v>
          </cell>
          <cell r="AR510" t="str">
            <v>NULL</v>
          </cell>
          <cell r="AS510" t="str">
            <v>NULL</v>
          </cell>
          <cell r="AT510" t="str">
            <v>NULL</v>
          </cell>
          <cell r="AU510" t="str">
            <v>NULL</v>
          </cell>
          <cell r="AV510" t="str">
            <v>NULL</v>
          </cell>
          <cell r="AW510" t="str">
            <v>NULL</v>
          </cell>
          <cell r="AX510" t="str">
            <v>NULL</v>
          </cell>
          <cell r="AY510" t="str">
            <v>NULL</v>
          </cell>
          <cell r="AZ510" t="str">
            <v>NULL</v>
          </cell>
          <cell r="BA510" t="str">
            <v>NULL</v>
          </cell>
          <cell r="BB510" t="str">
            <v>NULL</v>
          </cell>
        </row>
        <row r="511">
          <cell r="D511">
            <v>134294</v>
          </cell>
          <cell r="E511">
            <v>8316006</v>
          </cell>
          <cell r="F511" t="str">
            <v>Normanton House School</v>
          </cell>
          <cell r="G511" t="str">
            <v>Other Independent School</v>
          </cell>
          <cell r="H511">
            <v>37838</v>
          </cell>
          <cell r="I511">
            <v>154</v>
          </cell>
          <cell r="J511" t="str">
            <v>East Midlands</v>
          </cell>
          <cell r="K511" t="str">
            <v>East Midlands</v>
          </cell>
          <cell r="L511" t="str">
            <v>Derby</v>
          </cell>
          <cell r="M511" t="str">
            <v>Derby South</v>
          </cell>
          <cell r="N511" t="str">
            <v>DE23 8DF</v>
          </cell>
          <cell r="O511" t="str">
            <v>Does not have a sixth form</v>
          </cell>
          <cell r="P511">
            <v>4</v>
          </cell>
          <cell r="Q511">
            <v>16</v>
          </cell>
          <cell r="R511" t="str">
            <v>Islam</v>
          </cell>
          <cell r="S511" t="str">
            <v>Ofsted</v>
          </cell>
          <cell r="T511" t="str">
            <v>NULL</v>
          </cell>
          <cell r="U511" t="str">
            <v>NULL</v>
          </cell>
          <cell r="V511" t="str">
            <v>NULL</v>
          </cell>
          <cell r="W511" t="str">
            <v>NULL</v>
          </cell>
          <cell r="X511" t="str">
            <v>NULL</v>
          </cell>
          <cell r="Y511" t="str">
            <v>NULL</v>
          </cell>
          <cell r="Z511" t="str">
            <v>NULL</v>
          </cell>
          <cell r="AA511">
            <v>10033532</v>
          </cell>
          <cell r="AB511" t="str">
            <v>Independent School standard inspection</v>
          </cell>
          <cell r="AC511" t="str">
            <v>Independent Standard Inspection</v>
          </cell>
          <cell r="AD511">
            <v>43025</v>
          </cell>
          <cell r="AE511">
            <v>43027</v>
          </cell>
          <cell r="AF511">
            <v>43052</v>
          </cell>
          <cell r="AG511">
            <v>3</v>
          </cell>
          <cell r="AH511">
            <v>3</v>
          </cell>
          <cell r="AI511">
            <v>3</v>
          </cell>
          <cell r="AJ511">
            <v>3</v>
          </cell>
          <cell r="AK511">
            <v>2</v>
          </cell>
          <cell r="AL511">
            <v>3</v>
          </cell>
          <cell r="AM511" t="str">
            <v>NULL</v>
          </cell>
          <cell r="AN511" t="str">
            <v>Yes</v>
          </cell>
          <cell r="AO511" t="str">
            <v>ITS442945</v>
          </cell>
          <cell r="AP511" t="str">
            <v>Independent School standard inspection</v>
          </cell>
          <cell r="AQ511" t="str">
            <v>Independent Standard Inspection</v>
          </cell>
          <cell r="AR511">
            <v>41814</v>
          </cell>
          <cell r="AS511">
            <v>41816</v>
          </cell>
          <cell r="AT511">
            <v>41831</v>
          </cell>
          <cell r="AU511">
            <v>2</v>
          </cell>
          <cell r="AV511">
            <v>2</v>
          </cell>
          <cell r="AW511">
            <v>2</v>
          </cell>
          <cell r="AX511">
            <v>2</v>
          </cell>
          <cell r="AY511" t="str">
            <v>NULL</v>
          </cell>
          <cell r="AZ511" t="str">
            <v>NULL</v>
          </cell>
          <cell r="BA511" t="str">
            <v>NULL</v>
          </cell>
          <cell r="BB511" t="str">
            <v>NULL</v>
          </cell>
        </row>
        <row r="512">
          <cell r="D512">
            <v>134764</v>
          </cell>
          <cell r="E512">
            <v>3026086</v>
          </cell>
          <cell r="F512" t="str">
            <v>North London Grammar School</v>
          </cell>
          <cell r="G512" t="str">
            <v>Other Independent School</v>
          </cell>
          <cell r="H512">
            <v>39001</v>
          </cell>
          <cell r="I512">
            <v>154</v>
          </cell>
          <cell r="J512" t="str">
            <v>London</v>
          </cell>
          <cell r="K512" t="str">
            <v>London</v>
          </cell>
          <cell r="L512" t="str">
            <v>Barnet</v>
          </cell>
          <cell r="M512" t="str">
            <v>Hendon</v>
          </cell>
          <cell r="N512" t="str">
            <v>NW9 6HB</v>
          </cell>
          <cell r="O512" t="str">
            <v>Has a sixth form</v>
          </cell>
          <cell r="P512">
            <v>11</v>
          </cell>
          <cell r="Q512">
            <v>18</v>
          </cell>
          <cell r="R512" t="str">
            <v>None</v>
          </cell>
          <cell r="S512" t="str">
            <v>Ofsted</v>
          </cell>
          <cell r="T512">
            <v>1</v>
          </cell>
          <cell r="U512" t="str">
            <v>ITS454129</v>
          </cell>
          <cell r="V512" t="str">
            <v xml:space="preserve">Independent School material change inspection - Integrated </v>
          </cell>
          <cell r="W512">
            <v>41962</v>
          </cell>
          <cell r="X512">
            <v>41962</v>
          </cell>
          <cell r="Y512" t="str">
            <v>NULL</v>
          </cell>
          <cell r="Z512" t="str">
            <v>Likely to meet relevant standards</v>
          </cell>
          <cell r="AA512" t="str">
            <v>ITS422772</v>
          </cell>
          <cell r="AB512" t="str">
            <v>Independent School standard inspection</v>
          </cell>
          <cell r="AC512" t="str">
            <v>Independent Standard Inspection</v>
          </cell>
          <cell r="AD512">
            <v>41605</v>
          </cell>
          <cell r="AE512">
            <v>41607</v>
          </cell>
          <cell r="AF512">
            <v>41627</v>
          </cell>
          <cell r="AG512">
            <v>2</v>
          </cell>
          <cell r="AH512">
            <v>2</v>
          </cell>
          <cell r="AI512">
            <v>2</v>
          </cell>
          <cell r="AJ512">
            <v>2</v>
          </cell>
          <cell r="AK512" t="str">
            <v>NULL</v>
          </cell>
          <cell r="AL512" t="str">
            <v>NULL</v>
          </cell>
          <cell r="AM512" t="str">
            <v>NULL</v>
          </cell>
          <cell r="AN512" t="str">
            <v>NULL</v>
          </cell>
          <cell r="AO512" t="str">
            <v>ITS364295</v>
          </cell>
          <cell r="AP512" t="str">
            <v>S162a - LTI Inspection Historic</v>
          </cell>
          <cell r="AQ512" t="str">
            <v>Independent Standard Inspection</v>
          </cell>
          <cell r="AR512">
            <v>40521</v>
          </cell>
          <cell r="AS512">
            <v>40521</v>
          </cell>
          <cell r="AT512">
            <v>40550</v>
          </cell>
          <cell r="AU512">
            <v>2</v>
          </cell>
          <cell r="AV512">
            <v>2</v>
          </cell>
          <cell r="AW512">
            <v>2</v>
          </cell>
          <cell r="AX512" t="str">
            <v>NULL</v>
          </cell>
          <cell r="AY512" t="str">
            <v>NULL</v>
          </cell>
          <cell r="AZ512">
            <v>8</v>
          </cell>
          <cell r="BA512" t="str">
            <v>NULL</v>
          </cell>
          <cell r="BB512" t="str">
            <v>NULL</v>
          </cell>
        </row>
        <row r="513">
          <cell r="D513">
            <v>139071</v>
          </cell>
          <cell r="E513">
            <v>8616008</v>
          </cell>
          <cell r="F513" t="str">
            <v>North Road Academy</v>
          </cell>
          <cell r="G513" t="str">
            <v>Other Independent School</v>
          </cell>
          <cell r="H513">
            <v>41242</v>
          </cell>
          <cell r="I513">
            <v>103</v>
          </cell>
          <cell r="J513" t="str">
            <v>West Midlands</v>
          </cell>
          <cell r="K513" t="str">
            <v>West Midlands</v>
          </cell>
          <cell r="L513" t="str">
            <v>Stoke-on-Trent</v>
          </cell>
          <cell r="M513" t="str">
            <v>Stoke-on-Trent North</v>
          </cell>
          <cell r="N513" t="str">
            <v>ST6 2BP</v>
          </cell>
          <cell r="O513" t="str">
            <v>Does not have a sixth form</v>
          </cell>
          <cell r="P513">
            <v>3</v>
          </cell>
          <cell r="Q513">
            <v>16</v>
          </cell>
          <cell r="R513" t="str">
            <v>Islam</v>
          </cell>
          <cell r="S513" t="str">
            <v>Ofsted</v>
          </cell>
          <cell r="T513">
            <v>3</v>
          </cell>
          <cell r="U513">
            <v>10017928</v>
          </cell>
          <cell r="V513" t="str">
            <v>Independent school Progress Monitoring inspection</v>
          </cell>
          <cell r="W513">
            <v>42508</v>
          </cell>
          <cell r="X513">
            <v>42508</v>
          </cell>
          <cell r="Y513">
            <v>42545</v>
          </cell>
          <cell r="Z513" t="str">
            <v>Standards met</v>
          </cell>
          <cell r="AA513" t="str">
            <v>ITS422847</v>
          </cell>
          <cell r="AB513" t="str">
            <v>Independent school standard inspection - first</v>
          </cell>
          <cell r="AC513" t="str">
            <v>Independent Standard Inspection</v>
          </cell>
          <cell r="AD513">
            <v>41611</v>
          </cell>
          <cell r="AE513">
            <v>41613</v>
          </cell>
          <cell r="AF513">
            <v>41631</v>
          </cell>
          <cell r="AG513">
            <v>2</v>
          </cell>
          <cell r="AH513">
            <v>2</v>
          </cell>
          <cell r="AI513">
            <v>2</v>
          </cell>
          <cell r="AJ513">
            <v>2</v>
          </cell>
          <cell r="AK513" t="str">
            <v>NULL</v>
          </cell>
          <cell r="AL513" t="str">
            <v>NULL</v>
          </cell>
          <cell r="AM513" t="str">
            <v>NULL</v>
          </cell>
          <cell r="AN513" t="str">
            <v>NULL</v>
          </cell>
          <cell r="AO513" t="str">
            <v>NULL</v>
          </cell>
          <cell r="AP513" t="str">
            <v>NULL</v>
          </cell>
          <cell r="AQ513" t="str">
            <v>NULL</v>
          </cell>
          <cell r="AR513" t="str">
            <v>NULL</v>
          </cell>
          <cell r="AS513" t="str">
            <v>NULL</v>
          </cell>
          <cell r="AT513" t="str">
            <v>NULL</v>
          </cell>
          <cell r="AU513" t="str">
            <v>NULL</v>
          </cell>
          <cell r="AV513" t="str">
            <v>NULL</v>
          </cell>
          <cell r="AW513" t="str">
            <v>NULL</v>
          </cell>
          <cell r="AX513" t="str">
            <v>NULL</v>
          </cell>
          <cell r="AY513" t="str">
            <v>NULL</v>
          </cell>
          <cell r="AZ513" t="str">
            <v>NULL</v>
          </cell>
          <cell r="BA513" t="str">
            <v>NULL</v>
          </cell>
          <cell r="BB513" t="str">
            <v>NULL</v>
          </cell>
        </row>
        <row r="514">
          <cell r="D514">
            <v>113617</v>
          </cell>
          <cell r="E514">
            <v>8786040</v>
          </cell>
          <cell r="F514" t="str">
            <v>Park School</v>
          </cell>
          <cell r="G514" t="str">
            <v>Other Independent School</v>
          </cell>
          <cell r="H514">
            <v>31674</v>
          </cell>
          <cell r="I514">
            <v>61</v>
          </cell>
          <cell r="J514" t="str">
            <v>South West</v>
          </cell>
          <cell r="K514" t="str">
            <v>South West</v>
          </cell>
          <cell r="L514" t="str">
            <v>Devon</v>
          </cell>
          <cell r="M514" t="str">
            <v>Totnes</v>
          </cell>
          <cell r="N514" t="str">
            <v>TQ9 6EQ</v>
          </cell>
          <cell r="O514" t="str">
            <v>Does not have a sixth form</v>
          </cell>
          <cell r="P514">
            <v>3</v>
          </cell>
          <cell r="Q514">
            <v>11</v>
          </cell>
          <cell r="R514" t="str">
            <v>None</v>
          </cell>
          <cell r="S514" t="str">
            <v>Ofsted</v>
          </cell>
          <cell r="T514" t="str">
            <v>NULL</v>
          </cell>
          <cell r="U514" t="str">
            <v>NULL</v>
          </cell>
          <cell r="V514" t="str">
            <v>NULL</v>
          </cell>
          <cell r="W514" t="str">
            <v>NULL</v>
          </cell>
          <cell r="X514" t="str">
            <v>NULL</v>
          </cell>
          <cell r="Y514" t="str">
            <v>NULL</v>
          </cell>
          <cell r="Z514" t="str">
            <v>NULL</v>
          </cell>
          <cell r="AA514">
            <v>10008562</v>
          </cell>
          <cell r="AB514" t="str">
            <v>Independent School standard inspection</v>
          </cell>
          <cell r="AC514" t="str">
            <v>Independent Standard Inspection</v>
          </cell>
          <cell r="AD514">
            <v>42500</v>
          </cell>
          <cell r="AE514">
            <v>42502</v>
          </cell>
          <cell r="AF514">
            <v>42542</v>
          </cell>
          <cell r="AG514">
            <v>2</v>
          </cell>
          <cell r="AH514">
            <v>2</v>
          </cell>
          <cell r="AI514">
            <v>2</v>
          </cell>
          <cell r="AJ514">
            <v>2</v>
          </cell>
          <cell r="AK514">
            <v>2</v>
          </cell>
          <cell r="AL514">
            <v>2</v>
          </cell>
          <cell r="AM514" t="str">
            <v>NULL</v>
          </cell>
          <cell r="AN514" t="str">
            <v>Yes</v>
          </cell>
          <cell r="AO514" t="str">
            <v>ITS360961</v>
          </cell>
          <cell r="AP514" t="str">
            <v>Independent School standard inspection</v>
          </cell>
          <cell r="AQ514" t="str">
            <v>Independent Standard Inspection</v>
          </cell>
          <cell r="AR514">
            <v>40309</v>
          </cell>
          <cell r="AS514">
            <v>40310</v>
          </cell>
          <cell r="AT514">
            <v>40331</v>
          </cell>
          <cell r="AU514">
            <v>2</v>
          </cell>
          <cell r="AV514">
            <v>2</v>
          </cell>
          <cell r="AW514">
            <v>2</v>
          </cell>
          <cell r="AX514" t="str">
            <v>NULL</v>
          </cell>
          <cell r="AY514" t="str">
            <v>NULL</v>
          </cell>
          <cell r="AZ514">
            <v>1</v>
          </cell>
          <cell r="BA514" t="str">
            <v>NULL</v>
          </cell>
          <cell r="BB514" t="str">
            <v>NULL</v>
          </cell>
        </row>
        <row r="515">
          <cell r="D515">
            <v>139831</v>
          </cell>
          <cell r="E515">
            <v>3526008</v>
          </cell>
          <cell r="F515" t="str">
            <v>Sol Christian Academy</v>
          </cell>
          <cell r="G515" t="str">
            <v>Other Independent School</v>
          </cell>
          <cell r="H515">
            <v>41451</v>
          </cell>
          <cell r="I515">
            <v>26</v>
          </cell>
          <cell r="J515" t="str">
            <v>North West</v>
          </cell>
          <cell r="K515" t="str">
            <v>North West</v>
          </cell>
          <cell r="L515" t="str">
            <v>Manchester</v>
          </cell>
          <cell r="M515" t="str">
            <v>Manchester Central</v>
          </cell>
          <cell r="N515" t="str">
            <v>M12 6EL</v>
          </cell>
          <cell r="O515" t="str">
            <v>Has a sixth form</v>
          </cell>
          <cell r="P515">
            <v>2</v>
          </cell>
          <cell r="Q515">
            <v>18</v>
          </cell>
          <cell r="R515" t="str">
            <v>None</v>
          </cell>
          <cell r="S515" t="str">
            <v>Ofsted</v>
          </cell>
          <cell r="T515" t="str">
            <v>NULL</v>
          </cell>
          <cell r="U515" t="str">
            <v>NULL</v>
          </cell>
          <cell r="V515" t="str">
            <v>NULL</v>
          </cell>
          <cell r="W515" t="str">
            <v>NULL</v>
          </cell>
          <cell r="X515" t="str">
            <v>NULL</v>
          </cell>
          <cell r="Y515" t="str">
            <v>NULL</v>
          </cell>
          <cell r="Z515" t="str">
            <v>NULL</v>
          </cell>
          <cell r="AA515">
            <v>10038934</v>
          </cell>
          <cell r="AB515" t="str">
            <v>Independent School standard inspection</v>
          </cell>
          <cell r="AC515" t="str">
            <v>Independent Standard Inspection</v>
          </cell>
          <cell r="AD515">
            <v>43116</v>
          </cell>
          <cell r="AE515">
            <v>43118</v>
          </cell>
          <cell r="AF515">
            <v>43174</v>
          </cell>
          <cell r="AG515">
            <v>3</v>
          </cell>
          <cell r="AH515">
            <v>3</v>
          </cell>
          <cell r="AI515">
            <v>3</v>
          </cell>
          <cell r="AJ515">
            <v>3</v>
          </cell>
          <cell r="AK515">
            <v>2</v>
          </cell>
          <cell r="AL515">
            <v>2</v>
          </cell>
          <cell r="AM515" t="str">
            <v>NULL</v>
          </cell>
          <cell r="AN515" t="str">
            <v>Yes</v>
          </cell>
          <cell r="AO515" t="str">
            <v>ITS443015</v>
          </cell>
          <cell r="AP515" t="str">
            <v>Independent school standard inspection - first</v>
          </cell>
          <cell r="AQ515" t="str">
            <v>Independent Standard Inspection</v>
          </cell>
          <cell r="AR515">
            <v>41933</v>
          </cell>
          <cell r="AS515">
            <v>41935</v>
          </cell>
          <cell r="AT515">
            <v>42031</v>
          </cell>
          <cell r="AU515">
            <v>3</v>
          </cell>
          <cell r="AV515">
            <v>2</v>
          </cell>
          <cell r="AW515">
            <v>2</v>
          </cell>
          <cell r="AX515">
            <v>3</v>
          </cell>
          <cell r="AY515" t="str">
            <v>NULL</v>
          </cell>
          <cell r="AZ515">
            <v>2</v>
          </cell>
          <cell r="BA515">
            <v>3</v>
          </cell>
          <cell r="BB515" t="str">
            <v>NULL</v>
          </cell>
        </row>
        <row r="516">
          <cell r="D516">
            <v>135065</v>
          </cell>
          <cell r="E516">
            <v>8136003</v>
          </cell>
          <cell r="F516" t="str">
            <v>South Park Enterprise College (11-19)</v>
          </cell>
          <cell r="G516" t="str">
            <v>Other Independent School</v>
          </cell>
          <cell r="H516">
            <v>38443</v>
          </cell>
          <cell r="I516">
            <v>58</v>
          </cell>
          <cell r="J516" t="str">
            <v>North East, Yorkshire and the Humber</v>
          </cell>
          <cell r="K516" t="str">
            <v>Yorkshire and the Humber</v>
          </cell>
          <cell r="L516" t="str">
            <v>North Lincolnshire</v>
          </cell>
          <cell r="M516" t="str">
            <v>Scunthorpe</v>
          </cell>
          <cell r="N516" t="str">
            <v>DN17 2TX</v>
          </cell>
          <cell r="O516" t="str">
            <v>Has a sixth form</v>
          </cell>
          <cell r="P516">
            <v>11</v>
          </cell>
          <cell r="Q516">
            <v>19</v>
          </cell>
          <cell r="R516" t="str">
            <v>None</v>
          </cell>
          <cell r="S516" t="str">
            <v>Ofsted</v>
          </cell>
          <cell r="T516" t="str">
            <v>NULL</v>
          </cell>
          <cell r="U516" t="str">
            <v>NULL</v>
          </cell>
          <cell r="V516" t="str">
            <v>NULL</v>
          </cell>
          <cell r="W516" t="str">
            <v>NULL</v>
          </cell>
          <cell r="X516" t="str">
            <v>NULL</v>
          </cell>
          <cell r="Y516" t="str">
            <v>NULL</v>
          </cell>
          <cell r="Z516" t="str">
            <v>NULL</v>
          </cell>
          <cell r="AA516" t="str">
            <v>ITS463010</v>
          </cell>
          <cell r="AB516" t="str">
            <v>Independent School standard inspection</v>
          </cell>
          <cell r="AC516" t="str">
            <v>Independent Standard Inspection</v>
          </cell>
          <cell r="AD516">
            <v>42143</v>
          </cell>
          <cell r="AE516">
            <v>42145</v>
          </cell>
          <cell r="AF516">
            <v>42181</v>
          </cell>
          <cell r="AG516">
            <v>2</v>
          </cell>
          <cell r="AH516">
            <v>2</v>
          </cell>
          <cell r="AI516">
            <v>2</v>
          </cell>
          <cell r="AJ516">
            <v>2</v>
          </cell>
          <cell r="AK516" t="str">
            <v>NULL</v>
          </cell>
          <cell r="AL516">
            <v>9</v>
          </cell>
          <cell r="AM516">
            <v>9</v>
          </cell>
          <cell r="AN516" t="str">
            <v>NULL</v>
          </cell>
          <cell r="AO516" t="str">
            <v>ITS331392</v>
          </cell>
          <cell r="AP516" t="str">
            <v>S162a - LTI Inspection Historic</v>
          </cell>
          <cell r="AQ516" t="str">
            <v>Independent Standard Inspection</v>
          </cell>
          <cell r="AR516">
            <v>39948</v>
          </cell>
          <cell r="AS516">
            <v>39948</v>
          </cell>
          <cell r="AT516">
            <v>39974</v>
          </cell>
          <cell r="AU516">
            <v>2</v>
          </cell>
          <cell r="AV516">
            <v>2</v>
          </cell>
          <cell r="AW516">
            <v>2</v>
          </cell>
          <cell r="AX516" t="str">
            <v>NULL</v>
          </cell>
          <cell r="AY516" t="str">
            <v>NULL</v>
          </cell>
          <cell r="AZ516">
            <v>0</v>
          </cell>
          <cell r="BA516" t="str">
            <v>NULL</v>
          </cell>
          <cell r="BB516" t="str">
            <v>NULL</v>
          </cell>
        </row>
        <row r="517">
          <cell r="D517">
            <v>141128</v>
          </cell>
          <cell r="E517">
            <v>8616012</v>
          </cell>
          <cell r="F517" t="str">
            <v>Sporting Stars Academy</v>
          </cell>
          <cell r="G517" t="str">
            <v>Other Independent School</v>
          </cell>
          <cell r="H517">
            <v>41838</v>
          </cell>
          <cell r="I517">
            <v>27</v>
          </cell>
          <cell r="J517" t="str">
            <v>West Midlands</v>
          </cell>
          <cell r="K517" t="str">
            <v>West Midlands</v>
          </cell>
          <cell r="L517" t="str">
            <v>Stoke-on-Trent</v>
          </cell>
          <cell r="M517" t="str">
            <v>Stoke-on-Trent Central</v>
          </cell>
          <cell r="N517" t="str">
            <v>ST2 7AS</v>
          </cell>
          <cell r="O517" t="str">
            <v>Not applicable</v>
          </cell>
          <cell r="P517">
            <v>14</v>
          </cell>
          <cell r="Q517">
            <v>16</v>
          </cell>
          <cell r="R517" t="str">
            <v>None</v>
          </cell>
          <cell r="S517" t="str">
            <v>Ofsted</v>
          </cell>
          <cell r="T517" t="str">
            <v>NULL</v>
          </cell>
          <cell r="U517" t="str">
            <v>NULL</v>
          </cell>
          <cell r="V517" t="str">
            <v>NULL</v>
          </cell>
          <cell r="W517" t="str">
            <v>NULL</v>
          </cell>
          <cell r="X517" t="str">
            <v>NULL</v>
          </cell>
          <cell r="Y517" t="str">
            <v>NULL</v>
          </cell>
          <cell r="Z517" t="str">
            <v>NULL</v>
          </cell>
          <cell r="AA517" t="str">
            <v>ITS462985</v>
          </cell>
          <cell r="AB517" t="str">
            <v>Independent school standard inspection - first</v>
          </cell>
          <cell r="AC517" t="str">
            <v>Independent Standard Inspection</v>
          </cell>
          <cell r="AD517">
            <v>42122</v>
          </cell>
          <cell r="AE517">
            <v>42124</v>
          </cell>
          <cell r="AF517">
            <v>42167</v>
          </cell>
          <cell r="AG517">
            <v>1</v>
          </cell>
          <cell r="AH517">
            <v>1</v>
          </cell>
          <cell r="AI517">
            <v>1</v>
          </cell>
          <cell r="AJ517">
            <v>1</v>
          </cell>
          <cell r="AK517" t="str">
            <v>NULL</v>
          </cell>
          <cell r="AL517">
            <v>9</v>
          </cell>
          <cell r="AM517">
            <v>9</v>
          </cell>
          <cell r="AN517" t="str">
            <v>NULL</v>
          </cell>
          <cell r="AO517" t="str">
            <v>NULL</v>
          </cell>
          <cell r="AP517" t="str">
            <v>NULL</v>
          </cell>
          <cell r="AQ517" t="str">
            <v>NULL</v>
          </cell>
          <cell r="AR517" t="str">
            <v>NULL</v>
          </cell>
          <cell r="AS517" t="str">
            <v>NULL</v>
          </cell>
          <cell r="AT517" t="str">
            <v>NULL</v>
          </cell>
          <cell r="AU517" t="str">
            <v>NULL</v>
          </cell>
          <cell r="AV517" t="str">
            <v>NULL</v>
          </cell>
          <cell r="AW517" t="str">
            <v>NULL</v>
          </cell>
          <cell r="AX517" t="str">
            <v>NULL</v>
          </cell>
          <cell r="AY517" t="str">
            <v>NULL</v>
          </cell>
          <cell r="AZ517" t="str">
            <v>NULL</v>
          </cell>
          <cell r="BA517" t="str">
            <v>NULL</v>
          </cell>
          <cell r="BB517" t="str">
            <v>NULL</v>
          </cell>
        </row>
        <row r="518">
          <cell r="D518">
            <v>134087</v>
          </cell>
          <cell r="E518">
            <v>9196243</v>
          </cell>
          <cell r="F518" t="str">
            <v>St Albans Independent College</v>
          </cell>
          <cell r="G518" t="str">
            <v>Other Independent School</v>
          </cell>
          <cell r="H518">
            <v>37641</v>
          </cell>
          <cell r="I518">
            <v>84</v>
          </cell>
          <cell r="J518" t="str">
            <v>East of England</v>
          </cell>
          <cell r="K518" t="str">
            <v>East of England</v>
          </cell>
          <cell r="L518" t="str">
            <v>Hertfordshire</v>
          </cell>
          <cell r="M518" t="str">
            <v>St Albans</v>
          </cell>
          <cell r="N518" t="str">
            <v>AL1 1LN</v>
          </cell>
          <cell r="O518" t="str">
            <v>Has a sixth form</v>
          </cell>
          <cell r="P518">
            <v>14</v>
          </cell>
          <cell r="Q518">
            <v>19</v>
          </cell>
          <cell r="R518" t="str">
            <v>None</v>
          </cell>
          <cell r="S518" t="str">
            <v>Ofsted</v>
          </cell>
          <cell r="T518" t="str">
            <v>NULL</v>
          </cell>
          <cell r="U518" t="str">
            <v>NULL</v>
          </cell>
          <cell r="V518" t="str">
            <v>NULL</v>
          </cell>
          <cell r="W518" t="str">
            <v>NULL</v>
          </cell>
          <cell r="X518" t="str">
            <v>NULL</v>
          </cell>
          <cell r="Y518" t="str">
            <v>NULL</v>
          </cell>
          <cell r="Z518" t="str">
            <v>NULL</v>
          </cell>
          <cell r="AA518">
            <v>10033603</v>
          </cell>
          <cell r="AB518" t="str">
            <v>Independent School standard inspection</v>
          </cell>
          <cell r="AC518" t="str">
            <v>Independent Standard Inspection</v>
          </cell>
          <cell r="AD518">
            <v>42871</v>
          </cell>
          <cell r="AE518">
            <v>42873</v>
          </cell>
          <cell r="AF518">
            <v>42912</v>
          </cell>
          <cell r="AG518">
            <v>2</v>
          </cell>
          <cell r="AH518">
            <v>2</v>
          </cell>
          <cell r="AI518">
            <v>2</v>
          </cell>
          <cell r="AJ518">
            <v>2</v>
          </cell>
          <cell r="AK518">
            <v>1</v>
          </cell>
          <cell r="AL518" t="str">
            <v>NULL</v>
          </cell>
          <cell r="AM518">
            <v>2</v>
          </cell>
          <cell r="AN518" t="str">
            <v>Yes</v>
          </cell>
          <cell r="AO518" t="str">
            <v>ITS441442</v>
          </cell>
          <cell r="AP518" t="str">
            <v>Independent School standard inspection</v>
          </cell>
          <cell r="AQ518" t="str">
            <v>Independent Standard Inspection</v>
          </cell>
          <cell r="AR518">
            <v>41709</v>
          </cell>
          <cell r="AS518">
            <v>41711</v>
          </cell>
          <cell r="AT518">
            <v>41730</v>
          </cell>
          <cell r="AU518">
            <v>2</v>
          </cell>
          <cell r="AV518">
            <v>2</v>
          </cell>
          <cell r="AW518">
            <v>2</v>
          </cell>
          <cell r="AX518">
            <v>2</v>
          </cell>
          <cell r="AY518" t="str">
            <v>NULL</v>
          </cell>
          <cell r="AZ518" t="str">
            <v>NULL</v>
          </cell>
          <cell r="BA518" t="str">
            <v>NULL</v>
          </cell>
          <cell r="BB518" t="str">
            <v>NULL</v>
          </cell>
        </row>
        <row r="519">
          <cell r="D519">
            <v>137273</v>
          </cell>
          <cell r="E519">
            <v>3126003</v>
          </cell>
          <cell r="F519" t="str">
            <v>Tarbiyyah Primary School</v>
          </cell>
          <cell r="G519" t="str">
            <v>Other Independent School</v>
          </cell>
          <cell r="H519">
            <v>40764</v>
          </cell>
          <cell r="I519">
            <v>163</v>
          </cell>
          <cell r="J519" t="str">
            <v>London</v>
          </cell>
          <cell r="K519" t="str">
            <v>London</v>
          </cell>
          <cell r="L519" t="str">
            <v>Hillingdon</v>
          </cell>
          <cell r="M519" t="str">
            <v>Hayes and Harlington</v>
          </cell>
          <cell r="N519" t="str">
            <v>UB3 4SA</v>
          </cell>
          <cell r="O519" t="str">
            <v>Does not have a sixth form</v>
          </cell>
          <cell r="P519">
            <v>3</v>
          </cell>
          <cell r="Q519">
            <v>11</v>
          </cell>
          <cell r="R519" t="str">
            <v>None</v>
          </cell>
          <cell r="S519" t="str">
            <v>Ofsted</v>
          </cell>
          <cell r="T519">
            <v>4</v>
          </cell>
          <cell r="U519">
            <v>10043525</v>
          </cell>
          <cell r="V519" t="str">
            <v>Independent school Progress Monitoring inspection</v>
          </cell>
          <cell r="W519">
            <v>43076</v>
          </cell>
          <cell r="X519">
            <v>43076</v>
          </cell>
          <cell r="Y519">
            <v>43115</v>
          </cell>
          <cell r="Z519" t="str">
            <v>Did not meet all standards that were checked</v>
          </cell>
          <cell r="AA519">
            <v>10020783</v>
          </cell>
          <cell r="AB519" t="str">
            <v>Independent School standard inspection</v>
          </cell>
          <cell r="AC519" t="str">
            <v>Independent Standard Inspection</v>
          </cell>
          <cell r="AD519">
            <v>42717</v>
          </cell>
          <cell r="AE519">
            <v>42719</v>
          </cell>
          <cell r="AF519">
            <v>42752</v>
          </cell>
          <cell r="AG519">
            <v>3</v>
          </cell>
          <cell r="AH519">
            <v>3</v>
          </cell>
          <cell r="AI519">
            <v>3</v>
          </cell>
          <cell r="AJ519">
            <v>3</v>
          </cell>
          <cell r="AK519">
            <v>3</v>
          </cell>
          <cell r="AL519">
            <v>3</v>
          </cell>
          <cell r="AM519" t="str">
            <v>NULL</v>
          </cell>
          <cell r="AN519" t="str">
            <v>Yes</v>
          </cell>
          <cell r="AO519" t="str">
            <v>ITS430241</v>
          </cell>
          <cell r="AP519" t="str">
            <v>Independent School standard inspection</v>
          </cell>
          <cell r="AQ519" t="str">
            <v>Independent Standard Inspection</v>
          </cell>
          <cell r="AR519">
            <v>41555</v>
          </cell>
          <cell r="AS519">
            <v>41557</v>
          </cell>
          <cell r="AT519">
            <v>41705</v>
          </cell>
          <cell r="AU519">
            <v>4</v>
          </cell>
          <cell r="AV519">
            <v>4</v>
          </cell>
          <cell r="AW519">
            <v>4</v>
          </cell>
          <cell r="AX519">
            <v>4</v>
          </cell>
          <cell r="AY519" t="str">
            <v>NULL</v>
          </cell>
          <cell r="AZ519" t="str">
            <v>NULL</v>
          </cell>
          <cell r="BA519" t="str">
            <v>NULL</v>
          </cell>
          <cell r="BB519" t="str">
            <v>NULL</v>
          </cell>
        </row>
        <row r="520">
          <cell r="D520">
            <v>130826</v>
          </cell>
          <cell r="E520">
            <v>3026081</v>
          </cell>
          <cell r="F520" t="str">
            <v>Tashbar of Edgware</v>
          </cell>
          <cell r="G520" t="str">
            <v>Other Independent School</v>
          </cell>
          <cell r="H520">
            <v>38618</v>
          </cell>
          <cell r="I520">
            <v>222</v>
          </cell>
          <cell r="J520" t="str">
            <v>London</v>
          </cell>
          <cell r="K520" t="str">
            <v>London</v>
          </cell>
          <cell r="L520" t="str">
            <v>Barnet</v>
          </cell>
          <cell r="M520" t="str">
            <v>Hendon</v>
          </cell>
          <cell r="N520" t="str">
            <v>HA8 8JL</v>
          </cell>
          <cell r="O520" t="str">
            <v>Does not have a sixth form</v>
          </cell>
          <cell r="P520">
            <v>3</v>
          </cell>
          <cell r="Q520">
            <v>11</v>
          </cell>
          <cell r="R520" t="str">
            <v>None</v>
          </cell>
          <cell r="S520" t="str">
            <v>Ofsted</v>
          </cell>
          <cell r="T520" t="str">
            <v>NULL</v>
          </cell>
          <cell r="U520" t="str">
            <v>NULL</v>
          </cell>
          <cell r="V520" t="str">
            <v>NULL</v>
          </cell>
          <cell r="W520" t="str">
            <v>NULL</v>
          </cell>
          <cell r="X520" t="str">
            <v>NULL</v>
          </cell>
          <cell r="Y520" t="str">
            <v>NULL</v>
          </cell>
          <cell r="Z520" t="str">
            <v>NULL</v>
          </cell>
          <cell r="AA520">
            <v>10035788</v>
          </cell>
          <cell r="AB520" t="str">
            <v>Independent School standard inspection</v>
          </cell>
          <cell r="AC520" t="str">
            <v>Independent Standard Inspection</v>
          </cell>
          <cell r="AD520">
            <v>43130</v>
          </cell>
          <cell r="AE520">
            <v>43132</v>
          </cell>
          <cell r="AF520">
            <v>43164</v>
          </cell>
          <cell r="AG520">
            <v>3</v>
          </cell>
          <cell r="AH520">
            <v>3</v>
          </cell>
          <cell r="AI520">
            <v>3</v>
          </cell>
          <cell r="AJ520">
            <v>3</v>
          </cell>
          <cell r="AK520">
            <v>2</v>
          </cell>
          <cell r="AL520">
            <v>3</v>
          </cell>
          <cell r="AM520" t="str">
            <v>NULL</v>
          </cell>
          <cell r="AN520" t="str">
            <v>Yes</v>
          </cell>
          <cell r="AO520" t="str">
            <v>ITS443504</v>
          </cell>
          <cell r="AP520" t="str">
            <v>Independent School standard inspection</v>
          </cell>
          <cell r="AQ520" t="str">
            <v>Independent Standard Inspection</v>
          </cell>
          <cell r="AR520">
            <v>41800</v>
          </cell>
          <cell r="AS520">
            <v>41802</v>
          </cell>
          <cell r="AT520">
            <v>41831</v>
          </cell>
          <cell r="AU520">
            <v>2</v>
          </cell>
          <cell r="AV520">
            <v>2</v>
          </cell>
          <cell r="AW520">
            <v>2</v>
          </cell>
          <cell r="AX520">
            <v>2</v>
          </cell>
          <cell r="AY520" t="str">
            <v>NULL</v>
          </cell>
          <cell r="AZ520" t="str">
            <v>NULL</v>
          </cell>
          <cell r="BA520" t="str">
            <v>NULL</v>
          </cell>
          <cell r="BB520" t="str">
            <v>NULL</v>
          </cell>
        </row>
        <row r="521">
          <cell r="D521">
            <v>106002</v>
          </cell>
          <cell r="E521">
            <v>3556024</v>
          </cell>
          <cell r="F521" t="str">
            <v>Tashbar of Manchester</v>
          </cell>
          <cell r="G521" t="str">
            <v>Other Independent School</v>
          </cell>
          <cell r="H521">
            <v>34169</v>
          </cell>
          <cell r="I521">
            <v>521</v>
          </cell>
          <cell r="J521" t="str">
            <v>North West</v>
          </cell>
          <cell r="K521" t="str">
            <v>North West</v>
          </cell>
          <cell r="L521" t="str">
            <v>Salford</v>
          </cell>
          <cell r="M521" t="str">
            <v>Blackley and Broughton</v>
          </cell>
          <cell r="N521" t="str">
            <v>M7 4HL</v>
          </cell>
          <cell r="O521" t="str">
            <v>Does not have a sixth form</v>
          </cell>
          <cell r="P521">
            <v>3</v>
          </cell>
          <cell r="Q521">
            <v>12</v>
          </cell>
          <cell r="R521" t="str">
            <v>Orthodox Jewish</v>
          </cell>
          <cell r="S521" t="str">
            <v>Ofsted</v>
          </cell>
          <cell r="T521" t="str">
            <v>NULL</v>
          </cell>
          <cell r="U521" t="str">
            <v>NULL</v>
          </cell>
          <cell r="V521" t="str">
            <v>NULL</v>
          </cell>
          <cell r="W521" t="str">
            <v>NULL</v>
          </cell>
          <cell r="X521" t="str">
            <v>NULL</v>
          </cell>
          <cell r="Y521" t="str">
            <v>NULL</v>
          </cell>
          <cell r="Z521" t="str">
            <v>NULL</v>
          </cell>
          <cell r="AA521">
            <v>10026001</v>
          </cell>
          <cell r="AB521" t="str">
            <v>Independent School standard inspection</v>
          </cell>
          <cell r="AC521" t="str">
            <v>Independent Standard Inspection</v>
          </cell>
          <cell r="AD521">
            <v>43053</v>
          </cell>
          <cell r="AE521">
            <v>43055</v>
          </cell>
          <cell r="AF521">
            <v>43109</v>
          </cell>
          <cell r="AG521">
            <v>3</v>
          </cell>
          <cell r="AH521">
            <v>3</v>
          </cell>
          <cell r="AI521">
            <v>3</v>
          </cell>
          <cell r="AJ521">
            <v>3</v>
          </cell>
          <cell r="AK521">
            <v>2</v>
          </cell>
          <cell r="AL521">
            <v>2</v>
          </cell>
          <cell r="AM521" t="str">
            <v>NULL</v>
          </cell>
          <cell r="AN521" t="str">
            <v>Yes</v>
          </cell>
          <cell r="AO521" t="str">
            <v>ITS387067</v>
          </cell>
          <cell r="AP521" t="str">
            <v>Independent School standard inspection</v>
          </cell>
          <cell r="AQ521" t="str">
            <v>Independent Standard Inspection</v>
          </cell>
          <cell r="AR521">
            <v>40982</v>
          </cell>
          <cell r="AS521">
            <v>40983</v>
          </cell>
          <cell r="AT521">
            <v>41019</v>
          </cell>
          <cell r="AU521">
            <v>2</v>
          </cell>
          <cell r="AV521">
            <v>2</v>
          </cell>
          <cell r="AW521">
            <v>2</v>
          </cell>
          <cell r="AX521" t="str">
            <v>NULL</v>
          </cell>
          <cell r="AY521" t="str">
            <v>NULL</v>
          </cell>
          <cell r="AZ521">
            <v>8</v>
          </cell>
          <cell r="BA521" t="str">
            <v>NULL</v>
          </cell>
          <cell r="BB521" t="str">
            <v>NULL</v>
          </cell>
        </row>
        <row r="522">
          <cell r="D522">
            <v>132736</v>
          </cell>
          <cell r="E522">
            <v>2046407</v>
          </cell>
          <cell r="F522" t="str">
            <v>Tawhid Boys School, Tawhid Educational Trust</v>
          </cell>
          <cell r="G522" t="str">
            <v>Other Independent School</v>
          </cell>
          <cell r="H522">
            <v>36811</v>
          </cell>
          <cell r="I522">
            <v>108</v>
          </cell>
          <cell r="J522" t="str">
            <v>London</v>
          </cell>
          <cell r="K522" t="str">
            <v>London</v>
          </cell>
          <cell r="L522" t="str">
            <v>Hackney</v>
          </cell>
          <cell r="M522" t="str">
            <v>Hackney North and Stoke Newington</v>
          </cell>
          <cell r="N522" t="str">
            <v>N16 6PA</v>
          </cell>
          <cell r="O522" t="str">
            <v>Does not have a sixth form</v>
          </cell>
          <cell r="P522">
            <v>10</v>
          </cell>
          <cell r="Q522">
            <v>16</v>
          </cell>
          <cell r="R522" t="str">
            <v>None</v>
          </cell>
          <cell r="S522" t="str">
            <v>Ofsted</v>
          </cell>
          <cell r="T522" t="str">
            <v>NULL</v>
          </cell>
          <cell r="U522" t="str">
            <v>NULL</v>
          </cell>
          <cell r="V522" t="str">
            <v>NULL</v>
          </cell>
          <cell r="W522" t="str">
            <v>NULL</v>
          </cell>
          <cell r="X522" t="str">
            <v>NULL</v>
          </cell>
          <cell r="Y522" t="str">
            <v>NULL</v>
          </cell>
          <cell r="Z522" t="str">
            <v>NULL</v>
          </cell>
          <cell r="AA522" t="str">
            <v>ITS447191</v>
          </cell>
          <cell r="AB522" t="str">
            <v>Independent School standard inspection</v>
          </cell>
          <cell r="AC522" t="str">
            <v>Independent Standard Inspection</v>
          </cell>
          <cell r="AD522">
            <v>41968</v>
          </cell>
          <cell r="AE522">
            <v>41970</v>
          </cell>
          <cell r="AF522">
            <v>42044</v>
          </cell>
          <cell r="AG522">
            <v>2</v>
          </cell>
          <cell r="AH522">
            <v>1</v>
          </cell>
          <cell r="AI522">
            <v>2</v>
          </cell>
          <cell r="AJ522">
            <v>1</v>
          </cell>
          <cell r="AK522" t="str">
            <v>NULL</v>
          </cell>
          <cell r="AL522">
            <v>9</v>
          </cell>
          <cell r="AM522">
            <v>9</v>
          </cell>
          <cell r="AN522" t="str">
            <v>NULL</v>
          </cell>
          <cell r="AO522" t="str">
            <v>ITS320390</v>
          </cell>
          <cell r="AP522" t="str">
            <v>Independent School standard inspection</v>
          </cell>
          <cell r="AQ522" t="str">
            <v>Independent Standard Inspection</v>
          </cell>
          <cell r="AR522">
            <v>39526</v>
          </cell>
          <cell r="AS522">
            <v>39527</v>
          </cell>
          <cell r="AT522">
            <v>39554</v>
          </cell>
          <cell r="AU522">
            <v>2</v>
          </cell>
          <cell r="AV522">
            <v>2</v>
          </cell>
          <cell r="AW522">
            <v>2</v>
          </cell>
          <cell r="AX522" t="str">
            <v>NULL</v>
          </cell>
          <cell r="AY522" t="str">
            <v>NULL</v>
          </cell>
          <cell r="AZ522" t="str">
            <v>NULL</v>
          </cell>
          <cell r="BA522" t="str">
            <v>NULL</v>
          </cell>
          <cell r="BB522" t="str">
            <v>NULL</v>
          </cell>
        </row>
        <row r="523">
          <cell r="D523">
            <v>134424</v>
          </cell>
          <cell r="E523">
            <v>8726013</v>
          </cell>
          <cell r="F523" t="str">
            <v>The Vine Christian School</v>
          </cell>
          <cell r="G523" t="str">
            <v>Other Independent School</v>
          </cell>
          <cell r="H523">
            <v>37862</v>
          </cell>
          <cell r="I523">
            <v>21</v>
          </cell>
          <cell r="J523" t="str">
            <v>South East</v>
          </cell>
          <cell r="K523" t="str">
            <v>South East</v>
          </cell>
          <cell r="L523" t="str">
            <v>Wokingham</v>
          </cell>
          <cell r="M523" t="str">
            <v>Wokingham</v>
          </cell>
          <cell r="N523" t="str">
            <v>RG7 1HF</v>
          </cell>
          <cell r="O523" t="str">
            <v>Has a sixth form</v>
          </cell>
          <cell r="P523">
            <v>3</v>
          </cell>
          <cell r="Q523">
            <v>18</v>
          </cell>
          <cell r="R523" t="str">
            <v>Christian</v>
          </cell>
          <cell r="S523" t="str">
            <v>Ofsted</v>
          </cell>
          <cell r="T523" t="str">
            <v>NULL</v>
          </cell>
          <cell r="U523" t="str">
            <v>NULL</v>
          </cell>
          <cell r="V523" t="str">
            <v>NULL</v>
          </cell>
          <cell r="W523" t="str">
            <v>NULL</v>
          </cell>
          <cell r="X523" t="str">
            <v>NULL</v>
          </cell>
          <cell r="Y523" t="str">
            <v>NULL</v>
          </cell>
          <cell r="Z523" t="str">
            <v>NULL</v>
          </cell>
          <cell r="AA523">
            <v>10033951</v>
          </cell>
          <cell r="AB523" t="str">
            <v>Independent School standard inspection</v>
          </cell>
          <cell r="AC523" t="str">
            <v>Independent Standard Inspection</v>
          </cell>
          <cell r="AD523">
            <v>43025</v>
          </cell>
          <cell r="AE523">
            <v>43027</v>
          </cell>
          <cell r="AF523">
            <v>43053</v>
          </cell>
          <cell r="AG523">
            <v>3</v>
          </cell>
          <cell r="AH523">
            <v>3</v>
          </cell>
          <cell r="AI523">
            <v>3</v>
          </cell>
          <cell r="AJ523">
            <v>3</v>
          </cell>
          <cell r="AK523">
            <v>2</v>
          </cell>
          <cell r="AL523">
            <v>2</v>
          </cell>
          <cell r="AM523" t="str">
            <v>NULL</v>
          </cell>
          <cell r="AN523" t="str">
            <v>Yes</v>
          </cell>
          <cell r="AO523" t="str">
            <v>ITS422767</v>
          </cell>
          <cell r="AP523" t="str">
            <v>Independent School standard inspection</v>
          </cell>
          <cell r="AQ523" t="str">
            <v>Independent Standard Inspection</v>
          </cell>
          <cell r="AR523">
            <v>41709</v>
          </cell>
          <cell r="AS523">
            <v>41711</v>
          </cell>
          <cell r="AT523">
            <v>41754</v>
          </cell>
          <cell r="AU523">
            <v>1</v>
          </cell>
          <cell r="AV523">
            <v>1</v>
          </cell>
          <cell r="AW523">
            <v>1</v>
          </cell>
          <cell r="AX523">
            <v>1</v>
          </cell>
          <cell r="AY523" t="str">
            <v>NULL</v>
          </cell>
          <cell r="AZ523" t="str">
            <v>NULL</v>
          </cell>
          <cell r="BA523" t="str">
            <v>NULL</v>
          </cell>
          <cell r="BB523" t="str">
            <v>NULL</v>
          </cell>
        </row>
        <row r="524">
          <cell r="D524">
            <v>123615</v>
          </cell>
          <cell r="E524">
            <v>8936013</v>
          </cell>
          <cell r="F524" t="str">
            <v>The White House School</v>
          </cell>
          <cell r="G524" t="str">
            <v>Other Independent School</v>
          </cell>
          <cell r="H524">
            <v>21108</v>
          </cell>
          <cell r="I524">
            <v>106</v>
          </cell>
          <cell r="J524" t="str">
            <v>West Midlands</v>
          </cell>
          <cell r="K524" t="str">
            <v>West Midlands</v>
          </cell>
          <cell r="L524" t="str">
            <v>Shropshire</v>
          </cell>
          <cell r="M524" t="str">
            <v>North Shropshire</v>
          </cell>
          <cell r="N524" t="str">
            <v>SY13 2AA</v>
          </cell>
          <cell r="O524" t="str">
            <v>Does not have a sixth form</v>
          </cell>
          <cell r="P524">
            <v>3</v>
          </cell>
          <cell r="Q524">
            <v>11</v>
          </cell>
          <cell r="R524" t="str">
            <v>None</v>
          </cell>
          <cell r="S524" t="str">
            <v>Ofsted</v>
          </cell>
          <cell r="T524" t="str">
            <v>NULL</v>
          </cell>
          <cell r="U524" t="str">
            <v>NULL</v>
          </cell>
          <cell r="V524" t="str">
            <v>NULL</v>
          </cell>
          <cell r="W524" t="str">
            <v>NULL</v>
          </cell>
          <cell r="X524" t="str">
            <v>NULL</v>
          </cell>
          <cell r="Y524" t="str">
            <v>NULL</v>
          </cell>
          <cell r="Z524" t="str">
            <v>NULL</v>
          </cell>
          <cell r="AA524">
            <v>10033562</v>
          </cell>
          <cell r="AB524" t="str">
            <v>Independent School standard inspection</v>
          </cell>
          <cell r="AC524" t="str">
            <v>Independent Standard Inspection</v>
          </cell>
          <cell r="AD524">
            <v>42871</v>
          </cell>
          <cell r="AE524">
            <v>42873</v>
          </cell>
          <cell r="AF524">
            <v>42906</v>
          </cell>
          <cell r="AG524">
            <v>2</v>
          </cell>
          <cell r="AH524">
            <v>2</v>
          </cell>
          <cell r="AI524">
            <v>2</v>
          </cell>
          <cell r="AJ524">
            <v>2</v>
          </cell>
          <cell r="AK524">
            <v>1</v>
          </cell>
          <cell r="AL524">
            <v>2</v>
          </cell>
          <cell r="AM524" t="str">
            <v>NULL</v>
          </cell>
          <cell r="AN524" t="str">
            <v>Yes</v>
          </cell>
          <cell r="AO524" t="str">
            <v>ITS443470</v>
          </cell>
          <cell r="AP524" t="str">
            <v>Independent School standard inspection</v>
          </cell>
          <cell r="AQ524" t="str">
            <v>Independent Standard Inspection</v>
          </cell>
          <cell r="AR524">
            <v>41822</v>
          </cell>
          <cell r="AS524">
            <v>41824</v>
          </cell>
          <cell r="AT524">
            <v>41897</v>
          </cell>
          <cell r="AU524">
            <v>2</v>
          </cell>
          <cell r="AV524">
            <v>2</v>
          </cell>
          <cell r="AW524">
            <v>2</v>
          </cell>
          <cell r="AX524">
            <v>2</v>
          </cell>
          <cell r="AY524" t="str">
            <v>NULL</v>
          </cell>
          <cell r="AZ524" t="str">
            <v>NULL</v>
          </cell>
          <cell r="BA524" t="str">
            <v>NULL</v>
          </cell>
          <cell r="BB524" t="str">
            <v>NULL</v>
          </cell>
        </row>
        <row r="525">
          <cell r="D525">
            <v>135882</v>
          </cell>
          <cell r="E525">
            <v>3306206</v>
          </cell>
          <cell r="F525" t="str">
            <v>The Wisdom Academy</v>
          </cell>
          <cell r="G525" t="str">
            <v>Other Independent School</v>
          </cell>
          <cell r="H525">
            <v>39996</v>
          </cell>
          <cell r="I525">
            <v>207</v>
          </cell>
          <cell r="J525" t="str">
            <v>West Midlands</v>
          </cell>
          <cell r="K525" t="str">
            <v>West Midlands</v>
          </cell>
          <cell r="L525" t="str">
            <v>Birmingham</v>
          </cell>
          <cell r="M525" t="str">
            <v>Birmingham, Ladywood</v>
          </cell>
          <cell r="N525" t="str">
            <v>B7 4HY</v>
          </cell>
          <cell r="O525" t="str">
            <v>Does not have a sixth form</v>
          </cell>
          <cell r="P525">
            <v>4</v>
          </cell>
          <cell r="Q525">
            <v>14</v>
          </cell>
          <cell r="R525" t="str">
            <v>None</v>
          </cell>
          <cell r="S525" t="str">
            <v>Ofsted</v>
          </cell>
          <cell r="T525">
            <v>1</v>
          </cell>
          <cell r="U525">
            <v>10026500</v>
          </cell>
          <cell r="V525" t="str">
            <v>Independent school evaluation of school action plan</v>
          </cell>
          <cell r="W525">
            <v>42719</v>
          </cell>
          <cell r="X525">
            <v>42719</v>
          </cell>
          <cell r="Y525" t="str">
            <v>NULL</v>
          </cell>
          <cell r="Z525" t="str">
            <v>Action plan is acceptable</v>
          </cell>
          <cell r="AA525">
            <v>10020835</v>
          </cell>
          <cell r="AB525" t="str">
            <v>Independent School standard inspection</v>
          </cell>
          <cell r="AC525" t="str">
            <v>Independent Standard Inspection</v>
          </cell>
          <cell r="AD525">
            <v>42627</v>
          </cell>
          <cell r="AE525">
            <v>42629</v>
          </cell>
          <cell r="AF525">
            <v>42663</v>
          </cell>
          <cell r="AG525">
            <v>3</v>
          </cell>
          <cell r="AH525">
            <v>3</v>
          </cell>
          <cell r="AI525">
            <v>3</v>
          </cell>
          <cell r="AJ525">
            <v>3</v>
          </cell>
          <cell r="AK525">
            <v>2</v>
          </cell>
          <cell r="AL525">
            <v>3</v>
          </cell>
          <cell r="AM525" t="str">
            <v>NULL</v>
          </cell>
          <cell r="AN525" t="str">
            <v>Yes</v>
          </cell>
          <cell r="AO525" t="str">
            <v>ITS353856</v>
          </cell>
          <cell r="AP525" t="str">
            <v>Independent School standard inspection</v>
          </cell>
          <cell r="AQ525" t="str">
            <v>Independent Standard Inspection</v>
          </cell>
          <cell r="AR525">
            <v>40352</v>
          </cell>
          <cell r="AS525">
            <v>40353</v>
          </cell>
          <cell r="AT525">
            <v>40375</v>
          </cell>
          <cell r="AU525">
            <v>3</v>
          </cell>
          <cell r="AV525">
            <v>3</v>
          </cell>
          <cell r="AW525">
            <v>3</v>
          </cell>
          <cell r="AX525" t="str">
            <v>NULL</v>
          </cell>
          <cell r="AY525" t="str">
            <v>NULL</v>
          </cell>
          <cell r="AZ525">
            <v>8</v>
          </cell>
          <cell r="BA525" t="str">
            <v>NULL</v>
          </cell>
          <cell r="BB525" t="str">
            <v>NULL</v>
          </cell>
        </row>
        <row r="526">
          <cell r="D526">
            <v>100530</v>
          </cell>
          <cell r="E526">
            <v>2126401</v>
          </cell>
          <cell r="F526" t="str">
            <v>Thomas's Battersea</v>
          </cell>
          <cell r="G526" t="str">
            <v>Other Independent School</v>
          </cell>
          <cell r="H526">
            <v>28807</v>
          </cell>
          <cell r="I526">
            <v>545</v>
          </cell>
          <cell r="J526" t="str">
            <v>London</v>
          </cell>
          <cell r="K526" t="str">
            <v>London</v>
          </cell>
          <cell r="L526" t="str">
            <v>Wandsworth</v>
          </cell>
          <cell r="M526" t="str">
            <v>Battersea</v>
          </cell>
          <cell r="N526" t="str">
            <v>SW11 3JB</v>
          </cell>
          <cell r="O526" t="str">
            <v>Does not have a sixth form</v>
          </cell>
          <cell r="P526">
            <v>5</v>
          </cell>
          <cell r="Q526">
            <v>12</v>
          </cell>
          <cell r="R526" t="str">
            <v>None</v>
          </cell>
          <cell r="S526" t="str">
            <v>Ofsted</v>
          </cell>
          <cell r="T526" t="str">
            <v>NULL</v>
          </cell>
          <cell r="U526" t="str">
            <v>NULL</v>
          </cell>
          <cell r="V526" t="str">
            <v>NULL</v>
          </cell>
          <cell r="W526" t="str">
            <v>NULL</v>
          </cell>
          <cell r="X526" t="str">
            <v>NULL</v>
          </cell>
          <cell r="Y526" t="str">
            <v>NULL</v>
          </cell>
          <cell r="Z526" t="str">
            <v>NULL</v>
          </cell>
          <cell r="AA526">
            <v>10035775</v>
          </cell>
          <cell r="AB526" t="str">
            <v>Independent School standard inspection</v>
          </cell>
          <cell r="AC526" t="str">
            <v>Independent Standard Inspection</v>
          </cell>
          <cell r="AD526">
            <v>43137</v>
          </cell>
          <cell r="AE526">
            <v>43139</v>
          </cell>
          <cell r="AF526">
            <v>43180</v>
          </cell>
          <cell r="AG526">
            <v>1</v>
          </cell>
          <cell r="AH526">
            <v>1</v>
          </cell>
          <cell r="AI526">
            <v>1</v>
          </cell>
          <cell r="AJ526">
            <v>1</v>
          </cell>
          <cell r="AK526">
            <v>1</v>
          </cell>
          <cell r="AL526">
            <v>1</v>
          </cell>
          <cell r="AM526" t="str">
            <v>NULL</v>
          </cell>
          <cell r="AN526" t="str">
            <v>Yes</v>
          </cell>
          <cell r="AO526" t="str">
            <v>ITS443486</v>
          </cell>
          <cell r="AP526" t="str">
            <v>Independent School standard inspection</v>
          </cell>
          <cell r="AQ526" t="str">
            <v>Independent Standard Inspection</v>
          </cell>
          <cell r="AR526">
            <v>41779</v>
          </cell>
          <cell r="AS526">
            <v>41781</v>
          </cell>
          <cell r="AT526">
            <v>41801</v>
          </cell>
          <cell r="AU526">
            <v>1</v>
          </cell>
          <cell r="AV526">
            <v>1</v>
          </cell>
          <cell r="AW526">
            <v>1</v>
          </cell>
          <cell r="AX526">
            <v>1</v>
          </cell>
          <cell r="AY526" t="str">
            <v>NULL</v>
          </cell>
          <cell r="AZ526" t="str">
            <v>NULL</v>
          </cell>
          <cell r="BA526" t="str">
            <v>NULL</v>
          </cell>
          <cell r="BB526" t="str">
            <v>NULL</v>
          </cell>
        </row>
        <row r="527">
          <cell r="D527">
            <v>116540</v>
          </cell>
          <cell r="E527">
            <v>8506014</v>
          </cell>
          <cell r="F527" t="str">
            <v>Woodhill Preparatory School</v>
          </cell>
          <cell r="G527" t="str">
            <v>Other Independent School</v>
          </cell>
          <cell r="H527">
            <v>21111</v>
          </cell>
          <cell r="I527">
            <v>59</v>
          </cell>
          <cell r="J527" t="str">
            <v>South East</v>
          </cell>
          <cell r="K527" t="str">
            <v>South East</v>
          </cell>
          <cell r="L527" t="str">
            <v>Hampshire</v>
          </cell>
          <cell r="M527" t="str">
            <v>Eastleigh</v>
          </cell>
          <cell r="N527" t="str">
            <v>SO30 2ER</v>
          </cell>
          <cell r="O527" t="str">
            <v>Does not have a sixth form</v>
          </cell>
          <cell r="P527">
            <v>3</v>
          </cell>
          <cell r="Q527">
            <v>11</v>
          </cell>
          <cell r="R527" t="str">
            <v>None</v>
          </cell>
          <cell r="S527" t="str">
            <v>Ofsted</v>
          </cell>
          <cell r="T527">
            <v>2</v>
          </cell>
          <cell r="U527">
            <v>10033996</v>
          </cell>
          <cell r="V527" t="str">
            <v>Independent school Progress Monitoring inspection</v>
          </cell>
          <cell r="W527">
            <v>42853</v>
          </cell>
          <cell r="X527">
            <v>42853</v>
          </cell>
          <cell r="Y527">
            <v>42873</v>
          </cell>
          <cell r="Z527" t="str">
            <v>Met all standards that were checked</v>
          </cell>
          <cell r="AA527">
            <v>10020950</v>
          </cell>
          <cell r="AB527" t="str">
            <v>Independent School standard inspection</v>
          </cell>
          <cell r="AC527" t="str">
            <v>Independent Standard Inspection</v>
          </cell>
          <cell r="AD527">
            <v>42647</v>
          </cell>
          <cell r="AE527">
            <v>42649</v>
          </cell>
          <cell r="AF527">
            <v>42696</v>
          </cell>
          <cell r="AG527">
            <v>4</v>
          </cell>
          <cell r="AH527">
            <v>2</v>
          </cell>
          <cell r="AI527">
            <v>2</v>
          </cell>
          <cell r="AJ527">
            <v>4</v>
          </cell>
          <cell r="AK527">
            <v>4</v>
          </cell>
          <cell r="AL527">
            <v>4</v>
          </cell>
          <cell r="AM527" t="str">
            <v>NULL</v>
          </cell>
          <cell r="AN527" t="str">
            <v>No</v>
          </cell>
          <cell r="AO527" t="str">
            <v>ITS407078</v>
          </cell>
          <cell r="AP527" t="str">
            <v>Independent School standard inspection</v>
          </cell>
          <cell r="AQ527" t="str">
            <v>Independent Standard Inspection</v>
          </cell>
          <cell r="AR527">
            <v>41254</v>
          </cell>
          <cell r="AS527">
            <v>41255</v>
          </cell>
          <cell r="AT527">
            <v>41289</v>
          </cell>
          <cell r="AU527">
            <v>2</v>
          </cell>
          <cell r="AV527">
            <v>2</v>
          </cell>
          <cell r="AW527">
            <v>2</v>
          </cell>
          <cell r="AX527" t="str">
            <v>NULL</v>
          </cell>
          <cell r="AY527" t="str">
            <v>NULL</v>
          </cell>
          <cell r="AZ527">
            <v>8</v>
          </cell>
          <cell r="BA527" t="str">
            <v>NULL</v>
          </cell>
          <cell r="BB527" t="str">
            <v>NULL</v>
          </cell>
        </row>
        <row r="528">
          <cell r="D528">
            <v>131164</v>
          </cell>
          <cell r="E528">
            <v>3306094</v>
          </cell>
          <cell r="F528" t="str">
            <v>Woodstock Girls' School</v>
          </cell>
          <cell r="G528" t="str">
            <v>Other Independent School</v>
          </cell>
          <cell r="H528">
            <v>35446</v>
          </cell>
          <cell r="I528">
            <v>69</v>
          </cell>
          <cell r="J528" t="str">
            <v>West Midlands</v>
          </cell>
          <cell r="K528" t="str">
            <v>West Midlands</v>
          </cell>
          <cell r="L528" t="str">
            <v>Birmingham</v>
          </cell>
          <cell r="M528" t="str">
            <v>Birmingham, Hall Green</v>
          </cell>
          <cell r="N528" t="str">
            <v>B13 9BB</v>
          </cell>
          <cell r="O528" t="str">
            <v>Does not have a sixth form</v>
          </cell>
          <cell r="P528">
            <v>11</v>
          </cell>
          <cell r="Q528">
            <v>16</v>
          </cell>
          <cell r="R528" t="str">
            <v>None</v>
          </cell>
          <cell r="S528" t="str">
            <v>Ofsted</v>
          </cell>
          <cell r="T528" t="str">
            <v>NULL</v>
          </cell>
          <cell r="U528" t="str">
            <v>NULL</v>
          </cell>
          <cell r="V528" t="str">
            <v>NULL</v>
          </cell>
          <cell r="W528" t="str">
            <v>NULL</v>
          </cell>
          <cell r="X528" t="str">
            <v>NULL</v>
          </cell>
          <cell r="Y528" t="str">
            <v>NULL</v>
          </cell>
          <cell r="Z528" t="str">
            <v>NULL</v>
          </cell>
          <cell r="AA528">
            <v>10033566</v>
          </cell>
          <cell r="AB528" t="str">
            <v>Independent School standard inspection</v>
          </cell>
          <cell r="AC528" t="str">
            <v>Independent Standard Inspection</v>
          </cell>
          <cell r="AD528">
            <v>43137</v>
          </cell>
          <cell r="AE528">
            <v>43139</v>
          </cell>
          <cell r="AF528">
            <v>43167</v>
          </cell>
          <cell r="AG528">
            <v>3</v>
          </cell>
          <cell r="AH528">
            <v>3</v>
          </cell>
          <cell r="AI528">
            <v>3</v>
          </cell>
          <cell r="AJ528">
            <v>3</v>
          </cell>
          <cell r="AK528">
            <v>2</v>
          </cell>
          <cell r="AL528" t="str">
            <v>NULL</v>
          </cell>
          <cell r="AM528" t="str">
            <v>NULL</v>
          </cell>
          <cell r="AN528" t="str">
            <v>Yes</v>
          </cell>
          <cell r="AO528" t="str">
            <v>ITS442961</v>
          </cell>
          <cell r="AP528" t="str">
            <v>Independent School standard inspection</v>
          </cell>
          <cell r="AQ528" t="str">
            <v>Independent Standard Inspection</v>
          </cell>
          <cell r="AR528">
            <v>41772</v>
          </cell>
          <cell r="AS528">
            <v>41774</v>
          </cell>
          <cell r="AT528">
            <v>41801</v>
          </cell>
          <cell r="AU528">
            <v>3</v>
          </cell>
          <cell r="AV528">
            <v>3</v>
          </cell>
          <cell r="AW528">
            <v>3</v>
          </cell>
          <cell r="AX528">
            <v>3</v>
          </cell>
          <cell r="AY528" t="str">
            <v>NULL</v>
          </cell>
          <cell r="AZ528" t="str">
            <v>NULL</v>
          </cell>
          <cell r="BA528" t="str">
            <v>NULL</v>
          </cell>
          <cell r="BB528" t="str">
            <v>NULL</v>
          </cell>
        </row>
        <row r="529">
          <cell r="D529">
            <v>130287</v>
          </cell>
          <cell r="E529">
            <v>3556031</v>
          </cell>
          <cell r="F529" t="str">
            <v>Yeshivah Ohr Torah School</v>
          </cell>
          <cell r="G529" t="str">
            <v>Other Independent School</v>
          </cell>
          <cell r="H529">
            <v>35023</v>
          </cell>
          <cell r="I529">
            <v>56</v>
          </cell>
          <cell r="J529" t="str">
            <v>North West</v>
          </cell>
          <cell r="K529" t="str">
            <v>North West</v>
          </cell>
          <cell r="L529" t="str">
            <v>Salford</v>
          </cell>
          <cell r="M529" t="str">
            <v>Blackley and Broughton</v>
          </cell>
          <cell r="N529" t="str">
            <v>M7 4FX</v>
          </cell>
          <cell r="O529" t="str">
            <v>Does not have a sixth form</v>
          </cell>
          <cell r="P529">
            <v>11</v>
          </cell>
          <cell r="Q529">
            <v>16</v>
          </cell>
          <cell r="R529" t="str">
            <v>None</v>
          </cell>
          <cell r="S529" t="str">
            <v>Ofsted</v>
          </cell>
          <cell r="T529" t="str">
            <v>NULL</v>
          </cell>
          <cell r="U529" t="str">
            <v>NULL</v>
          </cell>
          <cell r="V529" t="str">
            <v>NULL</v>
          </cell>
          <cell r="W529" t="str">
            <v>NULL</v>
          </cell>
          <cell r="X529" t="str">
            <v>NULL</v>
          </cell>
          <cell r="Y529" t="str">
            <v>NULL</v>
          </cell>
          <cell r="Z529" t="str">
            <v>NULL</v>
          </cell>
          <cell r="AA529" t="str">
            <v>ITS422716</v>
          </cell>
          <cell r="AB529" t="str">
            <v>Independent School standard inspection</v>
          </cell>
          <cell r="AC529" t="str">
            <v>Independent Standard Inspection</v>
          </cell>
          <cell r="AD529">
            <v>41723</v>
          </cell>
          <cell r="AE529">
            <v>41725</v>
          </cell>
          <cell r="AF529">
            <v>41766</v>
          </cell>
          <cell r="AG529">
            <v>2</v>
          </cell>
          <cell r="AH529">
            <v>2</v>
          </cell>
          <cell r="AI529">
            <v>2</v>
          </cell>
          <cell r="AJ529">
            <v>2</v>
          </cell>
          <cell r="AK529" t="str">
            <v>NULL</v>
          </cell>
          <cell r="AL529" t="str">
            <v>NULL</v>
          </cell>
          <cell r="AM529" t="str">
            <v>NULL</v>
          </cell>
          <cell r="AN529" t="str">
            <v>NULL</v>
          </cell>
          <cell r="AO529" t="str">
            <v>ITS361366</v>
          </cell>
          <cell r="AP529" t="str">
            <v>Independent School standard inspection</v>
          </cell>
          <cell r="AQ529" t="str">
            <v>Independent Standard Inspection</v>
          </cell>
          <cell r="AR529">
            <v>40483</v>
          </cell>
          <cell r="AS529">
            <v>40484</v>
          </cell>
          <cell r="AT529">
            <v>40505</v>
          </cell>
          <cell r="AU529">
            <v>2</v>
          </cell>
          <cell r="AV529">
            <v>2</v>
          </cell>
          <cell r="AW529">
            <v>2</v>
          </cell>
          <cell r="AX529" t="str">
            <v>NULL</v>
          </cell>
          <cell r="AY529" t="str">
            <v>NULL</v>
          </cell>
          <cell r="AZ529">
            <v>8</v>
          </cell>
          <cell r="BA529" t="str">
            <v>NULL</v>
          </cell>
          <cell r="BB529" t="str">
            <v>NULL</v>
          </cell>
        </row>
        <row r="530">
          <cell r="D530">
            <v>100287</v>
          </cell>
          <cell r="E530">
            <v>2046072</v>
          </cell>
          <cell r="F530" t="str">
            <v>Yesodey Hatorah School</v>
          </cell>
          <cell r="G530" t="str">
            <v>Other Independent School</v>
          </cell>
          <cell r="H530">
            <v>21249</v>
          </cell>
          <cell r="I530">
            <v>708</v>
          </cell>
          <cell r="J530" t="str">
            <v>London</v>
          </cell>
          <cell r="K530" t="str">
            <v>London</v>
          </cell>
          <cell r="L530" t="str">
            <v>Hackney</v>
          </cell>
          <cell r="M530" t="str">
            <v>Hackney North and Stoke Newington</v>
          </cell>
          <cell r="N530" t="str">
            <v>N16 5AE</v>
          </cell>
          <cell r="O530" t="str">
            <v>Does not have a sixth form</v>
          </cell>
          <cell r="P530">
            <v>5</v>
          </cell>
          <cell r="Q530">
            <v>16</v>
          </cell>
          <cell r="R530" t="str">
            <v>None</v>
          </cell>
          <cell r="S530" t="str">
            <v>Ofsted</v>
          </cell>
          <cell r="T530">
            <v>1</v>
          </cell>
          <cell r="U530">
            <v>10048518</v>
          </cell>
          <cell r="V530" t="str">
            <v>Independent school evaluation of school action plan</v>
          </cell>
          <cell r="W530">
            <v>43147</v>
          </cell>
          <cell r="X530">
            <v>43147</v>
          </cell>
          <cell r="Y530" t="str">
            <v>NULL</v>
          </cell>
          <cell r="Z530" t="str">
            <v>Action plan is not acceptable</v>
          </cell>
          <cell r="AA530">
            <v>10030851</v>
          </cell>
          <cell r="AB530" t="str">
            <v>Independent School standard inspection</v>
          </cell>
          <cell r="AC530" t="str">
            <v>Independent Standard Inspection</v>
          </cell>
          <cell r="AD530">
            <v>42871</v>
          </cell>
          <cell r="AE530">
            <v>42873</v>
          </cell>
          <cell r="AF530">
            <v>42919</v>
          </cell>
          <cell r="AG530">
            <v>4</v>
          </cell>
          <cell r="AH530">
            <v>2</v>
          </cell>
          <cell r="AI530">
            <v>2</v>
          </cell>
          <cell r="AJ530">
            <v>4</v>
          </cell>
          <cell r="AK530">
            <v>4</v>
          </cell>
          <cell r="AL530">
            <v>4</v>
          </cell>
          <cell r="AM530" t="str">
            <v>NULL</v>
          </cell>
          <cell r="AN530" t="str">
            <v>No</v>
          </cell>
          <cell r="AO530" t="str">
            <v>ITS361315</v>
          </cell>
          <cell r="AP530" t="str">
            <v>Independent School standard inspection</v>
          </cell>
          <cell r="AQ530" t="str">
            <v>Independent Standard Inspection</v>
          </cell>
          <cell r="AR530">
            <v>40512</v>
          </cell>
          <cell r="AS530">
            <v>40513</v>
          </cell>
          <cell r="AT530">
            <v>40534</v>
          </cell>
          <cell r="AU530">
            <v>2</v>
          </cell>
          <cell r="AV530">
            <v>2</v>
          </cell>
          <cell r="AW530">
            <v>2</v>
          </cell>
          <cell r="AX530" t="str">
            <v>NULL</v>
          </cell>
          <cell r="AY530" t="str">
            <v>NULL</v>
          </cell>
          <cell r="AZ530">
            <v>2</v>
          </cell>
          <cell r="BA530" t="str">
            <v>NULL</v>
          </cell>
          <cell r="BB530" t="str">
            <v>NULL</v>
          </cell>
        </row>
        <row r="531">
          <cell r="D531">
            <v>142657</v>
          </cell>
          <cell r="E531">
            <v>8606043</v>
          </cell>
          <cell r="F531" t="str">
            <v>Evergreen School</v>
          </cell>
          <cell r="G531" t="str">
            <v>Other Independent School</v>
          </cell>
          <cell r="H531">
            <v>42697</v>
          </cell>
          <cell r="I531">
            <v>5</v>
          </cell>
          <cell r="J531" t="str">
            <v>West Midlands</v>
          </cell>
          <cell r="K531" t="str">
            <v>West Midlands</v>
          </cell>
          <cell r="L531" t="str">
            <v>Staffordshire</v>
          </cell>
          <cell r="M531" t="str">
            <v>Staffordshire Moorlands</v>
          </cell>
          <cell r="N531" t="str">
            <v>ST10 2LP</v>
          </cell>
          <cell r="O531" t="str">
            <v>Does not have a sixth form</v>
          </cell>
          <cell r="P531">
            <v>7</v>
          </cell>
          <cell r="Q531">
            <v>16</v>
          </cell>
          <cell r="R531" t="str">
            <v>None</v>
          </cell>
          <cell r="S531" t="str">
            <v>Ofsted</v>
          </cell>
          <cell r="T531" t="str">
            <v>NULL</v>
          </cell>
          <cell r="U531" t="str">
            <v>NULL</v>
          </cell>
          <cell r="V531" t="str">
            <v>NULL</v>
          </cell>
          <cell r="W531" t="str">
            <v>NULL</v>
          </cell>
          <cell r="X531" t="str">
            <v>NULL</v>
          </cell>
          <cell r="Y531" t="str">
            <v>NULL</v>
          </cell>
          <cell r="Z531" t="str">
            <v>NULL</v>
          </cell>
          <cell r="AA531">
            <v>10039280</v>
          </cell>
          <cell r="AB531" t="str">
            <v>Independent school standard inspection - first</v>
          </cell>
          <cell r="AC531" t="str">
            <v>Independent Standard Inspection</v>
          </cell>
          <cell r="AD531">
            <v>43074</v>
          </cell>
          <cell r="AE531">
            <v>43076</v>
          </cell>
          <cell r="AF531">
            <v>43122</v>
          </cell>
          <cell r="AG531">
            <v>2</v>
          </cell>
          <cell r="AH531">
            <v>2</v>
          </cell>
          <cell r="AI531">
            <v>2</v>
          </cell>
          <cell r="AJ531">
            <v>2</v>
          </cell>
          <cell r="AK531">
            <v>2</v>
          </cell>
          <cell r="AL531" t="str">
            <v>NULL</v>
          </cell>
          <cell r="AM531" t="str">
            <v>NULL</v>
          </cell>
          <cell r="AN531" t="str">
            <v>Yes</v>
          </cell>
          <cell r="AO531" t="str">
            <v>NULL</v>
          </cell>
          <cell r="AP531" t="str">
            <v>NULL</v>
          </cell>
          <cell r="AQ531" t="str">
            <v>NULL</v>
          </cell>
          <cell r="AR531" t="str">
            <v>NULL</v>
          </cell>
          <cell r="AS531" t="str">
            <v>NULL</v>
          </cell>
          <cell r="AT531" t="str">
            <v>NULL</v>
          </cell>
          <cell r="AU531" t="str">
            <v>NULL</v>
          </cell>
          <cell r="AV531" t="str">
            <v>NULL</v>
          </cell>
          <cell r="AW531" t="str">
            <v>NULL</v>
          </cell>
          <cell r="AX531" t="str">
            <v>NULL</v>
          </cell>
          <cell r="AY531" t="str">
            <v>NULL</v>
          </cell>
          <cell r="AZ531" t="str">
            <v>NULL</v>
          </cell>
          <cell r="BA531" t="str">
            <v>NULL</v>
          </cell>
          <cell r="BB531" t="str">
            <v>NULL</v>
          </cell>
        </row>
        <row r="532">
          <cell r="D532">
            <v>142659</v>
          </cell>
          <cell r="E532">
            <v>8556036</v>
          </cell>
          <cell r="F532" t="str">
            <v>Wolfdale School</v>
          </cell>
          <cell r="G532" t="str">
            <v>Other Independent Special School</v>
          </cell>
          <cell r="H532">
            <v>42677</v>
          </cell>
          <cell r="I532">
            <v>0</v>
          </cell>
          <cell r="J532" t="str">
            <v>East Midlands</v>
          </cell>
          <cell r="K532" t="str">
            <v>East Midlands</v>
          </cell>
          <cell r="L532" t="str">
            <v>Leicestershire</v>
          </cell>
          <cell r="M532" t="str">
            <v>Charnwood</v>
          </cell>
          <cell r="N532" t="str">
            <v>LE7 7BP</v>
          </cell>
          <cell r="O532" t="str">
            <v>Not applicable</v>
          </cell>
          <cell r="P532">
            <v>7</v>
          </cell>
          <cell r="Q532">
            <v>16</v>
          </cell>
          <cell r="R532" t="str">
            <v>None</v>
          </cell>
          <cell r="S532" t="str">
            <v>Ofsted</v>
          </cell>
          <cell r="T532" t="str">
            <v>NULL</v>
          </cell>
          <cell r="U532" t="str">
            <v>NULL</v>
          </cell>
          <cell r="V532" t="str">
            <v>NULL</v>
          </cell>
          <cell r="W532" t="str">
            <v>NULL</v>
          </cell>
          <cell r="X532" t="str">
            <v>NULL</v>
          </cell>
          <cell r="Y532" t="str">
            <v>NULL</v>
          </cell>
          <cell r="Z532" t="str">
            <v>NULL</v>
          </cell>
          <cell r="AA532">
            <v>10039199</v>
          </cell>
          <cell r="AB532" t="str">
            <v>Independent school standard inspection - first</v>
          </cell>
          <cell r="AC532" t="str">
            <v>Independent Standard Inspection</v>
          </cell>
          <cell r="AD532">
            <v>42990</v>
          </cell>
          <cell r="AE532">
            <v>42991</v>
          </cell>
          <cell r="AF532">
            <v>43018</v>
          </cell>
          <cell r="AG532">
            <v>2</v>
          </cell>
          <cell r="AH532">
            <v>2</v>
          </cell>
          <cell r="AI532">
            <v>2</v>
          </cell>
          <cell r="AJ532">
            <v>2</v>
          </cell>
          <cell r="AK532">
            <v>2</v>
          </cell>
          <cell r="AL532" t="str">
            <v>NULL</v>
          </cell>
          <cell r="AM532" t="str">
            <v>NULL</v>
          </cell>
          <cell r="AN532" t="str">
            <v>Yes</v>
          </cell>
          <cell r="AO532" t="str">
            <v>NULL</v>
          </cell>
          <cell r="AP532" t="str">
            <v>NULL</v>
          </cell>
          <cell r="AQ532" t="str">
            <v>NULL</v>
          </cell>
          <cell r="AR532" t="str">
            <v>NULL</v>
          </cell>
          <cell r="AS532" t="str">
            <v>NULL</v>
          </cell>
          <cell r="AT532" t="str">
            <v>NULL</v>
          </cell>
          <cell r="AU532" t="str">
            <v>NULL</v>
          </cell>
          <cell r="AV532" t="str">
            <v>NULL</v>
          </cell>
          <cell r="AW532" t="str">
            <v>NULL</v>
          </cell>
          <cell r="AX532" t="str">
            <v>NULL</v>
          </cell>
          <cell r="AY532" t="str">
            <v>NULL</v>
          </cell>
          <cell r="AZ532" t="str">
            <v>NULL</v>
          </cell>
          <cell r="BA532" t="str">
            <v>NULL</v>
          </cell>
          <cell r="BB532" t="str">
            <v>NULL</v>
          </cell>
        </row>
        <row r="533">
          <cell r="D533">
            <v>142660</v>
          </cell>
          <cell r="E533">
            <v>8256047</v>
          </cell>
          <cell r="F533" t="str">
            <v>The Jam Academy</v>
          </cell>
          <cell r="G533" t="str">
            <v>Other Independent School</v>
          </cell>
          <cell r="H533">
            <v>42661</v>
          </cell>
          <cell r="I533">
            <v>17</v>
          </cell>
          <cell r="J533" t="str">
            <v>South East</v>
          </cell>
          <cell r="K533" t="str">
            <v>South East</v>
          </cell>
          <cell r="L533" t="str">
            <v>Buckinghamshire</v>
          </cell>
          <cell r="M533" t="str">
            <v>Beaconsfield</v>
          </cell>
          <cell r="N533" t="str">
            <v>SL7 2LS</v>
          </cell>
          <cell r="O533" t="str">
            <v>Has a sixth form</v>
          </cell>
          <cell r="P533">
            <v>10</v>
          </cell>
          <cell r="Q533">
            <v>18</v>
          </cell>
          <cell r="R533" t="str">
            <v>None</v>
          </cell>
          <cell r="S533" t="str">
            <v>Ofsted</v>
          </cell>
          <cell r="T533" t="str">
            <v>NULL</v>
          </cell>
          <cell r="U533" t="str">
            <v>NULL</v>
          </cell>
          <cell r="V533" t="str">
            <v>NULL</v>
          </cell>
          <cell r="W533" t="str">
            <v>NULL</v>
          </cell>
          <cell r="X533" t="str">
            <v>NULL</v>
          </cell>
          <cell r="Y533" t="str">
            <v>NULL</v>
          </cell>
          <cell r="Z533" t="str">
            <v>NULL</v>
          </cell>
          <cell r="AA533">
            <v>10039169</v>
          </cell>
          <cell r="AB533" t="str">
            <v>Independent school standard inspection - first</v>
          </cell>
          <cell r="AC533" t="str">
            <v>Independent Standard Inspection</v>
          </cell>
          <cell r="AD533">
            <v>43067</v>
          </cell>
          <cell r="AE533">
            <v>43069</v>
          </cell>
          <cell r="AF533">
            <v>43112</v>
          </cell>
          <cell r="AG533">
            <v>2</v>
          </cell>
          <cell r="AH533">
            <v>2</v>
          </cell>
          <cell r="AI533">
            <v>2</v>
          </cell>
          <cell r="AJ533">
            <v>2</v>
          </cell>
          <cell r="AK533">
            <v>1</v>
          </cell>
          <cell r="AL533" t="str">
            <v>NULL</v>
          </cell>
          <cell r="AM533">
            <v>1</v>
          </cell>
          <cell r="AN533" t="str">
            <v>Yes</v>
          </cell>
          <cell r="AO533" t="str">
            <v>NULL</v>
          </cell>
          <cell r="AP533" t="str">
            <v>NULL</v>
          </cell>
          <cell r="AQ533" t="str">
            <v>NULL</v>
          </cell>
          <cell r="AR533" t="str">
            <v>NULL</v>
          </cell>
          <cell r="AS533" t="str">
            <v>NULL</v>
          </cell>
          <cell r="AT533" t="str">
            <v>NULL</v>
          </cell>
          <cell r="AU533" t="str">
            <v>NULL</v>
          </cell>
          <cell r="AV533" t="str">
            <v>NULL</v>
          </cell>
          <cell r="AW533" t="str">
            <v>NULL</v>
          </cell>
          <cell r="AX533" t="str">
            <v>NULL</v>
          </cell>
          <cell r="AY533" t="str">
            <v>NULL</v>
          </cell>
          <cell r="AZ533" t="str">
            <v>NULL</v>
          </cell>
          <cell r="BA533" t="str">
            <v>NULL</v>
          </cell>
          <cell r="BB533" t="str">
            <v>NULL</v>
          </cell>
        </row>
        <row r="534">
          <cell r="D534">
            <v>142672</v>
          </cell>
          <cell r="E534">
            <v>8216013</v>
          </cell>
          <cell r="F534" t="str">
            <v>Active Support Education Centre</v>
          </cell>
          <cell r="G534" t="str">
            <v>Other Independent Special School</v>
          </cell>
          <cell r="H534">
            <v>42773</v>
          </cell>
          <cell r="I534">
            <v>73</v>
          </cell>
          <cell r="J534" t="str">
            <v>East of England</v>
          </cell>
          <cell r="K534" t="str">
            <v>East of England</v>
          </cell>
          <cell r="L534" t="str">
            <v>Luton</v>
          </cell>
          <cell r="M534" t="str">
            <v>Luton South</v>
          </cell>
          <cell r="N534" t="str">
            <v>LU3 1RJ</v>
          </cell>
          <cell r="O534" t="str">
            <v>Not applicable</v>
          </cell>
          <cell r="P534">
            <v>9</v>
          </cell>
          <cell r="Q534">
            <v>16</v>
          </cell>
          <cell r="R534" t="str">
            <v>None</v>
          </cell>
          <cell r="S534" t="str">
            <v>Ofsted</v>
          </cell>
          <cell r="T534" t="str">
            <v>NULL</v>
          </cell>
          <cell r="U534" t="str">
            <v>NULL</v>
          </cell>
          <cell r="V534" t="str">
            <v>NULL</v>
          </cell>
          <cell r="W534" t="str">
            <v>NULL</v>
          </cell>
          <cell r="X534" t="str">
            <v>NULL</v>
          </cell>
          <cell r="Y534" t="str">
            <v>NULL</v>
          </cell>
          <cell r="Z534" t="str">
            <v>NULL</v>
          </cell>
          <cell r="AA534">
            <v>10043522</v>
          </cell>
          <cell r="AB534" t="str">
            <v>Independent school standard inspection - first</v>
          </cell>
          <cell r="AC534" t="str">
            <v>Independent Standard Inspection</v>
          </cell>
          <cell r="AD534">
            <v>43123</v>
          </cell>
          <cell r="AE534">
            <v>43125</v>
          </cell>
          <cell r="AF534">
            <v>43164</v>
          </cell>
          <cell r="AG534">
            <v>2</v>
          </cell>
          <cell r="AH534">
            <v>2</v>
          </cell>
          <cell r="AI534">
            <v>2</v>
          </cell>
          <cell r="AJ534">
            <v>2</v>
          </cell>
          <cell r="AK534">
            <v>2</v>
          </cell>
          <cell r="AL534" t="str">
            <v>NULL</v>
          </cell>
          <cell r="AM534" t="str">
            <v>NULL</v>
          </cell>
          <cell r="AN534" t="str">
            <v>Yes</v>
          </cell>
          <cell r="AO534" t="str">
            <v>NULL</v>
          </cell>
          <cell r="AP534" t="str">
            <v>NULL</v>
          </cell>
          <cell r="AQ534" t="str">
            <v>NULL</v>
          </cell>
          <cell r="AR534" t="str">
            <v>NULL</v>
          </cell>
          <cell r="AS534" t="str">
            <v>NULL</v>
          </cell>
          <cell r="AT534" t="str">
            <v>NULL</v>
          </cell>
          <cell r="AU534" t="str">
            <v>NULL</v>
          </cell>
          <cell r="AV534" t="str">
            <v>NULL</v>
          </cell>
          <cell r="AW534" t="str">
            <v>NULL</v>
          </cell>
          <cell r="AX534" t="str">
            <v>NULL</v>
          </cell>
          <cell r="AY534" t="str">
            <v>NULL</v>
          </cell>
          <cell r="AZ534" t="str">
            <v>NULL</v>
          </cell>
          <cell r="BA534" t="str">
            <v>NULL</v>
          </cell>
          <cell r="BB534" t="str">
            <v>NULL</v>
          </cell>
        </row>
        <row r="535">
          <cell r="D535">
            <v>142674</v>
          </cell>
          <cell r="E535">
            <v>3846004</v>
          </cell>
          <cell r="F535" t="str">
            <v>Hall Cliffe Primary School</v>
          </cell>
          <cell r="G535" t="str">
            <v>Other Independent Special School</v>
          </cell>
          <cell r="H535">
            <v>42425</v>
          </cell>
          <cell r="I535">
            <v>16</v>
          </cell>
          <cell r="J535" t="str">
            <v>North East, Yorkshire and the Humber</v>
          </cell>
          <cell r="K535" t="str">
            <v>Yorkshire and the Humber</v>
          </cell>
          <cell r="L535" t="str">
            <v>Wakefield</v>
          </cell>
          <cell r="M535" t="str">
            <v>Morley and Outwood</v>
          </cell>
          <cell r="N535" t="str">
            <v>WF2 0QB</v>
          </cell>
          <cell r="O535" t="str">
            <v>Not applicable</v>
          </cell>
          <cell r="P535">
            <v>5</v>
          </cell>
          <cell r="Q535">
            <v>13</v>
          </cell>
          <cell r="R535" t="str">
            <v>None</v>
          </cell>
          <cell r="S535" t="str">
            <v>Ofsted</v>
          </cell>
          <cell r="T535" t="str">
            <v>NULL</v>
          </cell>
          <cell r="U535" t="str">
            <v>NULL</v>
          </cell>
          <cell r="V535" t="str">
            <v>NULL</v>
          </cell>
          <cell r="W535" t="str">
            <v>NULL</v>
          </cell>
          <cell r="X535" t="str">
            <v>NULL</v>
          </cell>
          <cell r="Y535" t="str">
            <v>NULL</v>
          </cell>
          <cell r="Z535" t="str">
            <v>NULL</v>
          </cell>
          <cell r="AA535">
            <v>10025964</v>
          </cell>
          <cell r="AB535" t="str">
            <v>Independent school standard inspection - first</v>
          </cell>
          <cell r="AC535" t="str">
            <v>Independent Standard Inspection</v>
          </cell>
          <cell r="AD535">
            <v>42766</v>
          </cell>
          <cell r="AE535">
            <v>42768</v>
          </cell>
          <cell r="AF535">
            <v>42810</v>
          </cell>
          <cell r="AG535">
            <v>2</v>
          </cell>
          <cell r="AH535">
            <v>2</v>
          </cell>
          <cell r="AI535">
            <v>2</v>
          </cell>
          <cell r="AJ535">
            <v>1</v>
          </cell>
          <cell r="AK535">
            <v>2</v>
          </cell>
          <cell r="AL535" t="str">
            <v>NULL</v>
          </cell>
          <cell r="AM535" t="str">
            <v>NULL</v>
          </cell>
          <cell r="AN535" t="str">
            <v>Yes</v>
          </cell>
          <cell r="AO535" t="str">
            <v>NULL</v>
          </cell>
          <cell r="AP535" t="str">
            <v>NULL</v>
          </cell>
          <cell r="AQ535" t="str">
            <v>NULL</v>
          </cell>
          <cell r="AR535" t="str">
            <v>NULL</v>
          </cell>
          <cell r="AS535" t="str">
            <v>NULL</v>
          </cell>
          <cell r="AT535" t="str">
            <v>NULL</v>
          </cell>
          <cell r="AU535" t="str">
            <v>NULL</v>
          </cell>
          <cell r="AV535" t="str">
            <v>NULL</v>
          </cell>
          <cell r="AW535" t="str">
            <v>NULL</v>
          </cell>
          <cell r="AX535" t="str">
            <v>NULL</v>
          </cell>
          <cell r="AY535" t="str">
            <v>NULL</v>
          </cell>
          <cell r="AZ535" t="str">
            <v>NULL</v>
          </cell>
          <cell r="BA535" t="str">
            <v>NULL</v>
          </cell>
          <cell r="BB535" t="str">
            <v>NULL</v>
          </cell>
        </row>
        <row r="536">
          <cell r="D536">
            <v>143936</v>
          </cell>
          <cell r="E536">
            <v>8886069</v>
          </cell>
          <cell r="F536" t="str">
            <v>Wood Edge Independent School</v>
          </cell>
          <cell r="G536" t="str">
            <v>Other Independent Special School</v>
          </cell>
          <cell r="H536">
            <v>42915</v>
          </cell>
          <cell r="I536" t="str">
            <v>NULL</v>
          </cell>
          <cell r="J536" t="str">
            <v>North West</v>
          </cell>
          <cell r="K536" t="str">
            <v>North West</v>
          </cell>
          <cell r="L536" t="str">
            <v>Lancashire</v>
          </cell>
          <cell r="M536" t="str">
            <v>West Lancashire</v>
          </cell>
          <cell r="N536" t="str">
            <v>L39 4UL</v>
          </cell>
          <cell r="O536" t="str">
            <v>Not applicable</v>
          </cell>
          <cell r="P536">
            <v>14</v>
          </cell>
          <cell r="Q536">
            <v>16</v>
          </cell>
          <cell r="R536" t="str">
            <v>None</v>
          </cell>
          <cell r="S536" t="str">
            <v>Ofsted</v>
          </cell>
          <cell r="T536">
            <v>1</v>
          </cell>
          <cell r="U536">
            <v>10026784</v>
          </cell>
          <cell r="V536" t="str">
            <v>Independent School Pre-registration Inspection</v>
          </cell>
          <cell r="W536">
            <v>42746</v>
          </cell>
          <cell r="X536">
            <v>42746</v>
          </cell>
          <cell r="Y536" t="str">
            <v>NULL</v>
          </cell>
          <cell r="Z536" t="str">
            <v>Likely to meet all standards</v>
          </cell>
          <cell r="AA536" t="str">
            <v>NULL</v>
          </cell>
          <cell r="AB536" t="str">
            <v>NULL</v>
          </cell>
          <cell r="AC536" t="str">
            <v>NULL</v>
          </cell>
          <cell r="AD536" t="str">
            <v>NULL</v>
          </cell>
          <cell r="AE536" t="str">
            <v>NULL</v>
          </cell>
          <cell r="AF536" t="str">
            <v>NULL</v>
          </cell>
          <cell r="AG536" t="str">
            <v>NULL</v>
          </cell>
          <cell r="AH536" t="str">
            <v>NULL</v>
          </cell>
          <cell r="AI536" t="str">
            <v>NULL</v>
          </cell>
          <cell r="AJ536" t="str">
            <v>NULL</v>
          </cell>
          <cell r="AK536" t="str">
            <v>NULL</v>
          </cell>
          <cell r="AL536" t="str">
            <v>NULL</v>
          </cell>
          <cell r="AM536" t="str">
            <v>NULL</v>
          </cell>
          <cell r="AN536" t="str">
            <v>NULL</v>
          </cell>
          <cell r="AO536" t="str">
            <v>NULL</v>
          </cell>
          <cell r="AP536" t="str">
            <v>NULL</v>
          </cell>
          <cell r="AQ536" t="str">
            <v>NULL</v>
          </cell>
          <cell r="AR536" t="str">
            <v>NULL</v>
          </cell>
          <cell r="AS536" t="str">
            <v>NULL</v>
          </cell>
          <cell r="AT536" t="str">
            <v>NULL</v>
          </cell>
          <cell r="AU536" t="str">
            <v>NULL</v>
          </cell>
          <cell r="AV536" t="str">
            <v>NULL</v>
          </cell>
          <cell r="AW536" t="str">
            <v>NULL</v>
          </cell>
          <cell r="AX536" t="str">
            <v>NULL</v>
          </cell>
          <cell r="AY536" t="str">
            <v>NULL</v>
          </cell>
          <cell r="AZ536" t="str">
            <v>NULL</v>
          </cell>
          <cell r="BA536" t="str">
            <v>NULL</v>
          </cell>
          <cell r="BB536" t="str">
            <v>NULL</v>
          </cell>
        </row>
        <row r="537">
          <cell r="D537">
            <v>143947</v>
          </cell>
          <cell r="E537">
            <v>8786068</v>
          </cell>
          <cell r="F537" t="str">
            <v>Totnes Progressive School</v>
          </cell>
          <cell r="G537" t="str">
            <v>Other Independent School</v>
          </cell>
          <cell r="H537">
            <v>42741</v>
          </cell>
          <cell r="I537">
            <v>70</v>
          </cell>
          <cell r="J537" t="str">
            <v>South West</v>
          </cell>
          <cell r="K537" t="str">
            <v>South West</v>
          </cell>
          <cell r="L537" t="str">
            <v>Devon</v>
          </cell>
          <cell r="M537" t="str">
            <v>Totnes</v>
          </cell>
          <cell r="N537" t="str">
            <v>TQ9 5JT</v>
          </cell>
          <cell r="O537" t="str">
            <v>Does not have a sixth form</v>
          </cell>
          <cell r="P537">
            <v>9</v>
          </cell>
          <cell r="Q537">
            <v>16</v>
          </cell>
          <cell r="R537" t="str">
            <v>None</v>
          </cell>
          <cell r="S537" t="str">
            <v>Ofsted</v>
          </cell>
          <cell r="T537" t="str">
            <v>NULL</v>
          </cell>
          <cell r="U537" t="str">
            <v>NULL</v>
          </cell>
          <cell r="V537" t="str">
            <v>NULL</v>
          </cell>
          <cell r="W537" t="str">
            <v>NULL</v>
          </cell>
          <cell r="X537" t="str">
            <v>NULL</v>
          </cell>
          <cell r="Y537" t="str">
            <v>NULL</v>
          </cell>
          <cell r="Z537" t="str">
            <v>NULL</v>
          </cell>
          <cell r="AA537">
            <v>10041384</v>
          </cell>
          <cell r="AB537" t="str">
            <v>Independent school standard inspection - first</v>
          </cell>
          <cell r="AC537" t="str">
            <v>Independent Standard Inspection</v>
          </cell>
          <cell r="AD537">
            <v>43116</v>
          </cell>
          <cell r="AE537">
            <v>43118</v>
          </cell>
          <cell r="AF537">
            <v>43157</v>
          </cell>
          <cell r="AG537">
            <v>3</v>
          </cell>
          <cell r="AH537">
            <v>3</v>
          </cell>
          <cell r="AI537">
            <v>3</v>
          </cell>
          <cell r="AJ537">
            <v>3</v>
          </cell>
          <cell r="AK537">
            <v>2</v>
          </cell>
          <cell r="AL537" t="str">
            <v>NULL</v>
          </cell>
          <cell r="AM537" t="str">
            <v>NULL</v>
          </cell>
          <cell r="AN537" t="str">
            <v>Yes</v>
          </cell>
          <cell r="AO537" t="str">
            <v>NULL</v>
          </cell>
          <cell r="AP537" t="str">
            <v>NULL</v>
          </cell>
          <cell r="AQ537" t="str">
            <v>NULL</v>
          </cell>
          <cell r="AR537" t="str">
            <v>NULL</v>
          </cell>
          <cell r="AS537" t="str">
            <v>NULL</v>
          </cell>
          <cell r="AT537" t="str">
            <v>NULL</v>
          </cell>
          <cell r="AU537" t="str">
            <v>NULL</v>
          </cell>
          <cell r="AV537" t="str">
            <v>NULL</v>
          </cell>
          <cell r="AW537" t="str">
            <v>NULL</v>
          </cell>
          <cell r="AX537" t="str">
            <v>NULL</v>
          </cell>
          <cell r="AY537" t="str">
            <v>NULL</v>
          </cell>
          <cell r="AZ537" t="str">
            <v>NULL</v>
          </cell>
          <cell r="BA537" t="str">
            <v>NULL</v>
          </cell>
          <cell r="BB537" t="str">
            <v>NULL</v>
          </cell>
        </row>
        <row r="538">
          <cell r="D538">
            <v>144033</v>
          </cell>
          <cell r="E538">
            <v>8696019</v>
          </cell>
          <cell r="F538" t="str">
            <v>Hillcrest New Barn</v>
          </cell>
          <cell r="G538" t="str">
            <v>Other Independent Special School</v>
          </cell>
          <cell r="H538">
            <v>42752</v>
          </cell>
          <cell r="I538">
            <v>5</v>
          </cell>
          <cell r="J538" t="str">
            <v>South East</v>
          </cell>
          <cell r="K538" t="str">
            <v>South East</v>
          </cell>
          <cell r="L538" t="str">
            <v>West Berkshire</v>
          </cell>
          <cell r="M538" t="str">
            <v>Newbury</v>
          </cell>
          <cell r="N538" t="str">
            <v>RG20 8HZ</v>
          </cell>
          <cell r="O538" t="str">
            <v>Not applicable</v>
          </cell>
          <cell r="P538">
            <v>6</v>
          </cell>
          <cell r="Q538">
            <v>16</v>
          </cell>
          <cell r="R538" t="str">
            <v>None</v>
          </cell>
          <cell r="S538" t="str">
            <v>Ofsted</v>
          </cell>
          <cell r="T538" t="str">
            <v>NULL</v>
          </cell>
          <cell r="U538" t="str">
            <v>NULL</v>
          </cell>
          <cell r="V538" t="str">
            <v>NULL</v>
          </cell>
          <cell r="W538" t="str">
            <v>NULL</v>
          </cell>
          <cell r="X538" t="str">
            <v>NULL</v>
          </cell>
          <cell r="Y538" t="str">
            <v>NULL</v>
          </cell>
          <cell r="Z538" t="str">
            <v>NULL</v>
          </cell>
          <cell r="AA538">
            <v>10043102</v>
          </cell>
          <cell r="AB538" t="str">
            <v>Independent school standard inspection - first</v>
          </cell>
          <cell r="AC538" t="str">
            <v>Independent Standard Inspection</v>
          </cell>
          <cell r="AD538">
            <v>43074</v>
          </cell>
          <cell r="AE538">
            <v>43076</v>
          </cell>
          <cell r="AF538">
            <v>43116</v>
          </cell>
          <cell r="AG538">
            <v>2</v>
          </cell>
          <cell r="AH538">
            <v>2</v>
          </cell>
          <cell r="AI538">
            <v>2</v>
          </cell>
          <cell r="AJ538">
            <v>2</v>
          </cell>
          <cell r="AK538">
            <v>2</v>
          </cell>
          <cell r="AL538" t="str">
            <v>NULL</v>
          </cell>
          <cell r="AM538" t="str">
            <v>NULL</v>
          </cell>
          <cell r="AN538" t="str">
            <v>Yes</v>
          </cell>
          <cell r="AO538" t="str">
            <v>NULL</v>
          </cell>
          <cell r="AP538" t="str">
            <v>NULL</v>
          </cell>
          <cell r="AQ538" t="str">
            <v>NULL</v>
          </cell>
          <cell r="AR538" t="str">
            <v>NULL</v>
          </cell>
          <cell r="AS538" t="str">
            <v>NULL</v>
          </cell>
          <cell r="AT538" t="str">
            <v>NULL</v>
          </cell>
          <cell r="AU538" t="str">
            <v>NULL</v>
          </cell>
          <cell r="AV538" t="str">
            <v>NULL</v>
          </cell>
          <cell r="AW538" t="str">
            <v>NULL</v>
          </cell>
          <cell r="AX538" t="str">
            <v>NULL</v>
          </cell>
          <cell r="AY538" t="str">
            <v>NULL</v>
          </cell>
          <cell r="AZ538" t="str">
            <v>NULL</v>
          </cell>
          <cell r="BA538" t="str">
            <v>NULL</v>
          </cell>
          <cell r="BB538" t="str">
            <v>NULL</v>
          </cell>
        </row>
        <row r="539">
          <cell r="D539">
            <v>144363</v>
          </cell>
          <cell r="E539">
            <v>2046016</v>
          </cell>
          <cell r="F539" t="str">
            <v>Lubavitch Senior Boys' School</v>
          </cell>
          <cell r="G539" t="str">
            <v>Other Independent School</v>
          </cell>
          <cell r="H539">
            <v>42762</v>
          </cell>
          <cell r="I539" t="str">
            <v>NULL</v>
          </cell>
          <cell r="J539" t="str">
            <v>London</v>
          </cell>
          <cell r="K539" t="str">
            <v>London</v>
          </cell>
          <cell r="L539" t="str">
            <v>Hackney</v>
          </cell>
          <cell r="M539" t="str">
            <v>Hackney North and Stoke Newington</v>
          </cell>
          <cell r="N539" t="str">
            <v>E5 9AE</v>
          </cell>
          <cell r="O539" t="str">
            <v>Does not have a sixth form</v>
          </cell>
          <cell r="P539">
            <v>11</v>
          </cell>
          <cell r="Q539">
            <v>13</v>
          </cell>
          <cell r="R539" t="str">
            <v>None</v>
          </cell>
          <cell r="S539" t="str">
            <v>Ofsted</v>
          </cell>
          <cell r="T539" t="str">
            <v>NULL</v>
          </cell>
          <cell r="U539" t="str">
            <v>NULL</v>
          </cell>
          <cell r="V539" t="str">
            <v>NULL</v>
          </cell>
          <cell r="W539" t="str">
            <v>NULL</v>
          </cell>
          <cell r="X539" t="str">
            <v>NULL</v>
          </cell>
          <cell r="Y539" t="str">
            <v>NULL</v>
          </cell>
          <cell r="Z539" t="str">
            <v>NULL</v>
          </cell>
          <cell r="AA539" t="str">
            <v>NULL</v>
          </cell>
          <cell r="AB539" t="str">
            <v>NULL</v>
          </cell>
          <cell r="AC539" t="str">
            <v>NULL</v>
          </cell>
          <cell r="AD539" t="str">
            <v>NULL</v>
          </cell>
          <cell r="AE539" t="str">
            <v>NULL</v>
          </cell>
          <cell r="AF539" t="str">
            <v>NULL</v>
          </cell>
          <cell r="AG539" t="str">
            <v>NULL</v>
          </cell>
          <cell r="AH539" t="str">
            <v>NULL</v>
          </cell>
          <cell r="AI539" t="str">
            <v>NULL</v>
          </cell>
          <cell r="AJ539" t="str">
            <v>NULL</v>
          </cell>
          <cell r="AK539" t="str">
            <v>NULL</v>
          </cell>
          <cell r="AL539" t="str">
            <v>NULL</v>
          </cell>
          <cell r="AM539" t="str">
            <v>NULL</v>
          </cell>
          <cell r="AN539" t="str">
            <v>NULL</v>
          </cell>
          <cell r="AO539" t="str">
            <v>NULL</v>
          </cell>
          <cell r="AP539" t="str">
            <v>NULL</v>
          </cell>
          <cell r="AQ539" t="str">
            <v>NULL</v>
          </cell>
          <cell r="AR539" t="str">
            <v>NULL</v>
          </cell>
          <cell r="AS539" t="str">
            <v>NULL</v>
          </cell>
          <cell r="AT539" t="str">
            <v>NULL</v>
          </cell>
          <cell r="AU539" t="str">
            <v>NULL</v>
          </cell>
          <cell r="AV539" t="str">
            <v>NULL</v>
          </cell>
          <cell r="AW539" t="str">
            <v>NULL</v>
          </cell>
          <cell r="AX539" t="str">
            <v>NULL</v>
          </cell>
          <cell r="AY539" t="str">
            <v>NULL</v>
          </cell>
          <cell r="AZ539" t="str">
            <v>NULL</v>
          </cell>
          <cell r="BA539" t="str">
            <v>NULL</v>
          </cell>
          <cell r="BB539" t="str">
            <v>NULL</v>
          </cell>
        </row>
        <row r="540">
          <cell r="D540">
            <v>144366</v>
          </cell>
          <cell r="E540">
            <v>8126005</v>
          </cell>
          <cell r="F540" t="str">
            <v>The Orchard</v>
          </cell>
          <cell r="G540" t="str">
            <v>Other Independent School</v>
          </cell>
          <cell r="H540">
            <v>42766</v>
          </cell>
          <cell r="I540" t="str">
            <v>NULL</v>
          </cell>
          <cell r="J540" t="str">
            <v>North East, Yorkshire and the Humber</v>
          </cell>
          <cell r="K540" t="str">
            <v>Yorkshire and the Humber</v>
          </cell>
          <cell r="L540" t="str">
            <v>North East Lincolnshire</v>
          </cell>
          <cell r="M540" t="str">
            <v>Great Grimsby</v>
          </cell>
          <cell r="N540" t="str">
            <v>DN37 9PH</v>
          </cell>
          <cell r="O540" t="str">
            <v>Does not have a sixth form</v>
          </cell>
          <cell r="P540">
            <v>12</v>
          </cell>
          <cell r="Q540">
            <v>16</v>
          </cell>
          <cell r="R540" t="str">
            <v>None</v>
          </cell>
          <cell r="S540" t="str">
            <v>Ofsted</v>
          </cell>
          <cell r="T540" t="str">
            <v>NULL</v>
          </cell>
          <cell r="U540" t="str">
            <v>NULL</v>
          </cell>
          <cell r="V540" t="str">
            <v>NULL</v>
          </cell>
          <cell r="W540" t="str">
            <v>NULL</v>
          </cell>
          <cell r="X540" t="str">
            <v>NULL</v>
          </cell>
          <cell r="Y540" t="str">
            <v>NULL</v>
          </cell>
          <cell r="Z540" t="str">
            <v>NULL</v>
          </cell>
          <cell r="AA540" t="str">
            <v>NULL</v>
          </cell>
          <cell r="AB540" t="str">
            <v>NULL</v>
          </cell>
          <cell r="AC540" t="str">
            <v>NULL</v>
          </cell>
          <cell r="AD540" t="str">
            <v>NULL</v>
          </cell>
          <cell r="AE540" t="str">
            <v>NULL</v>
          </cell>
          <cell r="AF540" t="str">
            <v>NULL</v>
          </cell>
          <cell r="AG540" t="str">
            <v>NULL</v>
          </cell>
          <cell r="AH540" t="str">
            <v>NULL</v>
          </cell>
          <cell r="AI540" t="str">
            <v>NULL</v>
          </cell>
          <cell r="AJ540" t="str">
            <v>NULL</v>
          </cell>
          <cell r="AK540" t="str">
            <v>NULL</v>
          </cell>
          <cell r="AL540" t="str">
            <v>NULL</v>
          </cell>
          <cell r="AM540" t="str">
            <v>NULL</v>
          </cell>
          <cell r="AN540" t="str">
            <v>NULL</v>
          </cell>
          <cell r="AO540" t="str">
            <v>NULL</v>
          </cell>
          <cell r="AP540" t="str">
            <v>NULL</v>
          </cell>
          <cell r="AQ540" t="str">
            <v>NULL</v>
          </cell>
          <cell r="AR540" t="str">
            <v>NULL</v>
          </cell>
          <cell r="AS540" t="str">
            <v>NULL</v>
          </cell>
          <cell r="AT540" t="str">
            <v>NULL</v>
          </cell>
          <cell r="AU540" t="str">
            <v>NULL</v>
          </cell>
          <cell r="AV540" t="str">
            <v>NULL</v>
          </cell>
          <cell r="AW540" t="str">
            <v>NULL</v>
          </cell>
          <cell r="AX540" t="str">
            <v>NULL</v>
          </cell>
          <cell r="AY540" t="str">
            <v>NULL</v>
          </cell>
          <cell r="AZ540" t="str">
            <v>NULL</v>
          </cell>
          <cell r="BA540" t="str">
            <v>NULL</v>
          </cell>
          <cell r="BB540" t="str">
            <v>NULL</v>
          </cell>
        </row>
        <row r="541">
          <cell r="D541">
            <v>144370</v>
          </cell>
          <cell r="E541">
            <v>3416009</v>
          </cell>
          <cell r="F541" t="str">
            <v>Rotunda Ltd</v>
          </cell>
          <cell r="G541" t="str">
            <v>Other Independent School</v>
          </cell>
          <cell r="H541">
            <v>42979</v>
          </cell>
          <cell r="I541" t="str">
            <v>NULL</v>
          </cell>
          <cell r="J541" t="str">
            <v>North West</v>
          </cell>
          <cell r="K541" t="str">
            <v>North West</v>
          </cell>
          <cell r="L541" t="str">
            <v>Liverpool</v>
          </cell>
          <cell r="M541" t="str">
            <v>Liverpool, Riverside</v>
          </cell>
          <cell r="N541" t="str">
            <v>L5 2PL</v>
          </cell>
          <cell r="O541" t="str">
            <v>Has a sixth form</v>
          </cell>
          <cell r="P541">
            <v>13</v>
          </cell>
          <cell r="Q541">
            <v>18</v>
          </cell>
          <cell r="R541" t="str">
            <v>None</v>
          </cell>
          <cell r="S541" t="str">
            <v>Ofsted</v>
          </cell>
          <cell r="T541">
            <v>1</v>
          </cell>
          <cell r="U541">
            <v>10039492</v>
          </cell>
          <cell r="V541" t="str">
            <v>Independent School Pre-registration Inspection</v>
          </cell>
          <cell r="W541">
            <v>42941</v>
          </cell>
          <cell r="X541">
            <v>42941</v>
          </cell>
          <cell r="Y541" t="str">
            <v>NULL</v>
          </cell>
          <cell r="Z541" t="str">
            <v>Likely to meet all standards</v>
          </cell>
          <cell r="AA541" t="str">
            <v>NULL</v>
          </cell>
          <cell r="AB541" t="str">
            <v>NULL</v>
          </cell>
          <cell r="AC541" t="str">
            <v>NULL</v>
          </cell>
          <cell r="AD541" t="str">
            <v>NULL</v>
          </cell>
          <cell r="AE541" t="str">
            <v>NULL</v>
          </cell>
          <cell r="AF541" t="str">
            <v>NULL</v>
          </cell>
          <cell r="AG541" t="str">
            <v>NULL</v>
          </cell>
          <cell r="AH541" t="str">
            <v>NULL</v>
          </cell>
          <cell r="AI541" t="str">
            <v>NULL</v>
          </cell>
          <cell r="AJ541" t="str">
            <v>NULL</v>
          </cell>
          <cell r="AK541" t="str">
            <v>NULL</v>
          </cell>
          <cell r="AL541" t="str">
            <v>NULL</v>
          </cell>
          <cell r="AM541" t="str">
            <v>NULL</v>
          </cell>
          <cell r="AN541" t="str">
            <v>NULL</v>
          </cell>
          <cell r="AO541" t="str">
            <v>NULL</v>
          </cell>
          <cell r="AP541" t="str">
            <v>NULL</v>
          </cell>
          <cell r="AQ541" t="str">
            <v>NULL</v>
          </cell>
          <cell r="AR541" t="str">
            <v>NULL</v>
          </cell>
          <cell r="AS541" t="str">
            <v>NULL</v>
          </cell>
          <cell r="AT541" t="str">
            <v>NULL</v>
          </cell>
          <cell r="AU541" t="str">
            <v>NULL</v>
          </cell>
          <cell r="AV541" t="str">
            <v>NULL</v>
          </cell>
          <cell r="AW541" t="str">
            <v>NULL</v>
          </cell>
          <cell r="AX541" t="str">
            <v>NULL</v>
          </cell>
          <cell r="AY541" t="str">
            <v>NULL</v>
          </cell>
          <cell r="AZ541" t="str">
            <v>NULL</v>
          </cell>
          <cell r="BA541" t="str">
            <v>NULL</v>
          </cell>
          <cell r="BB541" t="str">
            <v>NULL</v>
          </cell>
        </row>
        <row r="542">
          <cell r="D542">
            <v>145308</v>
          </cell>
          <cell r="E542">
            <v>9336009</v>
          </cell>
          <cell r="F542" t="str">
            <v>Park House, Taunton</v>
          </cell>
          <cell r="G542" t="str">
            <v>Other Independent Special School</v>
          </cell>
          <cell r="H542">
            <v>43152</v>
          </cell>
          <cell r="I542" t="str">
            <v>NULL</v>
          </cell>
          <cell r="J542" t="str">
            <v>South West</v>
          </cell>
          <cell r="K542" t="str">
            <v>South West</v>
          </cell>
          <cell r="L542" t="str">
            <v>Somerset</v>
          </cell>
          <cell r="M542" t="str">
            <v>Taunton Deane</v>
          </cell>
          <cell r="N542" t="str">
            <v>TA2 7AX</v>
          </cell>
          <cell r="O542" t="str">
            <v>Not applicable</v>
          </cell>
          <cell r="P542">
            <v>8</v>
          </cell>
          <cell r="Q542">
            <v>19</v>
          </cell>
          <cell r="R542" t="str">
            <v>None</v>
          </cell>
          <cell r="S542" t="str">
            <v>Ofsted</v>
          </cell>
          <cell r="T542">
            <v>1</v>
          </cell>
          <cell r="U542">
            <v>10044257</v>
          </cell>
          <cell r="V542" t="str">
            <v>Independent School Pre-registration Inspection</v>
          </cell>
          <cell r="W542">
            <v>43122</v>
          </cell>
          <cell r="X542">
            <v>43122</v>
          </cell>
          <cell r="Y542" t="str">
            <v>NULL</v>
          </cell>
          <cell r="Z542" t="str">
            <v>Likely to meet all standards</v>
          </cell>
          <cell r="AA542" t="str">
            <v>NULL</v>
          </cell>
          <cell r="AB542" t="str">
            <v>NULL</v>
          </cell>
          <cell r="AC542" t="str">
            <v>NULL</v>
          </cell>
          <cell r="AD542" t="str">
            <v>NULL</v>
          </cell>
          <cell r="AE542" t="str">
            <v>NULL</v>
          </cell>
          <cell r="AF542" t="str">
            <v>NULL</v>
          </cell>
          <cell r="AG542" t="str">
            <v>NULL</v>
          </cell>
          <cell r="AH542" t="str">
            <v>NULL</v>
          </cell>
          <cell r="AI542" t="str">
            <v>NULL</v>
          </cell>
          <cell r="AJ542" t="str">
            <v>NULL</v>
          </cell>
          <cell r="AK542" t="str">
            <v>NULL</v>
          </cell>
          <cell r="AL542" t="str">
            <v>NULL</v>
          </cell>
          <cell r="AM542" t="str">
            <v>NULL</v>
          </cell>
          <cell r="AN542" t="str">
            <v>NULL</v>
          </cell>
          <cell r="AO542" t="str">
            <v>NULL</v>
          </cell>
          <cell r="AP542" t="str">
            <v>NULL</v>
          </cell>
          <cell r="AQ542" t="str">
            <v>NULL</v>
          </cell>
          <cell r="AR542" t="str">
            <v>NULL</v>
          </cell>
          <cell r="AS542" t="str">
            <v>NULL</v>
          </cell>
          <cell r="AT542" t="str">
            <v>NULL</v>
          </cell>
          <cell r="AU542" t="str">
            <v>NULL</v>
          </cell>
          <cell r="AV542" t="str">
            <v>NULL</v>
          </cell>
          <cell r="AW542" t="str">
            <v>NULL</v>
          </cell>
          <cell r="AX542" t="str">
            <v>NULL</v>
          </cell>
          <cell r="AY542" t="str">
            <v>NULL</v>
          </cell>
          <cell r="AZ542" t="str">
            <v>NULL</v>
          </cell>
          <cell r="BA542" t="str">
            <v>NULL</v>
          </cell>
          <cell r="BB542" t="str">
            <v>NULL</v>
          </cell>
        </row>
        <row r="543">
          <cell r="D543">
            <v>145402</v>
          </cell>
          <cell r="E543">
            <v>9096007</v>
          </cell>
          <cell r="F543" t="str">
            <v>SwitchED2</v>
          </cell>
          <cell r="G543" t="str">
            <v>Other Independent Special School</v>
          </cell>
          <cell r="H543">
            <v>43164</v>
          </cell>
          <cell r="I543" t="str">
            <v>NULL</v>
          </cell>
          <cell r="J543" t="str">
            <v>North West</v>
          </cell>
          <cell r="K543" t="str">
            <v>North West</v>
          </cell>
          <cell r="L543" t="str">
            <v>Cumbria</v>
          </cell>
          <cell r="M543" t="str">
            <v>Westmorland and Lonsdale</v>
          </cell>
          <cell r="N543" t="str">
            <v>LA11 6RG</v>
          </cell>
          <cell r="O543" t="str">
            <v>Not applicable</v>
          </cell>
          <cell r="P543">
            <v>9</v>
          </cell>
          <cell r="Q543">
            <v>16</v>
          </cell>
          <cell r="R543" t="str">
            <v>None</v>
          </cell>
          <cell r="S543" t="str">
            <v>Ofsted</v>
          </cell>
          <cell r="T543">
            <v>1</v>
          </cell>
          <cell r="U543">
            <v>10046943</v>
          </cell>
          <cell r="V543" t="str">
            <v>Independent School Pre-registration Inspection</v>
          </cell>
          <cell r="W543">
            <v>43136</v>
          </cell>
          <cell r="X543">
            <v>43136</v>
          </cell>
          <cell r="Y543" t="str">
            <v>NULL</v>
          </cell>
          <cell r="Z543" t="str">
            <v>Likely to meet all standards</v>
          </cell>
          <cell r="AA543" t="str">
            <v>NULL</v>
          </cell>
          <cell r="AB543" t="str">
            <v>NULL</v>
          </cell>
          <cell r="AC543" t="str">
            <v>NULL</v>
          </cell>
          <cell r="AD543" t="str">
            <v>NULL</v>
          </cell>
          <cell r="AE543" t="str">
            <v>NULL</v>
          </cell>
          <cell r="AF543" t="str">
            <v>NULL</v>
          </cell>
          <cell r="AG543" t="str">
            <v>NULL</v>
          </cell>
          <cell r="AH543" t="str">
            <v>NULL</v>
          </cell>
          <cell r="AI543" t="str">
            <v>NULL</v>
          </cell>
          <cell r="AJ543" t="str">
            <v>NULL</v>
          </cell>
          <cell r="AK543" t="str">
            <v>NULL</v>
          </cell>
          <cell r="AL543" t="str">
            <v>NULL</v>
          </cell>
          <cell r="AM543" t="str">
            <v>NULL</v>
          </cell>
          <cell r="AN543" t="str">
            <v>NULL</v>
          </cell>
          <cell r="AO543" t="str">
            <v>NULL</v>
          </cell>
          <cell r="AP543" t="str">
            <v>NULL</v>
          </cell>
          <cell r="AQ543" t="str">
            <v>NULL</v>
          </cell>
          <cell r="AR543" t="str">
            <v>NULL</v>
          </cell>
          <cell r="AS543" t="str">
            <v>NULL</v>
          </cell>
          <cell r="AT543" t="str">
            <v>NULL</v>
          </cell>
          <cell r="AU543" t="str">
            <v>NULL</v>
          </cell>
          <cell r="AV543" t="str">
            <v>NULL</v>
          </cell>
          <cell r="AW543" t="str">
            <v>NULL</v>
          </cell>
          <cell r="AX543" t="str">
            <v>NULL</v>
          </cell>
          <cell r="AY543" t="str">
            <v>NULL</v>
          </cell>
          <cell r="AZ543" t="str">
            <v>NULL</v>
          </cell>
          <cell r="BA543" t="str">
            <v>NULL</v>
          </cell>
          <cell r="BB543" t="str">
            <v>NULL</v>
          </cell>
        </row>
        <row r="544">
          <cell r="D544">
            <v>145470</v>
          </cell>
          <cell r="E544">
            <v>9376015</v>
          </cell>
          <cell r="F544" t="str">
            <v>Brickyard Barn Outdoor Learning Centre</v>
          </cell>
          <cell r="G544" t="str">
            <v>Other Independent Special School</v>
          </cell>
          <cell r="H544">
            <v>43182</v>
          </cell>
          <cell r="I544" t="str">
            <v>NULL</v>
          </cell>
          <cell r="J544" t="str">
            <v>West Midlands</v>
          </cell>
          <cell r="K544" t="str">
            <v>West Midlands</v>
          </cell>
          <cell r="L544" t="str">
            <v>Warwickshire</v>
          </cell>
          <cell r="M544" t="str">
            <v>Warwick and Leamington</v>
          </cell>
          <cell r="N544" t="str">
            <v>CV33 9QD</v>
          </cell>
          <cell r="O544" t="str">
            <v>Has a sixth form</v>
          </cell>
          <cell r="P544">
            <v>9</v>
          </cell>
          <cell r="Q544">
            <v>19</v>
          </cell>
          <cell r="R544" t="str">
            <v>None</v>
          </cell>
          <cell r="S544" t="str">
            <v>Ofsted</v>
          </cell>
          <cell r="T544">
            <v>1</v>
          </cell>
          <cell r="U544">
            <v>10048662</v>
          </cell>
          <cell r="V544" t="str">
            <v>Independent School Pre-registration Inspection</v>
          </cell>
          <cell r="W544">
            <v>43152</v>
          </cell>
          <cell r="X544">
            <v>43152</v>
          </cell>
          <cell r="Y544" t="str">
            <v>NULL</v>
          </cell>
          <cell r="Z544" t="str">
            <v>Likely to meet all standards</v>
          </cell>
          <cell r="AA544" t="str">
            <v>NULL</v>
          </cell>
          <cell r="AB544" t="str">
            <v>NULL</v>
          </cell>
          <cell r="AC544" t="str">
            <v>NULL</v>
          </cell>
          <cell r="AD544" t="str">
            <v>NULL</v>
          </cell>
          <cell r="AE544" t="str">
            <v>NULL</v>
          </cell>
          <cell r="AF544" t="str">
            <v>NULL</v>
          </cell>
          <cell r="AG544" t="str">
            <v>NULL</v>
          </cell>
          <cell r="AH544" t="str">
            <v>NULL</v>
          </cell>
          <cell r="AI544" t="str">
            <v>NULL</v>
          </cell>
          <cell r="AJ544" t="str">
            <v>NULL</v>
          </cell>
          <cell r="AK544" t="str">
            <v>NULL</v>
          </cell>
          <cell r="AL544" t="str">
            <v>NULL</v>
          </cell>
          <cell r="AM544" t="str">
            <v>NULL</v>
          </cell>
          <cell r="AN544" t="str">
            <v>NULL</v>
          </cell>
          <cell r="AO544" t="str">
            <v>NULL</v>
          </cell>
          <cell r="AP544" t="str">
            <v>NULL</v>
          </cell>
          <cell r="AQ544" t="str">
            <v>NULL</v>
          </cell>
          <cell r="AR544" t="str">
            <v>NULL</v>
          </cell>
          <cell r="AS544" t="str">
            <v>NULL</v>
          </cell>
          <cell r="AT544" t="str">
            <v>NULL</v>
          </cell>
          <cell r="AU544" t="str">
            <v>NULL</v>
          </cell>
          <cell r="AV544" t="str">
            <v>NULL</v>
          </cell>
          <cell r="AW544" t="str">
            <v>NULL</v>
          </cell>
          <cell r="AX544" t="str">
            <v>NULL</v>
          </cell>
          <cell r="AY544" t="str">
            <v>NULL</v>
          </cell>
          <cell r="AZ544" t="str">
            <v>NULL</v>
          </cell>
          <cell r="BA544" t="str">
            <v>NULL</v>
          </cell>
          <cell r="BB544" t="str">
            <v>NULL</v>
          </cell>
        </row>
        <row r="545">
          <cell r="D545">
            <v>145479</v>
          </cell>
          <cell r="E545">
            <v>8506094</v>
          </cell>
          <cell r="F545" t="str">
            <v>The Green Room School Kingsley</v>
          </cell>
          <cell r="G545" t="str">
            <v>Other Independent Special School</v>
          </cell>
          <cell r="H545">
            <v>43187</v>
          </cell>
          <cell r="I545" t="str">
            <v>NULL</v>
          </cell>
          <cell r="J545" t="str">
            <v>South East</v>
          </cell>
          <cell r="K545" t="str">
            <v>South East</v>
          </cell>
          <cell r="L545" t="str">
            <v>Hampshire</v>
          </cell>
          <cell r="M545" t="str">
            <v>East Hampshire</v>
          </cell>
          <cell r="N545" t="str">
            <v>GU35 9LU</v>
          </cell>
          <cell r="O545" t="str">
            <v>Not applicable</v>
          </cell>
          <cell r="P545">
            <v>11</v>
          </cell>
          <cell r="Q545">
            <v>18</v>
          </cell>
          <cell r="R545" t="str">
            <v>None</v>
          </cell>
          <cell r="S545" t="str">
            <v>Ofsted</v>
          </cell>
          <cell r="T545">
            <v>1</v>
          </cell>
          <cell r="U545">
            <v>10048817</v>
          </cell>
          <cell r="V545" t="str">
            <v>Independent School Pre-registration Inspection</v>
          </cell>
          <cell r="W545">
            <v>43174</v>
          </cell>
          <cell r="X545">
            <v>43174</v>
          </cell>
          <cell r="Y545" t="str">
            <v>NULL</v>
          </cell>
          <cell r="Z545" t="str">
            <v>Operating without registration and likely to meet all standards</v>
          </cell>
          <cell r="AA545" t="str">
            <v>NULL</v>
          </cell>
          <cell r="AB545" t="str">
            <v>NULL</v>
          </cell>
          <cell r="AC545" t="str">
            <v>NULL</v>
          </cell>
          <cell r="AD545" t="str">
            <v>NULL</v>
          </cell>
          <cell r="AE545" t="str">
            <v>NULL</v>
          </cell>
          <cell r="AF545" t="str">
            <v>NULL</v>
          </cell>
          <cell r="AG545" t="str">
            <v>NULL</v>
          </cell>
          <cell r="AH545" t="str">
            <v>NULL</v>
          </cell>
          <cell r="AI545" t="str">
            <v>NULL</v>
          </cell>
          <cell r="AJ545" t="str">
            <v>NULL</v>
          </cell>
          <cell r="AK545" t="str">
            <v>NULL</v>
          </cell>
          <cell r="AL545" t="str">
            <v>NULL</v>
          </cell>
          <cell r="AM545" t="str">
            <v>NULL</v>
          </cell>
          <cell r="AN545" t="str">
            <v>NULL</v>
          </cell>
          <cell r="AO545" t="str">
            <v>NULL</v>
          </cell>
          <cell r="AP545" t="str">
            <v>NULL</v>
          </cell>
          <cell r="AQ545" t="str">
            <v>NULL</v>
          </cell>
          <cell r="AR545" t="str">
            <v>NULL</v>
          </cell>
          <cell r="AS545" t="str">
            <v>NULL</v>
          </cell>
          <cell r="AT545" t="str">
            <v>NULL</v>
          </cell>
          <cell r="AU545" t="str">
            <v>NULL</v>
          </cell>
          <cell r="AV545" t="str">
            <v>NULL</v>
          </cell>
          <cell r="AW545" t="str">
            <v>NULL</v>
          </cell>
          <cell r="AX545" t="str">
            <v>NULL</v>
          </cell>
          <cell r="AY545" t="str">
            <v>NULL</v>
          </cell>
          <cell r="AZ545" t="str">
            <v>NULL</v>
          </cell>
          <cell r="BA545" t="str">
            <v>NULL</v>
          </cell>
          <cell r="BB545" t="str">
            <v>NULL</v>
          </cell>
        </row>
        <row r="546">
          <cell r="D546">
            <v>125790</v>
          </cell>
          <cell r="E546">
            <v>9376092</v>
          </cell>
          <cell r="F546" t="str">
            <v>Arc School Old Arley</v>
          </cell>
          <cell r="G546" t="str">
            <v>Other Independent Special School</v>
          </cell>
          <cell r="H546">
            <v>32784</v>
          </cell>
          <cell r="I546">
            <v>44</v>
          </cell>
          <cell r="J546" t="str">
            <v>West Midlands</v>
          </cell>
          <cell r="K546" t="str">
            <v>West Midlands</v>
          </cell>
          <cell r="L546" t="str">
            <v>Warwickshire</v>
          </cell>
          <cell r="M546" t="str">
            <v>Nuneaton</v>
          </cell>
          <cell r="N546" t="str">
            <v>CV7 8NU</v>
          </cell>
          <cell r="O546" t="str">
            <v>Not applicable</v>
          </cell>
          <cell r="P546">
            <v>7</v>
          </cell>
          <cell r="Q546">
            <v>16</v>
          </cell>
          <cell r="R546" t="str">
            <v>None</v>
          </cell>
          <cell r="S546" t="str">
            <v>Ofsted</v>
          </cell>
          <cell r="T546">
            <v>2</v>
          </cell>
          <cell r="U546">
            <v>10010457</v>
          </cell>
          <cell r="V546" t="str">
            <v>Independent school Material Change inspection</v>
          </cell>
          <cell r="W546">
            <v>42390</v>
          </cell>
          <cell r="X546">
            <v>42390</v>
          </cell>
          <cell r="Y546" t="str">
            <v>NULL</v>
          </cell>
          <cell r="Z546" t="str">
            <v>Likely to meet relevant standards</v>
          </cell>
          <cell r="AA546" t="str">
            <v>ITS462915</v>
          </cell>
          <cell r="AB546" t="str">
            <v>Independent School standard inspection</v>
          </cell>
          <cell r="AC546" t="str">
            <v>Independent Standard Inspection</v>
          </cell>
          <cell r="AD546">
            <v>42144</v>
          </cell>
          <cell r="AE546">
            <v>42146</v>
          </cell>
          <cell r="AF546">
            <v>42165</v>
          </cell>
          <cell r="AG546">
            <v>2</v>
          </cell>
          <cell r="AH546">
            <v>2</v>
          </cell>
          <cell r="AI546">
            <v>2</v>
          </cell>
          <cell r="AJ546">
            <v>2</v>
          </cell>
          <cell r="AK546" t="str">
            <v>NULL</v>
          </cell>
          <cell r="AL546">
            <v>9</v>
          </cell>
          <cell r="AM546">
            <v>9</v>
          </cell>
          <cell r="AN546" t="str">
            <v>NULL</v>
          </cell>
          <cell r="AO546" t="str">
            <v>ITS386870</v>
          </cell>
          <cell r="AP546" t="str">
            <v>Independent School standard inspection</v>
          </cell>
          <cell r="AQ546" t="str">
            <v>Independent Standard Inspection</v>
          </cell>
          <cell r="AR546">
            <v>40925</v>
          </cell>
          <cell r="AS546">
            <v>40926</v>
          </cell>
          <cell r="AT546">
            <v>40948</v>
          </cell>
          <cell r="AU546">
            <v>2</v>
          </cell>
          <cell r="AV546">
            <v>2</v>
          </cell>
          <cell r="AW546">
            <v>2</v>
          </cell>
          <cell r="AX546" t="str">
            <v>NULL</v>
          </cell>
          <cell r="AY546" t="str">
            <v>NULL</v>
          </cell>
          <cell r="AZ546">
            <v>8</v>
          </cell>
          <cell r="BA546" t="str">
            <v>NULL</v>
          </cell>
          <cell r="BB546" t="str">
            <v>NULL</v>
          </cell>
        </row>
        <row r="547">
          <cell r="D547">
            <v>141007</v>
          </cell>
          <cell r="E547">
            <v>9376011</v>
          </cell>
          <cell r="F547" t="str">
            <v>Arc School Napton</v>
          </cell>
          <cell r="G547" t="str">
            <v>Other Independent Special School</v>
          </cell>
          <cell r="H547">
            <v>41796</v>
          </cell>
          <cell r="I547">
            <v>16</v>
          </cell>
          <cell r="J547" t="str">
            <v>West Midlands</v>
          </cell>
          <cell r="K547" t="str">
            <v>West Midlands</v>
          </cell>
          <cell r="L547" t="str">
            <v>Warwickshire</v>
          </cell>
          <cell r="M547" t="str">
            <v>Hayes and Harlington</v>
          </cell>
          <cell r="N547" t="str">
            <v>UB11 1AA</v>
          </cell>
          <cell r="O547" t="str">
            <v>Not applicable</v>
          </cell>
          <cell r="P547">
            <v>5</v>
          </cell>
          <cell r="Q547">
            <v>11</v>
          </cell>
          <cell r="R547" t="str">
            <v>None</v>
          </cell>
          <cell r="S547" t="str">
            <v>Ofsted</v>
          </cell>
          <cell r="T547">
            <v>1</v>
          </cell>
          <cell r="U547">
            <v>10026729</v>
          </cell>
          <cell r="V547" t="str">
            <v>Independent school Material Change inspection</v>
          </cell>
          <cell r="W547">
            <v>42766</v>
          </cell>
          <cell r="X547">
            <v>42766</v>
          </cell>
          <cell r="Y547">
            <v>42851</v>
          </cell>
          <cell r="Z547" t="str">
            <v>Likely to meet relevant standards</v>
          </cell>
          <cell r="AA547" t="str">
            <v>ITS462981</v>
          </cell>
          <cell r="AB547" t="str">
            <v>Independent school standard inspection - first</v>
          </cell>
          <cell r="AC547" t="str">
            <v>Independent Standard Inspection</v>
          </cell>
          <cell r="AD547">
            <v>42158</v>
          </cell>
          <cell r="AE547">
            <v>42160</v>
          </cell>
          <cell r="AF547">
            <v>42195</v>
          </cell>
          <cell r="AG547">
            <v>2</v>
          </cell>
          <cell r="AH547">
            <v>2</v>
          </cell>
          <cell r="AI547">
            <v>2</v>
          </cell>
          <cell r="AJ547">
            <v>2</v>
          </cell>
          <cell r="AK547" t="str">
            <v>NULL</v>
          </cell>
          <cell r="AL547">
            <v>9</v>
          </cell>
          <cell r="AM547">
            <v>9</v>
          </cell>
          <cell r="AN547" t="str">
            <v>NULL</v>
          </cell>
          <cell r="AO547" t="str">
            <v>NULL</v>
          </cell>
          <cell r="AP547" t="str">
            <v>NULL</v>
          </cell>
          <cell r="AQ547" t="str">
            <v>NULL</v>
          </cell>
          <cell r="AR547" t="str">
            <v>NULL</v>
          </cell>
          <cell r="AS547" t="str">
            <v>NULL</v>
          </cell>
          <cell r="AT547" t="str">
            <v>NULL</v>
          </cell>
          <cell r="AU547" t="str">
            <v>NULL</v>
          </cell>
          <cell r="AV547" t="str">
            <v>NULL</v>
          </cell>
          <cell r="AW547" t="str">
            <v>NULL</v>
          </cell>
          <cell r="AX547" t="str">
            <v>NULL</v>
          </cell>
          <cell r="AY547" t="str">
            <v>NULL</v>
          </cell>
          <cell r="AZ547" t="str">
            <v>NULL</v>
          </cell>
          <cell r="BA547" t="str">
            <v>NULL</v>
          </cell>
          <cell r="BB547" t="str">
            <v>NULL</v>
          </cell>
        </row>
        <row r="548">
          <cell r="D548">
            <v>135187</v>
          </cell>
          <cell r="E548">
            <v>8306034</v>
          </cell>
          <cell r="F548" t="str">
            <v>Arnfield Independent School</v>
          </cell>
          <cell r="G548" t="str">
            <v>Other Independent Special School</v>
          </cell>
          <cell r="H548">
            <v>39140</v>
          </cell>
          <cell r="I548">
            <v>7</v>
          </cell>
          <cell r="J548" t="str">
            <v>East Midlands</v>
          </cell>
          <cell r="K548" t="str">
            <v>East Midlands</v>
          </cell>
          <cell r="L548" t="str">
            <v>Derbyshire</v>
          </cell>
          <cell r="M548" t="str">
            <v>Macclesfield</v>
          </cell>
          <cell r="N548" t="str">
            <v>SK10 5JR</v>
          </cell>
          <cell r="O548" t="str">
            <v>Not applicable</v>
          </cell>
          <cell r="P548">
            <v>12</v>
          </cell>
          <cell r="Q548">
            <v>17</v>
          </cell>
          <cell r="R548" t="str">
            <v>None</v>
          </cell>
          <cell r="S548" t="str">
            <v>Ofsted</v>
          </cell>
          <cell r="T548" t="str">
            <v>NULL</v>
          </cell>
          <cell r="U548" t="str">
            <v>NULL</v>
          </cell>
          <cell r="V548" t="str">
            <v>NULL</v>
          </cell>
          <cell r="W548" t="str">
            <v>NULL</v>
          </cell>
          <cell r="X548" t="str">
            <v>NULL</v>
          </cell>
          <cell r="Y548" t="str">
            <v>NULL</v>
          </cell>
          <cell r="Z548" t="str">
            <v>NULL</v>
          </cell>
          <cell r="AA548">
            <v>10020753</v>
          </cell>
          <cell r="AB548" t="str">
            <v>Independent school standard inspection - aligned with CH</v>
          </cell>
          <cell r="AC548" t="str">
            <v>Independent Standard Inspection</v>
          </cell>
          <cell r="AD548">
            <v>42661</v>
          </cell>
          <cell r="AE548">
            <v>42663</v>
          </cell>
          <cell r="AF548">
            <v>42697</v>
          </cell>
          <cell r="AG548">
            <v>2</v>
          </cell>
          <cell r="AH548">
            <v>2</v>
          </cell>
          <cell r="AI548">
            <v>2</v>
          </cell>
          <cell r="AJ548">
            <v>2</v>
          </cell>
          <cell r="AK548">
            <v>2</v>
          </cell>
          <cell r="AL548" t="str">
            <v>NULL</v>
          </cell>
          <cell r="AM548" t="str">
            <v>NULL</v>
          </cell>
          <cell r="AN548" t="str">
            <v>Yes</v>
          </cell>
          <cell r="AO548" t="str">
            <v>ITS422784</v>
          </cell>
          <cell r="AP548" t="str">
            <v xml:space="preserve">Independent School standard inspection - integrated </v>
          </cell>
          <cell r="AQ548" t="str">
            <v>Independent Standard Inspection</v>
          </cell>
          <cell r="AR548">
            <v>41597</v>
          </cell>
          <cell r="AS548">
            <v>41599</v>
          </cell>
          <cell r="AT548">
            <v>41618</v>
          </cell>
          <cell r="AU548">
            <v>3</v>
          </cell>
          <cell r="AV548">
            <v>3</v>
          </cell>
          <cell r="AW548">
            <v>3</v>
          </cell>
          <cell r="AX548">
            <v>3</v>
          </cell>
          <cell r="AY548" t="str">
            <v>NULL</v>
          </cell>
          <cell r="AZ548" t="str">
            <v>NULL</v>
          </cell>
          <cell r="BA548" t="str">
            <v>NULL</v>
          </cell>
          <cell r="BB548" t="str">
            <v>NULL</v>
          </cell>
        </row>
        <row r="549">
          <cell r="D549">
            <v>139559</v>
          </cell>
          <cell r="E549">
            <v>8556042</v>
          </cell>
          <cell r="F549" t="str">
            <v>ALP Leicester</v>
          </cell>
          <cell r="G549" t="str">
            <v>Other Independent Special School</v>
          </cell>
          <cell r="H549">
            <v>41367</v>
          </cell>
          <cell r="I549">
            <v>22</v>
          </cell>
          <cell r="J549" t="str">
            <v>East Midlands</v>
          </cell>
          <cell r="K549" t="str">
            <v>East Midlands</v>
          </cell>
          <cell r="L549" t="str">
            <v>Leicestershire</v>
          </cell>
          <cell r="M549" t="str">
            <v>Charnwood</v>
          </cell>
          <cell r="N549" t="str">
            <v>LE4 4JG</v>
          </cell>
          <cell r="O549" t="str">
            <v>Not applicable</v>
          </cell>
          <cell r="P549">
            <v>6</v>
          </cell>
          <cell r="Q549">
            <v>19</v>
          </cell>
          <cell r="R549" t="str">
            <v>None</v>
          </cell>
          <cell r="S549" t="str">
            <v>Ofsted</v>
          </cell>
          <cell r="T549">
            <v>2</v>
          </cell>
          <cell r="U549">
            <v>10020447</v>
          </cell>
          <cell r="V549" t="str">
            <v>Independent school Material Change inspection</v>
          </cell>
          <cell r="W549">
            <v>42527</v>
          </cell>
          <cell r="X549">
            <v>42527</v>
          </cell>
          <cell r="Y549" t="str">
            <v>NULL</v>
          </cell>
          <cell r="Z549" t="str">
            <v>Likely to meet relevant standards</v>
          </cell>
          <cell r="AA549" t="str">
            <v>ITS429468</v>
          </cell>
          <cell r="AB549" t="str">
            <v>Independent school standard inspection - first</v>
          </cell>
          <cell r="AC549" t="str">
            <v>Independent Standard Inspection</v>
          </cell>
          <cell r="AD549">
            <v>41653</v>
          </cell>
          <cell r="AE549">
            <v>41655</v>
          </cell>
          <cell r="AF549">
            <v>41675</v>
          </cell>
          <cell r="AG549">
            <v>2</v>
          </cell>
          <cell r="AH549">
            <v>2</v>
          </cell>
          <cell r="AI549">
            <v>2</v>
          </cell>
          <cell r="AJ549">
            <v>2</v>
          </cell>
          <cell r="AK549" t="str">
            <v>NULL</v>
          </cell>
          <cell r="AL549" t="str">
            <v>NULL</v>
          </cell>
          <cell r="AM549" t="str">
            <v>NULL</v>
          </cell>
          <cell r="AN549" t="str">
            <v>NULL</v>
          </cell>
          <cell r="AO549" t="str">
            <v>NULL</v>
          </cell>
          <cell r="AP549" t="str">
            <v>NULL</v>
          </cell>
          <cell r="AQ549" t="str">
            <v>NULL</v>
          </cell>
          <cell r="AR549" t="str">
            <v>NULL</v>
          </cell>
          <cell r="AS549" t="str">
            <v>NULL</v>
          </cell>
          <cell r="AT549" t="str">
            <v>NULL</v>
          </cell>
          <cell r="AU549" t="str">
            <v>NULL</v>
          </cell>
          <cell r="AV549" t="str">
            <v>NULL</v>
          </cell>
          <cell r="AW549" t="str">
            <v>NULL</v>
          </cell>
          <cell r="AX549" t="str">
            <v>NULL</v>
          </cell>
          <cell r="AY549" t="str">
            <v>NULL</v>
          </cell>
          <cell r="AZ549" t="str">
            <v>NULL</v>
          </cell>
          <cell r="BA549" t="str">
            <v>NULL</v>
          </cell>
          <cell r="BB549" t="str">
            <v>NULL</v>
          </cell>
        </row>
        <row r="550">
          <cell r="D550">
            <v>135557</v>
          </cell>
          <cell r="E550">
            <v>3596009</v>
          </cell>
          <cell r="F550" t="str">
            <v>Cambian Tyldesley School</v>
          </cell>
          <cell r="G550" t="str">
            <v>Other Independent Special School</v>
          </cell>
          <cell r="H550">
            <v>39561</v>
          </cell>
          <cell r="I550">
            <v>19</v>
          </cell>
          <cell r="J550" t="str">
            <v>North West</v>
          </cell>
          <cell r="K550" t="str">
            <v>North West</v>
          </cell>
          <cell r="L550" t="str">
            <v>Wigan</v>
          </cell>
          <cell r="M550" t="str">
            <v>Leigh</v>
          </cell>
          <cell r="N550" t="str">
            <v>M29 8BS</v>
          </cell>
          <cell r="O550" t="str">
            <v>Not applicable</v>
          </cell>
          <cell r="P550">
            <v>11</v>
          </cell>
          <cell r="Q550">
            <v>19</v>
          </cell>
          <cell r="R550" t="str">
            <v>None</v>
          </cell>
          <cell r="S550" t="str">
            <v>Ofsted</v>
          </cell>
          <cell r="T550">
            <v>2</v>
          </cell>
          <cell r="U550">
            <v>10039950</v>
          </cell>
          <cell r="V550" t="str">
            <v>Independent school Progress Monitoring inspection</v>
          </cell>
          <cell r="W550">
            <v>43012</v>
          </cell>
          <cell r="X550">
            <v>43012</v>
          </cell>
          <cell r="Y550">
            <v>43047</v>
          </cell>
          <cell r="Z550" t="str">
            <v>Met all standards that were checked</v>
          </cell>
          <cell r="AA550">
            <v>10020749</v>
          </cell>
          <cell r="AB550" t="str">
            <v>Independent School standard inspection</v>
          </cell>
          <cell r="AC550" t="str">
            <v>Independent Standard Inspection</v>
          </cell>
          <cell r="AD550">
            <v>42689</v>
          </cell>
          <cell r="AE550">
            <v>42691</v>
          </cell>
          <cell r="AF550">
            <v>42796</v>
          </cell>
          <cell r="AG550">
            <v>4</v>
          </cell>
          <cell r="AH550">
            <v>4</v>
          </cell>
          <cell r="AI550">
            <v>4</v>
          </cell>
          <cell r="AJ550">
            <v>4</v>
          </cell>
          <cell r="AK550">
            <v>4</v>
          </cell>
          <cell r="AL550" t="str">
            <v>NULL</v>
          </cell>
          <cell r="AM550">
            <v>4</v>
          </cell>
          <cell r="AN550" t="str">
            <v>Yes</v>
          </cell>
          <cell r="AO550" t="str">
            <v>ITS433582</v>
          </cell>
          <cell r="AP550" t="str">
            <v>Independent School standard inspection</v>
          </cell>
          <cell r="AQ550" t="str">
            <v>Independent Standard Inspection</v>
          </cell>
          <cell r="AR550">
            <v>41618</v>
          </cell>
          <cell r="AS550">
            <v>41620</v>
          </cell>
          <cell r="AT550">
            <v>41645</v>
          </cell>
          <cell r="AU550">
            <v>2</v>
          </cell>
          <cell r="AV550">
            <v>2</v>
          </cell>
          <cell r="AW550">
            <v>2</v>
          </cell>
          <cell r="AX550">
            <v>2</v>
          </cell>
          <cell r="AY550" t="str">
            <v>NULL</v>
          </cell>
          <cell r="AZ550" t="str">
            <v>NULL</v>
          </cell>
          <cell r="BA550" t="str">
            <v>NULL</v>
          </cell>
          <cell r="BB550" t="str">
            <v>NULL</v>
          </cell>
        </row>
        <row r="551">
          <cell r="D551">
            <v>133429</v>
          </cell>
          <cell r="E551">
            <v>8116012</v>
          </cell>
          <cell r="F551" t="str">
            <v>Cambian Beverley School</v>
          </cell>
          <cell r="G551" t="str">
            <v>Other Independent Special School</v>
          </cell>
          <cell r="H551">
            <v>37146</v>
          </cell>
          <cell r="I551">
            <v>16</v>
          </cell>
          <cell r="J551" t="str">
            <v>North East, Yorkshire and the Humber</v>
          </cell>
          <cell r="K551" t="str">
            <v>Yorkshire and the Humber</v>
          </cell>
          <cell r="L551" t="str">
            <v>East Riding of Yorkshire</v>
          </cell>
          <cell r="M551" t="str">
            <v>Beverley and Holderness</v>
          </cell>
          <cell r="N551" t="str">
            <v>HU17 0EW</v>
          </cell>
          <cell r="O551" t="str">
            <v>Not applicable</v>
          </cell>
          <cell r="P551">
            <v>9</v>
          </cell>
          <cell r="Q551">
            <v>18</v>
          </cell>
          <cell r="R551" t="str">
            <v>None</v>
          </cell>
          <cell r="S551" t="str">
            <v>Ofsted</v>
          </cell>
          <cell r="T551">
            <v>1</v>
          </cell>
          <cell r="U551">
            <v>10020481</v>
          </cell>
          <cell r="V551" t="str">
            <v>Independent school emergency inspection</v>
          </cell>
          <cell r="W551">
            <v>42558</v>
          </cell>
          <cell r="X551">
            <v>42558</v>
          </cell>
          <cell r="Y551" t="str">
            <v>NULL</v>
          </cell>
          <cell r="Z551" t="str">
            <v>No unmet standards</v>
          </cell>
          <cell r="AA551" t="str">
            <v>ITS463006</v>
          </cell>
          <cell r="AB551" t="str">
            <v>Independent School standard inspection</v>
          </cell>
          <cell r="AC551" t="str">
            <v>Independent Standard Inspection</v>
          </cell>
          <cell r="AD551">
            <v>42136</v>
          </cell>
          <cell r="AE551">
            <v>42138</v>
          </cell>
          <cell r="AF551">
            <v>42171</v>
          </cell>
          <cell r="AG551">
            <v>2</v>
          </cell>
          <cell r="AH551">
            <v>2</v>
          </cell>
          <cell r="AI551">
            <v>2</v>
          </cell>
          <cell r="AJ551">
            <v>2</v>
          </cell>
          <cell r="AK551" t="str">
            <v>NULL</v>
          </cell>
          <cell r="AL551">
            <v>9</v>
          </cell>
          <cell r="AM551">
            <v>9</v>
          </cell>
          <cell r="AN551" t="str">
            <v>NULL</v>
          </cell>
          <cell r="AO551" t="str">
            <v>ITS385166</v>
          </cell>
          <cell r="AP551" t="str">
            <v>Independent School standard inspection</v>
          </cell>
          <cell r="AQ551" t="str">
            <v>Independent Standard Inspection</v>
          </cell>
          <cell r="AR551">
            <v>40953</v>
          </cell>
          <cell r="AS551">
            <v>40954</v>
          </cell>
          <cell r="AT551">
            <v>40982</v>
          </cell>
          <cell r="AU551">
            <v>3</v>
          </cell>
          <cell r="AV551">
            <v>3</v>
          </cell>
          <cell r="AW551">
            <v>3</v>
          </cell>
          <cell r="AX551" t="str">
            <v>NULL</v>
          </cell>
          <cell r="AY551" t="str">
            <v>NULL</v>
          </cell>
          <cell r="AZ551">
            <v>8</v>
          </cell>
          <cell r="BA551" t="str">
            <v>NULL</v>
          </cell>
          <cell r="BB551" t="str">
            <v>NULL</v>
          </cell>
        </row>
        <row r="552">
          <cell r="D552">
            <v>135803</v>
          </cell>
          <cell r="E552">
            <v>8786213</v>
          </cell>
          <cell r="F552" t="str">
            <v>Cambian Devon School</v>
          </cell>
          <cell r="G552" t="str">
            <v>Other Independent Special School</v>
          </cell>
          <cell r="H552">
            <v>39868</v>
          </cell>
          <cell r="I552">
            <v>15</v>
          </cell>
          <cell r="J552" t="str">
            <v>South West</v>
          </cell>
          <cell r="K552" t="str">
            <v>South West</v>
          </cell>
          <cell r="L552" t="str">
            <v>Devon</v>
          </cell>
          <cell r="M552" t="str">
            <v>Totnes</v>
          </cell>
          <cell r="N552" t="str">
            <v>TQ4 7DQ</v>
          </cell>
          <cell r="O552" t="str">
            <v>Not applicable</v>
          </cell>
          <cell r="P552">
            <v>9</v>
          </cell>
          <cell r="Q552">
            <v>18</v>
          </cell>
          <cell r="R552" t="str">
            <v>None</v>
          </cell>
          <cell r="S552" t="str">
            <v>Ofsted</v>
          </cell>
          <cell r="T552" t="str">
            <v>NULL</v>
          </cell>
          <cell r="U552" t="str">
            <v>NULL</v>
          </cell>
          <cell r="V552" t="str">
            <v>NULL</v>
          </cell>
          <cell r="W552" t="str">
            <v>NULL</v>
          </cell>
          <cell r="X552" t="str">
            <v>NULL</v>
          </cell>
          <cell r="Y552" t="str">
            <v>NULL</v>
          </cell>
          <cell r="Z552" t="str">
            <v>NULL</v>
          </cell>
          <cell r="AA552">
            <v>10008891</v>
          </cell>
          <cell r="AB552" t="str">
            <v>Independent School standard inspection</v>
          </cell>
          <cell r="AC552" t="str">
            <v>Independent Standard Inspection</v>
          </cell>
          <cell r="AD552">
            <v>42500</v>
          </cell>
          <cell r="AE552">
            <v>42502</v>
          </cell>
          <cell r="AF552">
            <v>42543</v>
          </cell>
          <cell r="AG552">
            <v>3</v>
          </cell>
          <cell r="AH552">
            <v>3</v>
          </cell>
          <cell r="AI552">
            <v>3</v>
          </cell>
          <cell r="AJ552">
            <v>3</v>
          </cell>
          <cell r="AK552">
            <v>3</v>
          </cell>
          <cell r="AL552" t="str">
            <v>NULL</v>
          </cell>
          <cell r="AM552">
            <v>3</v>
          </cell>
          <cell r="AN552" t="str">
            <v>Yes</v>
          </cell>
          <cell r="AO552" t="str">
            <v>ITS420136</v>
          </cell>
          <cell r="AP552" t="str">
            <v>Independent School standard inspection</v>
          </cell>
          <cell r="AQ552" t="str">
            <v>Independent Standard Inspection</v>
          </cell>
          <cell r="AR552">
            <v>41311</v>
          </cell>
          <cell r="AS552">
            <v>41312</v>
          </cell>
          <cell r="AT552">
            <v>41333</v>
          </cell>
          <cell r="AU552">
            <v>3</v>
          </cell>
          <cell r="AV552">
            <v>3</v>
          </cell>
          <cell r="AW552">
            <v>3</v>
          </cell>
          <cell r="AX552">
            <v>3</v>
          </cell>
          <cell r="AY552" t="str">
            <v>NULL</v>
          </cell>
          <cell r="AZ552" t="str">
            <v>NULL</v>
          </cell>
          <cell r="BA552" t="str">
            <v>NULL</v>
          </cell>
          <cell r="BB552" t="str">
            <v>NULL</v>
          </cell>
        </row>
        <row r="553">
          <cell r="D553">
            <v>117048</v>
          </cell>
          <cell r="E553">
            <v>8846010</v>
          </cell>
          <cell r="F553" t="str">
            <v>Cambian Hereford School</v>
          </cell>
          <cell r="G553" t="str">
            <v>Other Independent Special School</v>
          </cell>
          <cell r="H553">
            <v>34824</v>
          </cell>
          <cell r="I553">
            <v>10</v>
          </cell>
          <cell r="J553" t="str">
            <v>West Midlands</v>
          </cell>
          <cell r="K553" t="str">
            <v>West Midlands</v>
          </cell>
          <cell r="L553" t="str">
            <v>Herefordshire</v>
          </cell>
          <cell r="M553" t="str">
            <v>North Herefordshire</v>
          </cell>
          <cell r="N553" t="str">
            <v>HR6 8LL</v>
          </cell>
          <cell r="O553" t="str">
            <v>Not applicable</v>
          </cell>
          <cell r="P553">
            <v>11</v>
          </cell>
          <cell r="Q553">
            <v>19</v>
          </cell>
          <cell r="R553" t="str">
            <v>None</v>
          </cell>
          <cell r="S553" t="str">
            <v>Ofsted</v>
          </cell>
          <cell r="T553" t="str">
            <v>NULL</v>
          </cell>
          <cell r="U553" t="str">
            <v>NULL</v>
          </cell>
          <cell r="V553" t="str">
            <v>NULL</v>
          </cell>
          <cell r="W553" t="str">
            <v>NULL</v>
          </cell>
          <cell r="X553" t="str">
            <v>NULL</v>
          </cell>
          <cell r="Y553" t="str">
            <v>NULL</v>
          </cell>
          <cell r="Z553" t="str">
            <v>NULL</v>
          </cell>
          <cell r="AA553">
            <v>10006074</v>
          </cell>
          <cell r="AB553" t="str">
            <v>Independent School standard inspection</v>
          </cell>
          <cell r="AC553" t="str">
            <v>Independent Standard Inspection</v>
          </cell>
          <cell r="AD553">
            <v>43144</v>
          </cell>
          <cell r="AE553">
            <v>43146</v>
          </cell>
          <cell r="AF553">
            <v>43186</v>
          </cell>
          <cell r="AG553">
            <v>1</v>
          </cell>
          <cell r="AH553">
            <v>1</v>
          </cell>
          <cell r="AI553">
            <v>1</v>
          </cell>
          <cell r="AJ553">
            <v>1</v>
          </cell>
          <cell r="AK553">
            <v>1</v>
          </cell>
          <cell r="AL553" t="str">
            <v>NULL</v>
          </cell>
          <cell r="AM553" t="str">
            <v>NULL</v>
          </cell>
          <cell r="AN553" t="str">
            <v>Yes</v>
          </cell>
          <cell r="AO553" t="str">
            <v>ITS408715</v>
          </cell>
          <cell r="AP553" t="str">
            <v>Independent School standard inspection</v>
          </cell>
          <cell r="AQ553" t="str">
            <v>Independent Standard Inspection</v>
          </cell>
          <cell r="AR553">
            <v>41235</v>
          </cell>
          <cell r="AS553">
            <v>41236</v>
          </cell>
          <cell r="AT553">
            <v>41255</v>
          </cell>
          <cell r="AU553">
            <v>2</v>
          </cell>
          <cell r="AV553">
            <v>2</v>
          </cell>
          <cell r="AW553">
            <v>2</v>
          </cell>
          <cell r="AX553" t="str">
            <v>NULL</v>
          </cell>
          <cell r="AY553" t="str">
            <v>NULL</v>
          </cell>
          <cell r="AZ553">
            <v>8</v>
          </cell>
          <cell r="BA553" t="str">
            <v>NULL</v>
          </cell>
          <cell r="BB553" t="str">
            <v>NULL</v>
          </cell>
        </row>
        <row r="554">
          <cell r="D554">
            <v>113026</v>
          </cell>
          <cell r="E554">
            <v>8306013</v>
          </cell>
          <cell r="F554" t="str">
            <v>Eastwood Grange School</v>
          </cell>
          <cell r="G554" t="str">
            <v>Other Independent Special School</v>
          </cell>
          <cell r="H554">
            <v>33217</v>
          </cell>
          <cell r="I554">
            <v>32</v>
          </cell>
          <cell r="J554" t="str">
            <v>East Midlands</v>
          </cell>
          <cell r="K554" t="str">
            <v>East Midlands</v>
          </cell>
          <cell r="L554" t="str">
            <v>Derbyshire</v>
          </cell>
          <cell r="M554" t="str">
            <v>North East Derbyshire</v>
          </cell>
          <cell r="N554" t="str">
            <v>S45 0BA</v>
          </cell>
          <cell r="O554" t="str">
            <v>Not applicable</v>
          </cell>
          <cell r="P554">
            <v>9</v>
          </cell>
          <cell r="Q554">
            <v>18</v>
          </cell>
          <cell r="R554" t="str">
            <v>None</v>
          </cell>
          <cell r="S554" t="str">
            <v>Ofsted</v>
          </cell>
          <cell r="T554" t="str">
            <v>NULL</v>
          </cell>
          <cell r="U554" t="str">
            <v>NULL</v>
          </cell>
          <cell r="V554" t="str">
            <v>NULL</v>
          </cell>
          <cell r="W554" t="str">
            <v>NULL</v>
          </cell>
          <cell r="X554" t="str">
            <v>NULL</v>
          </cell>
          <cell r="Y554" t="str">
            <v>NULL</v>
          </cell>
          <cell r="Z554" t="str">
            <v>NULL</v>
          </cell>
          <cell r="AA554">
            <v>10006083</v>
          </cell>
          <cell r="AB554" t="str">
            <v>Independent School standard inspection</v>
          </cell>
          <cell r="AC554" t="str">
            <v>Independent Standard Inspection</v>
          </cell>
          <cell r="AD554">
            <v>42346</v>
          </cell>
          <cell r="AE554">
            <v>42348</v>
          </cell>
          <cell r="AF554">
            <v>42375</v>
          </cell>
          <cell r="AG554">
            <v>2</v>
          </cell>
          <cell r="AH554">
            <v>2</v>
          </cell>
          <cell r="AI554">
            <v>2</v>
          </cell>
          <cell r="AJ554">
            <v>2</v>
          </cell>
          <cell r="AK554">
            <v>2</v>
          </cell>
          <cell r="AL554" t="str">
            <v>NULL</v>
          </cell>
          <cell r="AM554">
            <v>2</v>
          </cell>
          <cell r="AN554" t="str">
            <v>Yes</v>
          </cell>
          <cell r="AO554" t="str">
            <v>ITS397637</v>
          </cell>
          <cell r="AP554" t="str">
            <v xml:space="preserve">Independent School standard inspection - integrated </v>
          </cell>
          <cell r="AQ554" t="str">
            <v>Independent Standard Inspection</v>
          </cell>
          <cell r="AR554">
            <v>41226</v>
          </cell>
          <cell r="AS554">
            <v>41227</v>
          </cell>
          <cell r="AT554">
            <v>41307</v>
          </cell>
          <cell r="AU554">
            <v>4</v>
          </cell>
          <cell r="AV554">
            <v>4</v>
          </cell>
          <cell r="AW554">
            <v>4</v>
          </cell>
          <cell r="AX554" t="str">
            <v>NULL</v>
          </cell>
          <cell r="AY554" t="str">
            <v>NULL</v>
          </cell>
          <cell r="AZ554">
            <v>8</v>
          </cell>
          <cell r="BA554" t="str">
            <v>NULL</v>
          </cell>
          <cell r="BB554" t="str">
            <v>NULL</v>
          </cell>
        </row>
        <row r="555">
          <cell r="D555">
            <v>132112</v>
          </cell>
          <cell r="E555">
            <v>9096050</v>
          </cell>
          <cell r="F555" t="str">
            <v>Eden Park Academy</v>
          </cell>
          <cell r="G555" t="str">
            <v>Other Independent Special School</v>
          </cell>
          <cell r="H555">
            <v>36616</v>
          </cell>
          <cell r="I555">
            <v>4</v>
          </cell>
          <cell r="J555" t="str">
            <v>North West</v>
          </cell>
          <cell r="K555" t="str">
            <v>North West</v>
          </cell>
          <cell r="L555" t="str">
            <v>Cumbria</v>
          </cell>
          <cell r="M555" t="str">
            <v>Carlisle</v>
          </cell>
          <cell r="N555" t="str">
            <v>CA1 1JZ</v>
          </cell>
          <cell r="O555" t="str">
            <v>Not applicable</v>
          </cell>
          <cell r="P555">
            <v>11</v>
          </cell>
          <cell r="Q555">
            <v>16</v>
          </cell>
          <cell r="R555" t="str">
            <v>None</v>
          </cell>
          <cell r="S555" t="str">
            <v>Ofsted</v>
          </cell>
          <cell r="T555" t="str">
            <v>NULL</v>
          </cell>
          <cell r="U555" t="str">
            <v>NULL</v>
          </cell>
          <cell r="V555" t="str">
            <v>NULL</v>
          </cell>
          <cell r="W555" t="str">
            <v>NULL</v>
          </cell>
          <cell r="X555" t="str">
            <v>NULL</v>
          </cell>
          <cell r="Y555" t="str">
            <v>NULL</v>
          </cell>
          <cell r="Z555" t="str">
            <v>NULL</v>
          </cell>
          <cell r="AA555">
            <v>10020789</v>
          </cell>
          <cell r="AB555" t="str">
            <v>Independent School standard inspection</v>
          </cell>
          <cell r="AC555" t="str">
            <v>Independent Standard Inspection</v>
          </cell>
          <cell r="AD555">
            <v>42717</v>
          </cell>
          <cell r="AE555">
            <v>42718</v>
          </cell>
          <cell r="AF555">
            <v>42753</v>
          </cell>
          <cell r="AG555">
            <v>2</v>
          </cell>
          <cell r="AH555">
            <v>2</v>
          </cell>
          <cell r="AI555">
            <v>2</v>
          </cell>
          <cell r="AJ555">
            <v>2</v>
          </cell>
          <cell r="AK555">
            <v>2</v>
          </cell>
          <cell r="AL555" t="str">
            <v>NULL</v>
          </cell>
          <cell r="AM555" t="str">
            <v>NULL</v>
          </cell>
          <cell r="AN555" t="str">
            <v>Yes</v>
          </cell>
          <cell r="AO555" t="str">
            <v>ITS420186</v>
          </cell>
          <cell r="AP555" t="str">
            <v>Independent School standard inspection</v>
          </cell>
          <cell r="AQ555" t="str">
            <v>Independent Standard Inspection</v>
          </cell>
          <cell r="AR555">
            <v>41528</v>
          </cell>
          <cell r="AS555">
            <v>41530</v>
          </cell>
          <cell r="AT555">
            <v>41551</v>
          </cell>
          <cell r="AU555">
            <v>2</v>
          </cell>
          <cell r="AV555">
            <v>2</v>
          </cell>
          <cell r="AW555">
            <v>2</v>
          </cell>
          <cell r="AX555">
            <v>2</v>
          </cell>
          <cell r="AY555" t="str">
            <v>NULL</v>
          </cell>
          <cell r="AZ555" t="str">
            <v>NULL</v>
          </cell>
          <cell r="BA555" t="str">
            <v>NULL</v>
          </cell>
          <cell r="BB555" t="str">
            <v>NULL</v>
          </cell>
        </row>
        <row r="556">
          <cell r="D556">
            <v>139733</v>
          </cell>
          <cell r="E556">
            <v>3836000</v>
          </cell>
          <cell r="F556" t="str">
            <v>Eden Park Academy</v>
          </cell>
          <cell r="G556" t="str">
            <v>Other Independent Special School</v>
          </cell>
          <cell r="H556">
            <v>41424</v>
          </cell>
          <cell r="I556">
            <v>7</v>
          </cell>
          <cell r="J556" t="str">
            <v>North East, Yorkshire and the Humber</v>
          </cell>
          <cell r="K556" t="str">
            <v>Yorkshire and the Humber</v>
          </cell>
          <cell r="L556" t="str">
            <v>Leeds</v>
          </cell>
          <cell r="M556" t="str">
            <v>Leeds Central</v>
          </cell>
          <cell r="N556" t="str">
            <v>LS11 7EN</v>
          </cell>
          <cell r="O556" t="str">
            <v>Not applicable</v>
          </cell>
          <cell r="P556">
            <v>11</v>
          </cell>
          <cell r="Q556">
            <v>16</v>
          </cell>
          <cell r="R556" t="str">
            <v>None</v>
          </cell>
          <cell r="S556" t="str">
            <v>Ofsted</v>
          </cell>
          <cell r="T556" t="str">
            <v>NULL</v>
          </cell>
          <cell r="U556" t="str">
            <v>NULL</v>
          </cell>
          <cell r="V556" t="str">
            <v>NULL</v>
          </cell>
          <cell r="W556" t="str">
            <v>NULL</v>
          </cell>
          <cell r="X556" t="str">
            <v>NULL</v>
          </cell>
          <cell r="Y556" t="str">
            <v>NULL</v>
          </cell>
          <cell r="Z556" t="str">
            <v>NULL</v>
          </cell>
          <cell r="AA556">
            <v>10033921</v>
          </cell>
          <cell r="AB556" t="str">
            <v>Independent School standard inspection</v>
          </cell>
          <cell r="AC556" t="str">
            <v>Independent Standard Inspection</v>
          </cell>
          <cell r="AD556">
            <v>42927</v>
          </cell>
          <cell r="AE556">
            <v>42929</v>
          </cell>
          <cell r="AF556">
            <v>42998</v>
          </cell>
          <cell r="AG556">
            <v>3</v>
          </cell>
          <cell r="AH556">
            <v>3</v>
          </cell>
          <cell r="AI556">
            <v>3</v>
          </cell>
          <cell r="AJ556">
            <v>3</v>
          </cell>
          <cell r="AK556">
            <v>2</v>
          </cell>
          <cell r="AL556" t="str">
            <v>NULL</v>
          </cell>
          <cell r="AM556" t="str">
            <v>NULL</v>
          </cell>
          <cell r="AN556" t="str">
            <v>Yes</v>
          </cell>
          <cell r="AO556" t="str">
            <v>ITS443005</v>
          </cell>
          <cell r="AP556" t="str">
            <v>Independent school standard inspection - first</v>
          </cell>
          <cell r="AQ556" t="str">
            <v>Independent Standard Inspection</v>
          </cell>
          <cell r="AR556">
            <v>41801</v>
          </cell>
          <cell r="AS556">
            <v>41803</v>
          </cell>
          <cell r="AT556">
            <v>41823</v>
          </cell>
          <cell r="AU556">
            <v>2</v>
          </cell>
          <cell r="AV556">
            <v>2</v>
          </cell>
          <cell r="AW556">
            <v>2</v>
          </cell>
          <cell r="AX556">
            <v>2</v>
          </cell>
          <cell r="AY556" t="str">
            <v>NULL</v>
          </cell>
          <cell r="AZ556" t="str">
            <v>NULL</v>
          </cell>
          <cell r="BA556" t="str">
            <v>NULL</v>
          </cell>
          <cell r="BB556" t="str">
            <v>NULL</v>
          </cell>
        </row>
        <row r="557">
          <cell r="D557">
            <v>135754</v>
          </cell>
          <cell r="E557">
            <v>9286070</v>
          </cell>
          <cell r="F557" t="str">
            <v>Progress Schools - Northamptonshire</v>
          </cell>
          <cell r="G557" t="str">
            <v>Other Independent Special School</v>
          </cell>
          <cell r="H557">
            <v>39773</v>
          </cell>
          <cell r="I557">
            <v>35</v>
          </cell>
          <cell r="J557" t="str">
            <v>East Midlands</v>
          </cell>
          <cell r="K557" t="str">
            <v>East Midlands</v>
          </cell>
          <cell r="L557" t="str">
            <v>Northamptonshire</v>
          </cell>
          <cell r="M557" t="str">
            <v>Northampton South</v>
          </cell>
          <cell r="N557" t="str">
            <v>NN1 2BG</v>
          </cell>
          <cell r="O557" t="str">
            <v>Not applicable</v>
          </cell>
          <cell r="P557">
            <v>13</v>
          </cell>
          <cell r="Q557">
            <v>16</v>
          </cell>
          <cell r="R557" t="str">
            <v>None</v>
          </cell>
          <cell r="S557" t="str">
            <v>Ofsted</v>
          </cell>
          <cell r="T557" t="str">
            <v>NULL</v>
          </cell>
          <cell r="U557" t="str">
            <v>NULL</v>
          </cell>
          <cell r="V557" t="str">
            <v>NULL</v>
          </cell>
          <cell r="W557" t="str">
            <v>NULL</v>
          </cell>
          <cell r="X557" t="str">
            <v>NULL</v>
          </cell>
          <cell r="Y557" t="str">
            <v>NULL</v>
          </cell>
          <cell r="Z557" t="str">
            <v>NULL</v>
          </cell>
          <cell r="AA557">
            <v>10012953</v>
          </cell>
          <cell r="AB557" t="str">
            <v>Independent School standard inspection</v>
          </cell>
          <cell r="AC557" t="str">
            <v>Independent Standard Inspection</v>
          </cell>
          <cell r="AD557">
            <v>42878</v>
          </cell>
          <cell r="AE557">
            <v>42880</v>
          </cell>
          <cell r="AF557">
            <v>42900</v>
          </cell>
          <cell r="AG557">
            <v>2</v>
          </cell>
          <cell r="AH557">
            <v>2</v>
          </cell>
          <cell r="AI557">
            <v>2</v>
          </cell>
          <cell r="AJ557">
            <v>2</v>
          </cell>
          <cell r="AK557">
            <v>2</v>
          </cell>
          <cell r="AL557" t="str">
            <v>NULL</v>
          </cell>
          <cell r="AM557" t="str">
            <v>NULL</v>
          </cell>
          <cell r="AN557" t="str">
            <v>Yes</v>
          </cell>
          <cell r="AO557" t="str">
            <v>ITS408745</v>
          </cell>
          <cell r="AP557" t="str">
            <v>Independent School standard inspection</v>
          </cell>
          <cell r="AQ557" t="str">
            <v>Independent Standard Inspection</v>
          </cell>
          <cell r="AR557">
            <v>41393</v>
          </cell>
          <cell r="AS557">
            <v>41394</v>
          </cell>
          <cell r="AT557">
            <v>41416</v>
          </cell>
          <cell r="AU557">
            <v>2</v>
          </cell>
          <cell r="AV557">
            <v>2</v>
          </cell>
          <cell r="AW557">
            <v>2</v>
          </cell>
          <cell r="AX557">
            <v>2</v>
          </cell>
          <cell r="AY557" t="str">
            <v>NULL</v>
          </cell>
          <cell r="AZ557" t="str">
            <v>NULL</v>
          </cell>
          <cell r="BA557" t="str">
            <v>NULL</v>
          </cell>
          <cell r="BB557" t="str">
            <v>NULL</v>
          </cell>
        </row>
        <row r="558">
          <cell r="D558">
            <v>108886</v>
          </cell>
          <cell r="E558">
            <v>8736051</v>
          </cell>
          <cell r="F558" t="str">
            <v>Holme Court School</v>
          </cell>
          <cell r="G558" t="str">
            <v>Other Independent Special School</v>
          </cell>
          <cell r="H558">
            <v>38353</v>
          </cell>
          <cell r="I558">
            <v>14</v>
          </cell>
          <cell r="J558" t="str">
            <v>East of England</v>
          </cell>
          <cell r="K558" t="str">
            <v>East of England</v>
          </cell>
          <cell r="L558" t="str">
            <v>Cambridgeshire</v>
          </cell>
          <cell r="M558" t="str">
            <v>South Cambridgeshire</v>
          </cell>
          <cell r="N558" t="str">
            <v>CB21 6BQ</v>
          </cell>
          <cell r="O558" t="str">
            <v>Not applicable</v>
          </cell>
          <cell r="P558">
            <v>7</v>
          </cell>
          <cell r="Q558">
            <v>16</v>
          </cell>
          <cell r="R558" t="str">
            <v>None</v>
          </cell>
          <cell r="S558" t="str">
            <v>Ofsted</v>
          </cell>
          <cell r="T558" t="str">
            <v>NULL</v>
          </cell>
          <cell r="U558" t="str">
            <v>NULL</v>
          </cell>
          <cell r="V558" t="str">
            <v>NULL</v>
          </cell>
          <cell r="W558" t="str">
            <v>NULL</v>
          </cell>
          <cell r="X558" t="str">
            <v>NULL</v>
          </cell>
          <cell r="Y558" t="str">
            <v>NULL</v>
          </cell>
          <cell r="Z558" t="str">
            <v>NULL</v>
          </cell>
          <cell r="AA558">
            <v>10043517</v>
          </cell>
          <cell r="AB558" t="str">
            <v>Independent School standard inspection</v>
          </cell>
          <cell r="AC558" t="str">
            <v>Independent Standard Inspection</v>
          </cell>
          <cell r="AD558">
            <v>43060</v>
          </cell>
          <cell r="AE558">
            <v>43062</v>
          </cell>
          <cell r="AF558">
            <v>43117</v>
          </cell>
          <cell r="AG558">
            <v>1</v>
          </cell>
          <cell r="AH558">
            <v>1</v>
          </cell>
          <cell r="AI558">
            <v>1</v>
          </cell>
          <cell r="AJ558">
            <v>1</v>
          </cell>
          <cell r="AK558">
            <v>1</v>
          </cell>
          <cell r="AL558" t="str">
            <v>NULL</v>
          </cell>
          <cell r="AM558" t="str">
            <v>NULL</v>
          </cell>
          <cell r="AN558" t="str">
            <v>Yes</v>
          </cell>
          <cell r="AO558" t="str">
            <v>ITS455956</v>
          </cell>
          <cell r="AP558" t="str">
            <v>Independent School standard inspection</v>
          </cell>
          <cell r="AQ558" t="str">
            <v>Independent Standard Inspection</v>
          </cell>
          <cell r="AR558">
            <v>42073</v>
          </cell>
          <cell r="AS558">
            <v>42075</v>
          </cell>
          <cell r="AT558">
            <v>42188</v>
          </cell>
          <cell r="AU558">
            <v>2</v>
          </cell>
          <cell r="AV558">
            <v>2</v>
          </cell>
          <cell r="AW558">
            <v>2</v>
          </cell>
          <cell r="AX558">
            <v>2</v>
          </cell>
          <cell r="AY558" t="str">
            <v>NULL</v>
          </cell>
          <cell r="AZ558">
            <v>9</v>
          </cell>
          <cell r="BA558">
            <v>9</v>
          </cell>
          <cell r="BB558" t="str">
            <v>NULL</v>
          </cell>
        </row>
        <row r="559">
          <cell r="D559">
            <v>140619</v>
          </cell>
          <cell r="E559">
            <v>8066003</v>
          </cell>
          <cell r="F559" t="str">
            <v>Holme Farm School</v>
          </cell>
          <cell r="G559" t="str">
            <v>Other Independent Special School</v>
          </cell>
          <cell r="H559">
            <v>41694</v>
          </cell>
          <cell r="I559">
            <v>0</v>
          </cell>
          <cell r="J559" t="str">
            <v>North East, Yorkshire and the Humber</v>
          </cell>
          <cell r="K559" t="str">
            <v>North East</v>
          </cell>
          <cell r="L559" t="str">
            <v>Middlesbrough</v>
          </cell>
          <cell r="M559" t="str">
            <v>Middlesbrough South and East Cleveland</v>
          </cell>
          <cell r="N559" t="str">
            <v>TS8 9DF</v>
          </cell>
          <cell r="O559" t="str">
            <v>Not applicable</v>
          </cell>
          <cell r="P559">
            <v>11</v>
          </cell>
          <cell r="Q559">
            <v>18</v>
          </cell>
          <cell r="R559" t="str">
            <v>None</v>
          </cell>
          <cell r="S559" t="str">
            <v>Ofsted</v>
          </cell>
          <cell r="T559" t="str">
            <v>NULL</v>
          </cell>
          <cell r="U559" t="str">
            <v>NULL</v>
          </cell>
          <cell r="V559" t="str">
            <v>NULL</v>
          </cell>
          <cell r="W559" t="str">
            <v>NULL</v>
          </cell>
          <cell r="X559" t="str">
            <v>NULL</v>
          </cell>
          <cell r="Y559" t="str">
            <v>NULL</v>
          </cell>
          <cell r="Z559" t="str">
            <v>NULL</v>
          </cell>
          <cell r="AA559">
            <v>10025963</v>
          </cell>
          <cell r="AB559" t="str">
            <v>Independent School standard inspection</v>
          </cell>
          <cell r="AC559" t="str">
            <v>Independent Standard Inspection</v>
          </cell>
          <cell r="AD559">
            <v>43046</v>
          </cell>
          <cell r="AE559">
            <v>43047</v>
          </cell>
          <cell r="AF559">
            <v>43076</v>
          </cell>
          <cell r="AG559">
            <v>0</v>
          </cell>
          <cell r="AH559">
            <v>0</v>
          </cell>
          <cell r="AI559">
            <v>0</v>
          </cell>
          <cell r="AJ559">
            <v>0</v>
          </cell>
          <cell r="AK559">
            <v>0</v>
          </cell>
          <cell r="AL559" t="str">
            <v>NULL</v>
          </cell>
          <cell r="AM559" t="str">
            <v>NULL</v>
          </cell>
          <cell r="AN559" t="str">
            <v>Yes</v>
          </cell>
          <cell r="AO559" t="str">
            <v>ITS454304</v>
          </cell>
          <cell r="AP559" t="str">
            <v>Independent school standard inspection - first</v>
          </cell>
          <cell r="AQ559" t="str">
            <v>Independent Standard Inspection</v>
          </cell>
          <cell r="AR559">
            <v>42087</v>
          </cell>
          <cell r="AS559">
            <v>42088</v>
          </cell>
          <cell r="AT559">
            <v>42122</v>
          </cell>
          <cell r="AU559">
            <v>4</v>
          </cell>
          <cell r="AV559">
            <v>4</v>
          </cell>
          <cell r="AW559">
            <v>4</v>
          </cell>
          <cell r="AX559">
            <v>4</v>
          </cell>
          <cell r="AY559" t="str">
            <v>NULL</v>
          </cell>
          <cell r="AZ559">
            <v>9</v>
          </cell>
          <cell r="BA559">
            <v>9</v>
          </cell>
          <cell r="BB559" t="str">
            <v>NULL</v>
          </cell>
        </row>
        <row r="560">
          <cell r="D560">
            <v>138597</v>
          </cell>
          <cell r="E560">
            <v>8766014</v>
          </cell>
          <cell r="F560" t="str">
            <v>Hope Corner School</v>
          </cell>
          <cell r="G560" t="str">
            <v>Other Independent Special School</v>
          </cell>
          <cell r="H560">
            <v>41142</v>
          </cell>
          <cell r="I560">
            <v>6</v>
          </cell>
          <cell r="J560" t="str">
            <v>North West</v>
          </cell>
          <cell r="K560" t="str">
            <v>North West</v>
          </cell>
          <cell r="L560" t="str">
            <v>Halton</v>
          </cell>
          <cell r="M560" t="str">
            <v>Halton</v>
          </cell>
          <cell r="N560" t="str">
            <v>WA7 4TD</v>
          </cell>
          <cell r="O560" t="str">
            <v>Not applicable</v>
          </cell>
          <cell r="P560">
            <v>14</v>
          </cell>
          <cell r="Q560">
            <v>16</v>
          </cell>
          <cell r="R560" t="str">
            <v>None</v>
          </cell>
          <cell r="S560" t="str">
            <v>Ofsted</v>
          </cell>
          <cell r="T560" t="str">
            <v>NULL</v>
          </cell>
          <cell r="U560" t="str">
            <v>NULL</v>
          </cell>
          <cell r="V560" t="str">
            <v>NULL</v>
          </cell>
          <cell r="W560" t="str">
            <v>NULL</v>
          </cell>
          <cell r="X560" t="str">
            <v>NULL</v>
          </cell>
          <cell r="Y560" t="str">
            <v>NULL</v>
          </cell>
          <cell r="Z560" t="str">
            <v>NULL</v>
          </cell>
          <cell r="AA560">
            <v>10012923</v>
          </cell>
          <cell r="AB560" t="str">
            <v>Independent School standard inspection</v>
          </cell>
          <cell r="AC560" t="str">
            <v>Independent Standard Inspection</v>
          </cell>
          <cell r="AD560">
            <v>43129</v>
          </cell>
          <cell r="AE560">
            <v>43131</v>
          </cell>
          <cell r="AF560">
            <v>43158</v>
          </cell>
          <cell r="AG560">
            <v>2</v>
          </cell>
          <cell r="AH560">
            <v>2</v>
          </cell>
          <cell r="AI560">
            <v>2</v>
          </cell>
          <cell r="AJ560">
            <v>2</v>
          </cell>
          <cell r="AK560">
            <v>2</v>
          </cell>
          <cell r="AL560" t="str">
            <v>NULL</v>
          </cell>
          <cell r="AM560" t="str">
            <v>NULL</v>
          </cell>
          <cell r="AN560" t="str">
            <v>Yes</v>
          </cell>
          <cell r="AO560" t="str">
            <v>ITS420263</v>
          </cell>
          <cell r="AP560" t="str">
            <v>Independent school standard inspection - first</v>
          </cell>
          <cell r="AQ560" t="str">
            <v>Independent Standard Inspection</v>
          </cell>
          <cell r="AR560">
            <v>41464</v>
          </cell>
          <cell r="AS560">
            <v>41465</v>
          </cell>
          <cell r="AT560">
            <v>41486</v>
          </cell>
          <cell r="AU560">
            <v>1</v>
          </cell>
          <cell r="AV560">
            <v>1</v>
          </cell>
          <cell r="AW560">
            <v>1</v>
          </cell>
          <cell r="AX560">
            <v>1</v>
          </cell>
          <cell r="AY560" t="str">
            <v>NULL</v>
          </cell>
          <cell r="AZ560" t="str">
            <v>NULL</v>
          </cell>
          <cell r="BA560" t="str">
            <v>NULL</v>
          </cell>
          <cell r="BB560" t="str">
            <v>NULL</v>
          </cell>
        </row>
        <row r="561">
          <cell r="D561">
            <v>135393</v>
          </cell>
          <cell r="E561">
            <v>8916032</v>
          </cell>
          <cell r="F561" t="str">
            <v>Hope House School</v>
          </cell>
          <cell r="G561" t="str">
            <v>Other Independent Special School</v>
          </cell>
          <cell r="H561">
            <v>39324</v>
          </cell>
          <cell r="I561">
            <v>24</v>
          </cell>
          <cell r="J561" t="str">
            <v>East Midlands</v>
          </cell>
          <cell r="K561" t="str">
            <v>East Midlands</v>
          </cell>
          <cell r="L561" t="str">
            <v>Nottinghamshire</v>
          </cell>
          <cell r="M561" t="str">
            <v>Newark</v>
          </cell>
          <cell r="N561" t="str">
            <v>NG24 3NE</v>
          </cell>
          <cell r="O561" t="str">
            <v>Not applicable</v>
          </cell>
          <cell r="P561">
            <v>5</v>
          </cell>
          <cell r="Q561">
            <v>19</v>
          </cell>
          <cell r="R561" t="str">
            <v>None</v>
          </cell>
          <cell r="S561" t="str">
            <v>Ofsted</v>
          </cell>
          <cell r="T561" t="str">
            <v>NULL</v>
          </cell>
          <cell r="U561" t="str">
            <v>NULL</v>
          </cell>
          <cell r="V561" t="str">
            <v>NULL</v>
          </cell>
          <cell r="W561" t="str">
            <v>NULL</v>
          </cell>
          <cell r="X561" t="str">
            <v>NULL</v>
          </cell>
          <cell r="Y561" t="str">
            <v>NULL</v>
          </cell>
          <cell r="Z561" t="str">
            <v>NULL</v>
          </cell>
          <cell r="AA561">
            <v>10026051</v>
          </cell>
          <cell r="AB561" t="str">
            <v>Independent School standard inspection</v>
          </cell>
          <cell r="AC561" t="str">
            <v>Independent Standard Inspection</v>
          </cell>
          <cell r="AD561">
            <v>42850</v>
          </cell>
          <cell r="AE561">
            <v>42852</v>
          </cell>
          <cell r="AF561">
            <v>42872</v>
          </cell>
          <cell r="AG561">
            <v>2</v>
          </cell>
          <cell r="AH561">
            <v>2</v>
          </cell>
          <cell r="AI561">
            <v>2</v>
          </cell>
          <cell r="AJ561">
            <v>2</v>
          </cell>
          <cell r="AK561">
            <v>1</v>
          </cell>
          <cell r="AL561" t="str">
            <v>NULL</v>
          </cell>
          <cell r="AM561">
            <v>2</v>
          </cell>
          <cell r="AN561" t="str">
            <v>Yes</v>
          </cell>
          <cell r="AO561" t="str">
            <v>ITS440222</v>
          </cell>
          <cell r="AP561" t="str">
            <v>Independent School standard inspection</v>
          </cell>
          <cell r="AQ561" t="str">
            <v>Independent Standard Inspection</v>
          </cell>
          <cell r="AR561">
            <v>41681</v>
          </cell>
          <cell r="AS561">
            <v>41683</v>
          </cell>
          <cell r="AT561">
            <v>41704</v>
          </cell>
          <cell r="AU561">
            <v>2</v>
          </cell>
          <cell r="AV561">
            <v>2</v>
          </cell>
          <cell r="AW561">
            <v>2</v>
          </cell>
          <cell r="AX561">
            <v>2</v>
          </cell>
          <cell r="AY561" t="str">
            <v>NULL</v>
          </cell>
          <cell r="AZ561" t="str">
            <v>NULL</v>
          </cell>
          <cell r="BA561" t="str">
            <v>NULL</v>
          </cell>
          <cell r="BB561" t="str">
            <v>NULL</v>
          </cell>
        </row>
        <row r="562">
          <cell r="D562">
            <v>119013</v>
          </cell>
          <cell r="E562">
            <v>8866063</v>
          </cell>
          <cell r="F562" t="str">
            <v>Learning Opportunities Centre Secondary</v>
          </cell>
          <cell r="G562" t="str">
            <v>Other Independent Special School</v>
          </cell>
          <cell r="H562">
            <v>34072</v>
          </cell>
          <cell r="I562">
            <v>21</v>
          </cell>
          <cell r="J562" t="str">
            <v>South East</v>
          </cell>
          <cell r="K562" t="str">
            <v>South East</v>
          </cell>
          <cell r="L562" t="str">
            <v>Kent</v>
          </cell>
          <cell r="M562" t="str">
            <v>Dover</v>
          </cell>
          <cell r="N562" t="str">
            <v>CT14 8DW</v>
          </cell>
          <cell r="O562" t="str">
            <v>Not applicable</v>
          </cell>
          <cell r="P562">
            <v>10</v>
          </cell>
          <cell r="Q562">
            <v>19</v>
          </cell>
          <cell r="R562" t="str">
            <v>None</v>
          </cell>
          <cell r="S562" t="str">
            <v>Ofsted</v>
          </cell>
          <cell r="T562">
            <v>1</v>
          </cell>
          <cell r="U562">
            <v>10008103</v>
          </cell>
          <cell r="V562" t="str">
            <v>Independent school Material Change inspection</v>
          </cell>
          <cell r="W562">
            <v>42298</v>
          </cell>
          <cell r="X562">
            <v>42298</v>
          </cell>
          <cell r="Y562" t="str">
            <v>NULL</v>
          </cell>
          <cell r="Z562" t="str">
            <v>Likely to meet relevant standards</v>
          </cell>
          <cell r="AA562" t="str">
            <v>ITS393337</v>
          </cell>
          <cell r="AB562" t="str">
            <v>Independent School standard inspection</v>
          </cell>
          <cell r="AC562" t="str">
            <v>Independent Standard Inspection</v>
          </cell>
          <cell r="AD562">
            <v>41044</v>
          </cell>
          <cell r="AE562">
            <v>41045</v>
          </cell>
          <cell r="AF562">
            <v>41066</v>
          </cell>
          <cell r="AG562">
            <v>2</v>
          </cell>
          <cell r="AH562">
            <v>2</v>
          </cell>
          <cell r="AI562">
            <v>2</v>
          </cell>
          <cell r="AJ562" t="str">
            <v>NULL</v>
          </cell>
          <cell r="AK562" t="str">
            <v>NULL</v>
          </cell>
          <cell r="AL562">
            <v>8</v>
          </cell>
          <cell r="AM562" t="str">
            <v>NULL</v>
          </cell>
          <cell r="AN562" t="str">
            <v>NULL</v>
          </cell>
          <cell r="AO562" t="str">
            <v>ITS330403</v>
          </cell>
          <cell r="AP562" t="str">
            <v>S162a - LTI Inspection Historic</v>
          </cell>
          <cell r="AQ562" t="str">
            <v>Independent Standard Inspection</v>
          </cell>
          <cell r="AR562">
            <v>39883</v>
          </cell>
          <cell r="AS562">
            <v>39883</v>
          </cell>
          <cell r="AT562">
            <v>39904</v>
          </cell>
          <cell r="AU562">
            <v>2</v>
          </cell>
          <cell r="AV562">
            <v>2</v>
          </cell>
          <cell r="AW562">
            <v>2</v>
          </cell>
          <cell r="AX562" t="str">
            <v>NULL</v>
          </cell>
          <cell r="AY562" t="str">
            <v>NULL</v>
          </cell>
          <cell r="AZ562">
            <v>0</v>
          </cell>
          <cell r="BA562" t="str">
            <v>NULL</v>
          </cell>
          <cell r="BB562" t="str">
            <v>NULL</v>
          </cell>
        </row>
        <row r="563">
          <cell r="D563">
            <v>137808</v>
          </cell>
          <cell r="E563">
            <v>2046003</v>
          </cell>
          <cell r="F563" t="str">
            <v>Leaways School</v>
          </cell>
          <cell r="G563" t="str">
            <v>Other Independent Special School</v>
          </cell>
          <cell r="H563">
            <v>40898</v>
          </cell>
          <cell r="I563">
            <v>61</v>
          </cell>
          <cell r="J563" t="str">
            <v>London</v>
          </cell>
          <cell r="K563" t="str">
            <v>London</v>
          </cell>
          <cell r="L563" t="str">
            <v>Hackney</v>
          </cell>
          <cell r="M563" t="str">
            <v>Hackney North and Stoke Newington</v>
          </cell>
          <cell r="N563" t="str">
            <v>E5 9NZ</v>
          </cell>
          <cell r="O563" t="str">
            <v>Not applicable</v>
          </cell>
          <cell r="P563">
            <v>7</v>
          </cell>
          <cell r="Q563">
            <v>18</v>
          </cell>
          <cell r="R563" t="str">
            <v>None</v>
          </cell>
          <cell r="S563" t="str">
            <v>Ofsted</v>
          </cell>
          <cell r="T563">
            <v>1</v>
          </cell>
          <cell r="U563">
            <v>10021218</v>
          </cell>
          <cell r="V563" t="str">
            <v>Independent school Material Change inspection</v>
          </cell>
          <cell r="W563">
            <v>42564</v>
          </cell>
          <cell r="X563">
            <v>42564</v>
          </cell>
          <cell r="Y563" t="str">
            <v>NULL</v>
          </cell>
          <cell r="Z563" t="str">
            <v>Likely to meet relevant standards</v>
          </cell>
          <cell r="AA563">
            <v>10006055</v>
          </cell>
          <cell r="AB563" t="str">
            <v>Independent School standard inspection</v>
          </cell>
          <cell r="AC563" t="str">
            <v>Independent Standard Inspection</v>
          </cell>
          <cell r="AD563">
            <v>42339</v>
          </cell>
          <cell r="AE563">
            <v>42341</v>
          </cell>
          <cell r="AF563">
            <v>42380</v>
          </cell>
          <cell r="AG563">
            <v>1</v>
          </cell>
          <cell r="AH563">
            <v>1</v>
          </cell>
          <cell r="AI563">
            <v>1</v>
          </cell>
          <cell r="AJ563">
            <v>1</v>
          </cell>
          <cell r="AK563">
            <v>1</v>
          </cell>
          <cell r="AL563" t="str">
            <v>NULL</v>
          </cell>
          <cell r="AM563" t="str">
            <v>NULL</v>
          </cell>
          <cell r="AN563" t="str">
            <v>Yes</v>
          </cell>
          <cell r="AO563" t="str">
            <v>ITS397704</v>
          </cell>
          <cell r="AP563" t="str">
            <v>Independent school standard inspection - first</v>
          </cell>
          <cell r="AQ563" t="str">
            <v>Independent Standard Inspection</v>
          </cell>
          <cell r="AR563">
            <v>41241</v>
          </cell>
          <cell r="AS563">
            <v>41242</v>
          </cell>
          <cell r="AT563">
            <v>41263</v>
          </cell>
          <cell r="AU563">
            <v>2</v>
          </cell>
          <cell r="AV563">
            <v>2</v>
          </cell>
          <cell r="AW563">
            <v>2</v>
          </cell>
          <cell r="AX563" t="str">
            <v>NULL</v>
          </cell>
          <cell r="AY563" t="str">
            <v>NULL</v>
          </cell>
          <cell r="AZ563">
            <v>8</v>
          </cell>
          <cell r="BA563" t="str">
            <v>NULL</v>
          </cell>
          <cell r="BB563" t="str">
            <v>NULL</v>
          </cell>
        </row>
        <row r="564">
          <cell r="D564">
            <v>134438</v>
          </cell>
          <cell r="E564">
            <v>8556020</v>
          </cell>
          <cell r="F564" t="str">
            <v>Lewis Charlton Learning Centre</v>
          </cell>
          <cell r="G564" t="str">
            <v>Other Independent Special School</v>
          </cell>
          <cell r="H564">
            <v>37889</v>
          </cell>
          <cell r="I564">
            <v>48</v>
          </cell>
          <cell r="J564" t="str">
            <v>East Midlands</v>
          </cell>
          <cell r="K564" t="str">
            <v>East Midlands</v>
          </cell>
          <cell r="L564" t="str">
            <v>Leicestershire</v>
          </cell>
          <cell r="M564" t="str">
            <v>North West Leicestershire</v>
          </cell>
          <cell r="N564" t="str">
            <v>LE65 1HU</v>
          </cell>
          <cell r="O564" t="str">
            <v>Has a sixth form</v>
          </cell>
          <cell r="P564">
            <v>11</v>
          </cell>
          <cell r="Q564">
            <v>19</v>
          </cell>
          <cell r="R564" t="str">
            <v>None</v>
          </cell>
          <cell r="S564" t="str">
            <v>Ofsted</v>
          </cell>
          <cell r="T564">
            <v>1</v>
          </cell>
          <cell r="U564">
            <v>10048691</v>
          </cell>
          <cell r="V564" t="str">
            <v>Independent school evaluation of school action plan</v>
          </cell>
          <cell r="W564">
            <v>43159</v>
          </cell>
          <cell r="X564">
            <v>43159</v>
          </cell>
          <cell r="Y564" t="str">
            <v>NULL</v>
          </cell>
          <cell r="Z564" t="str">
            <v>Action plan is not acceptable</v>
          </cell>
          <cell r="AA564">
            <v>10040612</v>
          </cell>
          <cell r="AB564" t="str">
            <v>Independent School standard inspection</v>
          </cell>
          <cell r="AC564" t="str">
            <v>Independent Standard Inspection</v>
          </cell>
          <cell r="AD564">
            <v>42990</v>
          </cell>
          <cell r="AE564">
            <v>42992</v>
          </cell>
          <cell r="AF564">
            <v>43020</v>
          </cell>
          <cell r="AG564">
            <v>3</v>
          </cell>
          <cell r="AH564">
            <v>3</v>
          </cell>
          <cell r="AI564">
            <v>3</v>
          </cell>
          <cell r="AJ564">
            <v>3</v>
          </cell>
          <cell r="AK564">
            <v>2</v>
          </cell>
          <cell r="AL564" t="str">
            <v>NULL</v>
          </cell>
          <cell r="AM564">
            <v>2</v>
          </cell>
          <cell r="AN564" t="str">
            <v>Yes</v>
          </cell>
          <cell r="AO564">
            <v>10008014</v>
          </cell>
          <cell r="AP564" t="str">
            <v>Independent School standard inspection</v>
          </cell>
          <cell r="AQ564" t="str">
            <v>Independent Standard Inspection</v>
          </cell>
          <cell r="AR564">
            <v>42311</v>
          </cell>
          <cell r="AS564">
            <v>42313</v>
          </cell>
          <cell r="AT564">
            <v>42333</v>
          </cell>
          <cell r="AU564">
            <v>2</v>
          </cell>
          <cell r="AV564">
            <v>1</v>
          </cell>
          <cell r="AW564">
            <v>1</v>
          </cell>
          <cell r="AX564">
            <v>2</v>
          </cell>
          <cell r="AY564">
            <v>2</v>
          </cell>
          <cell r="AZ564" t="str">
            <v>NULL</v>
          </cell>
          <cell r="BA564">
            <v>2</v>
          </cell>
          <cell r="BB564" t="str">
            <v>Yes</v>
          </cell>
        </row>
        <row r="565">
          <cell r="D565">
            <v>136434</v>
          </cell>
          <cell r="E565">
            <v>9356229</v>
          </cell>
          <cell r="F565" t="str">
            <v>Liberty Lodge Independent School</v>
          </cell>
          <cell r="G565" t="str">
            <v>Other Independent Special School</v>
          </cell>
          <cell r="H565">
            <v>40563</v>
          </cell>
          <cell r="I565">
            <v>2</v>
          </cell>
          <cell r="J565" t="str">
            <v>East of England</v>
          </cell>
          <cell r="K565" t="str">
            <v>East of England</v>
          </cell>
          <cell r="L565" t="str">
            <v>Suffolk</v>
          </cell>
          <cell r="M565" t="str">
            <v>Ipswich</v>
          </cell>
          <cell r="N565" t="str">
            <v>IP1 2NY</v>
          </cell>
          <cell r="O565" t="str">
            <v>Not applicable</v>
          </cell>
          <cell r="P565">
            <v>11</v>
          </cell>
          <cell r="Q565">
            <v>16</v>
          </cell>
          <cell r="R565" t="str">
            <v>None</v>
          </cell>
          <cell r="S565" t="str">
            <v>Ofsted</v>
          </cell>
          <cell r="T565">
            <v>2</v>
          </cell>
          <cell r="U565">
            <v>10049088</v>
          </cell>
          <cell r="V565" t="str">
            <v>Independent school evaluation of school action plan</v>
          </cell>
          <cell r="W565">
            <v>43185</v>
          </cell>
          <cell r="X565">
            <v>43185</v>
          </cell>
          <cell r="Y565" t="str">
            <v>NULL</v>
          </cell>
          <cell r="Z565" t="str">
            <v>Action plan is acceptable</v>
          </cell>
          <cell r="AA565">
            <v>10038909</v>
          </cell>
          <cell r="AB565" t="str">
            <v>Independent school standard inspection - aligned with CH</v>
          </cell>
          <cell r="AC565" t="str">
            <v>Independent Standard Inspection</v>
          </cell>
          <cell r="AD565">
            <v>42990</v>
          </cell>
          <cell r="AE565">
            <v>42991</v>
          </cell>
          <cell r="AF565">
            <v>43021</v>
          </cell>
          <cell r="AG565">
            <v>3</v>
          </cell>
          <cell r="AH565">
            <v>3</v>
          </cell>
          <cell r="AI565">
            <v>3</v>
          </cell>
          <cell r="AJ565">
            <v>3</v>
          </cell>
          <cell r="AK565">
            <v>3</v>
          </cell>
          <cell r="AL565" t="str">
            <v>NULL</v>
          </cell>
          <cell r="AM565" t="str">
            <v>NULL</v>
          </cell>
          <cell r="AN565" t="str">
            <v>Yes</v>
          </cell>
          <cell r="AO565">
            <v>10006035</v>
          </cell>
          <cell r="AP565" t="str">
            <v>Independent school standard inspection - aligned with CH</v>
          </cell>
          <cell r="AQ565" t="str">
            <v>Independent Standard Inspection</v>
          </cell>
          <cell r="AR565">
            <v>42346</v>
          </cell>
          <cell r="AS565">
            <v>42347</v>
          </cell>
          <cell r="AT565">
            <v>42388</v>
          </cell>
          <cell r="AU565">
            <v>3</v>
          </cell>
          <cell r="AV565">
            <v>3</v>
          </cell>
          <cell r="AW565">
            <v>3</v>
          </cell>
          <cell r="AX565">
            <v>3</v>
          </cell>
          <cell r="AY565">
            <v>3</v>
          </cell>
          <cell r="AZ565" t="str">
            <v>NULL</v>
          </cell>
          <cell r="BA565" t="str">
            <v>NULL</v>
          </cell>
          <cell r="BB565" t="str">
            <v>Yes</v>
          </cell>
        </row>
        <row r="566">
          <cell r="D566">
            <v>141861</v>
          </cell>
          <cell r="E566">
            <v>9266010</v>
          </cell>
          <cell r="F566" t="str">
            <v>Ellingham Hospital School</v>
          </cell>
          <cell r="G566" t="str">
            <v>Other Independent Special School</v>
          </cell>
          <cell r="H566">
            <v>42061</v>
          </cell>
          <cell r="I566">
            <v>19</v>
          </cell>
          <cell r="J566" t="str">
            <v>East of England</v>
          </cell>
          <cell r="K566" t="str">
            <v>East of England</v>
          </cell>
          <cell r="L566" t="str">
            <v>Norfolk</v>
          </cell>
          <cell r="M566" t="str">
            <v>Mid Norfolk</v>
          </cell>
          <cell r="N566" t="str">
            <v>NR17 1AE</v>
          </cell>
          <cell r="O566" t="str">
            <v>Not applicable</v>
          </cell>
          <cell r="P566">
            <v>12</v>
          </cell>
          <cell r="Q566">
            <v>18</v>
          </cell>
          <cell r="R566" t="str">
            <v>None</v>
          </cell>
          <cell r="S566" t="str">
            <v>Ofsted</v>
          </cell>
          <cell r="T566" t="str">
            <v>NULL</v>
          </cell>
          <cell r="U566" t="str">
            <v>NULL</v>
          </cell>
          <cell r="V566" t="str">
            <v>NULL</v>
          </cell>
          <cell r="W566" t="str">
            <v>NULL</v>
          </cell>
          <cell r="X566" t="str">
            <v>NULL</v>
          </cell>
          <cell r="Y566" t="str">
            <v>NULL</v>
          </cell>
          <cell r="Z566" t="str">
            <v>NULL</v>
          </cell>
          <cell r="AA566">
            <v>10008624</v>
          </cell>
          <cell r="AB566" t="str">
            <v>Independent school standard inspection - first</v>
          </cell>
          <cell r="AC566" t="str">
            <v>Independent Standard Inspection</v>
          </cell>
          <cell r="AD566">
            <v>42550</v>
          </cell>
          <cell r="AE566">
            <v>42552</v>
          </cell>
          <cell r="AF566">
            <v>42621</v>
          </cell>
          <cell r="AG566">
            <v>2</v>
          </cell>
          <cell r="AH566">
            <v>2</v>
          </cell>
          <cell r="AI566">
            <v>2</v>
          </cell>
          <cell r="AJ566">
            <v>2</v>
          </cell>
          <cell r="AK566">
            <v>2</v>
          </cell>
          <cell r="AL566" t="str">
            <v>NULL</v>
          </cell>
          <cell r="AM566">
            <v>2</v>
          </cell>
          <cell r="AN566" t="str">
            <v>Yes</v>
          </cell>
          <cell r="AO566" t="str">
            <v>NULL</v>
          </cell>
          <cell r="AP566" t="str">
            <v>NULL</v>
          </cell>
          <cell r="AQ566" t="str">
            <v>NULL</v>
          </cell>
          <cell r="AR566" t="str">
            <v>NULL</v>
          </cell>
          <cell r="AS566" t="str">
            <v>NULL</v>
          </cell>
          <cell r="AT566" t="str">
            <v>NULL</v>
          </cell>
          <cell r="AU566" t="str">
            <v>NULL</v>
          </cell>
          <cell r="AV566" t="str">
            <v>NULL</v>
          </cell>
          <cell r="AW566" t="str">
            <v>NULL</v>
          </cell>
          <cell r="AX566" t="str">
            <v>NULL</v>
          </cell>
          <cell r="AY566" t="str">
            <v>NULL</v>
          </cell>
          <cell r="AZ566" t="str">
            <v>NULL</v>
          </cell>
          <cell r="BA566" t="str">
            <v>NULL</v>
          </cell>
          <cell r="BB566" t="str">
            <v>NULL</v>
          </cell>
        </row>
        <row r="567">
          <cell r="D567">
            <v>141954</v>
          </cell>
          <cell r="E567">
            <v>8416007</v>
          </cell>
          <cell r="F567" t="str">
            <v>Oakwood Learning Centre</v>
          </cell>
          <cell r="G567" t="str">
            <v>Other Independent Special School</v>
          </cell>
          <cell r="H567">
            <v>42090</v>
          </cell>
          <cell r="I567">
            <v>14</v>
          </cell>
          <cell r="J567" t="str">
            <v>North East, Yorkshire and the Humber</v>
          </cell>
          <cell r="K567" t="str">
            <v>North East</v>
          </cell>
          <cell r="L567" t="str">
            <v>Darlington</v>
          </cell>
          <cell r="M567" t="str">
            <v>Sedgefield</v>
          </cell>
          <cell r="N567" t="str">
            <v>DL2 2UH</v>
          </cell>
          <cell r="O567" t="str">
            <v>Not applicable</v>
          </cell>
          <cell r="P567">
            <v>8</v>
          </cell>
          <cell r="Q567">
            <v>18</v>
          </cell>
          <cell r="R567" t="str">
            <v>None</v>
          </cell>
          <cell r="S567" t="str">
            <v>Ofsted</v>
          </cell>
          <cell r="T567" t="str">
            <v>NULL</v>
          </cell>
          <cell r="U567" t="str">
            <v>NULL</v>
          </cell>
          <cell r="V567" t="str">
            <v>NULL</v>
          </cell>
          <cell r="W567" t="str">
            <v>NULL</v>
          </cell>
          <cell r="X567" t="str">
            <v>NULL</v>
          </cell>
          <cell r="Y567" t="str">
            <v>NULL</v>
          </cell>
          <cell r="Z567" t="str">
            <v>NULL</v>
          </cell>
          <cell r="AA567">
            <v>10008945</v>
          </cell>
          <cell r="AB567" t="str">
            <v>Independent school standard inspection - first</v>
          </cell>
          <cell r="AC567" t="str">
            <v>Independent Standard Inspection</v>
          </cell>
          <cell r="AD567">
            <v>42395</v>
          </cell>
          <cell r="AE567">
            <v>42397</v>
          </cell>
          <cell r="AF567">
            <v>42438</v>
          </cell>
          <cell r="AG567">
            <v>1</v>
          </cell>
          <cell r="AH567">
            <v>1</v>
          </cell>
          <cell r="AI567">
            <v>1</v>
          </cell>
          <cell r="AJ567">
            <v>1</v>
          </cell>
          <cell r="AK567">
            <v>1</v>
          </cell>
          <cell r="AL567" t="str">
            <v>NULL</v>
          </cell>
          <cell r="AM567" t="str">
            <v>NULL</v>
          </cell>
          <cell r="AN567" t="str">
            <v>Yes</v>
          </cell>
          <cell r="AO567" t="str">
            <v>NULL</v>
          </cell>
          <cell r="AP567" t="str">
            <v>NULL</v>
          </cell>
          <cell r="AQ567" t="str">
            <v>NULL</v>
          </cell>
          <cell r="AR567" t="str">
            <v>NULL</v>
          </cell>
          <cell r="AS567" t="str">
            <v>NULL</v>
          </cell>
          <cell r="AT567" t="str">
            <v>NULL</v>
          </cell>
          <cell r="AU567" t="str">
            <v>NULL</v>
          </cell>
          <cell r="AV567" t="str">
            <v>NULL</v>
          </cell>
          <cell r="AW567" t="str">
            <v>NULL</v>
          </cell>
          <cell r="AX567" t="str">
            <v>NULL</v>
          </cell>
          <cell r="AY567" t="str">
            <v>NULL</v>
          </cell>
          <cell r="AZ567" t="str">
            <v>NULL</v>
          </cell>
          <cell r="BA567" t="str">
            <v>NULL</v>
          </cell>
          <cell r="BB567" t="str">
            <v>NULL</v>
          </cell>
        </row>
        <row r="568">
          <cell r="D568">
            <v>128078</v>
          </cell>
          <cell r="E568">
            <v>8556021</v>
          </cell>
          <cell r="F568" t="str">
            <v>Oakwood School</v>
          </cell>
          <cell r="G568" t="str">
            <v>Other Independent Special School</v>
          </cell>
          <cell r="H568">
            <v>38555</v>
          </cell>
          <cell r="I568">
            <v>16</v>
          </cell>
          <cell r="J568" t="str">
            <v>East Midlands</v>
          </cell>
          <cell r="K568" t="str">
            <v>East Midlands</v>
          </cell>
          <cell r="L568" t="str">
            <v>Leicestershire</v>
          </cell>
          <cell r="M568" t="str">
            <v>Charnwood</v>
          </cell>
          <cell r="N568" t="str">
            <v>LE3 8DG</v>
          </cell>
          <cell r="O568" t="str">
            <v>Not applicable</v>
          </cell>
          <cell r="P568">
            <v>8</v>
          </cell>
          <cell r="Q568">
            <v>18</v>
          </cell>
          <cell r="R568" t="str">
            <v>None</v>
          </cell>
          <cell r="S568" t="str">
            <v>Ofsted</v>
          </cell>
          <cell r="T568" t="str">
            <v>NULL</v>
          </cell>
          <cell r="U568" t="str">
            <v>NULL</v>
          </cell>
          <cell r="V568" t="str">
            <v>NULL</v>
          </cell>
          <cell r="W568" t="str">
            <v>NULL</v>
          </cell>
          <cell r="X568" t="str">
            <v>NULL</v>
          </cell>
          <cell r="Y568" t="str">
            <v>NULL</v>
          </cell>
          <cell r="Z568" t="str">
            <v>NULL</v>
          </cell>
          <cell r="AA568">
            <v>10008523</v>
          </cell>
          <cell r="AB568" t="str">
            <v>Independent School standard inspection</v>
          </cell>
          <cell r="AC568" t="str">
            <v>Independent Standard Inspection</v>
          </cell>
          <cell r="AD568">
            <v>42430</v>
          </cell>
          <cell r="AE568">
            <v>42432</v>
          </cell>
          <cell r="AF568">
            <v>42472</v>
          </cell>
          <cell r="AG568">
            <v>2</v>
          </cell>
          <cell r="AH568">
            <v>2</v>
          </cell>
          <cell r="AI568">
            <v>2</v>
          </cell>
          <cell r="AJ568">
            <v>2</v>
          </cell>
          <cell r="AK568">
            <v>2</v>
          </cell>
          <cell r="AL568" t="str">
            <v>NULL</v>
          </cell>
          <cell r="AM568">
            <v>2</v>
          </cell>
          <cell r="AN568" t="str">
            <v>Yes</v>
          </cell>
          <cell r="AO568" t="str">
            <v>ITS397633</v>
          </cell>
          <cell r="AP568" t="str">
            <v>Independent School standard inspection</v>
          </cell>
          <cell r="AQ568" t="str">
            <v>Independent Standard Inspection</v>
          </cell>
          <cell r="AR568">
            <v>41254</v>
          </cell>
          <cell r="AS568">
            <v>41255</v>
          </cell>
          <cell r="AT568">
            <v>41288</v>
          </cell>
          <cell r="AU568">
            <v>2</v>
          </cell>
          <cell r="AV568">
            <v>2</v>
          </cell>
          <cell r="AW568">
            <v>2</v>
          </cell>
          <cell r="AX568" t="str">
            <v>NULL</v>
          </cell>
          <cell r="AY568" t="str">
            <v>NULL</v>
          </cell>
          <cell r="AZ568">
            <v>8</v>
          </cell>
          <cell r="BA568" t="str">
            <v>NULL</v>
          </cell>
          <cell r="BB568" t="str">
            <v>NULL</v>
          </cell>
        </row>
        <row r="569">
          <cell r="D569">
            <v>131033</v>
          </cell>
          <cell r="E569">
            <v>8936097</v>
          </cell>
          <cell r="F569" t="str">
            <v>Oakwood School</v>
          </cell>
          <cell r="G569" t="str">
            <v>Other Independent Special School</v>
          </cell>
          <cell r="H569">
            <v>38685</v>
          </cell>
          <cell r="I569">
            <v>22</v>
          </cell>
          <cell r="J569" t="str">
            <v>West Midlands</v>
          </cell>
          <cell r="K569" t="str">
            <v>West Midlands</v>
          </cell>
          <cell r="L569" t="str">
            <v>Shropshire</v>
          </cell>
          <cell r="M569" t="str">
            <v>Hammersmith</v>
          </cell>
          <cell r="N569" t="str">
            <v>W6 9RU</v>
          </cell>
          <cell r="O569" t="str">
            <v>Not applicable</v>
          </cell>
          <cell r="P569">
            <v>5</v>
          </cell>
          <cell r="Q569">
            <v>16</v>
          </cell>
          <cell r="R569" t="str">
            <v>None</v>
          </cell>
          <cell r="S569" t="str">
            <v>Ofsted</v>
          </cell>
          <cell r="T569">
            <v>1</v>
          </cell>
          <cell r="U569">
            <v>10044782</v>
          </cell>
          <cell r="V569" t="str">
            <v>Independent school emergency inspection</v>
          </cell>
          <cell r="W569">
            <v>43083</v>
          </cell>
          <cell r="X569">
            <v>43083</v>
          </cell>
          <cell r="Y569">
            <v>43130</v>
          </cell>
          <cell r="Z569" t="str">
            <v xml:space="preserve">Did not meet all standards that were checked </v>
          </cell>
          <cell r="AA569" t="str">
            <v>ITS462919</v>
          </cell>
          <cell r="AB569" t="str">
            <v>Independent School standard inspection</v>
          </cell>
          <cell r="AC569" t="str">
            <v>Independent Standard Inspection</v>
          </cell>
          <cell r="AD569">
            <v>42137</v>
          </cell>
          <cell r="AE569">
            <v>42139</v>
          </cell>
          <cell r="AF569">
            <v>42167</v>
          </cell>
          <cell r="AG569">
            <v>2</v>
          </cell>
          <cell r="AH569">
            <v>2</v>
          </cell>
          <cell r="AI569">
            <v>2</v>
          </cell>
          <cell r="AJ569">
            <v>2</v>
          </cell>
          <cell r="AK569" t="str">
            <v>NULL</v>
          </cell>
          <cell r="AL569">
            <v>9</v>
          </cell>
          <cell r="AM569">
            <v>9</v>
          </cell>
          <cell r="AN569" t="str">
            <v>NULL</v>
          </cell>
          <cell r="AO569" t="str">
            <v>ITS388420</v>
          </cell>
          <cell r="AP569" t="str">
            <v>Independent School standard inspection</v>
          </cell>
          <cell r="AQ569" t="str">
            <v>Independent Standard Inspection</v>
          </cell>
          <cell r="AR569">
            <v>40947</v>
          </cell>
          <cell r="AS569">
            <v>40948</v>
          </cell>
          <cell r="AT569">
            <v>40975</v>
          </cell>
          <cell r="AU569">
            <v>3</v>
          </cell>
          <cell r="AV569">
            <v>3</v>
          </cell>
          <cell r="AW569">
            <v>3</v>
          </cell>
          <cell r="AX569" t="str">
            <v>NULL</v>
          </cell>
          <cell r="AY569" t="str">
            <v>NULL</v>
          </cell>
          <cell r="AZ569">
            <v>8</v>
          </cell>
          <cell r="BA569" t="str">
            <v>NULL</v>
          </cell>
          <cell r="BB569" t="str">
            <v>NULL</v>
          </cell>
        </row>
        <row r="570">
          <cell r="D570">
            <v>131163</v>
          </cell>
          <cell r="E570">
            <v>8886032</v>
          </cell>
          <cell r="F570" t="str">
            <v>Red Rose School</v>
          </cell>
          <cell r="G570" t="str">
            <v>Other Independent Special School</v>
          </cell>
          <cell r="H570">
            <v>35446</v>
          </cell>
          <cell r="I570">
            <v>23</v>
          </cell>
          <cell r="J570" t="str">
            <v>North West</v>
          </cell>
          <cell r="K570" t="str">
            <v>North West</v>
          </cell>
          <cell r="L570" t="str">
            <v>Lancashire</v>
          </cell>
          <cell r="M570" t="str">
            <v>Fylde</v>
          </cell>
          <cell r="N570" t="str">
            <v>FY8 2NQ</v>
          </cell>
          <cell r="O570" t="str">
            <v>Not applicable</v>
          </cell>
          <cell r="P570">
            <v>5</v>
          </cell>
          <cell r="Q570">
            <v>16</v>
          </cell>
          <cell r="R570" t="str">
            <v>Christian</v>
          </cell>
          <cell r="S570" t="str">
            <v>Ofsted</v>
          </cell>
          <cell r="T570">
            <v>1</v>
          </cell>
          <cell r="U570" t="str">
            <v>ITS464588</v>
          </cell>
          <cell r="V570" t="str">
            <v>Independent school emergency inspection</v>
          </cell>
          <cell r="W570">
            <v>42194</v>
          </cell>
          <cell r="X570">
            <v>42194</v>
          </cell>
          <cell r="Y570" t="str">
            <v>NULL</v>
          </cell>
          <cell r="Z570" t="str">
            <v>No unmet standards</v>
          </cell>
          <cell r="AA570" t="str">
            <v>ITS408718</v>
          </cell>
          <cell r="AB570" t="str">
            <v>Independent School standard inspection</v>
          </cell>
          <cell r="AC570" t="str">
            <v>Independent Standard Inspection</v>
          </cell>
          <cell r="AD570">
            <v>41310</v>
          </cell>
          <cell r="AE570">
            <v>41312</v>
          </cell>
          <cell r="AF570">
            <v>41334</v>
          </cell>
          <cell r="AG570">
            <v>1</v>
          </cell>
          <cell r="AH570">
            <v>1</v>
          </cell>
          <cell r="AI570">
            <v>1</v>
          </cell>
          <cell r="AJ570">
            <v>1</v>
          </cell>
          <cell r="AK570" t="str">
            <v>NULL</v>
          </cell>
          <cell r="AL570" t="str">
            <v>NULL</v>
          </cell>
          <cell r="AM570" t="str">
            <v>NULL</v>
          </cell>
          <cell r="AN570" t="str">
            <v>NULL</v>
          </cell>
          <cell r="AO570" t="str">
            <v>ITS342472</v>
          </cell>
          <cell r="AP570" t="str">
            <v>Independent School standard inspection</v>
          </cell>
          <cell r="AQ570" t="str">
            <v>Independent Standard Inspection</v>
          </cell>
          <cell r="AR570">
            <v>40128</v>
          </cell>
          <cell r="AS570">
            <v>40129</v>
          </cell>
          <cell r="AT570">
            <v>40150</v>
          </cell>
          <cell r="AU570">
            <v>1</v>
          </cell>
          <cell r="AV570">
            <v>1</v>
          </cell>
          <cell r="AW570">
            <v>2</v>
          </cell>
          <cell r="AX570" t="str">
            <v>NULL</v>
          </cell>
          <cell r="AY570" t="str">
            <v>NULL</v>
          </cell>
          <cell r="AZ570">
            <v>8</v>
          </cell>
          <cell r="BA570" t="str">
            <v>NULL</v>
          </cell>
          <cell r="BB570" t="str">
            <v>NULL</v>
          </cell>
        </row>
        <row r="571">
          <cell r="D571">
            <v>141864</v>
          </cell>
          <cell r="E571">
            <v>8886059</v>
          </cell>
          <cell r="F571" t="str">
            <v>Cambian Red Rose School</v>
          </cell>
          <cell r="G571" t="str">
            <v>Other Independent Special School</v>
          </cell>
          <cell r="H571">
            <v>42062</v>
          </cell>
          <cell r="I571">
            <v>20</v>
          </cell>
          <cell r="J571" t="str">
            <v>North West</v>
          </cell>
          <cell r="K571" t="str">
            <v>North West</v>
          </cell>
          <cell r="L571" t="str">
            <v>Lancashire</v>
          </cell>
          <cell r="M571" t="str">
            <v>Chorley</v>
          </cell>
          <cell r="N571" t="str">
            <v>PR5 8LN</v>
          </cell>
          <cell r="O571" t="str">
            <v>Not applicable</v>
          </cell>
          <cell r="P571">
            <v>5</v>
          </cell>
          <cell r="Q571">
            <v>18</v>
          </cell>
          <cell r="R571" t="str">
            <v>None</v>
          </cell>
          <cell r="S571" t="str">
            <v>Ofsted</v>
          </cell>
          <cell r="T571" t="str">
            <v>NULL</v>
          </cell>
          <cell r="U571" t="str">
            <v>NULL</v>
          </cell>
          <cell r="V571" t="str">
            <v>NULL</v>
          </cell>
          <cell r="W571" t="str">
            <v>NULL</v>
          </cell>
          <cell r="X571" t="str">
            <v>NULL</v>
          </cell>
          <cell r="Y571" t="str">
            <v>NULL</v>
          </cell>
          <cell r="Z571" t="str">
            <v>NULL</v>
          </cell>
          <cell r="AA571">
            <v>10008943</v>
          </cell>
          <cell r="AB571" t="str">
            <v>Independent school standard inspection - first</v>
          </cell>
          <cell r="AC571" t="str">
            <v>Independent Standard Inspection</v>
          </cell>
          <cell r="AD571">
            <v>42822</v>
          </cell>
          <cell r="AE571">
            <v>42824</v>
          </cell>
          <cell r="AF571">
            <v>42859</v>
          </cell>
          <cell r="AG571">
            <v>2</v>
          </cell>
          <cell r="AH571">
            <v>2</v>
          </cell>
          <cell r="AI571">
            <v>2</v>
          </cell>
          <cell r="AJ571">
            <v>1</v>
          </cell>
          <cell r="AK571">
            <v>2</v>
          </cell>
          <cell r="AL571" t="str">
            <v>NULL</v>
          </cell>
          <cell r="AM571" t="str">
            <v>NULL</v>
          </cell>
          <cell r="AN571" t="str">
            <v>Yes</v>
          </cell>
          <cell r="AO571" t="str">
            <v>NULL</v>
          </cell>
          <cell r="AP571" t="str">
            <v>NULL</v>
          </cell>
          <cell r="AQ571" t="str">
            <v>NULL</v>
          </cell>
          <cell r="AR571" t="str">
            <v>NULL</v>
          </cell>
          <cell r="AS571" t="str">
            <v>NULL</v>
          </cell>
          <cell r="AT571" t="str">
            <v>NULL</v>
          </cell>
          <cell r="AU571" t="str">
            <v>NULL</v>
          </cell>
          <cell r="AV571" t="str">
            <v>NULL</v>
          </cell>
          <cell r="AW571" t="str">
            <v>NULL</v>
          </cell>
          <cell r="AX571" t="str">
            <v>NULL</v>
          </cell>
          <cell r="AY571" t="str">
            <v>NULL</v>
          </cell>
          <cell r="AZ571" t="str">
            <v>NULL</v>
          </cell>
          <cell r="BA571" t="str">
            <v>NULL</v>
          </cell>
          <cell r="BB571" t="str">
            <v>NULL</v>
          </cell>
        </row>
        <row r="572">
          <cell r="D572">
            <v>118995</v>
          </cell>
          <cell r="E572">
            <v>8866047</v>
          </cell>
          <cell r="F572" t="str">
            <v>Ripplevale School</v>
          </cell>
          <cell r="G572" t="str">
            <v>Other Independent Special School</v>
          </cell>
          <cell r="H572">
            <v>25857</v>
          </cell>
          <cell r="I572">
            <v>70</v>
          </cell>
          <cell r="J572" t="str">
            <v>South East</v>
          </cell>
          <cell r="K572" t="str">
            <v>South East</v>
          </cell>
          <cell r="L572" t="str">
            <v>Kent</v>
          </cell>
          <cell r="M572" t="str">
            <v>Dover</v>
          </cell>
          <cell r="N572" t="str">
            <v>CT14 8JG</v>
          </cell>
          <cell r="O572" t="str">
            <v>Not applicable</v>
          </cell>
          <cell r="P572">
            <v>6</v>
          </cell>
          <cell r="Q572">
            <v>18</v>
          </cell>
          <cell r="R572" t="str">
            <v>None</v>
          </cell>
          <cell r="S572" t="str">
            <v>Ofsted</v>
          </cell>
          <cell r="T572" t="str">
            <v>NULL</v>
          </cell>
          <cell r="U572" t="str">
            <v>NULL</v>
          </cell>
          <cell r="V572" t="str">
            <v>NULL</v>
          </cell>
          <cell r="W572" t="str">
            <v>NULL</v>
          </cell>
          <cell r="X572" t="str">
            <v>NULL</v>
          </cell>
          <cell r="Y572" t="str">
            <v>NULL</v>
          </cell>
          <cell r="Z572" t="str">
            <v>NULL</v>
          </cell>
          <cell r="AA572">
            <v>10006043</v>
          </cell>
          <cell r="AB572" t="str">
            <v xml:space="preserve">Independent School standard inspection - integrated </v>
          </cell>
          <cell r="AC572" t="str">
            <v>Independent Standard Inspection</v>
          </cell>
          <cell r="AD572">
            <v>42766</v>
          </cell>
          <cell r="AE572">
            <v>42768</v>
          </cell>
          <cell r="AF572">
            <v>42800</v>
          </cell>
          <cell r="AG572">
            <v>2</v>
          </cell>
          <cell r="AH572">
            <v>2</v>
          </cell>
          <cell r="AI572">
            <v>2</v>
          </cell>
          <cell r="AJ572">
            <v>2</v>
          </cell>
          <cell r="AK572">
            <v>1</v>
          </cell>
          <cell r="AL572" t="str">
            <v>NULL</v>
          </cell>
          <cell r="AM572">
            <v>2</v>
          </cell>
          <cell r="AN572" t="str">
            <v>Yes</v>
          </cell>
          <cell r="AO572" t="str">
            <v>ITS397756</v>
          </cell>
          <cell r="AP572" t="str">
            <v xml:space="preserve">Independent School standard inspection - integrated </v>
          </cell>
          <cell r="AQ572" t="str">
            <v>Independent Standard Inspection</v>
          </cell>
          <cell r="AR572">
            <v>41226</v>
          </cell>
          <cell r="AS572">
            <v>41227</v>
          </cell>
          <cell r="AT572">
            <v>41248</v>
          </cell>
          <cell r="AU572">
            <v>2</v>
          </cell>
          <cell r="AV572">
            <v>2</v>
          </cell>
          <cell r="AW572">
            <v>2</v>
          </cell>
          <cell r="AX572" t="str">
            <v>NULL</v>
          </cell>
          <cell r="AY572" t="str">
            <v>NULL</v>
          </cell>
          <cell r="AZ572">
            <v>8</v>
          </cell>
          <cell r="BA572" t="str">
            <v>NULL</v>
          </cell>
          <cell r="BB572" t="str">
            <v>NULL</v>
          </cell>
        </row>
        <row r="573">
          <cell r="D573">
            <v>141608</v>
          </cell>
          <cell r="E573">
            <v>3816015</v>
          </cell>
          <cell r="F573" t="str">
            <v>Riverbank Primary School</v>
          </cell>
          <cell r="G573" t="str">
            <v>Other Independent Special School</v>
          </cell>
          <cell r="H573">
            <v>41971</v>
          </cell>
          <cell r="I573">
            <v>7</v>
          </cell>
          <cell r="J573" t="str">
            <v>North East, Yorkshire and the Humber</v>
          </cell>
          <cell r="K573" t="str">
            <v>Yorkshire and the Humber</v>
          </cell>
          <cell r="L573" t="str">
            <v>Calderdale</v>
          </cell>
          <cell r="M573" t="str">
            <v>Calder Valley</v>
          </cell>
          <cell r="N573" t="str">
            <v>HX6 4DH</v>
          </cell>
          <cell r="O573" t="str">
            <v>Not applicable</v>
          </cell>
          <cell r="P573">
            <v>7</v>
          </cell>
          <cell r="Q573">
            <v>11</v>
          </cell>
          <cell r="R573" t="str">
            <v>None</v>
          </cell>
          <cell r="S573" t="str">
            <v>Ofsted</v>
          </cell>
          <cell r="T573" t="str">
            <v>NULL</v>
          </cell>
          <cell r="U573" t="str">
            <v>NULL</v>
          </cell>
          <cell r="V573" t="str">
            <v>NULL</v>
          </cell>
          <cell r="W573" t="str">
            <v>NULL</v>
          </cell>
          <cell r="X573" t="str">
            <v>NULL</v>
          </cell>
          <cell r="Y573" t="str">
            <v>NULL</v>
          </cell>
          <cell r="Z573" t="str">
            <v>NULL</v>
          </cell>
          <cell r="AA573">
            <v>10006311</v>
          </cell>
          <cell r="AB573" t="str">
            <v>Independent school standard inspection - first</v>
          </cell>
          <cell r="AC573" t="str">
            <v>Independent Standard Inspection</v>
          </cell>
          <cell r="AD573">
            <v>42430</v>
          </cell>
          <cell r="AE573">
            <v>42431</v>
          </cell>
          <cell r="AF573">
            <v>42473</v>
          </cell>
          <cell r="AG573">
            <v>2</v>
          </cell>
          <cell r="AH573">
            <v>2</v>
          </cell>
          <cell r="AI573">
            <v>2</v>
          </cell>
          <cell r="AJ573">
            <v>2</v>
          </cell>
          <cell r="AK573">
            <v>2</v>
          </cell>
          <cell r="AL573" t="str">
            <v>NULL</v>
          </cell>
          <cell r="AM573" t="str">
            <v>NULL</v>
          </cell>
          <cell r="AN573" t="str">
            <v>Yes</v>
          </cell>
          <cell r="AO573" t="str">
            <v>NULL</v>
          </cell>
          <cell r="AP573" t="str">
            <v>NULL</v>
          </cell>
          <cell r="AQ573" t="str">
            <v>NULL</v>
          </cell>
          <cell r="AR573" t="str">
            <v>NULL</v>
          </cell>
          <cell r="AS573" t="str">
            <v>NULL</v>
          </cell>
          <cell r="AT573" t="str">
            <v>NULL</v>
          </cell>
          <cell r="AU573" t="str">
            <v>NULL</v>
          </cell>
          <cell r="AV573" t="str">
            <v>NULL</v>
          </cell>
          <cell r="AW573" t="str">
            <v>NULL</v>
          </cell>
          <cell r="AX573" t="str">
            <v>NULL</v>
          </cell>
          <cell r="AY573" t="str">
            <v>NULL</v>
          </cell>
          <cell r="AZ573" t="str">
            <v>NULL</v>
          </cell>
          <cell r="BA573" t="str">
            <v>NULL</v>
          </cell>
          <cell r="BB573" t="str">
            <v>NULL</v>
          </cell>
        </row>
        <row r="574">
          <cell r="D574">
            <v>135198</v>
          </cell>
          <cell r="E574">
            <v>8866122</v>
          </cell>
          <cell r="F574" t="str">
            <v>The Annex School House</v>
          </cell>
          <cell r="G574" t="str">
            <v>Other Independent Special School</v>
          </cell>
          <cell r="H574">
            <v>39157</v>
          </cell>
          <cell r="I574">
            <v>5</v>
          </cell>
          <cell r="J574" t="str">
            <v>South East</v>
          </cell>
          <cell r="K574" t="str">
            <v>South East</v>
          </cell>
          <cell r="L574" t="str">
            <v>Kent</v>
          </cell>
          <cell r="M574" t="str">
            <v>Sevenoaks</v>
          </cell>
          <cell r="N574" t="str">
            <v>BR8 7PS</v>
          </cell>
          <cell r="O574" t="str">
            <v>Not applicable</v>
          </cell>
          <cell r="P574">
            <v>8</v>
          </cell>
          <cell r="Q574">
            <v>16</v>
          </cell>
          <cell r="R574" t="str">
            <v>None</v>
          </cell>
          <cell r="S574" t="str">
            <v>Ofsted</v>
          </cell>
          <cell r="T574" t="str">
            <v>NULL</v>
          </cell>
          <cell r="U574" t="str">
            <v>NULL</v>
          </cell>
          <cell r="V574" t="str">
            <v>NULL</v>
          </cell>
          <cell r="W574" t="str">
            <v>NULL</v>
          </cell>
          <cell r="X574" t="str">
            <v>NULL</v>
          </cell>
          <cell r="Y574" t="str">
            <v>NULL</v>
          </cell>
          <cell r="Z574" t="str">
            <v>NULL</v>
          </cell>
          <cell r="AA574">
            <v>10026025</v>
          </cell>
          <cell r="AB574" t="str">
            <v>Independent School standard inspection</v>
          </cell>
          <cell r="AC574" t="str">
            <v>Independent Standard Inspection</v>
          </cell>
          <cell r="AD574">
            <v>42907</v>
          </cell>
          <cell r="AE574">
            <v>42908</v>
          </cell>
          <cell r="AF574">
            <v>42928</v>
          </cell>
          <cell r="AG574">
            <v>2</v>
          </cell>
          <cell r="AH574">
            <v>2</v>
          </cell>
          <cell r="AI574">
            <v>2</v>
          </cell>
          <cell r="AJ574">
            <v>2</v>
          </cell>
          <cell r="AK574">
            <v>2</v>
          </cell>
          <cell r="AL574" t="str">
            <v>NULL</v>
          </cell>
          <cell r="AM574" t="str">
            <v>NULL</v>
          </cell>
          <cell r="AN574" t="str">
            <v>Yes</v>
          </cell>
          <cell r="AO574" t="str">
            <v>ITS422785</v>
          </cell>
          <cell r="AP574" t="str">
            <v xml:space="preserve">Independent School standard inspection - integrated </v>
          </cell>
          <cell r="AQ574" t="str">
            <v>Independent Standard Inspection</v>
          </cell>
          <cell r="AR574">
            <v>41583</v>
          </cell>
          <cell r="AS574">
            <v>41585</v>
          </cell>
          <cell r="AT574">
            <v>41619</v>
          </cell>
          <cell r="AU574">
            <v>3</v>
          </cell>
          <cell r="AV574">
            <v>2</v>
          </cell>
          <cell r="AW574">
            <v>2</v>
          </cell>
          <cell r="AX574">
            <v>3</v>
          </cell>
          <cell r="AY574" t="str">
            <v>NULL</v>
          </cell>
          <cell r="AZ574" t="str">
            <v>NULL</v>
          </cell>
          <cell r="BA574" t="str">
            <v>NULL</v>
          </cell>
          <cell r="BB574" t="str">
            <v>NULL</v>
          </cell>
        </row>
        <row r="575">
          <cell r="D575">
            <v>130979</v>
          </cell>
          <cell r="E575">
            <v>8866110</v>
          </cell>
          <cell r="F575" t="str">
            <v>Lighthouse School</v>
          </cell>
          <cell r="G575" t="str">
            <v>Other Independent Special School</v>
          </cell>
          <cell r="H575">
            <v>38659</v>
          </cell>
          <cell r="I575">
            <v>15</v>
          </cell>
          <cell r="J575" t="str">
            <v>South East</v>
          </cell>
          <cell r="K575" t="str">
            <v>South East</v>
          </cell>
          <cell r="L575" t="str">
            <v>Kent</v>
          </cell>
          <cell r="M575" t="str">
            <v>South Thanet</v>
          </cell>
          <cell r="N575" t="str">
            <v>CT9 2QJ</v>
          </cell>
          <cell r="O575" t="str">
            <v>Has a sixth form</v>
          </cell>
          <cell r="P575">
            <v>8</v>
          </cell>
          <cell r="Q575">
            <v>18</v>
          </cell>
          <cell r="R575" t="str">
            <v>None</v>
          </cell>
          <cell r="S575" t="str">
            <v>Ofsted</v>
          </cell>
          <cell r="T575" t="str">
            <v>NULL</v>
          </cell>
          <cell r="U575" t="str">
            <v>NULL</v>
          </cell>
          <cell r="V575" t="str">
            <v>NULL</v>
          </cell>
          <cell r="W575" t="str">
            <v>NULL</v>
          </cell>
          <cell r="X575" t="str">
            <v>NULL</v>
          </cell>
          <cell r="Y575" t="str">
            <v>NULL</v>
          </cell>
          <cell r="Z575" t="str">
            <v>NULL</v>
          </cell>
          <cell r="AA575">
            <v>10006114</v>
          </cell>
          <cell r="AB575" t="str">
            <v>Independent School standard inspection</v>
          </cell>
          <cell r="AC575" t="str">
            <v>Independent Standard Inspection</v>
          </cell>
          <cell r="AD575">
            <v>42654</v>
          </cell>
          <cell r="AE575">
            <v>42656</v>
          </cell>
          <cell r="AF575">
            <v>42689</v>
          </cell>
          <cell r="AG575">
            <v>2</v>
          </cell>
          <cell r="AH575">
            <v>2</v>
          </cell>
          <cell r="AI575">
            <v>2</v>
          </cell>
          <cell r="AJ575">
            <v>2</v>
          </cell>
          <cell r="AK575">
            <v>2</v>
          </cell>
          <cell r="AL575" t="str">
            <v>NULL</v>
          </cell>
          <cell r="AM575" t="str">
            <v>NULL</v>
          </cell>
          <cell r="AN575" t="str">
            <v>Yes</v>
          </cell>
          <cell r="AO575" t="str">
            <v>ITS397652</v>
          </cell>
          <cell r="AP575" t="str">
            <v>Independent School standard inspection</v>
          </cell>
          <cell r="AQ575" t="str">
            <v>Independent Standard Inspection</v>
          </cell>
          <cell r="AR575">
            <v>41185</v>
          </cell>
          <cell r="AS575">
            <v>41186</v>
          </cell>
          <cell r="AT575">
            <v>41207</v>
          </cell>
          <cell r="AU575">
            <v>3</v>
          </cell>
          <cell r="AV575">
            <v>3</v>
          </cell>
          <cell r="AW575">
            <v>3</v>
          </cell>
          <cell r="AX575" t="str">
            <v>NULL</v>
          </cell>
          <cell r="AY575" t="str">
            <v>NULL</v>
          </cell>
          <cell r="AZ575">
            <v>8</v>
          </cell>
          <cell r="BA575" t="str">
            <v>NULL</v>
          </cell>
          <cell r="BB575" t="str">
            <v>NULL</v>
          </cell>
        </row>
        <row r="576">
          <cell r="D576">
            <v>139018</v>
          </cell>
          <cell r="E576">
            <v>8746004</v>
          </cell>
          <cell r="F576" t="str">
            <v>The Beeches Independent School</v>
          </cell>
          <cell r="G576" t="str">
            <v>Other Independent Special School</v>
          </cell>
          <cell r="H576">
            <v>41234</v>
          </cell>
          <cell r="I576">
            <v>6</v>
          </cell>
          <cell r="J576" t="str">
            <v>East of England</v>
          </cell>
          <cell r="K576" t="str">
            <v>East of England</v>
          </cell>
          <cell r="L576" t="str">
            <v>Peterborough</v>
          </cell>
          <cell r="M576" t="str">
            <v>Peterborough</v>
          </cell>
          <cell r="N576" t="str">
            <v>PE1 3PB</v>
          </cell>
          <cell r="O576" t="str">
            <v>Not applicable</v>
          </cell>
          <cell r="P576">
            <v>9</v>
          </cell>
          <cell r="Q576">
            <v>19</v>
          </cell>
          <cell r="R576" t="str">
            <v>None</v>
          </cell>
          <cell r="S576" t="str">
            <v>Ofsted</v>
          </cell>
          <cell r="T576" t="str">
            <v>NULL</v>
          </cell>
          <cell r="U576" t="str">
            <v>NULL</v>
          </cell>
          <cell r="V576" t="str">
            <v>NULL</v>
          </cell>
          <cell r="W576" t="str">
            <v>NULL</v>
          </cell>
          <cell r="X576" t="str">
            <v>NULL</v>
          </cell>
          <cell r="Y576" t="str">
            <v>NULL</v>
          </cell>
          <cell r="Z576" t="str">
            <v>NULL</v>
          </cell>
          <cell r="AA576">
            <v>10020912</v>
          </cell>
          <cell r="AB576" t="str">
            <v>Independent school standard inspection - aligned with CH</v>
          </cell>
          <cell r="AC576" t="str">
            <v>Independent Standard Inspection</v>
          </cell>
          <cell r="AD576">
            <v>42633</v>
          </cell>
          <cell r="AE576">
            <v>42635</v>
          </cell>
          <cell r="AF576">
            <v>42678</v>
          </cell>
          <cell r="AG576">
            <v>2</v>
          </cell>
          <cell r="AH576">
            <v>2</v>
          </cell>
          <cell r="AI576">
            <v>2</v>
          </cell>
          <cell r="AJ576">
            <v>2</v>
          </cell>
          <cell r="AK576">
            <v>2</v>
          </cell>
          <cell r="AL576" t="str">
            <v>NULL</v>
          </cell>
          <cell r="AM576">
            <v>2</v>
          </cell>
          <cell r="AN576" t="str">
            <v>Yes</v>
          </cell>
          <cell r="AO576" t="str">
            <v>ITS422845</v>
          </cell>
          <cell r="AP576" t="str">
            <v>Independent school standard inspection - first</v>
          </cell>
          <cell r="AQ576" t="str">
            <v>Independent Standard Inspection</v>
          </cell>
          <cell r="AR576">
            <v>41556</v>
          </cell>
          <cell r="AS576">
            <v>41557</v>
          </cell>
          <cell r="AT576">
            <v>41571</v>
          </cell>
          <cell r="AU576">
            <v>2</v>
          </cell>
          <cell r="AV576">
            <v>2</v>
          </cell>
          <cell r="AW576">
            <v>2</v>
          </cell>
          <cell r="AX576">
            <v>2</v>
          </cell>
          <cell r="AY576" t="str">
            <v>NULL</v>
          </cell>
          <cell r="AZ576" t="str">
            <v>NULL</v>
          </cell>
          <cell r="BA576" t="str">
            <v>NULL</v>
          </cell>
          <cell r="BB576" t="str">
            <v>NULL</v>
          </cell>
        </row>
        <row r="577">
          <cell r="D577">
            <v>130902</v>
          </cell>
          <cell r="E577">
            <v>8886096</v>
          </cell>
          <cell r="F577" t="str">
            <v>The Birches</v>
          </cell>
          <cell r="G577" t="str">
            <v>Other Independent Special School</v>
          </cell>
          <cell r="H577">
            <v>38645</v>
          </cell>
          <cell r="I577">
            <v>7</v>
          </cell>
          <cell r="J577" t="str">
            <v>North West</v>
          </cell>
          <cell r="K577" t="str">
            <v>North West</v>
          </cell>
          <cell r="L577" t="str">
            <v>Lancashire</v>
          </cell>
          <cell r="M577" t="str">
            <v>Preston</v>
          </cell>
          <cell r="N577" t="str">
            <v>PR2 2YQ</v>
          </cell>
          <cell r="O577" t="str">
            <v>Not applicable</v>
          </cell>
          <cell r="P577">
            <v>11</v>
          </cell>
          <cell r="Q577">
            <v>17</v>
          </cell>
          <cell r="R577" t="str">
            <v>None</v>
          </cell>
          <cell r="S577" t="str">
            <v>Ofsted</v>
          </cell>
          <cell r="T577" t="str">
            <v>NULL</v>
          </cell>
          <cell r="U577" t="str">
            <v>NULL</v>
          </cell>
          <cell r="V577" t="str">
            <v>NULL</v>
          </cell>
          <cell r="W577" t="str">
            <v>NULL</v>
          </cell>
          <cell r="X577" t="str">
            <v>NULL</v>
          </cell>
          <cell r="Y577" t="str">
            <v>NULL</v>
          </cell>
          <cell r="Z577" t="str">
            <v>NULL</v>
          </cell>
          <cell r="AA577">
            <v>10006077</v>
          </cell>
          <cell r="AB577" t="str">
            <v>Independent School standard inspection</v>
          </cell>
          <cell r="AC577" t="str">
            <v>Independent Standard Inspection</v>
          </cell>
          <cell r="AD577">
            <v>42661</v>
          </cell>
          <cell r="AE577">
            <v>42663</v>
          </cell>
          <cell r="AF577">
            <v>42696</v>
          </cell>
          <cell r="AG577">
            <v>2</v>
          </cell>
          <cell r="AH577">
            <v>2</v>
          </cell>
          <cell r="AI577">
            <v>2</v>
          </cell>
          <cell r="AJ577">
            <v>2</v>
          </cell>
          <cell r="AK577">
            <v>2</v>
          </cell>
          <cell r="AL577" t="str">
            <v>NULL</v>
          </cell>
          <cell r="AM577" t="str">
            <v>NULL</v>
          </cell>
          <cell r="AN577" t="str">
            <v>Yes</v>
          </cell>
          <cell r="AO577" t="str">
            <v>ITS397620</v>
          </cell>
          <cell r="AP577" t="str">
            <v xml:space="preserve">Independent School standard inspection - integrated </v>
          </cell>
          <cell r="AQ577" t="str">
            <v>Independent Standard Inspection</v>
          </cell>
          <cell r="AR577">
            <v>41247</v>
          </cell>
          <cell r="AS577">
            <v>41248</v>
          </cell>
          <cell r="AT577">
            <v>41284</v>
          </cell>
          <cell r="AU577">
            <v>2</v>
          </cell>
          <cell r="AV577">
            <v>2</v>
          </cell>
          <cell r="AW577">
            <v>2</v>
          </cell>
          <cell r="AX577" t="str">
            <v>NULL</v>
          </cell>
          <cell r="AY577" t="str">
            <v>NULL</v>
          </cell>
          <cell r="AZ577">
            <v>8</v>
          </cell>
          <cell r="BA577" t="str">
            <v>NULL</v>
          </cell>
          <cell r="BB577" t="str">
            <v>NULL</v>
          </cell>
        </row>
        <row r="578">
          <cell r="D578">
            <v>129252</v>
          </cell>
          <cell r="E578">
            <v>9086095</v>
          </cell>
          <cell r="F578" t="str">
            <v>Three Bridges School</v>
          </cell>
          <cell r="G578" t="str">
            <v>Other Independent Special School</v>
          </cell>
          <cell r="H578">
            <v>38573</v>
          </cell>
          <cell r="I578">
            <v>10</v>
          </cell>
          <cell r="J578" t="str">
            <v>South West</v>
          </cell>
          <cell r="K578" t="str">
            <v>South West</v>
          </cell>
          <cell r="L578" t="str">
            <v>Cornwall</v>
          </cell>
          <cell r="M578" t="str">
            <v>Camborne and Redruth</v>
          </cell>
          <cell r="N578" t="str">
            <v>TR4 8EG</v>
          </cell>
          <cell r="O578" t="str">
            <v>Has a sixth form</v>
          </cell>
          <cell r="P578">
            <v>11</v>
          </cell>
          <cell r="Q578">
            <v>19</v>
          </cell>
          <cell r="R578" t="str">
            <v>None</v>
          </cell>
          <cell r="S578" t="str">
            <v>Ofsted</v>
          </cell>
          <cell r="T578" t="str">
            <v>NULL</v>
          </cell>
          <cell r="U578" t="str">
            <v>NULL</v>
          </cell>
          <cell r="V578" t="str">
            <v>NULL</v>
          </cell>
          <cell r="W578" t="str">
            <v>NULL</v>
          </cell>
          <cell r="X578" t="str">
            <v>NULL</v>
          </cell>
          <cell r="Y578" t="str">
            <v>NULL</v>
          </cell>
          <cell r="Z578" t="str">
            <v>NULL</v>
          </cell>
          <cell r="AA578">
            <v>10012928</v>
          </cell>
          <cell r="AB578" t="str">
            <v>Independent School standard inspection</v>
          </cell>
          <cell r="AC578" t="str">
            <v>Independent Standard Inspection</v>
          </cell>
          <cell r="AD578">
            <v>42787</v>
          </cell>
          <cell r="AE578">
            <v>42789</v>
          </cell>
          <cell r="AF578">
            <v>42822</v>
          </cell>
          <cell r="AG578">
            <v>2</v>
          </cell>
          <cell r="AH578">
            <v>2</v>
          </cell>
          <cell r="AI578">
            <v>2</v>
          </cell>
          <cell r="AJ578">
            <v>2</v>
          </cell>
          <cell r="AK578">
            <v>1</v>
          </cell>
          <cell r="AL578" t="str">
            <v>NULL</v>
          </cell>
          <cell r="AM578">
            <v>2</v>
          </cell>
          <cell r="AN578" t="str">
            <v>Yes</v>
          </cell>
          <cell r="AO578" t="str">
            <v>ITS420233</v>
          </cell>
          <cell r="AP578" t="str">
            <v>Independent School standard inspection</v>
          </cell>
          <cell r="AQ578" t="str">
            <v>Independent Standard Inspection</v>
          </cell>
          <cell r="AR578">
            <v>41408</v>
          </cell>
          <cell r="AS578">
            <v>41410</v>
          </cell>
          <cell r="AT578">
            <v>41431</v>
          </cell>
          <cell r="AU578">
            <v>3</v>
          </cell>
          <cell r="AV578">
            <v>3</v>
          </cell>
          <cell r="AW578">
            <v>3</v>
          </cell>
          <cell r="AX578">
            <v>3</v>
          </cell>
          <cell r="AY578" t="str">
            <v>NULL</v>
          </cell>
          <cell r="AZ578" t="str">
            <v>NULL</v>
          </cell>
          <cell r="BA578" t="str">
            <v>NULL</v>
          </cell>
          <cell r="BB578" t="str">
            <v>NULL</v>
          </cell>
        </row>
        <row r="579">
          <cell r="D579">
            <v>136228</v>
          </cell>
          <cell r="E579">
            <v>3056081</v>
          </cell>
          <cell r="F579" t="str">
            <v>TLC The Learning Centre</v>
          </cell>
          <cell r="G579" t="str">
            <v>Other Independent Special School</v>
          </cell>
          <cell r="H579">
            <v>40430</v>
          </cell>
          <cell r="I579">
            <v>8</v>
          </cell>
          <cell r="J579" t="str">
            <v>London</v>
          </cell>
          <cell r="K579" t="str">
            <v>London</v>
          </cell>
          <cell r="L579" t="str">
            <v>Bromley</v>
          </cell>
          <cell r="M579" t="str">
            <v>Orpington</v>
          </cell>
          <cell r="N579" t="str">
            <v>BR5 1EB</v>
          </cell>
          <cell r="O579" t="str">
            <v>Not applicable</v>
          </cell>
          <cell r="P579">
            <v>11</v>
          </cell>
          <cell r="Q579">
            <v>16</v>
          </cell>
          <cell r="R579" t="str">
            <v>None</v>
          </cell>
          <cell r="S579" t="str">
            <v>Ofsted</v>
          </cell>
          <cell r="T579" t="str">
            <v>NULL</v>
          </cell>
          <cell r="U579" t="str">
            <v>NULL</v>
          </cell>
          <cell r="V579" t="str">
            <v>NULL</v>
          </cell>
          <cell r="W579" t="str">
            <v>NULL</v>
          </cell>
          <cell r="X579" t="str">
            <v>NULL</v>
          </cell>
          <cell r="Y579" t="str">
            <v>NULL</v>
          </cell>
          <cell r="Z579" t="str">
            <v>NULL</v>
          </cell>
          <cell r="AA579" t="str">
            <v>ITS447201</v>
          </cell>
          <cell r="AB579" t="str">
            <v>Independent School standard inspection</v>
          </cell>
          <cell r="AC579" t="str">
            <v>Independent Standard Inspection</v>
          </cell>
          <cell r="AD579">
            <v>41933</v>
          </cell>
          <cell r="AE579">
            <v>41934</v>
          </cell>
          <cell r="AF579">
            <v>42039</v>
          </cell>
          <cell r="AG579">
            <v>2</v>
          </cell>
          <cell r="AH579">
            <v>2</v>
          </cell>
          <cell r="AI579">
            <v>2</v>
          </cell>
          <cell r="AJ579">
            <v>2</v>
          </cell>
          <cell r="AK579" t="str">
            <v>NULL</v>
          </cell>
          <cell r="AL579">
            <v>9</v>
          </cell>
          <cell r="AM579">
            <v>9</v>
          </cell>
          <cell r="AN579" t="str">
            <v>NULL</v>
          </cell>
          <cell r="AO579" t="str">
            <v>ITS366896</v>
          </cell>
          <cell r="AP579" t="str">
            <v>Independent School standard inspection</v>
          </cell>
          <cell r="AQ579" t="str">
            <v>Independent Standard Inspection</v>
          </cell>
          <cell r="AR579">
            <v>40731</v>
          </cell>
          <cell r="AS579">
            <v>40732</v>
          </cell>
          <cell r="AT579">
            <v>40794</v>
          </cell>
          <cell r="AU579">
            <v>4</v>
          </cell>
          <cell r="AV579">
            <v>4</v>
          </cell>
          <cell r="AW579">
            <v>4</v>
          </cell>
          <cell r="AX579" t="str">
            <v>NULL</v>
          </cell>
          <cell r="AY579" t="str">
            <v>NULL</v>
          </cell>
          <cell r="AZ579">
            <v>8</v>
          </cell>
          <cell r="BA579" t="str">
            <v>NULL</v>
          </cell>
          <cell r="BB579" t="str">
            <v>NULL</v>
          </cell>
        </row>
        <row r="580">
          <cell r="D580">
            <v>141603</v>
          </cell>
          <cell r="E580">
            <v>3806011</v>
          </cell>
          <cell r="F580" t="str">
            <v>Training and Skills Centre</v>
          </cell>
          <cell r="G580" t="str">
            <v>Other Independent Special School</v>
          </cell>
          <cell r="H580">
            <v>41967</v>
          </cell>
          <cell r="I580">
            <v>14</v>
          </cell>
          <cell r="J580" t="str">
            <v>North East, Yorkshire and the Humber</v>
          </cell>
          <cell r="K580" t="str">
            <v>Yorkshire and the Humber</v>
          </cell>
          <cell r="L580" t="str">
            <v>Bradford</v>
          </cell>
          <cell r="M580" t="str">
            <v>Bradford East</v>
          </cell>
          <cell r="N580" t="str">
            <v>BD3 9BE</v>
          </cell>
          <cell r="O580" t="str">
            <v>Not applicable</v>
          </cell>
          <cell r="P580">
            <v>14</v>
          </cell>
          <cell r="Q580">
            <v>16</v>
          </cell>
          <cell r="R580" t="str">
            <v>None</v>
          </cell>
          <cell r="S580" t="str">
            <v>Ofsted</v>
          </cell>
          <cell r="T580">
            <v>2</v>
          </cell>
          <cell r="U580">
            <v>10038915</v>
          </cell>
          <cell r="V580" t="str">
            <v>Independent school evaluation of school action plan</v>
          </cell>
          <cell r="W580">
            <v>42909</v>
          </cell>
          <cell r="X580">
            <v>42909</v>
          </cell>
          <cell r="Y580" t="str">
            <v>NULL</v>
          </cell>
          <cell r="Z580" t="str">
            <v>Action plan is acceptable</v>
          </cell>
          <cell r="AA580">
            <v>10006310</v>
          </cell>
          <cell r="AB580" t="str">
            <v>Independent school standard inspection - first</v>
          </cell>
          <cell r="AC580" t="str">
            <v>Independent Standard Inspection</v>
          </cell>
          <cell r="AD580">
            <v>42549</v>
          </cell>
          <cell r="AE580">
            <v>42551</v>
          </cell>
          <cell r="AF580">
            <v>42625</v>
          </cell>
          <cell r="AG580">
            <v>3</v>
          </cell>
          <cell r="AH580">
            <v>3</v>
          </cell>
          <cell r="AI580">
            <v>2</v>
          </cell>
          <cell r="AJ580">
            <v>3</v>
          </cell>
          <cell r="AK580">
            <v>2</v>
          </cell>
          <cell r="AL580" t="str">
            <v>NULL</v>
          </cell>
          <cell r="AM580" t="str">
            <v>NULL</v>
          </cell>
          <cell r="AN580" t="str">
            <v>Yes</v>
          </cell>
          <cell r="AO580" t="str">
            <v>NULL</v>
          </cell>
          <cell r="AP580" t="str">
            <v>NULL</v>
          </cell>
          <cell r="AQ580" t="str">
            <v>NULL</v>
          </cell>
          <cell r="AR580" t="str">
            <v>NULL</v>
          </cell>
          <cell r="AS580" t="str">
            <v>NULL</v>
          </cell>
          <cell r="AT580" t="str">
            <v>NULL</v>
          </cell>
          <cell r="AU580" t="str">
            <v>NULL</v>
          </cell>
          <cell r="AV580" t="str">
            <v>NULL</v>
          </cell>
          <cell r="AW580" t="str">
            <v>NULL</v>
          </cell>
          <cell r="AX580" t="str">
            <v>NULL</v>
          </cell>
          <cell r="AY580" t="str">
            <v>NULL</v>
          </cell>
          <cell r="AZ580" t="str">
            <v>NULL</v>
          </cell>
          <cell r="BA580" t="str">
            <v>NULL</v>
          </cell>
          <cell r="BB580" t="str">
            <v>NULL</v>
          </cell>
        </row>
        <row r="581">
          <cell r="D581">
            <v>131563</v>
          </cell>
          <cell r="E581">
            <v>8886093</v>
          </cell>
          <cell r="F581" t="str">
            <v>Trax Academy</v>
          </cell>
          <cell r="G581" t="str">
            <v>Other Independent Special School</v>
          </cell>
          <cell r="H581">
            <v>38819</v>
          </cell>
          <cell r="I581">
            <v>15</v>
          </cell>
          <cell r="J581" t="str">
            <v>North West</v>
          </cell>
          <cell r="K581" t="str">
            <v>North West</v>
          </cell>
          <cell r="L581" t="str">
            <v>Lancashire</v>
          </cell>
          <cell r="M581" t="str">
            <v>Fylde</v>
          </cell>
          <cell r="N581" t="str">
            <v>FY8 2PP</v>
          </cell>
          <cell r="O581" t="str">
            <v>Has a sixth form</v>
          </cell>
          <cell r="P581">
            <v>11</v>
          </cell>
          <cell r="Q581">
            <v>18</v>
          </cell>
          <cell r="R581" t="str">
            <v>None</v>
          </cell>
          <cell r="S581" t="str">
            <v>Ofsted</v>
          </cell>
          <cell r="T581">
            <v>1</v>
          </cell>
          <cell r="U581">
            <v>10044732</v>
          </cell>
          <cell r="V581" t="str">
            <v>Independent school emergency inspection</v>
          </cell>
          <cell r="W581">
            <v>43117</v>
          </cell>
          <cell r="X581">
            <v>43117</v>
          </cell>
          <cell r="Y581" t="str">
            <v>NULL</v>
          </cell>
          <cell r="Z581" t="str">
            <v>Met all standards that were checked</v>
          </cell>
          <cell r="AA581">
            <v>10020824</v>
          </cell>
          <cell r="AB581" t="str">
            <v>Independent School standard inspection</v>
          </cell>
          <cell r="AC581" t="str">
            <v>Independent Standard Inspection</v>
          </cell>
          <cell r="AD581">
            <v>43025</v>
          </cell>
          <cell r="AE581">
            <v>43027</v>
          </cell>
          <cell r="AF581">
            <v>43048</v>
          </cell>
          <cell r="AG581">
            <v>2</v>
          </cell>
          <cell r="AH581">
            <v>2</v>
          </cell>
          <cell r="AI581">
            <v>2</v>
          </cell>
          <cell r="AJ581">
            <v>2</v>
          </cell>
          <cell r="AK581">
            <v>2</v>
          </cell>
          <cell r="AL581" t="str">
            <v>NULL</v>
          </cell>
          <cell r="AM581" t="str">
            <v>NULL</v>
          </cell>
          <cell r="AN581" t="str">
            <v>Yes</v>
          </cell>
          <cell r="AO581" t="str">
            <v>ITS422726</v>
          </cell>
          <cell r="AP581" t="str">
            <v>Independent School standard inspection</v>
          </cell>
          <cell r="AQ581" t="str">
            <v>Independent Standard Inspection</v>
          </cell>
          <cell r="AR581">
            <v>41555</v>
          </cell>
          <cell r="AS581">
            <v>41557</v>
          </cell>
          <cell r="AT581">
            <v>41578</v>
          </cell>
          <cell r="AU581">
            <v>2</v>
          </cell>
          <cell r="AV581">
            <v>2</v>
          </cell>
          <cell r="AW581">
            <v>2</v>
          </cell>
          <cell r="AX581">
            <v>2</v>
          </cell>
          <cell r="AY581" t="str">
            <v>NULL</v>
          </cell>
          <cell r="AZ581" t="str">
            <v>NULL</v>
          </cell>
          <cell r="BA581" t="str">
            <v>NULL</v>
          </cell>
          <cell r="BB581" t="str">
            <v>NULL</v>
          </cell>
        </row>
        <row r="582">
          <cell r="D582">
            <v>132750</v>
          </cell>
          <cell r="E582">
            <v>3356010</v>
          </cell>
          <cell r="F582" t="str">
            <v>Abu Bakr Girls School</v>
          </cell>
          <cell r="G582" t="str">
            <v>Other Independent School</v>
          </cell>
          <cell r="H582">
            <v>36817</v>
          </cell>
          <cell r="I582">
            <v>451</v>
          </cell>
          <cell r="J582" t="str">
            <v>West Midlands</v>
          </cell>
          <cell r="K582" t="str">
            <v>West Midlands</v>
          </cell>
          <cell r="L582" t="str">
            <v>Walsall</v>
          </cell>
          <cell r="M582" t="str">
            <v>Walsall South</v>
          </cell>
          <cell r="N582" t="str">
            <v>WS1 4JJ</v>
          </cell>
          <cell r="O582" t="str">
            <v>Does not have a sixth form</v>
          </cell>
          <cell r="P582">
            <v>4</v>
          </cell>
          <cell r="Q582">
            <v>16</v>
          </cell>
          <cell r="R582" t="str">
            <v>None</v>
          </cell>
          <cell r="S582" t="str">
            <v>Ofsted</v>
          </cell>
          <cell r="T582" t="str">
            <v>NULL</v>
          </cell>
          <cell r="U582" t="str">
            <v>NULL</v>
          </cell>
          <cell r="V582" t="str">
            <v>NULL</v>
          </cell>
          <cell r="W582" t="str">
            <v>NULL</v>
          </cell>
          <cell r="X582" t="str">
            <v>NULL</v>
          </cell>
          <cell r="Y582" t="str">
            <v>NULL</v>
          </cell>
          <cell r="Z582" t="str">
            <v>NULL</v>
          </cell>
          <cell r="AA582">
            <v>10038830</v>
          </cell>
          <cell r="AB582" t="str">
            <v>Independent School standard inspection</v>
          </cell>
          <cell r="AC582" t="str">
            <v>Independent Standard Inspection</v>
          </cell>
          <cell r="AD582">
            <v>43116</v>
          </cell>
          <cell r="AE582">
            <v>43118</v>
          </cell>
          <cell r="AF582">
            <v>43139</v>
          </cell>
          <cell r="AG582">
            <v>2</v>
          </cell>
          <cell r="AH582">
            <v>2</v>
          </cell>
          <cell r="AI582">
            <v>2</v>
          </cell>
          <cell r="AJ582">
            <v>2</v>
          </cell>
          <cell r="AK582">
            <v>1</v>
          </cell>
          <cell r="AL582">
            <v>2</v>
          </cell>
          <cell r="AM582" t="str">
            <v>NULL</v>
          </cell>
          <cell r="AN582" t="str">
            <v>Yes</v>
          </cell>
          <cell r="AO582" t="str">
            <v>ITS316892</v>
          </cell>
          <cell r="AP582" t="str">
            <v>Independent School standard inspection</v>
          </cell>
          <cell r="AQ582" t="str">
            <v>Independent Standard Inspection</v>
          </cell>
          <cell r="AR582">
            <v>39421</v>
          </cell>
          <cell r="AS582">
            <v>39422</v>
          </cell>
          <cell r="AT582">
            <v>39450</v>
          </cell>
          <cell r="AU582">
            <v>2</v>
          </cell>
          <cell r="AV582">
            <v>2</v>
          </cell>
          <cell r="AW582">
            <v>2</v>
          </cell>
          <cell r="AX582" t="str">
            <v>NULL</v>
          </cell>
          <cell r="AY582" t="str">
            <v>NULL</v>
          </cell>
          <cell r="AZ582" t="str">
            <v>NULL</v>
          </cell>
          <cell r="BA582" t="str">
            <v>NULL</v>
          </cell>
          <cell r="BB582" t="str">
            <v>NULL</v>
          </cell>
        </row>
        <row r="583">
          <cell r="D583">
            <v>134469</v>
          </cell>
          <cell r="E583">
            <v>3586018</v>
          </cell>
          <cell r="F583" t="str">
            <v>Afifah School</v>
          </cell>
          <cell r="G583" t="str">
            <v>Other Independent School</v>
          </cell>
          <cell r="H583">
            <v>37861</v>
          </cell>
          <cell r="I583">
            <v>192</v>
          </cell>
          <cell r="J583" t="str">
            <v>North West</v>
          </cell>
          <cell r="K583" t="str">
            <v>North West</v>
          </cell>
          <cell r="L583" t="str">
            <v>Trafford</v>
          </cell>
          <cell r="M583" t="str">
            <v>Stretford and Urmston</v>
          </cell>
          <cell r="N583" t="str">
            <v>M16 9GN</v>
          </cell>
          <cell r="O583" t="str">
            <v>Does not have a sixth form</v>
          </cell>
          <cell r="P583">
            <v>2</v>
          </cell>
          <cell r="Q583">
            <v>16</v>
          </cell>
          <cell r="R583" t="str">
            <v>Muslim</v>
          </cell>
          <cell r="S583" t="str">
            <v>Ofsted</v>
          </cell>
          <cell r="T583" t="str">
            <v>NULL</v>
          </cell>
          <cell r="U583" t="str">
            <v>NULL</v>
          </cell>
          <cell r="V583" t="str">
            <v>NULL</v>
          </cell>
          <cell r="W583" t="str">
            <v>NULL</v>
          </cell>
          <cell r="X583" t="str">
            <v>NULL</v>
          </cell>
          <cell r="Y583" t="str">
            <v>NULL</v>
          </cell>
          <cell r="Z583" t="str">
            <v>NULL</v>
          </cell>
          <cell r="AA583">
            <v>10026011</v>
          </cell>
          <cell r="AB583" t="str">
            <v>Independent School standard inspection</v>
          </cell>
          <cell r="AC583" t="str">
            <v>Independent Standard Inspection</v>
          </cell>
          <cell r="AD583">
            <v>42808</v>
          </cell>
          <cell r="AE583">
            <v>42810</v>
          </cell>
          <cell r="AF583">
            <v>42830</v>
          </cell>
          <cell r="AG583">
            <v>2</v>
          </cell>
          <cell r="AH583">
            <v>2</v>
          </cell>
          <cell r="AI583">
            <v>2</v>
          </cell>
          <cell r="AJ583">
            <v>2</v>
          </cell>
          <cell r="AK583">
            <v>2</v>
          </cell>
          <cell r="AL583">
            <v>2</v>
          </cell>
          <cell r="AM583" t="str">
            <v>NULL</v>
          </cell>
          <cell r="AN583" t="str">
            <v>Yes</v>
          </cell>
          <cell r="AO583" t="str">
            <v>ITS316818</v>
          </cell>
          <cell r="AP583" t="str">
            <v>Independent School standard inspection</v>
          </cell>
          <cell r="AQ583" t="str">
            <v>Independent Standard Inspection</v>
          </cell>
          <cell r="AR583">
            <v>39518</v>
          </cell>
          <cell r="AS583">
            <v>39519</v>
          </cell>
          <cell r="AT583">
            <v>39545</v>
          </cell>
          <cell r="AU583">
            <v>3</v>
          </cell>
          <cell r="AV583">
            <v>3</v>
          </cell>
          <cell r="AW583">
            <v>3</v>
          </cell>
          <cell r="AX583" t="str">
            <v>NULL</v>
          </cell>
          <cell r="AY583" t="str">
            <v>NULL</v>
          </cell>
          <cell r="AZ583" t="str">
            <v>NULL</v>
          </cell>
          <cell r="BA583" t="str">
            <v>NULL</v>
          </cell>
          <cell r="BB583" t="str">
            <v>NULL</v>
          </cell>
        </row>
        <row r="584">
          <cell r="D584">
            <v>140036</v>
          </cell>
          <cell r="E584">
            <v>3556000</v>
          </cell>
          <cell r="F584" t="str">
            <v>Ahavas Torah Boys Academy</v>
          </cell>
          <cell r="G584" t="str">
            <v>Other Independent School</v>
          </cell>
          <cell r="H584">
            <v>41505</v>
          </cell>
          <cell r="I584">
            <v>47</v>
          </cell>
          <cell r="J584" t="str">
            <v>North West</v>
          </cell>
          <cell r="K584" t="str">
            <v>North West</v>
          </cell>
          <cell r="L584" t="str">
            <v>Salford</v>
          </cell>
          <cell r="M584" t="str">
            <v>Blackley and Broughton</v>
          </cell>
          <cell r="N584" t="str">
            <v>M7 4QX</v>
          </cell>
          <cell r="O584" t="str">
            <v>Does not have a sixth form</v>
          </cell>
          <cell r="P584">
            <v>11</v>
          </cell>
          <cell r="Q584">
            <v>16</v>
          </cell>
          <cell r="R584" t="str">
            <v>Orthodox Jewish</v>
          </cell>
          <cell r="S584" t="str">
            <v>Ofsted</v>
          </cell>
          <cell r="T584" t="str">
            <v>NULL</v>
          </cell>
          <cell r="U584" t="str">
            <v>NULL</v>
          </cell>
          <cell r="V584" t="str">
            <v>NULL</v>
          </cell>
          <cell r="W584" t="str">
            <v>NULL</v>
          </cell>
          <cell r="X584" t="str">
            <v>NULL</v>
          </cell>
          <cell r="Y584" t="str">
            <v>NULL</v>
          </cell>
          <cell r="Z584" t="str">
            <v>NULL</v>
          </cell>
          <cell r="AA584" t="str">
            <v>ITS443025</v>
          </cell>
          <cell r="AB584" t="str">
            <v>Independent school standard inspection - first</v>
          </cell>
          <cell r="AC584" t="str">
            <v>Independent Standard Inspection</v>
          </cell>
          <cell r="AD584">
            <v>41947</v>
          </cell>
          <cell r="AE584">
            <v>41949</v>
          </cell>
          <cell r="AF584">
            <v>41970</v>
          </cell>
          <cell r="AG584">
            <v>3</v>
          </cell>
          <cell r="AH584">
            <v>3</v>
          </cell>
          <cell r="AI584">
            <v>3</v>
          </cell>
          <cell r="AJ584">
            <v>3</v>
          </cell>
          <cell r="AK584" t="str">
            <v>NULL</v>
          </cell>
          <cell r="AL584">
            <v>9</v>
          </cell>
          <cell r="AM584">
            <v>9</v>
          </cell>
          <cell r="AN584" t="str">
            <v>NULL</v>
          </cell>
          <cell r="AO584" t="str">
            <v>NULL</v>
          </cell>
          <cell r="AP584" t="str">
            <v>NULL</v>
          </cell>
          <cell r="AQ584" t="str">
            <v>NULL</v>
          </cell>
          <cell r="AR584" t="str">
            <v>NULL</v>
          </cell>
          <cell r="AS584" t="str">
            <v>NULL</v>
          </cell>
          <cell r="AT584" t="str">
            <v>NULL</v>
          </cell>
          <cell r="AU584" t="str">
            <v>NULL</v>
          </cell>
          <cell r="AV584" t="str">
            <v>NULL</v>
          </cell>
          <cell r="AW584" t="str">
            <v>NULL</v>
          </cell>
          <cell r="AX584" t="str">
            <v>NULL</v>
          </cell>
          <cell r="AY584" t="str">
            <v>NULL</v>
          </cell>
          <cell r="AZ584" t="str">
            <v>NULL</v>
          </cell>
          <cell r="BA584" t="str">
            <v>NULL</v>
          </cell>
          <cell r="BB584" t="str">
            <v>NULL</v>
          </cell>
        </row>
        <row r="585">
          <cell r="D585">
            <v>138980</v>
          </cell>
          <cell r="E585">
            <v>2116007</v>
          </cell>
          <cell r="F585" t="str">
            <v>Al Ashraaf Secondary School</v>
          </cell>
          <cell r="G585" t="str">
            <v>Other Independent School</v>
          </cell>
          <cell r="H585">
            <v>41227</v>
          </cell>
          <cell r="I585">
            <v>43</v>
          </cell>
          <cell r="J585" t="str">
            <v>London</v>
          </cell>
          <cell r="K585" t="str">
            <v>London</v>
          </cell>
          <cell r="L585" t="str">
            <v>Tower Hamlets</v>
          </cell>
          <cell r="M585" t="str">
            <v>Bethnal Green and Bow</v>
          </cell>
          <cell r="N585" t="str">
            <v>E1 7RA</v>
          </cell>
          <cell r="O585" t="str">
            <v>Does not have a sixth form</v>
          </cell>
          <cell r="P585">
            <v>11</v>
          </cell>
          <cell r="Q585">
            <v>16</v>
          </cell>
          <cell r="R585" t="str">
            <v>None</v>
          </cell>
          <cell r="S585" t="str">
            <v>Ofsted</v>
          </cell>
          <cell r="T585">
            <v>2</v>
          </cell>
          <cell r="U585">
            <v>10049089</v>
          </cell>
          <cell r="V585" t="str">
            <v>Independent school Progress Monitoring inspection</v>
          </cell>
          <cell r="W585">
            <v>43179</v>
          </cell>
          <cell r="X585">
            <v>43179</v>
          </cell>
          <cell r="Y585" t="str">
            <v>NULL</v>
          </cell>
          <cell r="Z585" t="str">
            <v>Did not meet all standards that were checked</v>
          </cell>
          <cell r="AA585">
            <v>10034446</v>
          </cell>
          <cell r="AB585" t="str">
            <v>Independent School standard inspection</v>
          </cell>
          <cell r="AC585" t="str">
            <v>Independent Standard Inspection</v>
          </cell>
          <cell r="AD585">
            <v>42920</v>
          </cell>
          <cell r="AE585">
            <v>42922</v>
          </cell>
          <cell r="AF585">
            <v>43020</v>
          </cell>
          <cell r="AG585">
            <v>4</v>
          </cell>
          <cell r="AH585">
            <v>4</v>
          </cell>
          <cell r="AI585">
            <v>4</v>
          </cell>
          <cell r="AJ585">
            <v>4</v>
          </cell>
          <cell r="AK585">
            <v>4</v>
          </cell>
          <cell r="AL585" t="str">
            <v>NULL</v>
          </cell>
          <cell r="AM585" t="str">
            <v>NULL</v>
          </cell>
          <cell r="AN585" t="str">
            <v>No</v>
          </cell>
          <cell r="AO585" t="str">
            <v>ITS422843</v>
          </cell>
          <cell r="AP585" t="str">
            <v>Independent School standard inspection</v>
          </cell>
          <cell r="AQ585" t="str">
            <v>Independent Standard Inspection</v>
          </cell>
          <cell r="AR585">
            <v>41828</v>
          </cell>
          <cell r="AS585">
            <v>41830</v>
          </cell>
          <cell r="AT585">
            <v>41887</v>
          </cell>
          <cell r="AU585">
            <v>3</v>
          </cell>
          <cell r="AV585">
            <v>3</v>
          </cell>
          <cell r="AW585">
            <v>3</v>
          </cell>
          <cell r="AX585">
            <v>3</v>
          </cell>
          <cell r="AY585" t="str">
            <v>NULL</v>
          </cell>
          <cell r="AZ585" t="str">
            <v>NULL</v>
          </cell>
          <cell r="BA585" t="str">
            <v>NULL</v>
          </cell>
          <cell r="BB585" t="str">
            <v>NULL</v>
          </cell>
        </row>
        <row r="586">
          <cell r="D586">
            <v>132119</v>
          </cell>
          <cell r="E586">
            <v>3416046</v>
          </cell>
          <cell r="F586" t="str">
            <v>Auckland College</v>
          </cell>
          <cell r="G586" t="str">
            <v>Other Independent School</v>
          </cell>
          <cell r="H586">
            <v>36643</v>
          </cell>
          <cell r="I586">
            <v>213</v>
          </cell>
          <cell r="J586" t="str">
            <v>North West</v>
          </cell>
          <cell r="K586" t="str">
            <v>North West</v>
          </cell>
          <cell r="L586" t="str">
            <v>Liverpool</v>
          </cell>
          <cell r="M586" t="str">
            <v>Liverpool, Riverside</v>
          </cell>
          <cell r="N586" t="str">
            <v>L17 4LE</v>
          </cell>
          <cell r="O586" t="str">
            <v>Does not have a sixth form</v>
          </cell>
          <cell r="P586">
            <v>3</v>
          </cell>
          <cell r="Q586">
            <v>16</v>
          </cell>
          <cell r="R586" t="str">
            <v>None</v>
          </cell>
          <cell r="S586" t="str">
            <v>Ofsted</v>
          </cell>
          <cell r="T586" t="str">
            <v>NULL</v>
          </cell>
          <cell r="U586" t="str">
            <v>NULL</v>
          </cell>
          <cell r="V586" t="str">
            <v>NULL</v>
          </cell>
          <cell r="W586" t="str">
            <v>NULL</v>
          </cell>
          <cell r="X586" t="str">
            <v>NULL</v>
          </cell>
          <cell r="Y586" t="str">
            <v>NULL</v>
          </cell>
          <cell r="Z586" t="str">
            <v>NULL</v>
          </cell>
          <cell r="AA586">
            <v>10020911</v>
          </cell>
          <cell r="AB586" t="str">
            <v>Independent School standard inspection</v>
          </cell>
          <cell r="AC586" t="str">
            <v>Independent Standard Inspection</v>
          </cell>
          <cell r="AD586">
            <v>42675</v>
          </cell>
          <cell r="AE586">
            <v>42677</v>
          </cell>
          <cell r="AF586">
            <v>42741</v>
          </cell>
          <cell r="AG586">
            <v>2</v>
          </cell>
          <cell r="AH586">
            <v>2</v>
          </cell>
          <cell r="AI586">
            <v>2</v>
          </cell>
          <cell r="AJ586">
            <v>1</v>
          </cell>
          <cell r="AK586">
            <v>1</v>
          </cell>
          <cell r="AL586">
            <v>2</v>
          </cell>
          <cell r="AM586" t="str">
            <v>NULL</v>
          </cell>
          <cell r="AN586" t="str">
            <v>Yes</v>
          </cell>
          <cell r="AO586" t="str">
            <v>ITS422744</v>
          </cell>
          <cell r="AP586" t="str">
            <v>Independent School standard inspection</v>
          </cell>
          <cell r="AQ586" t="str">
            <v>Independent Standard Inspection</v>
          </cell>
          <cell r="AR586">
            <v>41590</v>
          </cell>
          <cell r="AS586">
            <v>41592</v>
          </cell>
          <cell r="AT586">
            <v>41612</v>
          </cell>
          <cell r="AU586">
            <v>2</v>
          </cell>
          <cell r="AV586">
            <v>2</v>
          </cell>
          <cell r="AW586">
            <v>2</v>
          </cell>
          <cell r="AX586">
            <v>2</v>
          </cell>
          <cell r="AY586" t="str">
            <v>NULL</v>
          </cell>
          <cell r="AZ586" t="str">
            <v>NULL</v>
          </cell>
          <cell r="BA586" t="str">
            <v>NULL</v>
          </cell>
          <cell r="BB586" t="str">
            <v>NULL</v>
          </cell>
        </row>
        <row r="587">
          <cell r="D587">
            <v>140382</v>
          </cell>
          <cell r="E587">
            <v>3306016</v>
          </cell>
          <cell r="F587" t="str">
            <v>Avecinna Academy</v>
          </cell>
          <cell r="G587" t="str">
            <v>Other Independent School</v>
          </cell>
          <cell r="H587">
            <v>41598</v>
          </cell>
          <cell r="I587">
            <v>62</v>
          </cell>
          <cell r="J587" t="str">
            <v>West Midlands</v>
          </cell>
          <cell r="K587" t="str">
            <v>West Midlands</v>
          </cell>
          <cell r="L587" t="str">
            <v>Birmingham</v>
          </cell>
          <cell r="M587" t="str">
            <v>Birmingham, Ladywood</v>
          </cell>
          <cell r="N587" t="str">
            <v>B9 4BS</v>
          </cell>
          <cell r="O587" t="str">
            <v>Has a sixth form</v>
          </cell>
          <cell r="P587">
            <v>11</v>
          </cell>
          <cell r="Q587">
            <v>17</v>
          </cell>
          <cell r="R587" t="str">
            <v>None</v>
          </cell>
          <cell r="S587" t="str">
            <v>Ofsted</v>
          </cell>
          <cell r="T587">
            <v>8</v>
          </cell>
          <cell r="U587">
            <v>10026657</v>
          </cell>
          <cell r="V587" t="str">
            <v>Independent school Progress Monitoring inspection</v>
          </cell>
          <cell r="W587">
            <v>42796</v>
          </cell>
          <cell r="X587">
            <v>42796</v>
          </cell>
          <cell r="Y587">
            <v>42824</v>
          </cell>
          <cell r="Z587" t="str">
            <v>Met all standards that were checked</v>
          </cell>
          <cell r="AA587" t="str">
            <v>ITS447300</v>
          </cell>
          <cell r="AB587" t="str">
            <v>Independent school standard inspection - first</v>
          </cell>
          <cell r="AC587" t="str">
            <v>Independent Standard Inspection</v>
          </cell>
          <cell r="AD587">
            <v>41905</v>
          </cell>
          <cell r="AE587">
            <v>41907</v>
          </cell>
          <cell r="AF587">
            <v>41927</v>
          </cell>
          <cell r="AG587">
            <v>3</v>
          </cell>
          <cell r="AH587">
            <v>3</v>
          </cell>
          <cell r="AI587">
            <v>3</v>
          </cell>
          <cell r="AJ587">
            <v>3</v>
          </cell>
          <cell r="AK587" t="str">
            <v>NULL</v>
          </cell>
          <cell r="AL587" t="str">
            <v>NULL</v>
          </cell>
          <cell r="AM587" t="str">
            <v>NULL</v>
          </cell>
          <cell r="AN587" t="str">
            <v>NULL</v>
          </cell>
          <cell r="AO587" t="str">
            <v>NULL</v>
          </cell>
          <cell r="AP587" t="str">
            <v>NULL</v>
          </cell>
          <cell r="AQ587" t="str">
            <v>NULL</v>
          </cell>
          <cell r="AR587" t="str">
            <v>NULL</v>
          </cell>
          <cell r="AS587" t="str">
            <v>NULL</v>
          </cell>
          <cell r="AT587" t="str">
            <v>NULL</v>
          </cell>
          <cell r="AU587" t="str">
            <v>NULL</v>
          </cell>
          <cell r="AV587" t="str">
            <v>NULL</v>
          </cell>
          <cell r="AW587" t="str">
            <v>NULL</v>
          </cell>
          <cell r="AX587" t="str">
            <v>NULL</v>
          </cell>
          <cell r="AY587" t="str">
            <v>NULL</v>
          </cell>
          <cell r="AZ587" t="str">
            <v>NULL</v>
          </cell>
          <cell r="BA587" t="str">
            <v>NULL</v>
          </cell>
          <cell r="BB587" t="str">
            <v>NULL</v>
          </cell>
        </row>
        <row r="588">
          <cell r="D588">
            <v>140479</v>
          </cell>
          <cell r="E588">
            <v>3736004</v>
          </cell>
          <cell r="F588" t="str">
            <v>Avicenna Academy</v>
          </cell>
          <cell r="G588" t="str">
            <v>Other Independent School</v>
          </cell>
          <cell r="H588">
            <v>41610</v>
          </cell>
          <cell r="I588">
            <v>86</v>
          </cell>
          <cell r="J588" t="str">
            <v>North East, Yorkshire and the Humber</v>
          </cell>
          <cell r="K588" t="str">
            <v>Yorkshire and the Humber</v>
          </cell>
          <cell r="L588" t="str">
            <v>Sheffield</v>
          </cell>
          <cell r="M588" t="str">
            <v>Sheffield South East</v>
          </cell>
          <cell r="N588" t="str">
            <v>S9 5DL</v>
          </cell>
          <cell r="O588" t="str">
            <v>Does not have a sixth form</v>
          </cell>
          <cell r="P588">
            <v>4</v>
          </cell>
          <cell r="Q588">
            <v>16</v>
          </cell>
          <cell r="R588" t="str">
            <v>None</v>
          </cell>
          <cell r="S588" t="str">
            <v>Ofsted</v>
          </cell>
          <cell r="T588" t="str">
            <v>NULL</v>
          </cell>
          <cell r="U588" t="str">
            <v>NULL</v>
          </cell>
          <cell r="V588" t="str">
            <v>NULL</v>
          </cell>
          <cell r="W588" t="str">
            <v>NULL</v>
          </cell>
          <cell r="X588" t="str">
            <v>NULL</v>
          </cell>
          <cell r="Y588" t="str">
            <v>NULL</v>
          </cell>
          <cell r="Z588" t="str">
            <v>NULL</v>
          </cell>
          <cell r="AA588" t="str">
            <v>ITS447249</v>
          </cell>
          <cell r="AB588" t="str">
            <v>Independent school standard inspection - first</v>
          </cell>
          <cell r="AC588" t="str">
            <v>Independent Standard Inspection</v>
          </cell>
          <cell r="AD588">
            <v>41975</v>
          </cell>
          <cell r="AE588">
            <v>41977</v>
          </cell>
          <cell r="AF588">
            <v>42018</v>
          </cell>
          <cell r="AG588">
            <v>2</v>
          </cell>
          <cell r="AH588">
            <v>2</v>
          </cell>
          <cell r="AI588">
            <v>2</v>
          </cell>
          <cell r="AJ588">
            <v>2</v>
          </cell>
          <cell r="AK588" t="str">
            <v>NULL</v>
          </cell>
          <cell r="AL588">
            <v>2</v>
          </cell>
          <cell r="AM588">
            <v>9</v>
          </cell>
          <cell r="AN588" t="str">
            <v>NULL</v>
          </cell>
          <cell r="AO588" t="str">
            <v>NULL</v>
          </cell>
          <cell r="AP588" t="str">
            <v>NULL</v>
          </cell>
          <cell r="AQ588" t="str">
            <v>NULL</v>
          </cell>
          <cell r="AR588" t="str">
            <v>NULL</v>
          </cell>
          <cell r="AS588" t="str">
            <v>NULL</v>
          </cell>
          <cell r="AT588" t="str">
            <v>NULL</v>
          </cell>
          <cell r="AU588" t="str">
            <v>NULL</v>
          </cell>
          <cell r="AV588" t="str">
            <v>NULL</v>
          </cell>
          <cell r="AW588" t="str">
            <v>NULL</v>
          </cell>
          <cell r="AX588" t="str">
            <v>NULL</v>
          </cell>
          <cell r="AY588" t="str">
            <v>NULL</v>
          </cell>
          <cell r="AZ588" t="str">
            <v>NULL</v>
          </cell>
          <cell r="BA588" t="str">
            <v>NULL</v>
          </cell>
          <cell r="BB588" t="str">
            <v>NULL</v>
          </cell>
        </row>
        <row r="589">
          <cell r="D589">
            <v>126523</v>
          </cell>
          <cell r="E589">
            <v>8656005</v>
          </cell>
          <cell r="F589" t="str">
            <v>Avondale Preparatory School</v>
          </cell>
          <cell r="G589" t="str">
            <v>Other Independent School</v>
          </cell>
          <cell r="H589">
            <v>21117</v>
          </cell>
          <cell r="I589">
            <v>110</v>
          </cell>
          <cell r="J589" t="str">
            <v>South West</v>
          </cell>
          <cell r="K589" t="str">
            <v>South West</v>
          </cell>
          <cell r="L589" t="str">
            <v>Wiltshire</v>
          </cell>
          <cell r="M589" t="str">
            <v>Devizes</v>
          </cell>
          <cell r="N589" t="str">
            <v>SP4 9DR</v>
          </cell>
          <cell r="O589" t="str">
            <v>Does not have a sixth form</v>
          </cell>
          <cell r="P589">
            <v>2</v>
          </cell>
          <cell r="Q589">
            <v>11</v>
          </cell>
          <cell r="R589" t="str">
            <v>None</v>
          </cell>
          <cell r="S589" t="str">
            <v>Ofsted</v>
          </cell>
          <cell r="T589" t="str">
            <v>NULL</v>
          </cell>
          <cell r="U589" t="str">
            <v>NULL</v>
          </cell>
          <cell r="V589" t="str">
            <v>NULL</v>
          </cell>
          <cell r="W589" t="str">
            <v>NULL</v>
          </cell>
          <cell r="X589" t="str">
            <v>NULL</v>
          </cell>
          <cell r="Y589" t="str">
            <v>NULL</v>
          </cell>
          <cell r="Z589" t="str">
            <v>NULL</v>
          </cell>
          <cell r="AA589" t="str">
            <v>ITS462872</v>
          </cell>
          <cell r="AB589" t="str">
            <v>Independent School standard inspection</v>
          </cell>
          <cell r="AC589" t="str">
            <v>Independent Standard Inspection</v>
          </cell>
          <cell r="AD589">
            <v>42172</v>
          </cell>
          <cell r="AE589">
            <v>42174</v>
          </cell>
          <cell r="AF589">
            <v>42255</v>
          </cell>
          <cell r="AG589">
            <v>2</v>
          </cell>
          <cell r="AH589">
            <v>2</v>
          </cell>
          <cell r="AI589">
            <v>2</v>
          </cell>
          <cell r="AJ589">
            <v>2</v>
          </cell>
          <cell r="AK589" t="str">
            <v>NULL</v>
          </cell>
          <cell r="AL589">
            <v>1</v>
          </cell>
          <cell r="AM589">
            <v>9</v>
          </cell>
          <cell r="AN589" t="str">
            <v>NULL</v>
          </cell>
          <cell r="AO589" t="str">
            <v>ITS333843</v>
          </cell>
          <cell r="AP589" t="str">
            <v>S162a - LTI Inspection Historic</v>
          </cell>
          <cell r="AQ589" t="str">
            <v>Independent Standard Inspection</v>
          </cell>
          <cell r="AR589">
            <v>39933</v>
          </cell>
          <cell r="AS589">
            <v>39933</v>
          </cell>
          <cell r="AT589">
            <v>39966</v>
          </cell>
          <cell r="AU589">
            <v>2</v>
          </cell>
          <cell r="AV589">
            <v>2</v>
          </cell>
          <cell r="AW589">
            <v>2</v>
          </cell>
          <cell r="AX589" t="str">
            <v>NULL</v>
          </cell>
          <cell r="AY589" t="str">
            <v>NULL</v>
          </cell>
          <cell r="AZ589">
            <v>1</v>
          </cell>
          <cell r="BA589" t="str">
            <v>NULL</v>
          </cell>
          <cell r="BB589" t="str">
            <v>NULL</v>
          </cell>
        </row>
        <row r="590">
          <cell r="D590">
            <v>131261</v>
          </cell>
          <cell r="E590">
            <v>3026119</v>
          </cell>
          <cell r="F590" t="str">
            <v>Ayesha Community School</v>
          </cell>
          <cell r="G590" t="str">
            <v>Other Independent School</v>
          </cell>
          <cell r="H590">
            <v>38757</v>
          </cell>
          <cell r="I590">
            <v>207</v>
          </cell>
          <cell r="J590" t="str">
            <v>London</v>
          </cell>
          <cell r="K590" t="str">
            <v>London</v>
          </cell>
          <cell r="L590" t="str">
            <v>Barnet</v>
          </cell>
          <cell r="M590" t="str">
            <v>Hendon</v>
          </cell>
          <cell r="N590" t="str">
            <v>NW4 3ES</v>
          </cell>
          <cell r="O590" t="str">
            <v>Has a sixth form</v>
          </cell>
          <cell r="P590">
            <v>3</v>
          </cell>
          <cell r="Q590">
            <v>19</v>
          </cell>
          <cell r="R590" t="str">
            <v>Islam</v>
          </cell>
          <cell r="S590" t="str">
            <v>Ofsted</v>
          </cell>
          <cell r="T590" t="str">
            <v>NULL</v>
          </cell>
          <cell r="U590" t="str">
            <v>NULL</v>
          </cell>
          <cell r="V590" t="str">
            <v>NULL</v>
          </cell>
          <cell r="W590" t="str">
            <v>NULL</v>
          </cell>
          <cell r="X590" t="str">
            <v>NULL</v>
          </cell>
          <cell r="Y590" t="str">
            <v>NULL</v>
          </cell>
          <cell r="Z590" t="str">
            <v>NULL</v>
          </cell>
          <cell r="AA590" t="str">
            <v>ITS420193</v>
          </cell>
          <cell r="AB590" t="str">
            <v>Independent School standard inspection</v>
          </cell>
          <cell r="AC590" t="str">
            <v>Independent Standard Inspection</v>
          </cell>
          <cell r="AD590">
            <v>41429</v>
          </cell>
          <cell r="AE590">
            <v>41431</v>
          </cell>
          <cell r="AF590">
            <v>41451</v>
          </cell>
          <cell r="AG590">
            <v>3</v>
          </cell>
          <cell r="AH590">
            <v>3</v>
          </cell>
          <cell r="AI590">
            <v>3</v>
          </cell>
          <cell r="AJ590">
            <v>3</v>
          </cell>
          <cell r="AK590" t="str">
            <v>NULL</v>
          </cell>
          <cell r="AL590" t="str">
            <v>NULL</v>
          </cell>
          <cell r="AM590" t="str">
            <v>NULL</v>
          </cell>
          <cell r="AN590" t="str">
            <v>NULL</v>
          </cell>
          <cell r="AO590" t="str">
            <v>ITS345555</v>
          </cell>
          <cell r="AP590" t="str">
            <v>Independent School standard inspection</v>
          </cell>
          <cell r="AQ590" t="str">
            <v>Independent Standard Inspection</v>
          </cell>
          <cell r="AR590">
            <v>40234</v>
          </cell>
          <cell r="AS590">
            <v>40235</v>
          </cell>
          <cell r="AT590">
            <v>40262</v>
          </cell>
          <cell r="AU590">
            <v>4</v>
          </cell>
          <cell r="AV590">
            <v>3</v>
          </cell>
          <cell r="AW590">
            <v>4</v>
          </cell>
          <cell r="AX590" t="str">
            <v>NULL</v>
          </cell>
          <cell r="AY590" t="str">
            <v>NULL</v>
          </cell>
          <cell r="AZ590">
            <v>4</v>
          </cell>
          <cell r="BA590" t="str">
            <v>NULL</v>
          </cell>
          <cell r="BB590" t="str">
            <v>NULL</v>
          </cell>
        </row>
        <row r="591">
          <cell r="D591">
            <v>135185</v>
          </cell>
          <cell r="E591">
            <v>8556023</v>
          </cell>
          <cell r="F591" t="str">
            <v>Brooke House Day School</v>
          </cell>
          <cell r="G591" t="str">
            <v>Other Independent School</v>
          </cell>
          <cell r="H591">
            <v>39135</v>
          </cell>
          <cell r="I591">
            <v>85</v>
          </cell>
          <cell r="J591" t="str">
            <v>East Midlands</v>
          </cell>
          <cell r="K591" t="str">
            <v>East Midlands</v>
          </cell>
          <cell r="L591" t="str">
            <v>Leicestershire</v>
          </cell>
          <cell r="M591" t="str">
            <v>South Leicestershire</v>
          </cell>
          <cell r="N591" t="str">
            <v>LE9 1SE</v>
          </cell>
          <cell r="O591" t="str">
            <v>Does not have a sixth form</v>
          </cell>
          <cell r="P591">
            <v>3</v>
          </cell>
          <cell r="Q591">
            <v>16</v>
          </cell>
          <cell r="R591" t="str">
            <v>None</v>
          </cell>
          <cell r="S591" t="str">
            <v>Ofsted</v>
          </cell>
          <cell r="T591" t="str">
            <v>NULL</v>
          </cell>
          <cell r="U591" t="str">
            <v>NULL</v>
          </cell>
          <cell r="V591" t="str">
            <v>NULL</v>
          </cell>
          <cell r="W591" t="str">
            <v>NULL</v>
          </cell>
          <cell r="X591" t="str">
            <v>NULL</v>
          </cell>
          <cell r="Y591" t="str">
            <v>NULL</v>
          </cell>
          <cell r="Z591" t="str">
            <v>NULL</v>
          </cell>
          <cell r="AA591">
            <v>10008561</v>
          </cell>
          <cell r="AB591" t="str">
            <v>Independent School standard inspection</v>
          </cell>
          <cell r="AC591" t="str">
            <v>Independent Standard Inspection</v>
          </cell>
          <cell r="AD591">
            <v>42542</v>
          </cell>
          <cell r="AE591">
            <v>42544</v>
          </cell>
          <cell r="AF591">
            <v>42639</v>
          </cell>
          <cell r="AG591">
            <v>2</v>
          </cell>
          <cell r="AH591">
            <v>2</v>
          </cell>
          <cell r="AI591">
            <v>2</v>
          </cell>
          <cell r="AJ591">
            <v>2</v>
          </cell>
          <cell r="AK591">
            <v>1</v>
          </cell>
          <cell r="AL591">
            <v>2</v>
          </cell>
          <cell r="AM591" t="str">
            <v>NULL</v>
          </cell>
          <cell r="AN591" t="str">
            <v>Yes</v>
          </cell>
          <cell r="AO591" t="str">
            <v>ITS342553</v>
          </cell>
          <cell r="AP591" t="str">
            <v>S162a - LTI Inspection Historic</v>
          </cell>
          <cell r="AQ591" t="str">
            <v>Independent Standard Inspection</v>
          </cell>
          <cell r="AR591">
            <v>40254</v>
          </cell>
          <cell r="AS591">
            <v>40254</v>
          </cell>
          <cell r="AT591">
            <v>40291</v>
          </cell>
          <cell r="AU591">
            <v>2</v>
          </cell>
          <cell r="AV591">
            <v>2</v>
          </cell>
          <cell r="AW591">
            <v>2</v>
          </cell>
          <cell r="AX591" t="str">
            <v>NULL</v>
          </cell>
          <cell r="AY591" t="str">
            <v>NULL</v>
          </cell>
          <cell r="AZ591">
            <v>2</v>
          </cell>
          <cell r="BA591" t="str">
            <v>NULL</v>
          </cell>
          <cell r="BB591" t="str">
            <v>NULL</v>
          </cell>
        </row>
        <row r="592">
          <cell r="D592">
            <v>118979</v>
          </cell>
          <cell r="E592">
            <v>8876001</v>
          </cell>
          <cell r="F592" t="str">
            <v>Bryony School</v>
          </cell>
          <cell r="G592" t="str">
            <v>Other Independent School</v>
          </cell>
          <cell r="H592">
            <v>21277</v>
          </cell>
          <cell r="I592">
            <v>161</v>
          </cell>
          <cell r="J592" t="str">
            <v>South East</v>
          </cell>
          <cell r="K592" t="str">
            <v>South East</v>
          </cell>
          <cell r="L592" t="str">
            <v>Medway</v>
          </cell>
          <cell r="M592" t="str">
            <v>Gillingham and Rainham</v>
          </cell>
          <cell r="N592" t="str">
            <v>ME8 0AJ</v>
          </cell>
          <cell r="O592" t="str">
            <v>Does not have a sixth form</v>
          </cell>
          <cell r="P592">
            <v>2</v>
          </cell>
          <cell r="Q592">
            <v>11</v>
          </cell>
          <cell r="R592" t="str">
            <v>None</v>
          </cell>
          <cell r="S592" t="str">
            <v>Ofsted</v>
          </cell>
          <cell r="T592">
            <v>2</v>
          </cell>
          <cell r="U592">
            <v>10022745</v>
          </cell>
          <cell r="V592" t="str">
            <v>Independent school Progress Monitoring inspection</v>
          </cell>
          <cell r="W592">
            <v>42759</v>
          </cell>
          <cell r="X592">
            <v>42759</v>
          </cell>
          <cell r="Y592">
            <v>42786</v>
          </cell>
          <cell r="Z592" t="str">
            <v>Met all standards that were checked</v>
          </cell>
          <cell r="AA592">
            <v>10008568</v>
          </cell>
          <cell r="AB592" t="str">
            <v>Independent School standard inspection</v>
          </cell>
          <cell r="AC592" t="str">
            <v>Independent Standard Inspection</v>
          </cell>
          <cell r="AD592">
            <v>42494</v>
          </cell>
          <cell r="AE592">
            <v>42496</v>
          </cell>
          <cell r="AF592">
            <v>42524</v>
          </cell>
          <cell r="AG592">
            <v>4</v>
          </cell>
          <cell r="AH592">
            <v>2</v>
          </cell>
          <cell r="AI592">
            <v>2</v>
          </cell>
          <cell r="AJ592">
            <v>4</v>
          </cell>
          <cell r="AK592">
            <v>4</v>
          </cell>
          <cell r="AL592">
            <v>4</v>
          </cell>
          <cell r="AM592" t="str">
            <v>NULL</v>
          </cell>
          <cell r="AN592" t="str">
            <v>No</v>
          </cell>
          <cell r="AO592" t="str">
            <v>ITS344676</v>
          </cell>
          <cell r="AP592" t="str">
            <v>Independent School standard inspection</v>
          </cell>
          <cell r="AQ592" t="str">
            <v>Independent Standard Inspection</v>
          </cell>
          <cell r="AR592">
            <v>40211</v>
          </cell>
          <cell r="AS592">
            <v>40212</v>
          </cell>
          <cell r="AT592">
            <v>40234</v>
          </cell>
          <cell r="AU592">
            <v>2</v>
          </cell>
          <cell r="AV592">
            <v>2</v>
          </cell>
          <cell r="AW592">
            <v>2</v>
          </cell>
          <cell r="AX592" t="str">
            <v>NULL</v>
          </cell>
          <cell r="AY592" t="str">
            <v>NULL</v>
          </cell>
          <cell r="AZ592">
            <v>2</v>
          </cell>
          <cell r="BA592" t="str">
            <v>NULL</v>
          </cell>
          <cell r="BB592" t="str">
            <v>NULL</v>
          </cell>
        </row>
        <row r="593">
          <cell r="D593">
            <v>113930</v>
          </cell>
          <cell r="E593">
            <v>8366004</v>
          </cell>
          <cell r="F593" t="str">
            <v>Buckholme Towers School</v>
          </cell>
          <cell r="G593" t="str">
            <v>Other Independent School</v>
          </cell>
          <cell r="H593">
            <v>21108</v>
          </cell>
          <cell r="I593">
            <v>104</v>
          </cell>
          <cell r="J593" t="str">
            <v>South West</v>
          </cell>
          <cell r="K593" t="str">
            <v>South West</v>
          </cell>
          <cell r="L593" t="str">
            <v>Poole</v>
          </cell>
          <cell r="M593" t="str">
            <v>Poole</v>
          </cell>
          <cell r="N593" t="str">
            <v>BH14 0JW</v>
          </cell>
          <cell r="O593" t="str">
            <v>Does not have a sixth form</v>
          </cell>
          <cell r="P593">
            <v>3</v>
          </cell>
          <cell r="Q593">
            <v>11</v>
          </cell>
          <cell r="R593" t="str">
            <v>None</v>
          </cell>
          <cell r="S593" t="str">
            <v>Ofsted</v>
          </cell>
          <cell r="T593" t="str">
            <v>NULL</v>
          </cell>
          <cell r="U593" t="str">
            <v>NULL</v>
          </cell>
          <cell r="V593" t="str">
            <v>NULL</v>
          </cell>
          <cell r="W593" t="str">
            <v>NULL</v>
          </cell>
          <cell r="X593" t="str">
            <v>NULL</v>
          </cell>
          <cell r="Y593" t="str">
            <v>NULL</v>
          </cell>
          <cell r="Z593" t="str">
            <v>NULL</v>
          </cell>
          <cell r="AA593">
            <v>10012907</v>
          </cell>
          <cell r="AB593" t="str">
            <v>Independent School standard inspection</v>
          </cell>
          <cell r="AC593" t="str">
            <v>Independent Standard Inspection</v>
          </cell>
          <cell r="AD593">
            <v>42871</v>
          </cell>
          <cell r="AE593">
            <v>42873</v>
          </cell>
          <cell r="AF593">
            <v>42901</v>
          </cell>
          <cell r="AG593">
            <v>3</v>
          </cell>
          <cell r="AH593">
            <v>3</v>
          </cell>
          <cell r="AI593">
            <v>3</v>
          </cell>
          <cell r="AJ593">
            <v>3</v>
          </cell>
          <cell r="AK593">
            <v>2</v>
          </cell>
          <cell r="AL593">
            <v>3</v>
          </cell>
          <cell r="AM593" t="str">
            <v>NULL</v>
          </cell>
          <cell r="AN593" t="str">
            <v>Yes</v>
          </cell>
          <cell r="AO593" t="str">
            <v>ITS408712</v>
          </cell>
          <cell r="AP593" t="str">
            <v>Independent School standard inspection</v>
          </cell>
          <cell r="AQ593" t="str">
            <v>Independent Standard Inspection</v>
          </cell>
          <cell r="AR593">
            <v>41402</v>
          </cell>
          <cell r="AS593">
            <v>41404</v>
          </cell>
          <cell r="AT593">
            <v>41431</v>
          </cell>
          <cell r="AU593">
            <v>2</v>
          </cell>
          <cell r="AV593">
            <v>2</v>
          </cell>
          <cell r="AW593">
            <v>2</v>
          </cell>
          <cell r="AX593">
            <v>2</v>
          </cell>
          <cell r="AY593" t="str">
            <v>NULL</v>
          </cell>
          <cell r="AZ593" t="str">
            <v>NULL</v>
          </cell>
          <cell r="BA593" t="str">
            <v>NULL</v>
          </cell>
          <cell r="BB593" t="str">
            <v>NULL</v>
          </cell>
        </row>
        <row r="594">
          <cell r="D594">
            <v>114656</v>
          </cell>
          <cell r="E594">
            <v>8456031</v>
          </cell>
          <cell r="F594" t="str">
            <v>Buckswood School</v>
          </cell>
          <cell r="G594" t="str">
            <v>Other Independent School</v>
          </cell>
          <cell r="H594">
            <v>28767</v>
          </cell>
          <cell r="I594">
            <v>452</v>
          </cell>
          <cell r="J594" t="str">
            <v>South East</v>
          </cell>
          <cell r="K594" t="str">
            <v>South East</v>
          </cell>
          <cell r="L594" t="str">
            <v>East Sussex</v>
          </cell>
          <cell r="M594" t="str">
            <v>Hastings and Rye</v>
          </cell>
          <cell r="N594" t="str">
            <v>TN35 4LT</v>
          </cell>
          <cell r="O594" t="str">
            <v>Has a sixth form</v>
          </cell>
          <cell r="P594">
            <v>10</v>
          </cell>
          <cell r="Q594">
            <v>19</v>
          </cell>
          <cell r="R594" t="str">
            <v>None</v>
          </cell>
          <cell r="S594" t="str">
            <v>Ofsted</v>
          </cell>
          <cell r="T594">
            <v>3</v>
          </cell>
          <cell r="U594">
            <v>10047033</v>
          </cell>
          <cell r="V594" t="str">
            <v xml:space="preserve">Independent school progress monitoring inspection - Integrated </v>
          </cell>
          <cell r="W594">
            <v>43130</v>
          </cell>
          <cell r="X594">
            <v>43131</v>
          </cell>
          <cell r="Y594">
            <v>43165</v>
          </cell>
          <cell r="Z594" t="str">
            <v>Did not meet all standards that were checked</v>
          </cell>
          <cell r="AA594">
            <v>10020905</v>
          </cell>
          <cell r="AB594" t="str">
            <v xml:space="preserve">Independent School standard inspection - integrated </v>
          </cell>
          <cell r="AC594" t="str">
            <v>Independent Standard Inspection</v>
          </cell>
          <cell r="AD594">
            <v>42822</v>
          </cell>
          <cell r="AE594">
            <v>42824</v>
          </cell>
          <cell r="AF594">
            <v>42867</v>
          </cell>
          <cell r="AG594">
            <v>4</v>
          </cell>
          <cell r="AH594">
            <v>3</v>
          </cell>
          <cell r="AI594">
            <v>3</v>
          </cell>
          <cell r="AJ594">
            <v>4</v>
          </cell>
          <cell r="AK594">
            <v>4</v>
          </cell>
          <cell r="AL594" t="str">
            <v>NULL</v>
          </cell>
          <cell r="AM594">
            <v>4</v>
          </cell>
          <cell r="AN594" t="str">
            <v>No</v>
          </cell>
          <cell r="AO594" t="str">
            <v>ITS385092</v>
          </cell>
          <cell r="AP594" t="str">
            <v>Independent School standard inspection</v>
          </cell>
          <cell r="AQ594" t="str">
            <v>Independent Standard Inspection</v>
          </cell>
          <cell r="AR594">
            <v>40878</v>
          </cell>
          <cell r="AS594">
            <v>40879</v>
          </cell>
          <cell r="AT594">
            <v>40917</v>
          </cell>
          <cell r="AU594">
            <v>2</v>
          </cell>
          <cell r="AV594">
            <v>2</v>
          </cell>
          <cell r="AW594">
            <v>2</v>
          </cell>
          <cell r="AX594" t="str">
            <v>NULL</v>
          </cell>
          <cell r="AY594" t="str">
            <v>NULL</v>
          </cell>
          <cell r="AZ594">
            <v>8</v>
          </cell>
          <cell r="BA594" t="str">
            <v>NULL</v>
          </cell>
          <cell r="BB594" t="str">
            <v>NULL</v>
          </cell>
        </row>
        <row r="595">
          <cell r="D595">
            <v>100544</v>
          </cell>
          <cell r="E595">
            <v>2136005</v>
          </cell>
          <cell r="F595" t="str">
            <v>David Game College</v>
          </cell>
          <cell r="G595" t="str">
            <v>Other Independent School</v>
          </cell>
          <cell r="H595">
            <v>33360</v>
          </cell>
          <cell r="I595">
            <v>262</v>
          </cell>
          <cell r="J595" t="str">
            <v>London</v>
          </cell>
          <cell r="K595" t="str">
            <v>London</v>
          </cell>
          <cell r="L595" t="str">
            <v>Westminster</v>
          </cell>
          <cell r="M595" t="str">
            <v>Cities of London and Westminster</v>
          </cell>
          <cell r="N595" t="str">
            <v>EC3N 2ET</v>
          </cell>
          <cell r="O595" t="str">
            <v>Has a sixth form</v>
          </cell>
          <cell r="P595">
            <v>13</v>
          </cell>
          <cell r="Q595">
            <v>22</v>
          </cell>
          <cell r="R595" t="str">
            <v>None</v>
          </cell>
          <cell r="S595" t="str">
            <v>Ofsted</v>
          </cell>
          <cell r="T595" t="str">
            <v>NULL</v>
          </cell>
          <cell r="U595" t="str">
            <v>NULL</v>
          </cell>
          <cell r="V595" t="str">
            <v>NULL</v>
          </cell>
          <cell r="W595" t="str">
            <v>NULL</v>
          </cell>
          <cell r="X595" t="str">
            <v>NULL</v>
          </cell>
          <cell r="Y595" t="str">
            <v>NULL</v>
          </cell>
          <cell r="Z595" t="str">
            <v>NULL</v>
          </cell>
          <cell r="AA595">
            <v>10034004</v>
          </cell>
          <cell r="AB595" t="str">
            <v>Independent School standard inspection</v>
          </cell>
          <cell r="AC595" t="str">
            <v>Independent Standard Inspection</v>
          </cell>
          <cell r="AD595">
            <v>42857</v>
          </cell>
          <cell r="AE595">
            <v>42859</v>
          </cell>
          <cell r="AF595">
            <v>42881</v>
          </cell>
          <cell r="AG595">
            <v>1</v>
          </cell>
          <cell r="AH595">
            <v>1</v>
          </cell>
          <cell r="AI595">
            <v>1</v>
          </cell>
          <cell r="AJ595">
            <v>1</v>
          </cell>
          <cell r="AK595">
            <v>1</v>
          </cell>
          <cell r="AL595" t="str">
            <v>NULL</v>
          </cell>
          <cell r="AM595">
            <v>1</v>
          </cell>
          <cell r="AN595" t="str">
            <v>Yes</v>
          </cell>
          <cell r="AO595" t="str">
            <v>ITS422691</v>
          </cell>
          <cell r="AP595" t="str">
            <v>Independent School standard inspection</v>
          </cell>
          <cell r="AQ595" t="str">
            <v>Independent Standard Inspection</v>
          </cell>
          <cell r="AR595">
            <v>41611</v>
          </cell>
          <cell r="AS595">
            <v>41613</v>
          </cell>
          <cell r="AT595">
            <v>41738</v>
          </cell>
          <cell r="AU595">
            <v>2</v>
          </cell>
          <cell r="AV595">
            <v>1</v>
          </cell>
          <cell r="AW595">
            <v>1</v>
          </cell>
          <cell r="AX595">
            <v>2</v>
          </cell>
          <cell r="AY595" t="str">
            <v>NULL</v>
          </cell>
          <cell r="AZ595" t="str">
            <v>NULL</v>
          </cell>
          <cell r="BA595" t="str">
            <v>NULL</v>
          </cell>
          <cell r="BB595" t="str">
            <v>NULL</v>
          </cell>
        </row>
        <row r="596">
          <cell r="D596">
            <v>115803</v>
          </cell>
          <cell r="E596">
            <v>9166047</v>
          </cell>
          <cell r="F596" t="str">
            <v>Dormer House School</v>
          </cell>
          <cell r="G596" t="str">
            <v>Other Independent School</v>
          </cell>
          <cell r="H596">
            <v>21283</v>
          </cell>
          <cell r="I596">
            <v>131</v>
          </cell>
          <cell r="J596" t="str">
            <v>South West</v>
          </cell>
          <cell r="K596" t="str">
            <v>South West</v>
          </cell>
          <cell r="L596" t="str">
            <v>Gloucestershire</v>
          </cell>
          <cell r="M596" t="str">
            <v>The Cotswolds</v>
          </cell>
          <cell r="N596" t="str">
            <v>GL56 0AD</v>
          </cell>
          <cell r="O596" t="str">
            <v>Does not have a sixth form</v>
          </cell>
          <cell r="P596">
            <v>2</v>
          </cell>
          <cell r="Q596">
            <v>11</v>
          </cell>
          <cell r="R596" t="str">
            <v>None</v>
          </cell>
          <cell r="S596" t="str">
            <v>Ofsted</v>
          </cell>
          <cell r="T596" t="str">
            <v>NULL</v>
          </cell>
          <cell r="U596" t="str">
            <v>NULL</v>
          </cell>
          <cell r="V596" t="str">
            <v>NULL</v>
          </cell>
          <cell r="W596" t="str">
            <v>NULL</v>
          </cell>
          <cell r="X596" t="str">
            <v>NULL</v>
          </cell>
          <cell r="Y596" t="str">
            <v>NULL</v>
          </cell>
          <cell r="Z596" t="str">
            <v>NULL</v>
          </cell>
          <cell r="AA596">
            <v>10008569</v>
          </cell>
          <cell r="AB596" t="str">
            <v>Independent School standard inspection</v>
          </cell>
          <cell r="AC596" t="str">
            <v>Independent Standard Inspection</v>
          </cell>
          <cell r="AD596">
            <v>42479</v>
          </cell>
          <cell r="AE596">
            <v>42481</v>
          </cell>
          <cell r="AF596">
            <v>42527</v>
          </cell>
          <cell r="AG596">
            <v>2</v>
          </cell>
          <cell r="AH596">
            <v>2</v>
          </cell>
          <cell r="AI596">
            <v>2</v>
          </cell>
          <cell r="AJ596">
            <v>2</v>
          </cell>
          <cell r="AK596">
            <v>1</v>
          </cell>
          <cell r="AL596">
            <v>2</v>
          </cell>
          <cell r="AM596" t="str">
            <v>NULL</v>
          </cell>
          <cell r="AN596" t="str">
            <v>Yes</v>
          </cell>
          <cell r="AO596" t="str">
            <v>ITS344602</v>
          </cell>
          <cell r="AP596" t="str">
            <v>Independent School standard inspection</v>
          </cell>
          <cell r="AQ596" t="str">
            <v>Independent Standard Inspection</v>
          </cell>
          <cell r="AR596">
            <v>40253</v>
          </cell>
          <cell r="AS596">
            <v>40254</v>
          </cell>
          <cell r="AT596">
            <v>40290</v>
          </cell>
          <cell r="AU596">
            <v>2</v>
          </cell>
          <cell r="AV596">
            <v>2</v>
          </cell>
          <cell r="AW596">
            <v>2</v>
          </cell>
          <cell r="AX596" t="str">
            <v>NULL</v>
          </cell>
          <cell r="AY596" t="str">
            <v>NULL</v>
          </cell>
          <cell r="AZ596">
            <v>2</v>
          </cell>
          <cell r="BA596" t="str">
            <v>NULL</v>
          </cell>
          <cell r="BB596" t="str">
            <v>NULL</v>
          </cell>
        </row>
        <row r="597">
          <cell r="D597">
            <v>141490</v>
          </cell>
          <cell r="E597">
            <v>9256006</v>
          </cell>
          <cell r="F597" t="str">
            <v>Doulton House School</v>
          </cell>
          <cell r="G597" t="str">
            <v>Other Independent School</v>
          </cell>
          <cell r="H597">
            <v>41912</v>
          </cell>
          <cell r="I597">
            <v>10</v>
          </cell>
          <cell r="J597" t="str">
            <v>East Midlands</v>
          </cell>
          <cell r="K597" t="str">
            <v>East Midlands</v>
          </cell>
          <cell r="L597" t="str">
            <v>Lincolnshire</v>
          </cell>
          <cell r="M597" t="str">
            <v>Sleaford and North Hykeham</v>
          </cell>
          <cell r="N597" t="str">
            <v>NG34 9SJ</v>
          </cell>
          <cell r="O597" t="str">
            <v>Has a sixth form</v>
          </cell>
          <cell r="P597">
            <v>11</v>
          </cell>
          <cell r="Q597">
            <v>18</v>
          </cell>
          <cell r="R597" t="str">
            <v>None</v>
          </cell>
          <cell r="S597" t="str">
            <v>Ofsted</v>
          </cell>
          <cell r="T597" t="str">
            <v>NULL</v>
          </cell>
          <cell r="U597" t="str">
            <v>NULL</v>
          </cell>
          <cell r="V597" t="str">
            <v>NULL</v>
          </cell>
          <cell r="W597" t="str">
            <v>NULL</v>
          </cell>
          <cell r="X597" t="str">
            <v>NULL</v>
          </cell>
          <cell r="Y597" t="str">
            <v>NULL</v>
          </cell>
          <cell r="Z597" t="str">
            <v>NULL</v>
          </cell>
          <cell r="AA597" t="str">
            <v>ITS462987</v>
          </cell>
          <cell r="AB597" t="str">
            <v>Independent school standard inspection - aligned with CH - first</v>
          </cell>
          <cell r="AC597" t="str">
            <v>Independent Standard Inspection</v>
          </cell>
          <cell r="AD597">
            <v>42186</v>
          </cell>
          <cell r="AE597">
            <v>42188</v>
          </cell>
          <cell r="AF597">
            <v>42266</v>
          </cell>
          <cell r="AG597">
            <v>2</v>
          </cell>
          <cell r="AH597">
            <v>2</v>
          </cell>
          <cell r="AI597">
            <v>2</v>
          </cell>
          <cell r="AJ597">
            <v>2</v>
          </cell>
          <cell r="AK597" t="str">
            <v>NULL</v>
          </cell>
          <cell r="AL597">
            <v>9</v>
          </cell>
          <cell r="AM597">
            <v>2</v>
          </cell>
          <cell r="AN597" t="str">
            <v>NULL</v>
          </cell>
          <cell r="AO597" t="str">
            <v>NULL</v>
          </cell>
          <cell r="AP597" t="str">
            <v>NULL</v>
          </cell>
          <cell r="AQ597" t="str">
            <v>NULL</v>
          </cell>
          <cell r="AR597" t="str">
            <v>NULL</v>
          </cell>
          <cell r="AS597" t="str">
            <v>NULL</v>
          </cell>
          <cell r="AT597" t="str">
            <v>NULL</v>
          </cell>
          <cell r="AU597" t="str">
            <v>NULL</v>
          </cell>
          <cell r="AV597" t="str">
            <v>NULL</v>
          </cell>
          <cell r="AW597" t="str">
            <v>NULL</v>
          </cell>
          <cell r="AX597" t="str">
            <v>NULL</v>
          </cell>
          <cell r="AY597" t="str">
            <v>NULL</v>
          </cell>
          <cell r="AZ597" t="str">
            <v>NULL</v>
          </cell>
          <cell r="BA597" t="str">
            <v>NULL</v>
          </cell>
          <cell r="BB597" t="str">
            <v>NULL</v>
          </cell>
        </row>
        <row r="598">
          <cell r="D598">
            <v>121251</v>
          </cell>
          <cell r="E598">
            <v>9266143</v>
          </cell>
          <cell r="F598" t="str">
            <v>Downham Preparatory School and Montessori Nursery</v>
          </cell>
          <cell r="G598" t="str">
            <v>Other Independent School</v>
          </cell>
          <cell r="H598">
            <v>32419</v>
          </cell>
          <cell r="I598">
            <v>152</v>
          </cell>
          <cell r="J598" t="str">
            <v>East of England</v>
          </cell>
          <cell r="K598" t="str">
            <v>East of England</v>
          </cell>
          <cell r="L598" t="str">
            <v>Norfolk</v>
          </cell>
          <cell r="M598" t="str">
            <v>South West Norfolk</v>
          </cell>
          <cell r="N598" t="str">
            <v>PE34 3HT</v>
          </cell>
          <cell r="O598" t="str">
            <v>Does not have a sixth form</v>
          </cell>
          <cell r="P598">
            <v>2</v>
          </cell>
          <cell r="Q598">
            <v>11</v>
          </cell>
          <cell r="R598" t="str">
            <v>None</v>
          </cell>
          <cell r="S598" t="str">
            <v>Ofsted</v>
          </cell>
          <cell r="T598" t="str">
            <v>NULL</v>
          </cell>
          <cell r="U598" t="str">
            <v>NULL</v>
          </cell>
          <cell r="V598" t="str">
            <v>NULL</v>
          </cell>
          <cell r="W598" t="str">
            <v>NULL</v>
          </cell>
          <cell r="X598" t="str">
            <v>NULL</v>
          </cell>
          <cell r="Y598" t="str">
            <v>NULL</v>
          </cell>
          <cell r="Z598" t="str">
            <v>NULL</v>
          </cell>
          <cell r="AA598" t="str">
            <v>ITS443466</v>
          </cell>
          <cell r="AB598" t="str">
            <v>Independent School standard inspection</v>
          </cell>
          <cell r="AC598" t="str">
            <v>Independent Standard Inspection</v>
          </cell>
          <cell r="AD598">
            <v>41934</v>
          </cell>
          <cell r="AE598">
            <v>41936</v>
          </cell>
          <cell r="AF598">
            <v>41955</v>
          </cell>
          <cell r="AG598">
            <v>1</v>
          </cell>
          <cell r="AH598">
            <v>1</v>
          </cell>
          <cell r="AI598">
            <v>1</v>
          </cell>
          <cell r="AJ598">
            <v>1</v>
          </cell>
          <cell r="AK598" t="str">
            <v>NULL</v>
          </cell>
          <cell r="AL598">
            <v>1</v>
          </cell>
          <cell r="AM598">
            <v>9</v>
          </cell>
          <cell r="AN598" t="str">
            <v>NULL</v>
          </cell>
          <cell r="AO598" t="str">
            <v>ITS332457</v>
          </cell>
          <cell r="AP598" t="str">
            <v>S162a - LTI Inspection Historic</v>
          </cell>
          <cell r="AQ598" t="str">
            <v>Independent Standard Inspection</v>
          </cell>
          <cell r="AR598">
            <v>39884</v>
          </cell>
          <cell r="AS598">
            <v>39884</v>
          </cell>
          <cell r="AT598">
            <v>39905</v>
          </cell>
          <cell r="AU598">
            <v>1</v>
          </cell>
          <cell r="AV598">
            <v>1</v>
          </cell>
          <cell r="AW598">
            <v>2</v>
          </cell>
          <cell r="AX598" t="str">
            <v>NULL</v>
          </cell>
          <cell r="AY598" t="str">
            <v>NULL</v>
          </cell>
          <cell r="AZ598">
            <v>2</v>
          </cell>
          <cell r="BA598" t="str">
            <v>NULL</v>
          </cell>
          <cell r="BB598" t="str">
            <v>NULL</v>
          </cell>
        </row>
        <row r="599">
          <cell r="D599">
            <v>101377</v>
          </cell>
          <cell r="E599">
            <v>3026063</v>
          </cell>
          <cell r="F599" t="str">
            <v>Golders Hill School</v>
          </cell>
          <cell r="G599" t="str">
            <v>Other Independent School</v>
          </cell>
          <cell r="H599">
            <v>21095</v>
          </cell>
          <cell r="I599">
            <v>124</v>
          </cell>
          <cell r="J599" t="str">
            <v>London</v>
          </cell>
          <cell r="K599" t="str">
            <v>London</v>
          </cell>
          <cell r="L599" t="str">
            <v>Barnet</v>
          </cell>
          <cell r="M599" t="str">
            <v>Finchley and Golders Green</v>
          </cell>
          <cell r="N599" t="str">
            <v>NW11 7NT</v>
          </cell>
          <cell r="O599" t="str">
            <v>Does not have a sixth form</v>
          </cell>
          <cell r="P599">
            <v>2</v>
          </cell>
          <cell r="Q599">
            <v>7</v>
          </cell>
          <cell r="R599" t="str">
            <v>None</v>
          </cell>
          <cell r="S599" t="str">
            <v>Ofsted</v>
          </cell>
          <cell r="T599" t="str">
            <v>NULL</v>
          </cell>
          <cell r="U599" t="str">
            <v>NULL</v>
          </cell>
          <cell r="V599" t="str">
            <v>NULL</v>
          </cell>
          <cell r="W599" t="str">
            <v>NULL</v>
          </cell>
          <cell r="X599" t="str">
            <v>NULL</v>
          </cell>
          <cell r="Y599" t="str">
            <v>NULL</v>
          </cell>
          <cell r="Z599" t="str">
            <v>NULL</v>
          </cell>
          <cell r="AA599">
            <v>10035779</v>
          </cell>
          <cell r="AB599" t="str">
            <v>Independent School standard inspection</v>
          </cell>
          <cell r="AC599" t="str">
            <v>Independent Standard Inspection</v>
          </cell>
          <cell r="AD599">
            <v>43158</v>
          </cell>
          <cell r="AE599">
            <v>43160</v>
          </cell>
          <cell r="AF599">
            <v>43180</v>
          </cell>
          <cell r="AG599">
            <v>2</v>
          </cell>
          <cell r="AH599">
            <v>2</v>
          </cell>
          <cell r="AI599">
            <v>2</v>
          </cell>
          <cell r="AJ599">
            <v>2</v>
          </cell>
          <cell r="AK599">
            <v>2</v>
          </cell>
          <cell r="AL599">
            <v>2</v>
          </cell>
          <cell r="AM599" t="str">
            <v>NULL</v>
          </cell>
          <cell r="AN599" t="str">
            <v>Yes</v>
          </cell>
          <cell r="AO599" t="str">
            <v>ITS443490</v>
          </cell>
          <cell r="AP599" t="str">
            <v>Independent School standard inspection</v>
          </cell>
          <cell r="AQ599" t="str">
            <v>Independent Standard Inspection</v>
          </cell>
          <cell r="AR599">
            <v>41766</v>
          </cell>
          <cell r="AS599">
            <v>41768</v>
          </cell>
          <cell r="AT599">
            <v>41787</v>
          </cell>
          <cell r="AU599">
            <v>2</v>
          </cell>
          <cell r="AV599">
            <v>2</v>
          </cell>
          <cell r="AW599">
            <v>2</v>
          </cell>
          <cell r="AX599">
            <v>2</v>
          </cell>
          <cell r="AY599" t="str">
            <v>NULL</v>
          </cell>
          <cell r="AZ599" t="str">
            <v>NULL</v>
          </cell>
          <cell r="BA599" t="str">
            <v>NULL</v>
          </cell>
          <cell r="BB599" t="str">
            <v>NULL</v>
          </cell>
        </row>
        <row r="600">
          <cell r="D600">
            <v>101378</v>
          </cell>
          <cell r="E600">
            <v>3026064</v>
          </cell>
          <cell r="F600" t="str">
            <v>Goodwyn School</v>
          </cell>
          <cell r="G600" t="str">
            <v>Other Independent School</v>
          </cell>
          <cell r="H600">
            <v>21103</v>
          </cell>
          <cell r="I600">
            <v>203</v>
          </cell>
          <cell r="J600" t="str">
            <v>London</v>
          </cell>
          <cell r="K600" t="str">
            <v>London</v>
          </cell>
          <cell r="L600" t="str">
            <v>Barnet</v>
          </cell>
          <cell r="M600" t="str">
            <v>Hendon</v>
          </cell>
          <cell r="N600" t="str">
            <v>NW7 4DB</v>
          </cell>
          <cell r="O600" t="str">
            <v>Does not have a sixth form</v>
          </cell>
          <cell r="P600">
            <v>3</v>
          </cell>
          <cell r="Q600">
            <v>11</v>
          </cell>
          <cell r="R600" t="str">
            <v>None</v>
          </cell>
          <cell r="S600" t="str">
            <v>Ofsted</v>
          </cell>
          <cell r="T600" t="str">
            <v>NULL</v>
          </cell>
          <cell r="U600" t="str">
            <v>NULL</v>
          </cell>
          <cell r="V600" t="str">
            <v>NULL</v>
          </cell>
          <cell r="W600" t="str">
            <v>NULL</v>
          </cell>
          <cell r="X600" t="str">
            <v>NULL</v>
          </cell>
          <cell r="Y600" t="str">
            <v>NULL</v>
          </cell>
          <cell r="Z600" t="str">
            <v>NULL</v>
          </cell>
          <cell r="AA600" t="str">
            <v>ITS443491</v>
          </cell>
          <cell r="AB600" t="str">
            <v>Independent School standard inspection</v>
          </cell>
          <cell r="AC600" t="str">
            <v>Independent Standard Inspection</v>
          </cell>
          <cell r="AD600">
            <v>41947</v>
          </cell>
          <cell r="AE600">
            <v>41949</v>
          </cell>
          <cell r="AF600">
            <v>41978</v>
          </cell>
          <cell r="AG600">
            <v>2</v>
          </cell>
          <cell r="AH600">
            <v>2</v>
          </cell>
          <cell r="AI600">
            <v>2</v>
          </cell>
          <cell r="AJ600">
            <v>2</v>
          </cell>
          <cell r="AK600" t="str">
            <v>NULL</v>
          </cell>
          <cell r="AL600">
            <v>2</v>
          </cell>
          <cell r="AM600">
            <v>9</v>
          </cell>
          <cell r="AN600" t="str">
            <v>NULL</v>
          </cell>
          <cell r="AO600" t="str">
            <v>ITS329572</v>
          </cell>
          <cell r="AP600" t="str">
            <v>S162a - LTI Inspection Historic</v>
          </cell>
          <cell r="AQ600" t="str">
            <v>Independent Standard Inspection</v>
          </cell>
          <cell r="AR600">
            <v>39735</v>
          </cell>
          <cell r="AS600">
            <v>39735</v>
          </cell>
          <cell r="AT600">
            <v>39762</v>
          </cell>
          <cell r="AU600">
            <v>1</v>
          </cell>
          <cell r="AV600">
            <v>1</v>
          </cell>
          <cell r="AW600">
            <v>1</v>
          </cell>
          <cell r="AX600" t="str">
            <v>NULL</v>
          </cell>
          <cell r="AY600" t="str">
            <v>NULL</v>
          </cell>
          <cell r="AZ600">
            <v>1</v>
          </cell>
          <cell r="BA600" t="str">
            <v>NULL</v>
          </cell>
          <cell r="BB600" t="str">
            <v>NULL</v>
          </cell>
        </row>
        <row r="601">
          <cell r="D601">
            <v>109343</v>
          </cell>
          <cell r="E601">
            <v>8016009</v>
          </cell>
          <cell r="F601" t="str">
            <v>Gracefield Preparatory School</v>
          </cell>
          <cell r="G601" t="str">
            <v>Other Independent School</v>
          </cell>
          <cell r="H601">
            <v>21221</v>
          </cell>
          <cell r="I601">
            <v>78</v>
          </cell>
          <cell r="J601" t="str">
            <v>South West</v>
          </cell>
          <cell r="K601" t="str">
            <v>South West</v>
          </cell>
          <cell r="L601" t="str">
            <v>Bristol</v>
          </cell>
          <cell r="M601" t="str">
            <v>Bristol East</v>
          </cell>
          <cell r="N601" t="str">
            <v>BS16 2RG</v>
          </cell>
          <cell r="O601" t="str">
            <v>Does not have a sixth form</v>
          </cell>
          <cell r="P601">
            <v>4</v>
          </cell>
          <cell r="Q601">
            <v>11</v>
          </cell>
          <cell r="R601" t="str">
            <v>None</v>
          </cell>
          <cell r="S601" t="str">
            <v>Ofsted</v>
          </cell>
          <cell r="T601" t="str">
            <v>NULL</v>
          </cell>
          <cell r="U601" t="str">
            <v>NULL</v>
          </cell>
          <cell r="V601" t="str">
            <v>NULL</v>
          </cell>
          <cell r="W601" t="str">
            <v>NULL</v>
          </cell>
          <cell r="X601" t="str">
            <v>NULL</v>
          </cell>
          <cell r="Y601" t="str">
            <v>NULL</v>
          </cell>
          <cell r="Z601" t="str">
            <v>NULL</v>
          </cell>
          <cell r="AA601">
            <v>10006064</v>
          </cell>
          <cell r="AB601" t="str">
            <v>Independent School standard inspection</v>
          </cell>
          <cell r="AC601" t="str">
            <v>Independent Standard Inspection</v>
          </cell>
          <cell r="AD601">
            <v>42381</v>
          </cell>
          <cell r="AE601">
            <v>42383</v>
          </cell>
          <cell r="AF601">
            <v>42423</v>
          </cell>
          <cell r="AG601">
            <v>2</v>
          </cell>
          <cell r="AH601">
            <v>2</v>
          </cell>
          <cell r="AI601">
            <v>2</v>
          </cell>
          <cell r="AJ601">
            <v>2</v>
          </cell>
          <cell r="AK601">
            <v>2</v>
          </cell>
          <cell r="AL601">
            <v>2</v>
          </cell>
          <cell r="AM601" t="str">
            <v>NULL</v>
          </cell>
          <cell r="AN601" t="str">
            <v>Yes</v>
          </cell>
          <cell r="AO601" t="str">
            <v>ITS408708</v>
          </cell>
          <cell r="AP601" t="str">
            <v>Independent School standard inspection</v>
          </cell>
          <cell r="AQ601" t="str">
            <v>Independent Standard Inspection</v>
          </cell>
          <cell r="AR601">
            <v>41171</v>
          </cell>
          <cell r="AS601">
            <v>41172</v>
          </cell>
          <cell r="AT601">
            <v>41200</v>
          </cell>
          <cell r="AU601">
            <v>2</v>
          </cell>
          <cell r="AV601">
            <v>2</v>
          </cell>
          <cell r="AW601">
            <v>2</v>
          </cell>
          <cell r="AX601" t="str">
            <v>NULL</v>
          </cell>
          <cell r="AY601" t="str">
            <v>NULL</v>
          </cell>
          <cell r="AZ601">
            <v>8</v>
          </cell>
          <cell r="BA601" t="str">
            <v>NULL</v>
          </cell>
          <cell r="BB601" t="str">
            <v>NULL</v>
          </cell>
        </row>
        <row r="602">
          <cell r="D602">
            <v>130399</v>
          </cell>
          <cell r="E602">
            <v>3576001</v>
          </cell>
          <cell r="F602" t="str">
            <v>Grafton House Preparatory School</v>
          </cell>
          <cell r="G602" t="str">
            <v>Other Independent School</v>
          </cell>
          <cell r="H602">
            <v>35144</v>
          </cell>
          <cell r="I602">
            <v>16</v>
          </cell>
          <cell r="J602" t="str">
            <v>North West</v>
          </cell>
          <cell r="K602" t="str">
            <v>North West</v>
          </cell>
          <cell r="L602" t="str">
            <v>Tameside</v>
          </cell>
          <cell r="M602" t="str">
            <v>Ashton-under-Lyne</v>
          </cell>
          <cell r="N602" t="str">
            <v>OL6 6XB</v>
          </cell>
          <cell r="O602" t="str">
            <v>Does not have a sixth form</v>
          </cell>
          <cell r="P602">
            <v>3</v>
          </cell>
          <cell r="Q602">
            <v>11</v>
          </cell>
          <cell r="R602" t="str">
            <v>None</v>
          </cell>
          <cell r="S602" t="str">
            <v>Ofsted</v>
          </cell>
          <cell r="T602" t="str">
            <v>NULL</v>
          </cell>
          <cell r="U602" t="str">
            <v>NULL</v>
          </cell>
          <cell r="V602" t="str">
            <v>NULL</v>
          </cell>
          <cell r="W602" t="str">
            <v>NULL</v>
          </cell>
          <cell r="X602" t="str">
            <v>NULL</v>
          </cell>
          <cell r="Y602" t="str">
            <v>NULL</v>
          </cell>
          <cell r="Z602" t="str">
            <v>NULL</v>
          </cell>
          <cell r="AA602">
            <v>10008552</v>
          </cell>
          <cell r="AB602" t="str">
            <v>Independent School standard inspection</v>
          </cell>
          <cell r="AC602" t="str">
            <v>Independent Standard Inspection</v>
          </cell>
          <cell r="AD602">
            <v>42381</v>
          </cell>
          <cell r="AE602">
            <v>42383</v>
          </cell>
          <cell r="AF602">
            <v>42430</v>
          </cell>
          <cell r="AG602">
            <v>2</v>
          </cell>
          <cell r="AH602">
            <v>2</v>
          </cell>
          <cell r="AI602">
            <v>2</v>
          </cell>
          <cell r="AJ602">
            <v>2</v>
          </cell>
          <cell r="AK602">
            <v>2</v>
          </cell>
          <cell r="AL602">
            <v>2</v>
          </cell>
          <cell r="AM602" t="str">
            <v>NULL</v>
          </cell>
          <cell r="AN602" t="str">
            <v>Yes</v>
          </cell>
          <cell r="AO602" t="str">
            <v>ITS344459</v>
          </cell>
          <cell r="AP602" t="str">
            <v>S162a - LTI Inspection Historic</v>
          </cell>
          <cell r="AQ602" t="str">
            <v>Independent Standard Inspection</v>
          </cell>
          <cell r="AR602">
            <v>40248</v>
          </cell>
          <cell r="AS602">
            <v>40248</v>
          </cell>
          <cell r="AT602">
            <v>40282</v>
          </cell>
          <cell r="AU602">
            <v>2</v>
          </cell>
          <cell r="AV602">
            <v>2</v>
          </cell>
          <cell r="AW602">
            <v>2</v>
          </cell>
          <cell r="AX602" t="str">
            <v>NULL</v>
          </cell>
          <cell r="AY602" t="str">
            <v>NULL</v>
          </cell>
          <cell r="AZ602">
            <v>2</v>
          </cell>
          <cell r="BA602" t="str">
            <v>NULL</v>
          </cell>
          <cell r="BB602" t="str">
            <v>NULL</v>
          </cell>
        </row>
        <row r="603">
          <cell r="D603">
            <v>100532</v>
          </cell>
          <cell r="E603">
            <v>2076305</v>
          </cell>
          <cell r="F603" t="str">
            <v>Instituto Espanol Canada Blanch</v>
          </cell>
          <cell r="G603" t="str">
            <v>Other Independent School</v>
          </cell>
          <cell r="H603">
            <v>29249</v>
          </cell>
          <cell r="I603">
            <v>472</v>
          </cell>
          <cell r="J603" t="str">
            <v>London</v>
          </cell>
          <cell r="K603" t="str">
            <v>London</v>
          </cell>
          <cell r="L603" t="str">
            <v>Kensington and Chelsea</v>
          </cell>
          <cell r="M603" t="str">
            <v>Kensington</v>
          </cell>
          <cell r="N603" t="str">
            <v>W10 5SZ</v>
          </cell>
          <cell r="O603" t="str">
            <v>Has a sixth form</v>
          </cell>
          <cell r="P603">
            <v>5</v>
          </cell>
          <cell r="Q603">
            <v>19</v>
          </cell>
          <cell r="R603" t="str">
            <v>None</v>
          </cell>
          <cell r="S603" t="str">
            <v>Ofsted</v>
          </cell>
          <cell r="T603">
            <v>3</v>
          </cell>
          <cell r="U603" t="str">
            <v>ITS464918</v>
          </cell>
          <cell r="V603" t="str">
            <v>Independent school Progress Monitoring inspection</v>
          </cell>
          <cell r="W603">
            <v>42180</v>
          </cell>
          <cell r="X603">
            <v>42180</v>
          </cell>
          <cell r="Y603">
            <v>42270</v>
          </cell>
          <cell r="Z603" t="str">
            <v>Standards met</v>
          </cell>
          <cell r="AA603" t="str">
            <v>ITS420175</v>
          </cell>
          <cell r="AB603" t="str">
            <v>Independent School standard inspection</v>
          </cell>
          <cell r="AC603" t="str">
            <v>Independent Standard Inspection</v>
          </cell>
          <cell r="AD603">
            <v>41604</v>
          </cell>
          <cell r="AE603">
            <v>41606</v>
          </cell>
          <cell r="AF603">
            <v>41626</v>
          </cell>
          <cell r="AG603">
            <v>2</v>
          </cell>
          <cell r="AH603">
            <v>2</v>
          </cell>
          <cell r="AI603">
            <v>2</v>
          </cell>
          <cell r="AJ603">
            <v>3</v>
          </cell>
          <cell r="AK603" t="str">
            <v>NULL</v>
          </cell>
          <cell r="AL603" t="str">
            <v>NULL</v>
          </cell>
          <cell r="AM603" t="str">
            <v>NULL</v>
          </cell>
          <cell r="AN603" t="str">
            <v>NULL</v>
          </cell>
          <cell r="AO603" t="str">
            <v>ITS345381</v>
          </cell>
          <cell r="AP603" t="str">
            <v>Independent School standard inspection</v>
          </cell>
          <cell r="AQ603" t="str">
            <v>Independent Standard Inspection</v>
          </cell>
          <cell r="AR603">
            <v>40198</v>
          </cell>
          <cell r="AS603">
            <v>40199</v>
          </cell>
          <cell r="AT603">
            <v>40298</v>
          </cell>
          <cell r="AU603">
            <v>2</v>
          </cell>
          <cell r="AV603">
            <v>2</v>
          </cell>
          <cell r="AW603">
            <v>2</v>
          </cell>
          <cell r="AX603" t="str">
            <v>NULL</v>
          </cell>
          <cell r="AY603" t="str">
            <v>NULL</v>
          </cell>
          <cell r="AZ603">
            <v>8</v>
          </cell>
          <cell r="BA603" t="str">
            <v>NULL</v>
          </cell>
          <cell r="BB603" t="str">
            <v>NULL</v>
          </cell>
        </row>
        <row r="604">
          <cell r="D604">
            <v>101171</v>
          </cell>
          <cell r="E604">
            <v>2136304</v>
          </cell>
          <cell r="F604" t="str">
            <v>International Community School</v>
          </cell>
          <cell r="G604" t="str">
            <v>Other Independent School</v>
          </cell>
          <cell r="H604">
            <v>29216</v>
          </cell>
          <cell r="I604">
            <v>192</v>
          </cell>
          <cell r="J604" t="str">
            <v>London</v>
          </cell>
          <cell r="K604" t="str">
            <v>London</v>
          </cell>
          <cell r="L604" t="str">
            <v>Westminster</v>
          </cell>
          <cell r="M604" t="str">
            <v>Cities of London and Westminster</v>
          </cell>
          <cell r="N604" t="str">
            <v>W1H 1PN</v>
          </cell>
          <cell r="O604" t="str">
            <v>Has a sixth form</v>
          </cell>
          <cell r="P604">
            <v>3</v>
          </cell>
          <cell r="Q604">
            <v>19</v>
          </cell>
          <cell r="R604" t="str">
            <v>None</v>
          </cell>
          <cell r="S604" t="str">
            <v>Ofsted</v>
          </cell>
          <cell r="T604">
            <v>8</v>
          </cell>
          <cell r="U604">
            <v>10022712</v>
          </cell>
          <cell r="V604" t="str">
            <v>Independent school Progress Monitoring inspection</v>
          </cell>
          <cell r="W604">
            <v>42683</v>
          </cell>
          <cell r="X604">
            <v>42683</v>
          </cell>
          <cell r="Y604">
            <v>42739</v>
          </cell>
          <cell r="Z604" t="str">
            <v>Met all standards that were checked</v>
          </cell>
          <cell r="AA604" t="str">
            <v>ITS442983</v>
          </cell>
          <cell r="AB604" t="str">
            <v>Independent School standard inspection</v>
          </cell>
          <cell r="AC604" t="str">
            <v>Independent Standard Inspection</v>
          </cell>
          <cell r="AD604">
            <v>41758</v>
          </cell>
          <cell r="AE604">
            <v>41760</v>
          </cell>
          <cell r="AF604">
            <v>41899</v>
          </cell>
          <cell r="AG604">
            <v>4</v>
          </cell>
          <cell r="AH604">
            <v>2</v>
          </cell>
          <cell r="AI604">
            <v>2</v>
          </cell>
          <cell r="AJ604">
            <v>4</v>
          </cell>
          <cell r="AK604" t="str">
            <v>NULL</v>
          </cell>
          <cell r="AL604" t="str">
            <v>NULL</v>
          </cell>
          <cell r="AM604" t="str">
            <v>NULL</v>
          </cell>
          <cell r="AN604" t="str">
            <v>NULL</v>
          </cell>
          <cell r="AO604" t="str">
            <v>ITS364218</v>
          </cell>
          <cell r="AP604" t="str">
            <v>Independent School standard inspection</v>
          </cell>
          <cell r="AQ604" t="str">
            <v>Independent Standard Inspection</v>
          </cell>
          <cell r="AR604">
            <v>40624</v>
          </cell>
          <cell r="AS604">
            <v>40625</v>
          </cell>
          <cell r="AT604">
            <v>40646</v>
          </cell>
          <cell r="AU604">
            <v>2</v>
          </cell>
          <cell r="AV604">
            <v>2</v>
          </cell>
          <cell r="AW604">
            <v>2</v>
          </cell>
          <cell r="AX604" t="str">
            <v>NULL</v>
          </cell>
          <cell r="AY604" t="str">
            <v>NULL</v>
          </cell>
          <cell r="AZ604">
            <v>2</v>
          </cell>
          <cell r="BA604" t="str">
            <v>NULL</v>
          </cell>
          <cell r="BB604" t="str">
            <v>NULL</v>
          </cell>
        </row>
        <row r="605">
          <cell r="D605">
            <v>102550</v>
          </cell>
          <cell r="E605">
            <v>3136063</v>
          </cell>
          <cell r="F605" t="str">
            <v>International School of London</v>
          </cell>
          <cell r="G605" t="str">
            <v>Other Independent School</v>
          </cell>
          <cell r="H605">
            <v>32076</v>
          </cell>
          <cell r="I605">
            <v>394</v>
          </cell>
          <cell r="J605" t="str">
            <v>London</v>
          </cell>
          <cell r="K605" t="str">
            <v>London</v>
          </cell>
          <cell r="L605" t="str">
            <v>Hounslow</v>
          </cell>
          <cell r="M605" t="str">
            <v>Brentford and Isleworth</v>
          </cell>
          <cell r="N605" t="str">
            <v>W3 8LG</v>
          </cell>
          <cell r="O605" t="str">
            <v>Has a sixth form</v>
          </cell>
          <cell r="P605">
            <v>3</v>
          </cell>
          <cell r="Q605">
            <v>18</v>
          </cell>
          <cell r="R605" t="str">
            <v>None</v>
          </cell>
          <cell r="S605" t="str">
            <v>Ofsted</v>
          </cell>
          <cell r="T605" t="str">
            <v>NULL</v>
          </cell>
          <cell r="U605" t="str">
            <v>NULL</v>
          </cell>
          <cell r="V605" t="str">
            <v>NULL</v>
          </cell>
          <cell r="W605" t="str">
            <v>NULL</v>
          </cell>
          <cell r="X605" t="str">
            <v>NULL</v>
          </cell>
          <cell r="Y605" t="str">
            <v>NULL</v>
          </cell>
          <cell r="Z605" t="str">
            <v>NULL</v>
          </cell>
          <cell r="AA605">
            <v>10008546</v>
          </cell>
          <cell r="AB605" t="str">
            <v>Independent School standard inspection</v>
          </cell>
          <cell r="AC605" t="str">
            <v>Independent Standard Inspection</v>
          </cell>
          <cell r="AD605">
            <v>42437</v>
          </cell>
          <cell r="AE605">
            <v>42439</v>
          </cell>
          <cell r="AF605">
            <v>42478</v>
          </cell>
          <cell r="AG605">
            <v>2</v>
          </cell>
          <cell r="AH605">
            <v>2</v>
          </cell>
          <cell r="AI605">
            <v>2</v>
          </cell>
          <cell r="AJ605">
            <v>2</v>
          </cell>
          <cell r="AK605">
            <v>1</v>
          </cell>
          <cell r="AL605">
            <v>2</v>
          </cell>
          <cell r="AM605">
            <v>1</v>
          </cell>
          <cell r="AN605" t="str">
            <v>Yes</v>
          </cell>
          <cell r="AO605" t="str">
            <v>ITS348752</v>
          </cell>
          <cell r="AP605" t="str">
            <v>S162a - LTI Inspection Historic</v>
          </cell>
          <cell r="AQ605" t="str">
            <v>Independent Standard Inspection</v>
          </cell>
          <cell r="AR605">
            <v>40346</v>
          </cell>
          <cell r="AS605">
            <v>40346</v>
          </cell>
          <cell r="AT605">
            <v>40367</v>
          </cell>
          <cell r="AU605">
            <v>2</v>
          </cell>
          <cell r="AV605">
            <v>2</v>
          </cell>
          <cell r="AW605">
            <v>2</v>
          </cell>
          <cell r="AX605" t="str">
            <v>NULL</v>
          </cell>
          <cell r="AY605" t="str">
            <v>NULL</v>
          </cell>
          <cell r="AZ605">
            <v>2</v>
          </cell>
          <cell r="BA605" t="str">
            <v>NULL</v>
          </cell>
          <cell r="BB605" t="str">
            <v>NULL</v>
          </cell>
        </row>
        <row r="606">
          <cell r="D606">
            <v>125439</v>
          </cell>
          <cell r="E606">
            <v>9366559</v>
          </cell>
          <cell r="F606" t="str">
            <v>International School of London (Surrey) Limited</v>
          </cell>
          <cell r="G606" t="str">
            <v>Other Independent School</v>
          </cell>
          <cell r="H606">
            <v>32766</v>
          </cell>
          <cell r="I606">
            <v>192</v>
          </cell>
          <cell r="J606" t="str">
            <v>South East</v>
          </cell>
          <cell r="K606" t="str">
            <v>South East</v>
          </cell>
          <cell r="L606" t="str">
            <v>Surrey</v>
          </cell>
          <cell r="M606" t="str">
            <v>Woking</v>
          </cell>
          <cell r="N606" t="str">
            <v>GU22 8HY</v>
          </cell>
          <cell r="O606" t="str">
            <v>Does not have a sixth form</v>
          </cell>
          <cell r="P606">
            <v>2</v>
          </cell>
          <cell r="Q606">
            <v>11</v>
          </cell>
          <cell r="R606" t="str">
            <v>None</v>
          </cell>
          <cell r="S606" t="str">
            <v>Ofsted</v>
          </cell>
          <cell r="T606">
            <v>1</v>
          </cell>
          <cell r="U606">
            <v>10017750</v>
          </cell>
          <cell r="V606" t="str">
            <v>Independent school Material Change inspection</v>
          </cell>
          <cell r="W606">
            <v>42439</v>
          </cell>
          <cell r="X606">
            <v>42439</v>
          </cell>
          <cell r="Y606" t="str">
            <v>NULL</v>
          </cell>
          <cell r="Z606" t="str">
            <v>Likely to meet relevant standards</v>
          </cell>
          <cell r="AA606">
            <v>10010757</v>
          </cell>
          <cell r="AB606" t="str">
            <v>Independent School standard inspection</v>
          </cell>
          <cell r="AC606" t="str">
            <v>Independent Standard Inspection</v>
          </cell>
          <cell r="AD606">
            <v>42395</v>
          </cell>
          <cell r="AE606">
            <v>42397</v>
          </cell>
          <cell r="AF606">
            <v>42485</v>
          </cell>
          <cell r="AG606">
            <v>2</v>
          </cell>
          <cell r="AH606">
            <v>2</v>
          </cell>
          <cell r="AI606">
            <v>2</v>
          </cell>
          <cell r="AJ606">
            <v>2</v>
          </cell>
          <cell r="AK606">
            <v>1</v>
          </cell>
          <cell r="AL606">
            <v>1</v>
          </cell>
          <cell r="AM606">
            <v>2</v>
          </cell>
          <cell r="AN606" t="str">
            <v>Yes</v>
          </cell>
          <cell r="AO606" t="str">
            <v>ITS393352</v>
          </cell>
          <cell r="AP606" t="str">
            <v>Independent School standard inspection</v>
          </cell>
          <cell r="AQ606" t="str">
            <v>Independent Standard Inspection</v>
          </cell>
          <cell r="AR606">
            <v>41045</v>
          </cell>
          <cell r="AS606">
            <v>41046</v>
          </cell>
          <cell r="AT606">
            <v>41071</v>
          </cell>
          <cell r="AU606">
            <v>1</v>
          </cell>
          <cell r="AV606">
            <v>1</v>
          </cell>
          <cell r="AW606">
            <v>1</v>
          </cell>
          <cell r="AX606" t="str">
            <v>NULL</v>
          </cell>
          <cell r="AY606" t="str">
            <v>NULL</v>
          </cell>
          <cell r="AZ606">
            <v>1</v>
          </cell>
          <cell r="BA606" t="str">
            <v>NULL</v>
          </cell>
          <cell r="BB606" t="str">
            <v>NULL</v>
          </cell>
        </row>
        <row r="607">
          <cell r="D607">
            <v>138599</v>
          </cell>
          <cell r="E607">
            <v>2076001</v>
          </cell>
          <cell r="F607" t="str">
            <v>La Petite Ecole Bilingue</v>
          </cell>
          <cell r="G607" t="str">
            <v>Other Independent School</v>
          </cell>
          <cell r="H607">
            <v>41143</v>
          </cell>
          <cell r="I607">
            <v>66</v>
          </cell>
          <cell r="J607" t="str">
            <v>London</v>
          </cell>
          <cell r="K607" t="str">
            <v>London</v>
          </cell>
          <cell r="L607" t="str">
            <v>Kensington and Chelsea</v>
          </cell>
          <cell r="M607" t="str">
            <v>Kensington</v>
          </cell>
          <cell r="N607" t="str">
            <v>W10 5UW</v>
          </cell>
          <cell r="O607" t="str">
            <v>Does not have a sixth form</v>
          </cell>
          <cell r="P607">
            <v>3</v>
          </cell>
          <cell r="Q607">
            <v>11</v>
          </cell>
          <cell r="R607" t="str">
            <v>None</v>
          </cell>
          <cell r="S607" t="str">
            <v>Ofsted</v>
          </cell>
          <cell r="T607" t="str">
            <v>NULL</v>
          </cell>
          <cell r="U607" t="str">
            <v>NULL</v>
          </cell>
          <cell r="V607" t="str">
            <v>NULL</v>
          </cell>
          <cell r="W607" t="str">
            <v>NULL</v>
          </cell>
          <cell r="X607" t="str">
            <v>NULL</v>
          </cell>
          <cell r="Y607" t="str">
            <v>NULL</v>
          </cell>
          <cell r="Z607" t="str">
            <v>NULL</v>
          </cell>
          <cell r="AA607">
            <v>10012784</v>
          </cell>
          <cell r="AB607" t="str">
            <v>Independent School standard inspection</v>
          </cell>
          <cell r="AC607" t="str">
            <v>Independent Standard Inspection</v>
          </cell>
          <cell r="AD607">
            <v>42542</v>
          </cell>
          <cell r="AE607">
            <v>42544</v>
          </cell>
          <cell r="AF607">
            <v>42613</v>
          </cell>
          <cell r="AG607">
            <v>2</v>
          </cell>
          <cell r="AH607">
            <v>2</v>
          </cell>
          <cell r="AI607">
            <v>2</v>
          </cell>
          <cell r="AJ607">
            <v>2</v>
          </cell>
          <cell r="AK607">
            <v>1</v>
          </cell>
          <cell r="AL607">
            <v>2</v>
          </cell>
          <cell r="AM607" t="str">
            <v>NULL</v>
          </cell>
          <cell r="AN607" t="str">
            <v>Yes</v>
          </cell>
          <cell r="AO607" t="str">
            <v>ITS420265</v>
          </cell>
          <cell r="AP607" t="str">
            <v>Independent school standard inspection - first</v>
          </cell>
          <cell r="AQ607" t="str">
            <v>Independent Standard Inspection</v>
          </cell>
          <cell r="AR607">
            <v>41444</v>
          </cell>
          <cell r="AS607">
            <v>41446</v>
          </cell>
          <cell r="AT607">
            <v>41466</v>
          </cell>
          <cell r="AU607">
            <v>4</v>
          </cell>
          <cell r="AV607">
            <v>2</v>
          </cell>
          <cell r="AW607">
            <v>2</v>
          </cell>
          <cell r="AX607">
            <v>4</v>
          </cell>
          <cell r="AY607" t="str">
            <v>NULL</v>
          </cell>
          <cell r="AZ607" t="str">
            <v>NULL</v>
          </cell>
          <cell r="BA607" t="str">
            <v>NULL</v>
          </cell>
          <cell r="BB607" t="str">
            <v>NULL</v>
          </cell>
        </row>
        <row r="608">
          <cell r="D608">
            <v>138777</v>
          </cell>
          <cell r="E608">
            <v>2026002</v>
          </cell>
          <cell r="F608" t="str">
            <v>La Petite Ecole Bilingue</v>
          </cell>
          <cell r="G608" t="str">
            <v>Other Independent School</v>
          </cell>
          <cell r="H608">
            <v>41162</v>
          </cell>
          <cell r="I608">
            <v>78</v>
          </cell>
          <cell r="J608" t="str">
            <v>London</v>
          </cell>
          <cell r="K608" t="str">
            <v>London</v>
          </cell>
          <cell r="L608" t="str">
            <v>Camden</v>
          </cell>
          <cell r="M608" t="str">
            <v>Holborn and St Pancras</v>
          </cell>
          <cell r="N608" t="str">
            <v>NW5 4NL</v>
          </cell>
          <cell r="O608" t="str">
            <v>Does not have a sixth form</v>
          </cell>
          <cell r="P608">
            <v>3</v>
          </cell>
          <cell r="Q608">
            <v>11</v>
          </cell>
          <cell r="R608" t="str">
            <v>None</v>
          </cell>
          <cell r="S608" t="str">
            <v>Ofsted</v>
          </cell>
          <cell r="T608" t="str">
            <v>NULL</v>
          </cell>
          <cell r="U608" t="str">
            <v>NULL</v>
          </cell>
          <cell r="V608" t="str">
            <v>NULL</v>
          </cell>
          <cell r="W608" t="str">
            <v>NULL</v>
          </cell>
          <cell r="X608" t="str">
            <v>NULL</v>
          </cell>
          <cell r="Y608" t="str">
            <v>NULL</v>
          </cell>
          <cell r="Z608" t="str">
            <v>NULL</v>
          </cell>
          <cell r="AA608">
            <v>10012786</v>
          </cell>
          <cell r="AB608" t="str">
            <v>Independent School standard inspection</v>
          </cell>
          <cell r="AC608" t="str">
            <v>Independent Standard Inspection</v>
          </cell>
          <cell r="AD608">
            <v>43053</v>
          </cell>
          <cell r="AE608">
            <v>43055</v>
          </cell>
          <cell r="AF608">
            <v>43089</v>
          </cell>
          <cell r="AG608">
            <v>2</v>
          </cell>
          <cell r="AH608">
            <v>2</v>
          </cell>
          <cell r="AI608">
            <v>2</v>
          </cell>
          <cell r="AJ608">
            <v>2</v>
          </cell>
          <cell r="AK608">
            <v>2</v>
          </cell>
          <cell r="AL608">
            <v>2</v>
          </cell>
          <cell r="AM608" t="str">
            <v>NULL</v>
          </cell>
          <cell r="AN608" t="str">
            <v>Yes</v>
          </cell>
          <cell r="AO608" t="str">
            <v>ITS420269</v>
          </cell>
          <cell r="AP608" t="str">
            <v>Independent school standard inspection - first</v>
          </cell>
          <cell r="AQ608" t="str">
            <v>Independent Standard Inspection</v>
          </cell>
          <cell r="AR608">
            <v>41443</v>
          </cell>
          <cell r="AS608">
            <v>41445</v>
          </cell>
          <cell r="AT608">
            <v>41465</v>
          </cell>
          <cell r="AU608">
            <v>4</v>
          </cell>
          <cell r="AV608">
            <v>3</v>
          </cell>
          <cell r="AW608">
            <v>2</v>
          </cell>
          <cell r="AX608">
            <v>4</v>
          </cell>
          <cell r="AY608" t="str">
            <v>NULL</v>
          </cell>
          <cell r="AZ608" t="str">
            <v>NULL</v>
          </cell>
          <cell r="BA608" t="str">
            <v>NULL</v>
          </cell>
          <cell r="BB608" t="str">
            <v>NULL</v>
          </cell>
        </row>
        <row r="609">
          <cell r="D609">
            <v>100545</v>
          </cell>
          <cell r="E609">
            <v>2076387</v>
          </cell>
          <cell r="F609" t="str">
            <v>La Petite Ecole Francaise</v>
          </cell>
          <cell r="G609" t="str">
            <v>Other Independent School</v>
          </cell>
          <cell r="H609">
            <v>33609</v>
          </cell>
          <cell r="I609">
            <v>119</v>
          </cell>
          <cell r="J609" t="str">
            <v>London</v>
          </cell>
          <cell r="K609" t="str">
            <v>London</v>
          </cell>
          <cell r="L609" t="str">
            <v>Kensington and Chelsea</v>
          </cell>
          <cell r="M609" t="str">
            <v>Kensington</v>
          </cell>
          <cell r="N609" t="str">
            <v>W10 6EJ</v>
          </cell>
          <cell r="O609" t="str">
            <v>Does not have a sixth form</v>
          </cell>
          <cell r="P609">
            <v>3</v>
          </cell>
          <cell r="Q609">
            <v>11</v>
          </cell>
          <cell r="R609" t="str">
            <v>None</v>
          </cell>
          <cell r="S609" t="str">
            <v>Ofsted</v>
          </cell>
          <cell r="T609" t="str">
            <v>NULL</v>
          </cell>
          <cell r="U609" t="str">
            <v>NULL</v>
          </cell>
          <cell r="V609" t="str">
            <v>NULL</v>
          </cell>
          <cell r="W609" t="str">
            <v>NULL</v>
          </cell>
          <cell r="X609" t="str">
            <v>NULL</v>
          </cell>
          <cell r="Y609" t="str">
            <v>NULL</v>
          </cell>
          <cell r="Z609" t="str">
            <v>NULL</v>
          </cell>
          <cell r="AA609" t="str">
            <v>ITS361320</v>
          </cell>
          <cell r="AB609" t="str">
            <v>S162a - LTI Inspection Historic</v>
          </cell>
          <cell r="AC609" t="str">
            <v>Independent Standard Inspection</v>
          </cell>
          <cell r="AD609">
            <v>40500</v>
          </cell>
          <cell r="AE609">
            <v>40500</v>
          </cell>
          <cell r="AF609">
            <v>40521</v>
          </cell>
          <cell r="AG609">
            <v>1</v>
          </cell>
          <cell r="AH609">
            <v>1</v>
          </cell>
          <cell r="AI609">
            <v>2</v>
          </cell>
          <cell r="AJ609" t="str">
            <v>NULL</v>
          </cell>
          <cell r="AK609" t="str">
            <v>NULL</v>
          </cell>
          <cell r="AL609">
            <v>2</v>
          </cell>
          <cell r="AM609" t="str">
            <v>NULL</v>
          </cell>
          <cell r="AN609" t="str">
            <v>NULL</v>
          </cell>
          <cell r="AO609" t="str">
            <v>ITS316940</v>
          </cell>
          <cell r="AP609" t="str">
            <v>Independent School standard inspection</v>
          </cell>
          <cell r="AQ609" t="str">
            <v>Independent Standard Inspection</v>
          </cell>
          <cell r="AR609">
            <v>39393</v>
          </cell>
          <cell r="AS609">
            <v>39394</v>
          </cell>
          <cell r="AT609">
            <v>39416</v>
          </cell>
          <cell r="AU609">
            <v>2</v>
          </cell>
          <cell r="AV609">
            <v>2</v>
          </cell>
          <cell r="AW609">
            <v>2</v>
          </cell>
          <cell r="AX609" t="str">
            <v>NULL</v>
          </cell>
          <cell r="AY609" t="str">
            <v>NULL</v>
          </cell>
          <cell r="AZ609" t="str">
            <v>NULL</v>
          </cell>
          <cell r="BA609" t="str">
            <v>NULL</v>
          </cell>
          <cell r="BB609" t="str">
            <v>NULL</v>
          </cell>
        </row>
        <row r="610">
          <cell r="D610">
            <v>136747</v>
          </cell>
          <cell r="E610">
            <v>2076000</v>
          </cell>
          <cell r="F610" t="str">
            <v>La Scuola Italiana A Londra</v>
          </cell>
          <cell r="G610" t="str">
            <v>Other Independent School</v>
          </cell>
          <cell r="H610">
            <v>40679</v>
          </cell>
          <cell r="I610">
            <v>86</v>
          </cell>
          <cell r="J610" t="str">
            <v>London</v>
          </cell>
          <cell r="K610" t="str">
            <v>London</v>
          </cell>
          <cell r="L610" t="str">
            <v>Kensington and Chelsea</v>
          </cell>
          <cell r="M610" t="str">
            <v>Kensington</v>
          </cell>
          <cell r="N610" t="str">
            <v>W11 4UH</v>
          </cell>
          <cell r="O610" t="str">
            <v>Does not have a sixth form</v>
          </cell>
          <cell r="P610">
            <v>3</v>
          </cell>
          <cell r="Q610">
            <v>14</v>
          </cell>
          <cell r="R610" t="str">
            <v>None</v>
          </cell>
          <cell r="S610" t="str">
            <v>Ofsted</v>
          </cell>
          <cell r="T610" t="str">
            <v>NULL</v>
          </cell>
          <cell r="U610" t="str">
            <v>NULL</v>
          </cell>
          <cell r="V610" t="str">
            <v>NULL</v>
          </cell>
          <cell r="W610" t="str">
            <v>NULL</v>
          </cell>
          <cell r="X610" t="str">
            <v>NULL</v>
          </cell>
          <cell r="Y610" t="str">
            <v>NULL</v>
          </cell>
          <cell r="Z610" t="str">
            <v>NULL</v>
          </cell>
          <cell r="AA610">
            <v>10006122</v>
          </cell>
          <cell r="AB610" t="str">
            <v>Independent School standard inspection</v>
          </cell>
          <cell r="AC610" t="str">
            <v>Independent Standard Inspection</v>
          </cell>
          <cell r="AD610">
            <v>42346</v>
          </cell>
          <cell r="AE610">
            <v>42348</v>
          </cell>
          <cell r="AF610">
            <v>42383</v>
          </cell>
          <cell r="AG610">
            <v>2</v>
          </cell>
          <cell r="AH610">
            <v>2</v>
          </cell>
          <cell r="AI610">
            <v>2</v>
          </cell>
          <cell r="AJ610">
            <v>2</v>
          </cell>
          <cell r="AK610">
            <v>2</v>
          </cell>
          <cell r="AL610">
            <v>2</v>
          </cell>
          <cell r="AM610" t="str">
            <v>NULL</v>
          </cell>
          <cell r="AN610" t="str">
            <v>Yes</v>
          </cell>
          <cell r="AO610" t="str">
            <v>ITS393244</v>
          </cell>
          <cell r="AP610" t="str">
            <v>Independent school standard inspection - first</v>
          </cell>
          <cell r="AQ610" t="str">
            <v>Independent Standard Inspection</v>
          </cell>
          <cell r="AR610">
            <v>41030</v>
          </cell>
          <cell r="AS610">
            <v>41031</v>
          </cell>
          <cell r="AT610">
            <v>41054</v>
          </cell>
          <cell r="AU610">
            <v>3</v>
          </cell>
          <cell r="AV610">
            <v>3</v>
          </cell>
          <cell r="AW610">
            <v>3</v>
          </cell>
          <cell r="AX610" t="str">
            <v>NULL</v>
          </cell>
          <cell r="AY610" t="str">
            <v>NULL</v>
          </cell>
          <cell r="AZ610">
            <v>8</v>
          </cell>
          <cell r="BA610" t="str">
            <v>NULL</v>
          </cell>
          <cell r="BB610" t="str">
            <v>NULL</v>
          </cell>
        </row>
        <row r="611">
          <cell r="D611">
            <v>103587</v>
          </cell>
          <cell r="E611">
            <v>3306079</v>
          </cell>
          <cell r="F611" t="str">
            <v>Mander Portman Woodward Independent College</v>
          </cell>
          <cell r="G611" t="str">
            <v>Other Independent School</v>
          </cell>
          <cell r="H611">
            <v>32044</v>
          </cell>
          <cell r="I611">
            <v>242</v>
          </cell>
          <cell r="J611" t="str">
            <v>West Midlands</v>
          </cell>
          <cell r="K611" t="str">
            <v>West Midlands</v>
          </cell>
          <cell r="L611" t="str">
            <v>Birmingham</v>
          </cell>
          <cell r="M611" t="str">
            <v>Birmingham, Edgbaston</v>
          </cell>
          <cell r="N611" t="str">
            <v>B15 3AU</v>
          </cell>
          <cell r="O611" t="str">
            <v>Has a sixth form</v>
          </cell>
          <cell r="P611">
            <v>14</v>
          </cell>
          <cell r="Q611">
            <v>19</v>
          </cell>
          <cell r="R611" t="str">
            <v>None</v>
          </cell>
          <cell r="S611" t="str">
            <v>Ofsted</v>
          </cell>
          <cell r="T611">
            <v>1</v>
          </cell>
          <cell r="U611">
            <v>10009824</v>
          </cell>
          <cell r="V611" t="str">
            <v>Independent school Material Change inspection</v>
          </cell>
          <cell r="W611">
            <v>42334</v>
          </cell>
          <cell r="X611">
            <v>42334</v>
          </cell>
          <cell r="Y611" t="str">
            <v>NULL</v>
          </cell>
          <cell r="Z611" t="str">
            <v>Likely to meet relevant standards</v>
          </cell>
          <cell r="AA611" t="str">
            <v>ITS443497</v>
          </cell>
          <cell r="AB611" t="str">
            <v>Independent School standard inspection</v>
          </cell>
          <cell r="AC611" t="str">
            <v>Independent Standard Inspection</v>
          </cell>
          <cell r="AD611">
            <v>41906</v>
          </cell>
          <cell r="AE611">
            <v>41908</v>
          </cell>
          <cell r="AF611">
            <v>41929</v>
          </cell>
          <cell r="AG611">
            <v>1</v>
          </cell>
          <cell r="AH611">
            <v>1</v>
          </cell>
          <cell r="AI611">
            <v>1</v>
          </cell>
          <cell r="AJ611">
            <v>1</v>
          </cell>
          <cell r="AK611" t="str">
            <v>NULL</v>
          </cell>
          <cell r="AL611" t="str">
            <v>NULL</v>
          </cell>
          <cell r="AM611" t="str">
            <v>NULL</v>
          </cell>
          <cell r="AN611" t="str">
            <v>NULL</v>
          </cell>
          <cell r="AO611" t="str">
            <v>ITS332464</v>
          </cell>
          <cell r="AP611" t="str">
            <v>Independent School standard inspection</v>
          </cell>
          <cell r="AQ611" t="str">
            <v>Independent Standard Inspection</v>
          </cell>
          <cell r="AR611">
            <v>39826</v>
          </cell>
          <cell r="AS611">
            <v>39827</v>
          </cell>
          <cell r="AT611">
            <v>39843</v>
          </cell>
          <cell r="AU611">
            <v>1</v>
          </cell>
          <cell r="AV611">
            <v>1</v>
          </cell>
          <cell r="AW611">
            <v>1</v>
          </cell>
          <cell r="AX611" t="str">
            <v>NULL</v>
          </cell>
          <cell r="AY611" t="str">
            <v>NULL</v>
          </cell>
          <cell r="AZ611">
            <v>0</v>
          </cell>
          <cell r="BA611" t="str">
            <v>NULL</v>
          </cell>
          <cell r="BB611" t="str">
            <v>NULL</v>
          </cell>
        </row>
        <row r="612">
          <cell r="D612">
            <v>131770</v>
          </cell>
          <cell r="E612">
            <v>3066090</v>
          </cell>
          <cell r="F612" t="str">
            <v>Maple House School</v>
          </cell>
          <cell r="G612" t="str">
            <v>Other Independent School</v>
          </cell>
          <cell r="H612">
            <v>36216</v>
          </cell>
          <cell r="I612">
            <v>69</v>
          </cell>
          <cell r="J612" t="str">
            <v>London</v>
          </cell>
          <cell r="K612" t="str">
            <v>London</v>
          </cell>
          <cell r="L612" t="str">
            <v>Croydon</v>
          </cell>
          <cell r="M612" t="str">
            <v>Croydon North</v>
          </cell>
          <cell r="N612" t="str">
            <v>CR7 8LY</v>
          </cell>
          <cell r="O612" t="str">
            <v>Does not have a sixth form</v>
          </cell>
          <cell r="P612">
            <v>3</v>
          </cell>
          <cell r="Q612">
            <v>11</v>
          </cell>
          <cell r="R612" t="str">
            <v>None</v>
          </cell>
          <cell r="S612" t="str">
            <v>Ofsted</v>
          </cell>
          <cell r="T612" t="str">
            <v>NULL</v>
          </cell>
          <cell r="U612" t="str">
            <v>NULL</v>
          </cell>
          <cell r="V612" t="str">
            <v>NULL</v>
          </cell>
          <cell r="W612" t="str">
            <v>NULL</v>
          </cell>
          <cell r="X612" t="str">
            <v>NULL</v>
          </cell>
          <cell r="Y612" t="str">
            <v>NULL</v>
          </cell>
          <cell r="Z612" t="str">
            <v>NULL</v>
          </cell>
          <cell r="AA612" t="str">
            <v>ITS408724</v>
          </cell>
          <cell r="AB612" t="str">
            <v>Independent School standard inspection</v>
          </cell>
          <cell r="AC612" t="str">
            <v>Independent Standard Inspection</v>
          </cell>
          <cell r="AD612">
            <v>41310</v>
          </cell>
          <cell r="AE612">
            <v>41312</v>
          </cell>
          <cell r="AF612">
            <v>41333</v>
          </cell>
          <cell r="AG612">
            <v>2</v>
          </cell>
          <cell r="AH612">
            <v>2</v>
          </cell>
          <cell r="AI612">
            <v>2</v>
          </cell>
          <cell r="AJ612">
            <v>2</v>
          </cell>
          <cell r="AK612" t="str">
            <v>NULL</v>
          </cell>
          <cell r="AL612" t="str">
            <v>NULL</v>
          </cell>
          <cell r="AM612" t="str">
            <v>NULL</v>
          </cell>
          <cell r="AN612" t="str">
            <v>NULL</v>
          </cell>
          <cell r="AO612" t="str">
            <v>ITS341947</v>
          </cell>
          <cell r="AP612" t="str">
            <v>Independent School standard inspection</v>
          </cell>
          <cell r="AQ612" t="str">
            <v>Independent Standard Inspection</v>
          </cell>
          <cell r="AR612">
            <v>40080</v>
          </cell>
          <cell r="AS612">
            <v>40081</v>
          </cell>
          <cell r="AT612">
            <v>40105</v>
          </cell>
          <cell r="AU612">
            <v>4</v>
          </cell>
          <cell r="AV612">
            <v>4</v>
          </cell>
          <cell r="AW612">
            <v>4</v>
          </cell>
          <cell r="AX612" t="str">
            <v>NULL</v>
          </cell>
          <cell r="AY612" t="str">
            <v>NULL</v>
          </cell>
          <cell r="AZ612">
            <v>4</v>
          </cell>
          <cell r="BA612" t="str">
            <v>NULL</v>
          </cell>
          <cell r="BB612" t="str">
            <v>NULL</v>
          </cell>
        </row>
        <row r="613">
          <cell r="D613">
            <v>126536</v>
          </cell>
          <cell r="E613">
            <v>8666001</v>
          </cell>
          <cell r="F613" t="str">
            <v>Maranatha Christian School</v>
          </cell>
          <cell r="G613" t="str">
            <v>Other Independent School</v>
          </cell>
          <cell r="H613">
            <v>33179</v>
          </cell>
          <cell r="I613">
            <v>51</v>
          </cell>
          <cell r="J613" t="str">
            <v>South West</v>
          </cell>
          <cell r="K613" t="str">
            <v>South West</v>
          </cell>
          <cell r="L613" t="str">
            <v>Swindon</v>
          </cell>
          <cell r="M613" t="str">
            <v>North Swindon</v>
          </cell>
          <cell r="N613" t="str">
            <v>SN6 7SQ</v>
          </cell>
          <cell r="O613" t="str">
            <v>Has a sixth form</v>
          </cell>
          <cell r="P613">
            <v>3</v>
          </cell>
          <cell r="Q613">
            <v>19</v>
          </cell>
          <cell r="R613" t="str">
            <v>None</v>
          </cell>
          <cell r="S613" t="str">
            <v>Ofsted</v>
          </cell>
          <cell r="T613">
            <v>3</v>
          </cell>
          <cell r="U613">
            <v>10041331</v>
          </cell>
          <cell r="V613" t="str">
            <v>Independent school Progress Monitoring inspection</v>
          </cell>
          <cell r="W613">
            <v>43152</v>
          </cell>
          <cell r="X613">
            <v>43152</v>
          </cell>
          <cell r="Y613">
            <v>43179</v>
          </cell>
          <cell r="Z613" t="str">
            <v>Met all standards that were checked</v>
          </cell>
          <cell r="AA613">
            <v>10020791</v>
          </cell>
          <cell r="AB613" t="str">
            <v>Independent School standard inspection</v>
          </cell>
          <cell r="AC613" t="str">
            <v>Independent Standard Inspection</v>
          </cell>
          <cell r="AD613">
            <v>42661</v>
          </cell>
          <cell r="AE613">
            <v>42663</v>
          </cell>
          <cell r="AF613">
            <v>42709</v>
          </cell>
          <cell r="AG613">
            <v>4</v>
          </cell>
          <cell r="AH613">
            <v>3</v>
          </cell>
          <cell r="AI613">
            <v>3</v>
          </cell>
          <cell r="AJ613">
            <v>4</v>
          </cell>
          <cell r="AK613">
            <v>4</v>
          </cell>
          <cell r="AL613">
            <v>4</v>
          </cell>
          <cell r="AM613" t="str">
            <v>NULL</v>
          </cell>
          <cell r="AN613" t="str">
            <v>No</v>
          </cell>
          <cell r="AO613" t="str">
            <v>ITS422713</v>
          </cell>
          <cell r="AP613" t="str">
            <v>Independent School standard inspection</v>
          </cell>
          <cell r="AQ613" t="str">
            <v>Independent Standard Inspection</v>
          </cell>
          <cell r="AR613">
            <v>41570</v>
          </cell>
          <cell r="AS613">
            <v>41572</v>
          </cell>
          <cell r="AT613">
            <v>41592</v>
          </cell>
          <cell r="AU613">
            <v>2</v>
          </cell>
          <cell r="AV613">
            <v>2</v>
          </cell>
          <cell r="AW613">
            <v>2</v>
          </cell>
          <cell r="AX613">
            <v>2</v>
          </cell>
          <cell r="AY613" t="str">
            <v>NULL</v>
          </cell>
          <cell r="AZ613" t="str">
            <v>NULL</v>
          </cell>
          <cell r="BA613" t="str">
            <v>NULL</v>
          </cell>
          <cell r="BB613" t="str">
            <v>NULL</v>
          </cell>
        </row>
        <row r="614">
          <cell r="D614">
            <v>135901</v>
          </cell>
          <cell r="E614">
            <v>2096409</v>
          </cell>
          <cell r="F614" t="str">
            <v>Marathon Science School</v>
          </cell>
          <cell r="G614" t="str">
            <v>Other Independent School</v>
          </cell>
          <cell r="H614">
            <v>40014</v>
          </cell>
          <cell r="I614">
            <v>54</v>
          </cell>
          <cell r="J614" t="str">
            <v>London</v>
          </cell>
          <cell r="K614" t="str">
            <v>London</v>
          </cell>
          <cell r="L614" t="str">
            <v>Lewisham</v>
          </cell>
          <cell r="M614" t="str">
            <v>Lewisham, Deptford</v>
          </cell>
          <cell r="N614" t="str">
            <v>SE8 5RQ</v>
          </cell>
          <cell r="O614" t="str">
            <v>Has a sixth form</v>
          </cell>
          <cell r="P614">
            <v>10</v>
          </cell>
          <cell r="Q614">
            <v>19</v>
          </cell>
          <cell r="R614" t="str">
            <v>None</v>
          </cell>
          <cell r="S614" t="str">
            <v>Ofsted</v>
          </cell>
          <cell r="T614" t="str">
            <v>NULL</v>
          </cell>
          <cell r="U614" t="str">
            <v>NULL</v>
          </cell>
          <cell r="V614" t="str">
            <v>NULL</v>
          </cell>
          <cell r="W614" t="str">
            <v>NULL</v>
          </cell>
          <cell r="X614" t="str">
            <v>NULL</v>
          </cell>
          <cell r="Y614" t="str">
            <v>NULL</v>
          </cell>
          <cell r="Z614" t="str">
            <v>NULL</v>
          </cell>
          <cell r="AA614">
            <v>10020714</v>
          </cell>
          <cell r="AB614" t="str">
            <v xml:space="preserve">Independent School standard inspection - integrated </v>
          </cell>
          <cell r="AC614" t="str">
            <v>Independent Standard Inspection</v>
          </cell>
          <cell r="AD614">
            <v>42815</v>
          </cell>
          <cell r="AE614">
            <v>42817</v>
          </cell>
          <cell r="AF614">
            <v>42905</v>
          </cell>
          <cell r="AG614">
            <v>3</v>
          </cell>
          <cell r="AH614">
            <v>3</v>
          </cell>
          <cell r="AI614">
            <v>3</v>
          </cell>
          <cell r="AJ614">
            <v>3</v>
          </cell>
          <cell r="AK614">
            <v>2</v>
          </cell>
          <cell r="AL614" t="str">
            <v>NULL</v>
          </cell>
          <cell r="AM614" t="str">
            <v>NULL</v>
          </cell>
          <cell r="AN614" t="str">
            <v>Yes</v>
          </cell>
          <cell r="AO614" t="str">
            <v>ITS422806</v>
          </cell>
          <cell r="AP614" t="str">
            <v xml:space="preserve">Independent School standard inspection - integrated </v>
          </cell>
          <cell r="AQ614" t="str">
            <v>Independent Standard Inspection</v>
          </cell>
          <cell r="AR614">
            <v>41534</v>
          </cell>
          <cell r="AS614">
            <v>41536</v>
          </cell>
          <cell r="AT614">
            <v>41556</v>
          </cell>
          <cell r="AU614">
            <v>3</v>
          </cell>
          <cell r="AV614">
            <v>3</v>
          </cell>
          <cell r="AW614">
            <v>3</v>
          </cell>
          <cell r="AX614">
            <v>3</v>
          </cell>
          <cell r="AY614" t="str">
            <v>NULL</v>
          </cell>
          <cell r="AZ614" t="str">
            <v>NULL</v>
          </cell>
          <cell r="BA614" t="str">
            <v>NULL</v>
          </cell>
          <cell r="BB614" t="str">
            <v>NULL</v>
          </cell>
        </row>
        <row r="615">
          <cell r="D615">
            <v>132099</v>
          </cell>
          <cell r="E615">
            <v>3826021</v>
          </cell>
          <cell r="F615" t="str">
            <v>Paradise Primary School</v>
          </cell>
          <cell r="G615" t="str">
            <v>Other Independent School</v>
          </cell>
          <cell r="H615">
            <v>36483</v>
          </cell>
          <cell r="I615">
            <v>211</v>
          </cell>
          <cell r="J615" t="str">
            <v>North East, Yorkshire and the Humber</v>
          </cell>
          <cell r="K615" t="str">
            <v>Yorkshire and the Humber</v>
          </cell>
          <cell r="L615" t="str">
            <v>Kirklees</v>
          </cell>
          <cell r="M615" t="str">
            <v>Dewsbury</v>
          </cell>
          <cell r="N615" t="str">
            <v>WF12 9BB</v>
          </cell>
          <cell r="O615" t="str">
            <v>Does not have a sixth form</v>
          </cell>
          <cell r="P615">
            <v>2</v>
          </cell>
          <cell r="Q615">
            <v>11</v>
          </cell>
          <cell r="R615" t="str">
            <v>None</v>
          </cell>
          <cell r="S615" t="str">
            <v>Ofsted</v>
          </cell>
          <cell r="T615" t="str">
            <v>NULL</v>
          </cell>
          <cell r="U615" t="str">
            <v>NULL</v>
          </cell>
          <cell r="V615" t="str">
            <v>NULL</v>
          </cell>
          <cell r="W615" t="str">
            <v>NULL</v>
          </cell>
          <cell r="X615" t="str">
            <v>NULL</v>
          </cell>
          <cell r="Y615" t="str">
            <v>NULL</v>
          </cell>
          <cell r="Z615" t="str">
            <v>NULL</v>
          </cell>
          <cell r="AA615">
            <v>10007703</v>
          </cell>
          <cell r="AB615" t="str">
            <v>Independent School standard inspection</v>
          </cell>
          <cell r="AC615" t="str">
            <v>Independent Standard Inspection</v>
          </cell>
          <cell r="AD615">
            <v>42395</v>
          </cell>
          <cell r="AE615">
            <v>42397</v>
          </cell>
          <cell r="AF615">
            <v>42444</v>
          </cell>
          <cell r="AG615">
            <v>2</v>
          </cell>
          <cell r="AH615">
            <v>2</v>
          </cell>
          <cell r="AI615">
            <v>2</v>
          </cell>
          <cell r="AJ615">
            <v>2</v>
          </cell>
          <cell r="AK615">
            <v>2</v>
          </cell>
          <cell r="AL615">
            <v>2</v>
          </cell>
          <cell r="AM615" t="str">
            <v>NULL</v>
          </cell>
          <cell r="AN615" t="str">
            <v>Yes</v>
          </cell>
          <cell r="AO615" t="str">
            <v>ITS364268</v>
          </cell>
          <cell r="AP615" t="str">
            <v>S162a - LTI Inspection Historic</v>
          </cell>
          <cell r="AQ615" t="str">
            <v>Independent Standard Inspection</v>
          </cell>
          <cell r="AR615">
            <v>40737</v>
          </cell>
          <cell r="AS615">
            <v>40737</v>
          </cell>
          <cell r="AT615">
            <v>40758</v>
          </cell>
          <cell r="AU615">
            <v>2</v>
          </cell>
          <cell r="AV615">
            <v>2</v>
          </cell>
          <cell r="AW615">
            <v>2</v>
          </cell>
          <cell r="AX615" t="str">
            <v>NULL</v>
          </cell>
          <cell r="AY615" t="str">
            <v>NULL</v>
          </cell>
          <cell r="AZ615">
            <v>2</v>
          </cell>
          <cell r="BA615" t="str">
            <v>NULL</v>
          </cell>
          <cell r="BB615" t="str">
            <v>NULL</v>
          </cell>
        </row>
        <row r="616">
          <cell r="D616">
            <v>100301</v>
          </cell>
          <cell r="E616">
            <v>2046389</v>
          </cell>
          <cell r="F616" t="str">
            <v>Paragon Christian Academy</v>
          </cell>
          <cell r="G616" t="str">
            <v>Other Independent School</v>
          </cell>
          <cell r="H616">
            <v>34019</v>
          </cell>
          <cell r="I616">
            <v>27</v>
          </cell>
          <cell r="J616" t="str">
            <v>London</v>
          </cell>
          <cell r="K616" t="str">
            <v>London</v>
          </cell>
          <cell r="L616" t="str">
            <v>Hackney</v>
          </cell>
          <cell r="M616" t="str">
            <v>Hackney South and Shoreditch</v>
          </cell>
          <cell r="N616" t="str">
            <v>E5 0JP</v>
          </cell>
          <cell r="O616" t="str">
            <v>Has a sixth form</v>
          </cell>
          <cell r="P616">
            <v>4</v>
          </cell>
          <cell r="Q616">
            <v>18</v>
          </cell>
          <cell r="R616" t="str">
            <v>None</v>
          </cell>
          <cell r="S616" t="str">
            <v>Ofsted</v>
          </cell>
          <cell r="T616" t="str">
            <v>NULL</v>
          </cell>
          <cell r="U616" t="str">
            <v>NULL</v>
          </cell>
          <cell r="V616" t="str">
            <v>NULL</v>
          </cell>
          <cell r="W616" t="str">
            <v>NULL</v>
          </cell>
          <cell r="X616" t="str">
            <v>NULL</v>
          </cell>
          <cell r="Y616" t="str">
            <v>NULL</v>
          </cell>
          <cell r="Z616" t="str">
            <v>NULL</v>
          </cell>
          <cell r="AA616">
            <v>10026269</v>
          </cell>
          <cell r="AB616" t="str">
            <v>Independent School standard inspection</v>
          </cell>
          <cell r="AC616" t="str">
            <v>Independent Standard Inspection</v>
          </cell>
          <cell r="AD616">
            <v>43067</v>
          </cell>
          <cell r="AE616">
            <v>43069</v>
          </cell>
          <cell r="AF616">
            <v>43088</v>
          </cell>
          <cell r="AG616">
            <v>3</v>
          </cell>
          <cell r="AH616">
            <v>3</v>
          </cell>
          <cell r="AI616">
            <v>3</v>
          </cell>
          <cell r="AJ616">
            <v>3</v>
          </cell>
          <cell r="AK616">
            <v>2</v>
          </cell>
          <cell r="AL616">
            <v>3</v>
          </cell>
          <cell r="AM616" t="str">
            <v>NULL</v>
          </cell>
          <cell r="AN616" t="str">
            <v>Yes</v>
          </cell>
          <cell r="AO616" t="str">
            <v>ITS408701</v>
          </cell>
          <cell r="AP616" t="str">
            <v>Independent School standard inspection</v>
          </cell>
          <cell r="AQ616" t="str">
            <v>Independent Standard Inspection</v>
          </cell>
          <cell r="AR616">
            <v>41309</v>
          </cell>
          <cell r="AS616">
            <v>41311</v>
          </cell>
          <cell r="AT616">
            <v>41333</v>
          </cell>
          <cell r="AU616">
            <v>2</v>
          </cell>
          <cell r="AV616">
            <v>2</v>
          </cell>
          <cell r="AW616">
            <v>2</v>
          </cell>
          <cell r="AX616">
            <v>2</v>
          </cell>
          <cell r="AY616" t="str">
            <v>NULL</v>
          </cell>
          <cell r="AZ616" t="str">
            <v>NULL</v>
          </cell>
          <cell r="BA616" t="str">
            <v>NULL</v>
          </cell>
          <cell r="BB616" t="str">
            <v>NULL</v>
          </cell>
        </row>
        <row r="617">
          <cell r="D617">
            <v>101385</v>
          </cell>
          <cell r="E617">
            <v>3026084</v>
          </cell>
          <cell r="F617" t="str">
            <v>Pardes House Grammar School</v>
          </cell>
          <cell r="G617" t="str">
            <v>Other Independent School</v>
          </cell>
          <cell r="H617">
            <v>27901</v>
          </cell>
          <cell r="I617">
            <v>146</v>
          </cell>
          <cell r="J617" t="str">
            <v>London</v>
          </cell>
          <cell r="K617" t="str">
            <v>London</v>
          </cell>
          <cell r="L617" t="str">
            <v>Barnet</v>
          </cell>
          <cell r="M617" t="str">
            <v>Finchley and Golders Green</v>
          </cell>
          <cell r="N617" t="str">
            <v>N3 1SA</v>
          </cell>
          <cell r="O617" t="str">
            <v>Does not have a sixth form</v>
          </cell>
          <cell r="P617">
            <v>10</v>
          </cell>
          <cell r="Q617">
            <v>16</v>
          </cell>
          <cell r="R617" t="str">
            <v>None</v>
          </cell>
          <cell r="S617" t="str">
            <v>Ofsted</v>
          </cell>
          <cell r="T617" t="str">
            <v>NULL</v>
          </cell>
          <cell r="U617" t="str">
            <v>NULL</v>
          </cell>
          <cell r="V617" t="str">
            <v>NULL</v>
          </cell>
          <cell r="W617" t="str">
            <v>NULL</v>
          </cell>
          <cell r="X617" t="str">
            <v>NULL</v>
          </cell>
          <cell r="Y617" t="str">
            <v>NULL</v>
          </cell>
          <cell r="Z617" t="str">
            <v>NULL</v>
          </cell>
          <cell r="AA617">
            <v>10038153</v>
          </cell>
          <cell r="AB617" t="str">
            <v>Independent School standard inspection</v>
          </cell>
          <cell r="AC617" t="str">
            <v>Independent Standard Inspection</v>
          </cell>
          <cell r="AD617">
            <v>43137</v>
          </cell>
          <cell r="AE617">
            <v>43139</v>
          </cell>
          <cell r="AF617">
            <v>43166</v>
          </cell>
          <cell r="AG617">
            <v>2</v>
          </cell>
          <cell r="AH617">
            <v>2</v>
          </cell>
          <cell r="AI617">
            <v>2</v>
          </cell>
          <cell r="AJ617">
            <v>2</v>
          </cell>
          <cell r="AK617">
            <v>2</v>
          </cell>
          <cell r="AL617" t="str">
            <v>NULL</v>
          </cell>
          <cell r="AM617" t="str">
            <v>NULL</v>
          </cell>
          <cell r="AN617" t="str">
            <v>Yes</v>
          </cell>
          <cell r="AO617" t="str">
            <v>ITS442984</v>
          </cell>
          <cell r="AP617" t="str">
            <v>Independent School standard inspection</v>
          </cell>
          <cell r="AQ617" t="str">
            <v>Independent Standard Inspection</v>
          </cell>
          <cell r="AR617">
            <v>41955</v>
          </cell>
          <cell r="AS617">
            <v>41957</v>
          </cell>
          <cell r="AT617">
            <v>42039</v>
          </cell>
          <cell r="AU617">
            <v>2</v>
          </cell>
          <cell r="AV617">
            <v>2</v>
          </cell>
          <cell r="AW617">
            <v>2</v>
          </cell>
          <cell r="AX617">
            <v>2</v>
          </cell>
          <cell r="AY617" t="str">
            <v>NULL</v>
          </cell>
          <cell r="AZ617">
            <v>9</v>
          </cell>
          <cell r="BA617">
            <v>9</v>
          </cell>
          <cell r="BB617" t="str">
            <v>NULL</v>
          </cell>
        </row>
        <row r="618">
          <cell r="D618">
            <v>139784</v>
          </cell>
          <cell r="E618">
            <v>8616010</v>
          </cell>
          <cell r="F618" t="str">
            <v>Park Avenue Girls' High School</v>
          </cell>
          <cell r="G618" t="str">
            <v>Other Independent School</v>
          </cell>
          <cell r="H618">
            <v>41430</v>
          </cell>
          <cell r="I618">
            <v>25</v>
          </cell>
          <cell r="J618" t="str">
            <v>West Midlands</v>
          </cell>
          <cell r="K618" t="str">
            <v>West Midlands</v>
          </cell>
          <cell r="L618" t="str">
            <v>Stoke-on-Trent</v>
          </cell>
          <cell r="M618" t="str">
            <v>Stoke-on-Trent Central</v>
          </cell>
          <cell r="N618" t="str">
            <v>ST4 2DT</v>
          </cell>
          <cell r="O618" t="str">
            <v>Does not have a sixth form</v>
          </cell>
          <cell r="P618">
            <v>11</v>
          </cell>
          <cell r="Q618">
            <v>16</v>
          </cell>
          <cell r="R618" t="str">
            <v>None</v>
          </cell>
          <cell r="S618" t="str">
            <v>Ofsted</v>
          </cell>
          <cell r="T618" t="str">
            <v>NULL</v>
          </cell>
          <cell r="U618" t="str">
            <v>NULL</v>
          </cell>
          <cell r="V618" t="str">
            <v>NULL</v>
          </cell>
          <cell r="W618" t="str">
            <v>NULL</v>
          </cell>
          <cell r="X618" t="str">
            <v>NULL</v>
          </cell>
          <cell r="Y618" t="str">
            <v>NULL</v>
          </cell>
          <cell r="Z618" t="str">
            <v>NULL</v>
          </cell>
          <cell r="AA618">
            <v>10033576</v>
          </cell>
          <cell r="AB618" t="str">
            <v>Independent School standard inspection</v>
          </cell>
          <cell r="AC618" t="str">
            <v>Independent Standard Inspection</v>
          </cell>
          <cell r="AD618">
            <v>43018</v>
          </cell>
          <cell r="AE618">
            <v>43020</v>
          </cell>
          <cell r="AF618">
            <v>43115</v>
          </cell>
          <cell r="AG618">
            <v>4</v>
          </cell>
          <cell r="AH618">
            <v>3</v>
          </cell>
          <cell r="AI618">
            <v>3</v>
          </cell>
          <cell r="AJ618">
            <v>4</v>
          </cell>
          <cell r="AK618">
            <v>4</v>
          </cell>
          <cell r="AL618" t="str">
            <v>NULL</v>
          </cell>
          <cell r="AM618" t="str">
            <v>NULL</v>
          </cell>
          <cell r="AN618" t="str">
            <v>No</v>
          </cell>
          <cell r="AO618" t="str">
            <v>ITS443009</v>
          </cell>
          <cell r="AP618" t="str">
            <v>Independent school standard inspection - first</v>
          </cell>
          <cell r="AQ618" t="str">
            <v>Independent Standard Inspection</v>
          </cell>
          <cell r="AR618">
            <v>41807</v>
          </cell>
          <cell r="AS618">
            <v>41809</v>
          </cell>
          <cell r="AT618">
            <v>41831</v>
          </cell>
          <cell r="AU618">
            <v>3</v>
          </cell>
          <cell r="AV618">
            <v>3</v>
          </cell>
          <cell r="AW618">
            <v>3</v>
          </cell>
          <cell r="AX618">
            <v>3</v>
          </cell>
          <cell r="AY618" t="str">
            <v>NULL</v>
          </cell>
          <cell r="AZ618" t="str">
            <v>NULL</v>
          </cell>
          <cell r="BA618" t="str">
            <v>NULL</v>
          </cell>
          <cell r="BB618" t="str">
            <v>NULL</v>
          </cell>
        </row>
        <row r="619">
          <cell r="D619">
            <v>132777</v>
          </cell>
          <cell r="E619">
            <v>2036377</v>
          </cell>
          <cell r="F619" t="str">
            <v>Schoolhouse Education</v>
          </cell>
          <cell r="G619" t="str">
            <v>Other Independent School</v>
          </cell>
          <cell r="H619">
            <v>38902</v>
          </cell>
          <cell r="I619">
            <v>19</v>
          </cell>
          <cell r="J619" t="str">
            <v>London</v>
          </cell>
          <cell r="K619" t="str">
            <v>London</v>
          </cell>
          <cell r="L619" t="str">
            <v>Greenwich</v>
          </cell>
          <cell r="M619" t="str">
            <v>Erith and Thamesmead</v>
          </cell>
          <cell r="N619" t="str">
            <v>SE2 9LZ</v>
          </cell>
          <cell r="O619" t="str">
            <v>Does not have a sixth form</v>
          </cell>
          <cell r="P619">
            <v>14</v>
          </cell>
          <cell r="Q619">
            <v>16</v>
          </cell>
          <cell r="R619" t="str">
            <v>None</v>
          </cell>
          <cell r="S619" t="str">
            <v>Ofsted</v>
          </cell>
          <cell r="T619">
            <v>1</v>
          </cell>
          <cell r="U619">
            <v>10044922</v>
          </cell>
          <cell r="V619" t="str">
            <v>Independent school evaluation of school action plan</v>
          </cell>
          <cell r="W619">
            <v>43089</v>
          </cell>
          <cell r="X619">
            <v>43089</v>
          </cell>
          <cell r="Y619" t="str">
            <v>NULL</v>
          </cell>
          <cell r="Z619" t="str">
            <v>Action plan is not acceptable</v>
          </cell>
          <cell r="AA619">
            <v>10020721</v>
          </cell>
          <cell r="AB619" t="str">
            <v>Independent School standard inspection</v>
          </cell>
          <cell r="AC619" t="str">
            <v>Independent Standard Inspection</v>
          </cell>
          <cell r="AD619">
            <v>42920</v>
          </cell>
          <cell r="AE619">
            <v>42922</v>
          </cell>
          <cell r="AF619">
            <v>43017</v>
          </cell>
          <cell r="AG619">
            <v>4</v>
          </cell>
          <cell r="AH619">
            <v>4</v>
          </cell>
          <cell r="AI619">
            <v>4</v>
          </cell>
          <cell r="AJ619">
            <v>4</v>
          </cell>
          <cell r="AK619">
            <v>4</v>
          </cell>
          <cell r="AL619" t="str">
            <v>NULL</v>
          </cell>
          <cell r="AM619" t="str">
            <v>NULL</v>
          </cell>
          <cell r="AN619" t="str">
            <v>No</v>
          </cell>
          <cell r="AO619" t="str">
            <v>ITS353820</v>
          </cell>
          <cell r="AP619" t="str">
            <v>Independent School standard inspection</v>
          </cell>
          <cell r="AQ619" t="str">
            <v>Independent Standard Inspection</v>
          </cell>
          <cell r="AR619">
            <v>40486</v>
          </cell>
          <cell r="AS619">
            <v>40487</v>
          </cell>
          <cell r="AT619">
            <v>40516</v>
          </cell>
          <cell r="AU619">
            <v>2</v>
          </cell>
          <cell r="AV619">
            <v>2</v>
          </cell>
          <cell r="AW619">
            <v>2</v>
          </cell>
          <cell r="AX619" t="str">
            <v>NULL</v>
          </cell>
          <cell r="AY619" t="str">
            <v>NULL</v>
          </cell>
          <cell r="AZ619">
            <v>8</v>
          </cell>
          <cell r="BA619" t="str">
            <v>NULL</v>
          </cell>
          <cell r="BB619" t="str">
            <v>NULL</v>
          </cell>
        </row>
        <row r="620">
          <cell r="D620">
            <v>118972</v>
          </cell>
          <cell r="E620">
            <v>8866030</v>
          </cell>
          <cell r="F620" t="str">
            <v>Shernold School</v>
          </cell>
          <cell r="G620" t="str">
            <v>Other Independent School</v>
          </cell>
          <cell r="H620">
            <v>21115</v>
          </cell>
          <cell r="I620">
            <v>142</v>
          </cell>
          <cell r="J620" t="str">
            <v>South East</v>
          </cell>
          <cell r="K620" t="str">
            <v>South East</v>
          </cell>
          <cell r="L620" t="str">
            <v>Kent</v>
          </cell>
          <cell r="M620" t="str">
            <v>Maidstone and The Weald</v>
          </cell>
          <cell r="N620" t="str">
            <v>ME16 0ER</v>
          </cell>
          <cell r="O620" t="str">
            <v>Does not have a sixth form</v>
          </cell>
          <cell r="P620">
            <v>3</v>
          </cell>
          <cell r="Q620">
            <v>11</v>
          </cell>
          <cell r="R620" t="str">
            <v>None</v>
          </cell>
          <cell r="S620" t="str">
            <v>Ofsted</v>
          </cell>
          <cell r="T620">
            <v>3</v>
          </cell>
          <cell r="U620">
            <v>10025859</v>
          </cell>
          <cell r="V620" t="str">
            <v>Independent school Progress Monitoring inspection</v>
          </cell>
          <cell r="W620">
            <v>42752</v>
          </cell>
          <cell r="X620">
            <v>42752</v>
          </cell>
          <cell r="Y620">
            <v>42769</v>
          </cell>
          <cell r="Z620" t="str">
            <v>Met all standards that were checked</v>
          </cell>
          <cell r="AA620">
            <v>10008565</v>
          </cell>
          <cell r="AB620" t="str">
            <v>Independent School standard inspection</v>
          </cell>
          <cell r="AC620" t="str">
            <v>Independent Standard Inspection</v>
          </cell>
          <cell r="AD620">
            <v>42480</v>
          </cell>
          <cell r="AE620">
            <v>42482</v>
          </cell>
          <cell r="AF620">
            <v>42530</v>
          </cell>
          <cell r="AG620">
            <v>4</v>
          </cell>
          <cell r="AH620">
            <v>2</v>
          </cell>
          <cell r="AI620">
            <v>2</v>
          </cell>
          <cell r="AJ620">
            <v>4</v>
          </cell>
          <cell r="AK620">
            <v>4</v>
          </cell>
          <cell r="AL620">
            <v>4</v>
          </cell>
          <cell r="AM620" t="str">
            <v>NULL</v>
          </cell>
          <cell r="AN620" t="str">
            <v>No</v>
          </cell>
          <cell r="AO620" t="str">
            <v>ITS344675</v>
          </cell>
          <cell r="AP620" t="str">
            <v>Independent School standard inspection</v>
          </cell>
          <cell r="AQ620" t="str">
            <v>Independent Standard Inspection</v>
          </cell>
          <cell r="AR620">
            <v>40218</v>
          </cell>
          <cell r="AS620">
            <v>40219</v>
          </cell>
          <cell r="AT620">
            <v>40247</v>
          </cell>
          <cell r="AU620">
            <v>2</v>
          </cell>
          <cell r="AV620">
            <v>2</v>
          </cell>
          <cell r="AW620">
            <v>2</v>
          </cell>
          <cell r="AX620" t="str">
            <v>NULL</v>
          </cell>
          <cell r="AY620" t="str">
            <v>NULL</v>
          </cell>
          <cell r="AZ620">
            <v>2</v>
          </cell>
          <cell r="BA620" t="str">
            <v>NULL</v>
          </cell>
          <cell r="BB620" t="str">
            <v>NULL</v>
          </cell>
        </row>
        <row r="621">
          <cell r="D621">
            <v>109355</v>
          </cell>
          <cell r="E621">
            <v>8036002</v>
          </cell>
          <cell r="F621" t="str">
            <v>Silverhill School</v>
          </cell>
          <cell r="G621" t="str">
            <v>Other Independent School</v>
          </cell>
          <cell r="H621">
            <v>21115</v>
          </cell>
          <cell r="I621">
            <v>237</v>
          </cell>
          <cell r="J621" t="str">
            <v>South West</v>
          </cell>
          <cell r="K621" t="str">
            <v>South West</v>
          </cell>
          <cell r="L621" t="str">
            <v>South Gloucestershire</v>
          </cell>
          <cell r="M621" t="str">
            <v>Filton and Bradley Stoke</v>
          </cell>
          <cell r="N621" t="str">
            <v>BS36 1RL</v>
          </cell>
          <cell r="O621" t="str">
            <v>Does not have a sixth form</v>
          </cell>
          <cell r="P621">
            <v>0</v>
          </cell>
          <cell r="Q621">
            <v>11</v>
          </cell>
          <cell r="R621" t="str">
            <v>None</v>
          </cell>
          <cell r="S621" t="str">
            <v>Ofsted</v>
          </cell>
          <cell r="T621" t="str">
            <v>NULL</v>
          </cell>
          <cell r="U621" t="str">
            <v>NULL</v>
          </cell>
          <cell r="V621" t="str">
            <v>NULL</v>
          </cell>
          <cell r="W621" t="str">
            <v>NULL</v>
          </cell>
          <cell r="X621" t="str">
            <v>NULL</v>
          </cell>
          <cell r="Y621" t="str">
            <v>NULL</v>
          </cell>
          <cell r="Z621" t="str">
            <v>NULL</v>
          </cell>
          <cell r="AA621">
            <v>10020727</v>
          </cell>
          <cell r="AB621" t="str">
            <v>Independent School standard inspection</v>
          </cell>
          <cell r="AC621" t="str">
            <v>Independent Standard Inspection</v>
          </cell>
          <cell r="AD621">
            <v>42697</v>
          </cell>
          <cell r="AE621">
            <v>42699</v>
          </cell>
          <cell r="AF621">
            <v>42745</v>
          </cell>
          <cell r="AG621">
            <v>1</v>
          </cell>
          <cell r="AH621">
            <v>1</v>
          </cell>
          <cell r="AI621">
            <v>1</v>
          </cell>
          <cell r="AJ621">
            <v>1</v>
          </cell>
          <cell r="AK621">
            <v>1</v>
          </cell>
          <cell r="AL621">
            <v>1</v>
          </cell>
          <cell r="AM621" t="str">
            <v>NULL</v>
          </cell>
          <cell r="AN621" t="str">
            <v>Yes</v>
          </cell>
          <cell r="AO621" t="str">
            <v>ITS385085</v>
          </cell>
          <cell r="AP621" t="str">
            <v>Independent School standard inspection</v>
          </cell>
          <cell r="AQ621" t="str">
            <v>Independent Standard Inspection</v>
          </cell>
          <cell r="AR621">
            <v>40871</v>
          </cell>
          <cell r="AS621">
            <v>40872</v>
          </cell>
          <cell r="AT621">
            <v>40893</v>
          </cell>
          <cell r="AU621">
            <v>1</v>
          </cell>
          <cell r="AV621">
            <v>1</v>
          </cell>
          <cell r="AW621">
            <v>2</v>
          </cell>
          <cell r="AX621" t="str">
            <v>NULL</v>
          </cell>
          <cell r="AY621" t="str">
            <v>NULL</v>
          </cell>
          <cell r="AZ621">
            <v>2</v>
          </cell>
          <cell r="BA621" t="str">
            <v>NULL</v>
          </cell>
          <cell r="BB621" t="str">
            <v>NULL</v>
          </cell>
        </row>
        <row r="622">
          <cell r="D622">
            <v>135594</v>
          </cell>
          <cell r="E622">
            <v>8816058</v>
          </cell>
          <cell r="F622" t="str">
            <v>Soaring High Montessori School</v>
          </cell>
          <cell r="G622" t="str">
            <v>Other Independent School</v>
          </cell>
          <cell r="H622">
            <v>39617</v>
          </cell>
          <cell r="I622">
            <v>47</v>
          </cell>
          <cell r="J622" t="str">
            <v>East of England</v>
          </cell>
          <cell r="K622" t="str">
            <v>East of England</v>
          </cell>
          <cell r="L622" t="str">
            <v>Essex</v>
          </cell>
          <cell r="M622" t="str">
            <v>Witham</v>
          </cell>
          <cell r="N622" t="str">
            <v>CO6 1TH</v>
          </cell>
          <cell r="O622" t="str">
            <v>Does not have a sixth form</v>
          </cell>
          <cell r="P622">
            <v>4</v>
          </cell>
          <cell r="Q622">
            <v>11</v>
          </cell>
          <cell r="R622" t="str">
            <v>None</v>
          </cell>
          <cell r="S622" t="str">
            <v>Ofsted</v>
          </cell>
          <cell r="T622" t="str">
            <v>NULL</v>
          </cell>
          <cell r="U622" t="str">
            <v>NULL</v>
          </cell>
          <cell r="V622" t="str">
            <v>NULL</v>
          </cell>
          <cell r="W622" t="str">
            <v>NULL</v>
          </cell>
          <cell r="X622" t="str">
            <v>NULL</v>
          </cell>
          <cell r="Y622" t="str">
            <v>NULL</v>
          </cell>
          <cell r="Z622" t="str">
            <v>NULL</v>
          </cell>
          <cell r="AA622">
            <v>10026068</v>
          </cell>
          <cell r="AB622" t="str">
            <v>Independent School standard inspection</v>
          </cell>
          <cell r="AC622" t="str">
            <v>Independent Standard Inspection</v>
          </cell>
          <cell r="AD622">
            <v>42753</v>
          </cell>
          <cell r="AE622">
            <v>42755</v>
          </cell>
          <cell r="AF622">
            <v>42794</v>
          </cell>
          <cell r="AG622">
            <v>2</v>
          </cell>
          <cell r="AH622">
            <v>2</v>
          </cell>
          <cell r="AI622">
            <v>2</v>
          </cell>
          <cell r="AJ622">
            <v>2</v>
          </cell>
          <cell r="AK622">
            <v>1</v>
          </cell>
          <cell r="AL622">
            <v>2</v>
          </cell>
          <cell r="AM622" t="str">
            <v>NULL</v>
          </cell>
          <cell r="AN622" t="str">
            <v>Yes</v>
          </cell>
          <cell r="AO622" t="str">
            <v>ITS388417</v>
          </cell>
          <cell r="AP622" t="str">
            <v>Independent School standard inspection</v>
          </cell>
          <cell r="AQ622" t="str">
            <v>Independent Standard Inspection</v>
          </cell>
          <cell r="AR622">
            <v>40939</v>
          </cell>
          <cell r="AS622">
            <v>40940</v>
          </cell>
          <cell r="AT622">
            <v>40970</v>
          </cell>
          <cell r="AU622">
            <v>2</v>
          </cell>
          <cell r="AV622">
            <v>2</v>
          </cell>
          <cell r="AW622">
            <v>2</v>
          </cell>
          <cell r="AX622" t="str">
            <v>NULL</v>
          </cell>
          <cell r="AY622" t="str">
            <v>NULL</v>
          </cell>
          <cell r="AZ622">
            <v>8</v>
          </cell>
          <cell r="BA622" t="str">
            <v>NULL</v>
          </cell>
          <cell r="BB622" t="str">
            <v>NULL</v>
          </cell>
        </row>
        <row r="623">
          <cell r="D623">
            <v>131778</v>
          </cell>
          <cell r="E623">
            <v>2076396</v>
          </cell>
          <cell r="F623" t="str">
            <v>Tabernacle School</v>
          </cell>
          <cell r="G623" t="str">
            <v>Other Independent School</v>
          </cell>
          <cell r="H623">
            <v>36234</v>
          </cell>
          <cell r="I623">
            <v>30</v>
          </cell>
          <cell r="J623" t="str">
            <v>London</v>
          </cell>
          <cell r="K623" t="str">
            <v>London</v>
          </cell>
          <cell r="L623" t="str">
            <v>Kensington and Chelsea</v>
          </cell>
          <cell r="M623" t="str">
            <v>Kensington</v>
          </cell>
          <cell r="N623" t="str">
            <v>W11 4RS</v>
          </cell>
          <cell r="O623" t="str">
            <v>Has a sixth form</v>
          </cell>
          <cell r="P623">
            <v>3</v>
          </cell>
          <cell r="Q623">
            <v>18</v>
          </cell>
          <cell r="R623" t="str">
            <v>Christian</v>
          </cell>
          <cell r="S623" t="str">
            <v>Ofsted</v>
          </cell>
          <cell r="T623">
            <v>1</v>
          </cell>
          <cell r="U623">
            <v>10051879</v>
          </cell>
          <cell r="V623" t="str">
            <v>Independent school evaluation of school action plan</v>
          </cell>
          <cell r="W623">
            <v>43178</v>
          </cell>
          <cell r="X623">
            <v>43178</v>
          </cell>
          <cell r="Y623" t="str">
            <v>NULL</v>
          </cell>
          <cell r="Z623" t="str">
            <v>Action plan is acceptable</v>
          </cell>
          <cell r="AA623">
            <v>10020864</v>
          </cell>
          <cell r="AB623" t="str">
            <v>Independent School standard inspection</v>
          </cell>
          <cell r="AC623" t="str">
            <v>Independent Standard Inspection</v>
          </cell>
          <cell r="AD623">
            <v>43025</v>
          </cell>
          <cell r="AE623">
            <v>43027</v>
          </cell>
          <cell r="AF623">
            <v>43067</v>
          </cell>
          <cell r="AG623">
            <v>3</v>
          </cell>
          <cell r="AH623">
            <v>2</v>
          </cell>
          <cell r="AI623">
            <v>2</v>
          </cell>
          <cell r="AJ623">
            <v>3</v>
          </cell>
          <cell r="AK623">
            <v>2</v>
          </cell>
          <cell r="AL623">
            <v>2</v>
          </cell>
          <cell r="AM623" t="str">
            <v>NULL</v>
          </cell>
          <cell r="AN623" t="str">
            <v>Yes</v>
          </cell>
          <cell r="AO623" t="str">
            <v>ITS316959</v>
          </cell>
          <cell r="AP623" t="str">
            <v>Independent School standard inspection</v>
          </cell>
          <cell r="AQ623" t="str">
            <v>Independent Standard Inspection</v>
          </cell>
          <cell r="AR623">
            <v>39350</v>
          </cell>
          <cell r="AS623">
            <v>39351</v>
          </cell>
          <cell r="AT623">
            <v>39374</v>
          </cell>
          <cell r="AU623">
            <v>3</v>
          </cell>
          <cell r="AV623">
            <v>3</v>
          </cell>
          <cell r="AW623">
            <v>3</v>
          </cell>
          <cell r="AX623" t="str">
            <v>NULL</v>
          </cell>
          <cell r="AY623" t="str">
            <v>NULL</v>
          </cell>
          <cell r="AZ623" t="str">
            <v>NULL</v>
          </cell>
          <cell r="BA623" t="str">
            <v>NULL</v>
          </cell>
          <cell r="BB623" t="str">
            <v>NULL</v>
          </cell>
        </row>
        <row r="624">
          <cell r="D624">
            <v>100298</v>
          </cell>
          <cell r="E624">
            <v>2046385</v>
          </cell>
          <cell r="F624" t="str">
            <v>Talmud Torah Bobov Primary School</v>
          </cell>
          <cell r="G624" t="str">
            <v>Other Independent School</v>
          </cell>
          <cell r="H624">
            <v>33428</v>
          </cell>
          <cell r="I624">
            <v>267</v>
          </cell>
          <cell r="J624" t="str">
            <v>London</v>
          </cell>
          <cell r="K624" t="str">
            <v>London</v>
          </cell>
          <cell r="L624" t="str">
            <v>Hackney</v>
          </cell>
          <cell r="M624" t="str">
            <v>Hackney North and Stoke Newington</v>
          </cell>
          <cell r="N624" t="str">
            <v>N16 6UE</v>
          </cell>
          <cell r="O624" t="str">
            <v>Does not have a sixth form</v>
          </cell>
          <cell r="P624">
            <v>2</v>
          </cell>
          <cell r="Q624">
            <v>13</v>
          </cell>
          <cell r="R624" t="str">
            <v>None</v>
          </cell>
          <cell r="S624" t="str">
            <v>Ofsted</v>
          </cell>
          <cell r="T624">
            <v>3</v>
          </cell>
          <cell r="U624">
            <v>10038594</v>
          </cell>
          <cell r="V624" t="str">
            <v>Independent school evaluation of school action plan</v>
          </cell>
          <cell r="W624">
            <v>42902</v>
          </cell>
          <cell r="X624">
            <v>42902</v>
          </cell>
          <cell r="Y624" t="str">
            <v>NULL</v>
          </cell>
          <cell r="Z624" t="str">
            <v>Action plan is not acceptable</v>
          </cell>
          <cell r="AA624" t="str">
            <v>ITS464155</v>
          </cell>
          <cell r="AB624" t="str">
            <v>Independent School standard inspection</v>
          </cell>
          <cell r="AC624" t="str">
            <v>Independent Standard Inspection</v>
          </cell>
          <cell r="AD624">
            <v>42178</v>
          </cell>
          <cell r="AE624">
            <v>42180</v>
          </cell>
          <cell r="AF624">
            <v>42340</v>
          </cell>
          <cell r="AG624">
            <v>4</v>
          </cell>
          <cell r="AH624">
            <v>4</v>
          </cell>
          <cell r="AI624">
            <v>4</v>
          </cell>
          <cell r="AJ624">
            <v>4</v>
          </cell>
          <cell r="AK624" t="str">
            <v>NULL</v>
          </cell>
          <cell r="AL624">
            <v>4</v>
          </cell>
          <cell r="AM624">
            <v>9</v>
          </cell>
          <cell r="AN624" t="str">
            <v>NULL</v>
          </cell>
          <cell r="AO624" t="str">
            <v>ITS364206</v>
          </cell>
          <cell r="AP624" t="str">
            <v>S162a - LTI Inspection Historic</v>
          </cell>
          <cell r="AQ624" t="str">
            <v>Independent Standard Inspection</v>
          </cell>
          <cell r="AR624">
            <v>40673</v>
          </cell>
          <cell r="AS624">
            <v>40673</v>
          </cell>
          <cell r="AT624">
            <v>40694</v>
          </cell>
          <cell r="AU624">
            <v>2</v>
          </cell>
          <cell r="AV624">
            <v>2</v>
          </cell>
          <cell r="AW624">
            <v>2</v>
          </cell>
          <cell r="AX624" t="str">
            <v>NULL</v>
          </cell>
          <cell r="AY624" t="str">
            <v>NULL</v>
          </cell>
          <cell r="AZ624">
            <v>2</v>
          </cell>
          <cell r="BA624" t="str">
            <v>NULL</v>
          </cell>
          <cell r="BB624" t="str">
            <v>NULL</v>
          </cell>
        </row>
        <row r="625">
          <cell r="D625">
            <v>100296</v>
          </cell>
          <cell r="E625">
            <v>2046377</v>
          </cell>
          <cell r="F625" t="str">
            <v>Talmud Torah Chaim Meirim Wiznitz School</v>
          </cell>
          <cell r="G625" t="str">
            <v>Other Independent School</v>
          </cell>
          <cell r="H625">
            <v>32563</v>
          </cell>
          <cell r="I625">
            <v>275</v>
          </cell>
          <cell r="J625" t="str">
            <v>London</v>
          </cell>
          <cell r="K625" t="str">
            <v>London</v>
          </cell>
          <cell r="L625" t="str">
            <v>Hackney</v>
          </cell>
          <cell r="M625" t="str">
            <v>Hackney North and Stoke Newington</v>
          </cell>
          <cell r="N625" t="str">
            <v>N16 6XB</v>
          </cell>
          <cell r="O625" t="str">
            <v>Does not have a sixth form</v>
          </cell>
          <cell r="P625">
            <v>4</v>
          </cell>
          <cell r="Q625">
            <v>13</v>
          </cell>
          <cell r="R625" t="str">
            <v>None</v>
          </cell>
          <cell r="S625" t="str">
            <v>Ofsted</v>
          </cell>
          <cell r="T625" t="str">
            <v>NULL</v>
          </cell>
          <cell r="U625" t="str">
            <v>NULL</v>
          </cell>
          <cell r="V625" t="str">
            <v>NULL</v>
          </cell>
          <cell r="W625" t="str">
            <v>NULL</v>
          </cell>
          <cell r="X625" t="str">
            <v>NULL</v>
          </cell>
          <cell r="Y625" t="str">
            <v>NULL</v>
          </cell>
          <cell r="Z625" t="str">
            <v>NULL</v>
          </cell>
          <cell r="AA625">
            <v>10035771</v>
          </cell>
          <cell r="AB625" t="str">
            <v>Independent School standard inspection</v>
          </cell>
          <cell r="AC625" t="str">
            <v>Independent Standard Inspection</v>
          </cell>
          <cell r="AD625">
            <v>43109</v>
          </cell>
          <cell r="AE625">
            <v>43111</v>
          </cell>
          <cell r="AF625">
            <v>43173</v>
          </cell>
          <cell r="AG625">
            <v>4</v>
          </cell>
          <cell r="AH625">
            <v>4</v>
          </cell>
          <cell r="AI625">
            <v>4</v>
          </cell>
          <cell r="AJ625">
            <v>4</v>
          </cell>
          <cell r="AK625">
            <v>4</v>
          </cell>
          <cell r="AL625">
            <v>4</v>
          </cell>
          <cell r="AM625" t="str">
            <v>NULL</v>
          </cell>
          <cell r="AN625" t="str">
            <v>No</v>
          </cell>
          <cell r="AO625" t="str">
            <v>ITS442979</v>
          </cell>
          <cell r="AP625" t="str">
            <v>Independent School standard inspection</v>
          </cell>
          <cell r="AQ625" t="str">
            <v>Independent Standard Inspection</v>
          </cell>
          <cell r="AR625">
            <v>41800</v>
          </cell>
          <cell r="AS625">
            <v>41802</v>
          </cell>
          <cell r="AT625">
            <v>41881</v>
          </cell>
          <cell r="AU625">
            <v>4</v>
          </cell>
          <cell r="AV625">
            <v>4</v>
          </cell>
          <cell r="AW625">
            <v>4</v>
          </cell>
          <cell r="AX625">
            <v>4</v>
          </cell>
          <cell r="AY625" t="str">
            <v>NULL</v>
          </cell>
          <cell r="AZ625" t="str">
            <v>NULL</v>
          </cell>
          <cell r="BA625" t="str">
            <v>NULL</v>
          </cell>
          <cell r="BB625" t="str">
            <v>NULL</v>
          </cell>
        </row>
        <row r="626">
          <cell r="D626">
            <v>105993</v>
          </cell>
          <cell r="E626">
            <v>3556007</v>
          </cell>
          <cell r="F626" t="str">
            <v>Talmud Torah Chinuch Norim</v>
          </cell>
          <cell r="G626" t="str">
            <v>Other Independent School</v>
          </cell>
          <cell r="H626">
            <v>21121</v>
          </cell>
          <cell r="I626">
            <v>309</v>
          </cell>
          <cell r="J626" t="str">
            <v>North West</v>
          </cell>
          <cell r="K626" t="str">
            <v>North West</v>
          </cell>
          <cell r="L626" t="str">
            <v>Salford</v>
          </cell>
          <cell r="M626" t="str">
            <v>Blackley and Broughton</v>
          </cell>
          <cell r="N626" t="str">
            <v>M7 2AU</v>
          </cell>
          <cell r="O626" t="str">
            <v>Does not have a sixth form</v>
          </cell>
          <cell r="P626">
            <v>2</v>
          </cell>
          <cell r="Q626">
            <v>12</v>
          </cell>
          <cell r="R626" t="str">
            <v>None</v>
          </cell>
          <cell r="S626" t="str">
            <v>Ofsted</v>
          </cell>
          <cell r="T626">
            <v>3</v>
          </cell>
          <cell r="U626">
            <v>10044804</v>
          </cell>
          <cell r="V626" t="str">
            <v>Independent school evaluation of school action plan</v>
          </cell>
          <cell r="W626">
            <v>43090</v>
          </cell>
          <cell r="X626">
            <v>43090</v>
          </cell>
          <cell r="Y626" t="str">
            <v>NULL</v>
          </cell>
          <cell r="Z626" t="str">
            <v>Action plan is not acceptable</v>
          </cell>
          <cell r="AA626">
            <v>10020752</v>
          </cell>
          <cell r="AB626" t="str">
            <v>Independent School standard inspection</v>
          </cell>
          <cell r="AC626" t="str">
            <v>Independent Standard Inspection</v>
          </cell>
          <cell r="AD626">
            <v>42556</v>
          </cell>
          <cell r="AE626">
            <v>42558</v>
          </cell>
          <cell r="AF626">
            <v>42627</v>
          </cell>
          <cell r="AG626">
            <v>4</v>
          </cell>
          <cell r="AH626">
            <v>3</v>
          </cell>
          <cell r="AI626">
            <v>3</v>
          </cell>
          <cell r="AJ626">
            <v>4</v>
          </cell>
          <cell r="AK626">
            <v>4</v>
          </cell>
          <cell r="AL626">
            <v>3</v>
          </cell>
          <cell r="AM626" t="str">
            <v>NULL</v>
          </cell>
          <cell r="AN626" t="str">
            <v>No</v>
          </cell>
          <cell r="AO626" t="str">
            <v>ITS385079</v>
          </cell>
          <cell r="AP626" t="str">
            <v>Independent School standard inspection</v>
          </cell>
          <cell r="AQ626" t="str">
            <v>Independent Standard Inspection</v>
          </cell>
          <cell r="AR626">
            <v>40919</v>
          </cell>
          <cell r="AS626">
            <v>40920</v>
          </cell>
          <cell r="AT626">
            <v>40946</v>
          </cell>
          <cell r="AU626">
            <v>2</v>
          </cell>
          <cell r="AV626">
            <v>2</v>
          </cell>
          <cell r="AW626">
            <v>2</v>
          </cell>
          <cell r="AX626" t="str">
            <v>NULL</v>
          </cell>
          <cell r="AY626" t="str">
            <v>NULL</v>
          </cell>
          <cell r="AZ626">
            <v>8</v>
          </cell>
          <cell r="BA626" t="str">
            <v>NULL</v>
          </cell>
          <cell r="BB626" t="str">
            <v>NULL</v>
          </cell>
        </row>
        <row r="627">
          <cell r="D627">
            <v>133385</v>
          </cell>
          <cell r="E627">
            <v>3046079</v>
          </cell>
          <cell r="F627" t="str">
            <v>The School of the Islamic Republic of Iran</v>
          </cell>
          <cell r="G627" t="str">
            <v>Other Independent School</v>
          </cell>
          <cell r="H627">
            <v>37082</v>
          </cell>
          <cell r="I627">
            <v>94</v>
          </cell>
          <cell r="J627" t="str">
            <v>London</v>
          </cell>
          <cell r="K627" t="str">
            <v>London</v>
          </cell>
          <cell r="L627" t="str">
            <v>Brent</v>
          </cell>
          <cell r="M627" t="str">
            <v>Hampstead and Kilburn</v>
          </cell>
          <cell r="N627" t="str">
            <v>NW6 5HE</v>
          </cell>
          <cell r="O627" t="str">
            <v>Does not have a sixth form</v>
          </cell>
          <cell r="P627">
            <v>6</v>
          </cell>
          <cell r="Q627">
            <v>16</v>
          </cell>
          <cell r="R627" t="str">
            <v>None</v>
          </cell>
          <cell r="S627" t="str">
            <v>Ofsted</v>
          </cell>
          <cell r="T627">
            <v>3</v>
          </cell>
          <cell r="U627">
            <v>10044655</v>
          </cell>
          <cell r="V627" t="str">
            <v>Independent school Progress Monitoring inspection</v>
          </cell>
          <cell r="W627">
            <v>43132</v>
          </cell>
          <cell r="X627">
            <v>43132</v>
          </cell>
          <cell r="Y627">
            <v>43171</v>
          </cell>
          <cell r="Z627" t="str">
            <v>Did not meet all standards that were checked</v>
          </cell>
          <cell r="AA627">
            <v>10012821</v>
          </cell>
          <cell r="AB627" t="str">
            <v>Independent School standard inspection</v>
          </cell>
          <cell r="AC627" t="str">
            <v>Independent Standard Inspection</v>
          </cell>
          <cell r="AD627">
            <v>42661</v>
          </cell>
          <cell r="AE627">
            <v>42663</v>
          </cell>
          <cell r="AF627">
            <v>42751</v>
          </cell>
          <cell r="AG627">
            <v>4</v>
          </cell>
          <cell r="AH627">
            <v>3</v>
          </cell>
          <cell r="AI627">
            <v>3</v>
          </cell>
          <cell r="AJ627">
            <v>4</v>
          </cell>
          <cell r="AK627">
            <v>4</v>
          </cell>
          <cell r="AL627">
            <v>4</v>
          </cell>
          <cell r="AM627">
            <v>4</v>
          </cell>
          <cell r="AN627" t="str">
            <v>No</v>
          </cell>
          <cell r="AO627" t="str">
            <v>ITS420181</v>
          </cell>
          <cell r="AP627" t="str">
            <v>Independent School standard inspection</v>
          </cell>
          <cell r="AQ627" t="str">
            <v>Independent Standard Inspection</v>
          </cell>
          <cell r="AR627">
            <v>41380</v>
          </cell>
          <cell r="AS627">
            <v>41382</v>
          </cell>
          <cell r="AT627">
            <v>41402</v>
          </cell>
          <cell r="AU627">
            <v>3</v>
          </cell>
          <cell r="AV627">
            <v>3</v>
          </cell>
          <cell r="AW627">
            <v>3</v>
          </cell>
          <cell r="AX627">
            <v>3</v>
          </cell>
          <cell r="AY627" t="str">
            <v>NULL</v>
          </cell>
          <cell r="AZ627" t="str">
            <v>NULL</v>
          </cell>
          <cell r="BA627" t="str">
            <v>NULL</v>
          </cell>
          <cell r="BB627" t="str">
            <v>NULL</v>
          </cell>
        </row>
        <row r="628">
          <cell r="D628">
            <v>103578</v>
          </cell>
          <cell r="E628">
            <v>3306064</v>
          </cell>
          <cell r="F628" t="str">
            <v>The Shrubbery School</v>
          </cell>
          <cell r="G628" t="str">
            <v>Other Independent School</v>
          </cell>
          <cell r="H628">
            <v>21144</v>
          </cell>
          <cell r="I628">
            <v>244</v>
          </cell>
          <cell r="J628" t="str">
            <v>West Midlands</v>
          </cell>
          <cell r="K628" t="str">
            <v>West Midlands</v>
          </cell>
          <cell r="L628" t="str">
            <v>Birmingham</v>
          </cell>
          <cell r="M628" t="str">
            <v>Sutton Coldfield</v>
          </cell>
          <cell r="N628" t="str">
            <v>B76 1HY</v>
          </cell>
          <cell r="O628" t="str">
            <v>Does not have a sixth form</v>
          </cell>
          <cell r="P628">
            <v>3</v>
          </cell>
          <cell r="Q628">
            <v>11</v>
          </cell>
          <cell r="R628" t="str">
            <v>None</v>
          </cell>
          <cell r="S628" t="str">
            <v>Ofsted</v>
          </cell>
          <cell r="T628">
            <v>2</v>
          </cell>
          <cell r="U628">
            <v>10044187</v>
          </cell>
          <cell r="V628" t="str">
            <v>Independent school Progress Monitoring inspection</v>
          </cell>
          <cell r="W628">
            <v>43144</v>
          </cell>
          <cell r="X628">
            <v>43144</v>
          </cell>
          <cell r="Y628">
            <v>43171</v>
          </cell>
          <cell r="Z628" t="str">
            <v>Did not meet all standards that were checked</v>
          </cell>
          <cell r="AA628">
            <v>10020746</v>
          </cell>
          <cell r="AB628" t="str">
            <v>Independent School standard inspection</v>
          </cell>
          <cell r="AC628" t="str">
            <v>Independent Standard Inspection</v>
          </cell>
          <cell r="AD628">
            <v>42899</v>
          </cell>
          <cell r="AE628">
            <v>42901</v>
          </cell>
          <cell r="AF628">
            <v>42927</v>
          </cell>
          <cell r="AG628">
            <v>3</v>
          </cell>
          <cell r="AH628">
            <v>3</v>
          </cell>
          <cell r="AI628">
            <v>3</v>
          </cell>
          <cell r="AJ628">
            <v>3</v>
          </cell>
          <cell r="AK628">
            <v>2</v>
          </cell>
          <cell r="AL628">
            <v>2</v>
          </cell>
          <cell r="AM628" t="str">
            <v>NULL</v>
          </cell>
          <cell r="AN628" t="str">
            <v>Yes</v>
          </cell>
          <cell r="AO628" t="str">
            <v>ITS386827</v>
          </cell>
          <cell r="AP628" t="str">
            <v>Independent School standard inspection</v>
          </cell>
          <cell r="AQ628" t="str">
            <v>Independent Standard Inspection</v>
          </cell>
          <cell r="AR628">
            <v>40974</v>
          </cell>
          <cell r="AS628">
            <v>40975</v>
          </cell>
          <cell r="AT628">
            <v>40998</v>
          </cell>
          <cell r="AU628">
            <v>2</v>
          </cell>
          <cell r="AV628">
            <v>2</v>
          </cell>
          <cell r="AW628">
            <v>2</v>
          </cell>
          <cell r="AX628" t="str">
            <v>NULL</v>
          </cell>
          <cell r="AY628" t="str">
            <v>NULL</v>
          </cell>
          <cell r="AZ628">
            <v>8</v>
          </cell>
          <cell r="BA628" t="str">
            <v>NULL</v>
          </cell>
          <cell r="BB628" t="str">
            <v>NULL</v>
          </cell>
        </row>
        <row r="629">
          <cell r="D629">
            <v>119819</v>
          </cell>
          <cell r="E629">
            <v>8886001</v>
          </cell>
          <cell r="F629" t="str">
            <v>The St Anne's College Grammar School</v>
          </cell>
          <cell r="G629" t="str">
            <v>Other Independent School</v>
          </cell>
          <cell r="H629">
            <v>21234</v>
          </cell>
          <cell r="I629">
            <v>96</v>
          </cell>
          <cell r="J629" t="str">
            <v>North West</v>
          </cell>
          <cell r="K629" t="str">
            <v>North West</v>
          </cell>
          <cell r="L629" t="str">
            <v>Lancashire</v>
          </cell>
          <cell r="M629" t="str">
            <v>Fylde</v>
          </cell>
          <cell r="N629" t="str">
            <v>FY8 1HN</v>
          </cell>
          <cell r="O629" t="str">
            <v>Has a sixth form</v>
          </cell>
          <cell r="P629">
            <v>2</v>
          </cell>
          <cell r="Q629">
            <v>19</v>
          </cell>
          <cell r="R629" t="str">
            <v>None</v>
          </cell>
          <cell r="S629" t="str">
            <v>Ofsted</v>
          </cell>
          <cell r="T629">
            <v>1</v>
          </cell>
          <cell r="U629">
            <v>10040312</v>
          </cell>
          <cell r="V629" t="str">
            <v>Independent school evaluation of school action plan</v>
          </cell>
          <cell r="W629">
            <v>42964</v>
          </cell>
          <cell r="X629">
            <v>42964</v>
          </cell>
          <cell r="Y629" t="str">
            <v>NULL</v>
          </cell>
          <cell r="Z629" t="str">
            <v>Action plan is acceptable</v>
          </cell>
          <cell r="AA629">
            <v>10012962</v>
          </cell>
          <cell r="AB629" t="str">
            <v>Independent School standard inspection</v>
          </cell>
          <cell r="AC629" t="str">
            <v>Independent Standard Inspection</v>
          </cell>
          <cell r="AD629">
            <v>42647</v>
          </cell>
          <cell r="AE629">
            <v>42649</v>
          </cell>
          <cell r="AF629">
            <v>42685</v>
          </cell>
          <cell r="AG629">
            <v>3</v>
          </cell>
          <cell r="AH629">
            <v>2</v>
          </cell>
          <cell r="AI629">
            <v>2</v>
          </cell>
          <cell r="AJ629">
            <v>3</v>
          </cell>
          <cell r="AK629">
            <v>2</v>
          </cell>
          <cell r="AL629">
            <v>2</v>
          </cell>
          <cell r="AM629">
            <v>2</v>
          </cell>
          <cell r="AN629" t="str">
            <v>Yes</v>
          </cell>
          <cell r="AO629" t="str">
            <v>ITS393326</v>
          </cell>
          <cell r="AP629" t="str">
            <v>Independent School standard inspection</v>
          </cell>
          <cell r="AQ629" t="str">
            <v>Independent Standard Inspection</v>
          </cell>
          <cell r="AR629">
            <v>41191</v>
          </cell>
          <cell r="AS629">
            <v>41192</v>
          </cell>
          <cell r="AT629">
            <v>41213</v>
          </cell>
          <cell r="AU629">
            <v>2</v>
          </cell>
          <cell r="AV629">
            <v>2</v>
          </cell>
          <cell r="AW629">
            <v>2</v>
          </cell>
          <cell r="AX629" t="str">
            <v>NULL</v>
          </cell>
          <cell r="AY629" t="str">
            <v>NULL</v>
          </cell>
          <cell r="AZ629">
            <v>8</v>
          </cell>
          <cell r="BA629" t="str">
            <v>NULL</v>
          </cell>
          <cell r="BB629" t="str">
            <v>NULL</v>
          </cell>
        </row>
        <row r="630">
          <cell r="D630">
            <v>102948</v>
          </cell>
          <cell r="E630">
            <v>3186076</v>
          </cell>
          <cell r="F630" t="str">
            <v>The Swedish School</v>
          </cell>
          <cell r="G630" t="str">
            <v>Other Independent School</v>
          </cell>
          <cell r="H630">
            <v>31457</v>
          </cell>
          <cell r="I630">
            <v>304</v>
          </cell>
          <cell r="J630" t="str">
            <v>London</v>
          </cell>
          <cell r="K630" t="str">
            <v>London</v>
          </cell>
          <cell r="L630" t="str">
            <v>Richmond upon Thames</v>
          </cell>
          <cell r="M630" t="str">
            <v>Richmond Park</v>
          </cell>
          <cell r="N630" t="str">
            <v>SW13 9JS</v>
          </cell>
          <cell r="O630" t="str">
            <v>Has a sixth form</v>
          </cell>
          <cell r="P630">
            <v>3</v>
          </cell>
          <cell r="Q630">
            <v>19</v>
          </cell>
          <cell r="R630" t="str">
            <v>None</v>
          </cell>
          <cell r="S630" t="str">
            <v>Ofsted</v>
          </cell>
          <cell r="T630">
            <v>1</v>
          </cell>
          <cell r="U630">
            <v>10052124</v>
          </cell>
          <cell r="V630" t="str">
            <v>Independent school evaluation of school action plan</v>
          </cell>
          <cell r="W630">
            <v>43186</v>
          </cell>
          <cell r="X630">
            <v>43186</v>
          </cell>
          <cell r="Y630" t="str">
            <v>NULL</v>
          </cell>
          <cell r="Z630" t="str">
            <v>Action plan is acceptable</v>
          </cell>
          <cell r="AA630">
            <v>10008884</v>
          </cell>
          <cell r="AB630" t="str">
            <v>Independent School standard inspection</v>
          </cell>
          <cell r="AC630" t="str">
            <v>Independent Standard Inspection</v>
          </cell>
          <cell r="AD630">
            <v>42430</v>
          </cell>
          <cell r="AE630">
            <v>42432</v>
          </cell>
          <cell r="AF630">
            <v>42471</v>
          </cell>
          <cell r="AG630">
            <v>1</v>
          </cell>
          <cell r="AH630">
            <v>1</v>
          </cell>
          <cell r="AI630">
            <v>1</v>
          </cell>
          <cell r="AJ630">
            <v>1</v>
          </cell>
          <cell r="AK630">
            <v>1</v>
          </cell>
          <cell r="AL630">
            <v>2</v>
          </cell>
          <cell r="AM630">
            <v>1</v>
          </cell>
          <cell r="AN630" t="str">
            <v>Yes</v>
          </cell>
          <cell r="AO630" t="str">
            <v>ITS345402</v>
          </cell>
          <cell r="AP630" t="str">
            <v xml:space="preserve">Independent School standard inspection - integrated </v>
          </cell>
          <cell r="AQ630" t="str">
            <v>Independent Standard Inspection</v>
          </cell>
          <cell r="AR630">
            <v>40253</v>
          </cell>
          <cell r="AS630">
            <v>40254</v>
          </cell>
          <cell r="AT630">
            <v>40283</v>
          </cell>
          <cell r="AU630">
            <v>1</v>
          </cell>
          <cell r="AV630">
            <v>1</v>
          </cell>
          <cell r="AW630">
            <v>1</v>
          </cell>
          <cell r="AX630" t="str">
            <v>NULL</v>
          </cell>
          <cell r="AY630" t="str">
            <v>NULL</v>
          </cell>
          <cell r="AZ630">
            <v>2</v>
          </cell>
          <cell r="BA630" t="str">
            <v>NULL</v>
          </cell>
          <cell r="BB630" t="str">
            <v>NULL</v>
          </cell>
        </row>
        <row r="631">
          <cell r="D631">
            <v>142115</v>
          </cell>
          <cell r="E631">
            <v>3306018</v>
          </cell>
          <cell r="F631" t="str">
            <v>Oscott Academy</v>
          </cell>
          <cell r="G631" t="str">
            <v>Other Independent School</v>
          </cell>
          <cell r="H631">
            <v>42146</v>
          </cell>
          <cell r="I631">
            <v>15</v>
          </cell>
          <cell r="J631" t="str">
            <v>West Midlands</v>
          </cell>
          <cell r="K631" t="str">
            <v>West Midlands</v>
          </cell>
          <cell r="L631" t="str">
            <v>Birmingham</v>
          </cell>
          <cell r="M631" t="str">
            <v>Birmingham, Erdington</v>
          </cell>
          <cell r="N631" t="str">
            <v>B23 5AP</v>
          </cell>
          <cell r="O631" t="str">
            <v>Does not have a sixth form</v>
          </cell>
          <cell r="P631">
            <v>14</v>
          </cell>
          <cell r="Q631">
            <v>16</v>
          </cell>
          <cell r="R631" t="str">
            <v>None</v>
          </cell>
          <cell r="S631" t="str">
            <v>Ofsted</v>
          </cell>
          <cell r="T631" t="str">
            <v>NULL</v>
          </cell>
          <cell r="U631" t="str">
            <v>NULL</v>
          </cell>
          <cell r="V631" t="str">
            <v>NULL</v>
          </cell>
          <cell r="W631" t="str">
            <v>NULL</v>
          </cell>
          <cell r="X631" t="str">
            <v>NULL</v>
          </cell>
          <cell r="Y631" t="str">
            <v>NULL</v>
          </cell>
          <cell r="Z631" t="str">
            <v>NULL</v>
          </cell>
          <cell r="AA631">
            <v>10012881</v>
          </cell>
          <cell r="AB631" t="str">
            <v>Independent school standard inspection - first</v>
          </cell>
          <cell r="AC631" t="str">
            <v>Independent Standard Inspection</v>
          </cell>
          <cell r="AD631">
            <v>42906</v>
          </cell>
          <cell r="AE631">
            <v>42908</v>
          </cell>
          <cell r="AF631">
            <v>42937</v>
          </cell>
          <cell r="AG631">
            <v>2</v>
          </cell>
          <cell r="AH631">
            <v>2</v>
          </cell>
          <cell r="AI631">
            <v>2</v>
          </cell>
          <cell r="AJ631">
            <v>2</v>
          </cell>
          <cell r="AK631">
            <v>2</v>
          </cell>
          <cell r="AL631" t="str">
            <v>NULL</v>
          </cell>
          <cell r="AM631" t="str">
            <v>NULL</v>
          </cell>
          <cell r="AN631" t="str">
            <v>Yes</v>
          </cell>
          <cell r="AO631" t="str">
            <v>NULL</v>
          </cell>
          <cell r="AP631" t="str">
            <v>NULL</v>
          </cell>
          <cell r="AQ631" t="str">
            <v>NULL</v>
          </cell>
          <cell r="AR631" t="str">
            <v>NULL</v>
          </cell>
          <cell r="AS631" t="str">
            <v>NULL</v>
          </cell>
          <cell r="AT631" t="str">
            <v>NULL</v>
          </cell>
          <cell r="AU631" t="str">
            <v>NULL</v>
          </cell>
          <cell r="AV631" t="str">
            <v>NULL</v>
          </cell>
          <cell r="AW631" t="str">
            <v>NULL</v>
          </cell>
          <cell r="AX631" t="str">
            <v>NULL</v>
          </cell>
          <cell r="AY631" t="str">
            <v>NULL</v>
          </cell>
          <cell r="AZ631" t="str">
            <v>NULL</v>
          </cell>
          <cell r="BA631" t="str">
            <v>NULL</v>
          </cell>
          <cell r="BB631" t="str">
            <v>NULL</v>
          </cell>
        </row>
        <row r="632">
          <cell r="D632">
            <v>142224</v>
          </cell>
          <cell r="E632">
            <v>3526011</v>
          </cell>
          <cell r="F632" t="str">
            <v>Manchester Vocational and Learning Academy</v>
          </cell>
          <cell r="G632" t="str">
            <v>Other Independent School</v>
          </cell>
          <cell r="H632">
            <v>42214</v>
          </cell>
          <cell r="I632">
            <v>13</v>
          </cell>
          <cell r="J632" t="str">
            <v>North West</v>
          </cell>
          <cell r="K632" t="str">
            <v>North West</v>
          </cell>
          <cell r="L632" t="str">
            <v>Manchester</v>
          </cell>
          <cell r="M632" t="str">
            <v>Manchester, Gorton</v>
          </cell>
          <cell r="N632" t="str">
            <v>M19 3AQ</v>
          </cell>
          <cell r="O632" t="str">
            <v>Does not have a sixth form</v>
          </cell>
          <cell r="P632">
            <v>11</v>
          </cell>
          <cell r="Q632">
            <v>16</v>
          </cell>
          <cell r="R632" t="str">
            <v>None</v>
          </cell>
          <cell r="S632" t="str">
            <v>Ofsted</v>
          </cell>
          <cell r="T632">
            <v>2</v>
          </cell>
          <cell r="U632">
            <v>10033389</v>
          </cell>
          <cell r="V632" t="str">
            <v>Independent school evaluation of school action plan</v>
          </cell>
          <cell r="W632">
            <v>42775</v>
          </cell>
          <cell r="X632">
            <v>42775</v>
          </cell>
          <cell r="Y632" t="str">
            <v>NULL</v>
          </cell>
          <cell r="Z632" t="str">
            <v>Action plan is acceptable</v>
          </cell>
          <cell r="AA632">
            <v>10012848</v>
          </cell>
          <cell r="AB632" t="str">
            <v>Independent school standard inspection - first</v>
          </cell>
          <cell r="AC632" t="str">
            <v>Independent Standard Inspection</v>
          </cell>
          <cell r="AD632">
            <v>42501</v>
          </cell>
          <cell r="AE632">
            <v>42502</v>
          </cell>
          <cell r="AF632">
            <v>42534</v>
          </cell>
          <cell r="AG632">
            <v>3</v>
          </cell>
          <cell r="AH632">
            <v>3</v>
          </cell>
          <cell r="AI632">
            <v>3</v>
          </cell>
          <cell r="AJ632">
            <v>3</v>
          </cell>
          <cell r="AK632">
            <v>3</v>
          </cell>
          <cell r="AL632" t="str">
            <v>NULL</v>
          </cell>
          <cell r="AM632" t="str">
            <v>NULL</v>
          </cell>
          <cell r="AN632" t="str">
            <v>Yes</v>
          </cell>
          <cell r="AO632" t="str">
            <v>NULL</v>
          </cell>
          <cell r="AP632" t="str">
            <v>NULL</v>
          </cell>
          <cell r="AQ632" t="str">
            <v>NULL</v>
          </cell>
          <cell r="AR632" t="str">
            <v>NULL</v>
          </cell>
          <cell r="AS632" t="str">
            <v>NULL</v>
          </cell>
          <cell r="AT632" t="str">
            <v>NULL</v>
          </cell>
          <cell r="AU632" t="str">
            <v>NULL</v>
          </cell>
          <cell r="AV632" t="str">
            <v>NULL</v>
          </cell>
          <cell r="AW632" t="str">
            <v>NULL</v>
          </cell>
          <cell r="AX632" t="str">
            <v>NULL</v>
          </cell>
          <cell r="AY632" t="str">
            <v>NULL</v>
          </cell>
          <cell r="AZ632" t="str">
            <v>NULL</v>
          </cell>
          <cell r="BA632" t="str">
            <v>NULL</v>
          </cell>
          <cell r="BB632" t="str">
            <v>NULL</v>
          </cell>
        </row>
        <row r="633">
          <cell r="D633">
            <v>142225</v>
          </cell>
          <cell r="E633">
            <v>3566000</v>
          </cell>
          <cell r="F633" t="str">
            <v>Broadstones</v>
          </cell>
          <cell r="G633" t="str">
            <v>Other Independent Special School</v>
          </cell>
          <cell r="H633">
            <v>42216</v>
          </cell>
          <cell r="I633">
            <v>10</v>
          </cell>
          <cell r="J633" t="str">
            <v>North West</v>
          </cell>
          <cell r="K633" t="str">
            <v>North West</v>
          </cell>
          <cell r="L633" t="str">
            <v>Stockport</v>
          </cell>
          <cell r="M633" t="str">
            <v>Denton and Reddish</v>
          </cell>
          <cell r="N633" t="str">
            <v>SK4 5HS</v>
          </cell>
          <cell r="O633" t="str">
            <v>Not applicable</v>
          </cell>
          <cell r="P633">
            <v>13</v>
          </cell>
          <cell r="Q633">
            <v>16</v>
          </cell>
          <cell r="R633" t="str">
            <v>None</v>
          </cell>
          <cell r="S633" t="str">
            <v>Ofsted</v>
          </cell>
          <cell r="T633" t="str">
            <v>NULL</v>
          </cell>
          <cell r="U633" t="str">
            <v>NULL</v>
          </cell>
          <cell r="V633" t="str">
            <v>NULL</v>
          </cell>
          <cell r="W633" t="str">
            <v>NULL</v>
          </cell>
          <cell r="X633" t="str">
            <v>NULL</v>
          </cell>
          <cell r="Y633" t="str">
            <v>NULL</v>
          </cell>
          <cell r="Z633" t="str">
            <v>NULL</v>
          </cell>
          <cell r="AA633">
            <v>10012844</v>
          </cell>
          <cell r="AB633" t="str">
            <v>Independent school standard inspection - first</v>
          </cell>
          <cell r="AC633" t="str">
            <v>Independent Standard Inspection</v>
          </cell>
          <cell r="AD633">
            <v>42563</v>
          </cell>
          <cell r="AE633">
            <v>42565</v>
          </cell>
          <cell r="AF633">
            <v>42627</v>
          </cell>
          <cell r="AG633">
            <v>2</v>
          </cell>
          <cell r="AH633">
            <v>2</v>
          </cell>
          <cell r="AI633">
            <v>2</v>
          </cell>
          <cell r="AJ633">
            <v>2</v>
          </cell>
          <cell r="AK633">
            <v>2</v>
          </cell>
          <cell r="AL633" t="str">
            <v>NULL</v>
          </cell>
          <cell r="AM633" t="str">
            <v>NULL</v>
          </cell>
          <cell r="AN633" t="str">
            <v>Yes</v>
          </cell>
          <cell r="AO633" t="str">
            <v>NULL</v>
          </cell>
          <cell r="AP633" t="str">
            <v>NULL</v>
          </cell>
          <cell r="AQ633" t="str">
            <v>NULL</v>
          </cell>
          <cell r="AR633" t="str">
            <v>NULL</v>
          </cell>
          <cell r="AS633" t="str">
            <v>NULL</v>
          </cell>
          <cell r="AT633" t="str">
            <v>NULL</v>
          </cell>
          <cell r="AU633" t="str">
            <v>NULL</v>
          </cell>
          <cell r="AV633" t="str">
            <v>NULL</v>
          </cell>
          <cell r="AW633" t="str">
            <v>NULL</v>
          </cell>
          <cell r="AX633" t="str">
            <v>NULL</v>
          </cell>
          <cell r="AY633" t="str">
            <v>NULL</v>
          </cell>
          <cell r="AZ633" t="str">
            <v>NULL</v>
          </cell>
          <cell r="BA633" t="str">
            <v>NULL</v>
          </cell>
          <cell r="BB633" t="str">
            <v>NULL</v>
          </cell>
        </row>
        <row r="634">
          <cell r="D634">
            <v>142320</v>
          </cell>
          <cell r="E634">
            <v>3706000</v>
          </cell>
          <cell r="F634" t="str">
            <v>Park House School</v>
          </cell>
          <cell r="G634" t="str">
            <v>Other Independent Special School</v>
          </cell>
          <cell r="H634">
            <v>42221</v>
          </cell>
          <cell r="I634">
            <v>11</v>
          </cell>
          <cell r="J634" t="str">
            <v>North East, Yorkshire and the Humber</v>
          </cell>
          <cell r="K634" t="str">
            <v>Yorkshire and the Humber</v>
          </cell>
          <cell r="L634" t="str">
            <v>Barnsley</v>
          </cell>
          <cell r="M634" t="str">
            <v>Penistone and Stocksbridge</v>
          </cell>
          <cell r="N634" t="str">
            <v>S75 3DH</v>
          </cell>
          <cell r="O634" t="str">
            <v>Not applicable</v>
          </cell>
          <cell r="P634">
            <v>7</v>
          </cell>
          <cell r="Q634">
            <v>17</v>
          </cell>
          <cell r="R634" t="str">
            <v>None</v>
          </cell>
          <cell r="S634" t="str">
            <v>Ofsted</v>
          </cell>
          <cell r="T634" t="str">
            <v>NULL</v>
          </cell>
          <cell r="U634" t="str">
            <v>NULL</v>
          </cell>
          <cell r="V634" t="str">
            <v>NULL</v>
          </cell>
          <cell r="W634" t="str">
            <v>NULL</v>
          </cell>
          <cell r="X634" t="str">
            <v>NULL</v>
          </cell>
          <cell r="Y634" t="str">
            <v>NULL</v>
          </cell>
          <cell r="Z634" t="str">
            <v>NULL</v>
          </cell>
          <cell r="AA634">
            <v>10012849</v>
          </cell>
          <cell r="AB634" t="str">
            <v>Independent school standard inspection - first</v>
          </cell>
          <cell r="AC634" t="str">
            <v>Independent Standard Inspection</v>
          </cell>
          <cell r="AD634">
            <v>42472</v>
          </cell>
          <cell r="AE634">
            <v>42474</v>
          </cell>
          <cell r="AF634">
            <v>42521</v>
          </cell>
          <cell r="AG634">
            <v>2</v>
          </cell>
          <cell r="AH634">
            <v>2</v>
          </cell>
          <cell r="AI634">
            <v>2</v>
          </cell>
          <cell r="AJ634">
            <v>2</v>
          </cell>
          <cell r="AK634">
            <v>2</v>
          </cell>
          <cell r="AL634" t="str">
            <v>NULL</v>
          </cell>
          <cell r="AM634" t="str">
            <v>NULL</v>
          </cell>
          <cell r="AN634" t="str">
            <v>Yes</v>
          </cell>
          <cell r="AO634" t="str">
            <v>NULL</v>
          </cell>
          <cell r="AP634" t="str">
            <v>NULL</v>
          </cell>
          <cell r="AQ634" t="str">
            <v>NULL</v>
          </cell>
          <cell r="AR634" t="str">
            <v>NULL</v>
          </cell>
          <cell r="AS634" t="str">
            <v>NULL</v>
          </cell>
          <cell r="AT634" t="str">
            <v>NULL</v>
          </cell>
          <cell r="AU634" t="str">
            <v>NULL</v>
          </cell>
          <cell r="AV634" t="str">
            <v>NULL</v>
          </cell>
          <cell r="AW634" t="str">
            <v>NULL</v>
          </cell>
          <cell r="AX634" t="str">
            <v>NULL</v>
          </cell>
          <cell r="AY634" t="str">
            <v>NULL</v>
          </cell>
          <cell r="AZ634" t="str">
            <v>NULL</v>
          </cell>
          <cell r="BA634" t="str">
            <v>NULL</v>
          </cell>
          <cell r="BB634" t="str">
            <v>NULL</v>
          </cell>
        </row>
        <row r="635">
          <cell r="D635">
            <v>142784</v>
          </cell>
          <cell r="E635">
            <v>3806013</v>
          </cell>
          <cell r="F635" t="str">
            <v>Broadbeck Learning Centre</v>
          </cell>
          <cell r="G635" t="str">
            <v>Other Independent Special School</v>
          </cell>
          <cell r="H635">
            <v>42634</v>
          </cell>
          <cell r="I635">
            <v>1</v>
          </cell>
          <cell r="J635" t="str">
            <v>North East, Yorkshire and the Humber</v>
          </cell>
          <cell r="K635" t="str">
            <v>Yorkshire and the Humber</v>
          </cell>
          <cell r="L635" t="str">
            <v>Bradford</v>
          </cell>
          <cell r="M635" t="str">
            <v>Bradford South</v>
          </cell>
          <cell r="N635" t="str">
            <v>BD6 2LE</v>
          </cell>
          <cell r="O635" t="str">
            <v>Not applicable</v>
          </cell>
          <cell r="P635">
            <v>7</v>
          </cell>
          <cell r="Q635">
            <v>18</v>
          </cell>
          <cell r="R635" t="str">
            <v>None</v>
          </cell>
          <cell r="S635" t="str">
            <v>Ofsted</v>
          </cell>
          <cell r="T635" t="str">
            <v>NULL</v>
          </cell>
          <cell r="U635" t="str">
            <v>NULL</v>
          </cell>
          <cell r="V635" t="str">
            <v>NULL</v>
          </cell>
          <cell r="W635" t="str">
            <v>NULL</v>
          </cell>
          <cell r="X635" t="str">
            <v>NULL</v>
          </cell>
          <cell r="Y635" t="str">
            <v>NULL</v>
          </cell>
          <cell r="Z635" t="str">
            <v>NULL</v>
          </cell>
          <cell r="AA635">
            <v>10033925</v>
          </cell>
          <cell r="AB635" t="str">
            <v>Independent school standard inspection - first</v>
          </cell>
          <cell r="AC635" t="str">
            <v>Independent Standard Inspection</v>
          </cell>
          <cell r="AD635">
            <v>42864</v>
          </cell>
          <cell r="AE635">
            <v>42866</v>
          </cell>
          <cell r="AF635">
            <v>42909</v>
          </cell>
          <cell r="AG635">
            <v>2</v>
          </cell>
          <cell r="AH635">
            <v>2</v>
          </cell>
          <cell r="AI635">
            <v>2</v>
          </cell>
          <cell r="AJ635">
            <v>1</v>
          </cell>
          <cell r="AK635">
            <v>1</v>
          </cell>
          <cell r="AL635" t="str">
            <v>NULL</v>
          </cell>
          <cell r="AM635" t="str">
            <v>NULL</v>
          </cell>
          <cell r="AN635" t="str">
            <v>Yes</v>
          </cell>
          <cell r="AO635" t="str">
            <v>NULL</v>
          </cell>
          <cell r="AP635" t="str">
            <v>NULL</v>
          </cell>
          <cell r="AQ635" t="str">
            <v>NULL</v>
          </cell>
          <cell r="AR635" t="str">
            <v>NULL</v>
          </cell>
          <cell r="AS635" t="str">
            <v>NULL</v>
          </cell>
          <cell r="AT635" t="str">
            <v>NULL</v>
          </cell>
          <cell r="AU635" t="str">
            <v>NULL</v>
          </cell>
          <cell r="AV635" t="str">
            <v>NULL</v>
          </cell>
          <cell r="AW635" t="str">
            <v>NULL</v>
          </cell>
          <cell r="AX635" t="str">
            <v>NULL</v>
          </cell>
          <cell r="AY635" t="str">
            <v>NULL</v>
          </cell>
          <cell r="AZ635" t="str">
            <v>NULL</v>
          </cell>
          <cell r="BA635" t="str">
            <v>NULL</v>
          </cell>
          <cell r="BB635" t="str">
            <v>NULL</v>
          </cell>
        </row>
        <row r="636">
          <cell r="D636">
            <v>142828</v>
          </cell>
          <cell r="E636">
            <v>8126004</v>
          </cell>
          <cell r="F636" t="str">
            <v>Best Futures</v>
          </cell>
          <cell r="G636" t="str">
            <v>Other Independent Special School</v>
          </cell>
          <cell r="H636">
            <v>42655</v>
          </cell>
          <cell r="I636">
            <v>1</v>
          </cell>
          <cell r="J636" t="str">
            <v>North East, Yorkshire and the Humber</v>
          </cell>
          <cell r="K636" t="str">
            <v>Yorkshire and the Humber</v>
          </cell>
          <cell r="L636" t="str">
            <v>North East Lincolnshire</v>
          </cell>
          <cell r="M636" t="str">
            <v>Cleethorpes</v>
          </cell>
          <cell r="N636" t="str">
            <v>DN37 7AW</v>
          </cell>
          <cell r="O636" t="str">
            <v>Not applicable</v>
          </cell>
          <cell r="P636">
            <v>4</v>
          </cell>
          <cell r="Q636">
            <v>11</v>
          </cell>
          <cell r="R636" t="str">
            <v>None</v>
          </cell>
          <cell r="S636" t="str">
            <v>Ofsted</v>
          </cell>
          <cell r="T636" t="str">
            <v>NULL</v>
          </cell>
          <cell r="U636" t="str">
            <v>NULL</v>
          </cell>
          <cell r="V636" t="str">
            <v>NULL</v>
          </cell>
          <cell r="W636" t="str">
            <v>NULL</v>
          </cell>
          <cell r="X636" t="str">
            <v>NULL</v>
          </cell>
          <cell r="Y636" t="str">
            <v>NULL</v>
          </cell>
          <cell r="Z636" t="str">
            <v>NULL</v>
          </cell>
          <cell r="AA636">
            <v>10040148</v>
          </cell>
          <cell r="AB636" t="str">
            <v>Independent school standard inspection - first</v>
          </cell>
          <cell r="AC636" t="str">
            <v>Independent Standard Inspection</v>
          </cell>
          <cell r="AD636">
            <v>43018</v>
          </cell>
          <cell r="AE636">
            <v>43019</v>
          </cell>
          <cell r="AF636">
            <v>43063</v>
          </cell>
          <cell r="AG636">
            <v>3</v>
          </cell>
          <cell r="AH636">
            <v>3</v>
          </cell>
          <cell r="AI636">
            <v>3</v>
          </cell>
          <cell r="AJ636">
            <v>3</v>
          </cell>
          <cell r="AK636">
            <v>3</v>
          </cell>
          <cell r="AL636" t="str">
            <v>NULL</v>
          </cell>
          <cell r="AM636" t="str">
            <v>NULL</v>
          </cell>
          <cell r="AN636" t="str">
            <v>Yes</v>
          </cell>
          <cell r="AO636" t="str">
            <v>NULL</v>
          </cell>
          <cell r="AP636" t="str">
            <v>NULL</v>
          </cell>
          <cell r="AQ636" t="str">
            <v>NULL</v>
          </cell>
          <cell r="AR636" t="str">
            <v>NULL</v>
          </cell>
          <cell r="AS636" t="str">
            <v>NULL</v>
          </cell>
          <cell r="AT636" t="str">
            <v>NULL</v>
          </cell>
          <cell r="AU636" t="str">
            <v>NULL</v>
          </cell>
          <cell r="AV636" t="str">
            <v>NULL</v>
          </cell>
          <cell r="AW636" t="str">
            <v>NULL</v>
          </cell>
          <cell r="AX636" t="str">
            <v>NULL</v>
          </cell>
          <cell r="AY636" t="str">
            <v>NULL</v>
          </cell>
          <cell r="AZ636" t="str">
            <v>NULL</v>
          </cell>
          <cell r="BA636" t="str">
            <v>NULL</v>
          </cell>
          <cell r="BB636" t="str">
            <v>NULL</v>
          </cell>
        </row>
        <row r="637">
          <cell r="D637">
            <v>142829</v>
          </cell>
          <cell r="E637">
            <v>8116014</v>
          </cell>
          <cell r="F637" t="str">
            <v>Horton School Beverley</v>
          </cell>
          <cell r="G637" t="str">
            <v>Other Independent Special School</v>
          </cell>
          <cell r="H637">
            <v>42598</v>
          </cell>
          <cell r="I637">
            <v>18</v>
          </cell>
          <cell r="J637" t="str">
            <v>North East, Yorkshire and the Humber</v>
          </cell>
          <cell r="K637" t="str">
            <v>Yorkshire and the Humber</v>
          </cell>
          <cell r="L637" t="str">
            <v>East Riding of Yorkshire</v>
          </cell>
          <cell r="M637" t="str">
            <v>Beverley and Holderness</v>
          </cell>
          <cell r="N637" t="str">
            <v>HU17 0BG</v>
          </cell>
          <cell r="O637" t="str">
            <v>Not applicable</v>
          </cell>
          <cell r="P637">
            <v>7</v>
          </cell>
          <cell r="Q637">
            <v>18</v>
          </cell>
          <cell r="R637" t="str">
            <v>None</v>
          </cell>
          <cell r="S637" t="str">
            <v>Ofsted</v>
          </cell>
          <cell r="T637">
            <v>1</v>
          </cell>
          <cell r="U637">
            <v>10044619</v>
          </cell>
          <cell r="V637" t="str">
            <v>Independent school evaluation of school action plan</v>
          </cell>
          <cell r="W637">
            <v>43087</v>
          </cell>
          <cell r="X637">
            <v>43087</v>
          </cell>
          <cell r="Y637" t="str">
            <v>NULL</v>
          </cell>
          <cell r="Z637" t="str">
            <v>Action plan is acceptable with modifications</v>
          </cell>
          <cell r="AA637">
            <v>10033926</v>
          </cell>
          <cell r="AB637" t="str">
            <v>Independent school standard inspection - first</v>
          </cell>
          <cell r="AC637" t="str">
            <v>Independent Standard Inspection</v>
          </cell>
          <cell r="AD637">
            <v>42906</v>
          </cell>
          <cell r="AE637">
            <v>42908</v>
          </cell>
          <cell r="AF637">
            <v>43000</v>
          </cell>
          <cell r="AG637">
            <v>4</v>
          </cell>
          <cell r="AH637">
            <v>4</v>
          </cell>
          <cell r="AI637">
            <v>4</v>
          </cell>
          <cell r="AJ637">
            <v>4</v>
          </cell>
          <cell r="AK637">
            <v>3</v>
          </cell>
          <cell r="AL637" t="str">
            <v>NULL</v>
          </cell>
          <cell r="AM637" t="str">
            <v>NULL</v>
          </cell>
          <cell r="AN637" t="str">
            <v>Yes</v>
          </cell>
          <cell r="AO637" t="str">
            <v>NULL</v>
          </cell>
          <cell r="AP637" t="str">
            <v>NULL</v>
          </cell>
          <cell r="AQ637" t="str">
            <v>NULL</v>
          </cell>
          <cell r="AR637" t="str">
            <v>NULL</v>
          </cell>
          <cell r="AS637" t="str">
            <v>NULL</v>
          </cell>
          <cell r="AT637" t="str">
            <v>NULL</v>
          </cell>
          <cell r="AU637" t="str">
            <v>NULL</v>
          </cell>
          <cell r="AV637" t="str">
            <v>NULL</v>
          </cell>
          <cell r="AW637" t="str">
            <v>NULL</v>
          </cell>
          <cell r="AX637" t="str">
            <v>NULL</v>
          </cell>
          <cell r="AY637" t="str">
            <v>NULL</v>
          </cell>
          <cell r="AZ637" t="str">
            <v>NULL</v>
          </cell>
          <cell r="BA637" t="str">
            <v>NULL</v>
          </cell>
          <cell r="BB637" t="str">
            <v>NULL</v>
          </cell>
        </row>
        <row r="638">
          <cell r="D638">
            <v>142832</v>
          </cell>
          <cell r="E638">
            <v>3046003</v>
          </cell>
          <cell r="F638" t="str">
            <v>New Level Academy</v>
          </cell>
          <cell r="G638" t="str">
            <v>Other Independent School</v>
          </cell>
          <cell r="H638">
            <v>42767</v>
          </cell>
          <cell r="I638" t="str">
            <v>NULL</v>
          </cell>
          <cell r="J638" t="str">
            <v>London</v>
          </cell>
          <cell r="K638" t="str">
            <v>London</v>
          </cell>
          <cell r="L638" t="str">
            <v>Brent</v>
          </cell>
          <cell r="M638" t="str">
            <v>Brent Central</v>
          </cell>
          <cell r="N638" t="str">
            <v>NW10 8LW</v>
          </cell>
          <cell r="O638" t="str">
            <v>Has a sixth form</v>
          </cell>
          <cell r="P638">
            <v>13</v>
          </cell>
          <cell r="Q638">
            <v>19</v>
          </cell>
          <cell r="R638" t="str">
            <v>None</v>
          </cell>
          <cell r="S638" t="str">
            <v>Ofsted</v>
          </cell>
          <cell r="T638" t="str">
            <v>NULL</v>
          </cell>
          <cell r="U638" t="str">
            <v>NULL</v>
          </cell>
          <cell r="V638" t="str">
            <v>NULL</v>
          </cell>
          <cell r="W638" t="str">
            <v>NULL</v>
          </cell>
          <cell r="X638" t="str">
            <v>NULL</v>
          </cell>
          <cell r="Y638" t="str">
            <v>NULL</v>
          </cell>
          <cell r="Z638" t="str">
            <v>NULL</v>
          </cell>
          <cell r="AA638">
            <v>10041406</v>
          </cell>
          <cell r="AB638" t="str">
            <v>Independent school standard inspection - first</v>
          </cell>
          <cell r="AC638" t="str">
            <v>Independent Standard Inspection</v>
          </cell>
          <cell r="AD638">
            <v>43116</v>
          </cell>
          <cell r="AE638">
            <v>43118</v>
          </cell>
          <cell r="AF638">
            <v>43146</v>
          </cell>
          <cell r="AG638">
            <v>3</v>
          </cell>
          <cell r="AH638">
            <v>3</v>
          </cell>
          <cell r="AI638">
            <v>3</v>
          </cell>
          <cell r="AJ638">
            <v>3</v>
          </cell>
          <cell r="AK638">
            <v>3</v>
          </cell>
          <cell r="AL638" t="str">
            <v>NULL</v>
          </cell>
          <cell r="AM638" t="str">
            <v>NULL</v>
          </cell>
          <cell r="AN638" t="str">
            <v>Yes</v>
          </cell>
          <cell r="AO638" t="str">
            <v>NULL</v>
          </cell>
          <cell r="AP638" t="str">
            <v>NULL</v>
          </cell>
          <cell r="AQ638" t="str">
            <v>NULL</v>
          </cell>
          <cell r="AR638" t="str">
            <v>NULL</v>
          </cell>
          <cell r="AS638" t="str">
            <v>NULL</v>
          </cell>
          <cell r="AT638" t="str">
            <v>NULL</v>
          </cell>
          <cell r="AU638" t="str">
            <v>NULL</v>
          </cell>
          <cell r="AV638" t="str">
            <v>NULL</v>
          </cell>
          <cell r="AW638" t="str">
            <v>NULL</v>
          </cell>
          <cell r="AX638" t="str">
            <v>NULL</v>
          </cell>
          <cell r="AY638" t="str">
            <v>NULL</v>
          </cell>
          <cell r="AZ638" t="str">
            <v>NULL</v>
          </cell>
          <cell r="BA638" t="str">
            <v>NULL</v>
          </cell>
          <cell r="BB638" t="str">
            <v>NULL</v>
          </cell>
        </row>
        <row r="639">
          <cell r="D639">
            <v>143532</v>
          </cell>
          <cell r="E639">
            <v>3946000</v>
          </cell>
          <cell r="F639" t="str">
            <v>Ashbrooke School</v>
          </cell>
          <cell r="G639" t="str">
            <v>Other Independent Special School</v>
          </cell>
          <cell r="H639">
            <v>42765</v>
          </cell>
          <cell r="I639" t="str">
            <v>NULL</v>
          </cell>
          <cell r="J639" t="str">
            <v>North East, Yorkshire and the Humber</v>
          </cell>
          <cell r="K639" t="str">
            <v>North East</v>
          </cell>
          <cell r="L639" t="str">
            <v>Sunderland</v>
          </cell>
          <cell r="M639" t="str">
            <v>Sunderland Central</v>
          </cell>
          <cell r="N639" t="str">
            <v>SR2 7JA</v>
          </cell>
          <cell r="O639" t="str">
            <v>Not applicable</v>
          </cell>
          <cell r="P639">
            <v>5</v>
          </cell>
          <cell r="Q639">
            <v>19</v>
          </cell>
          <cell r="R639" t="str">
            <v>None</v>
          </cell>
          <cell r="S639" t="str">
            <v>Ofsted</v>
          </cell>
          <cell r="T639">
            <v>1</v>
          </cell>
          <cell r="U639">
            <v>10025436</v>
          </cell>
          <cell r="V639" t="str">
            <v>Independent School Pre-registration Inspection</v>
          </cell>
          <cell r="W639">
            <v>42718</v>
          </cell>
          <cell r="X639">
            <v>42718</v>
          </cell>
          <cell r="Y639" t="str">
            <v>NULL</v>
          </cell>
          <cell r="Z639" t="str">
            <v>Likely to meet all standards</v>
          </cell>
          <cell r="AA639" t="str">
            <v>NULL</v>
          </cell>
          <cell r="AB639" t="str">
            <v>NULL</v>
          </cell>
          <cell r="AC639" t="str">
            <v>NULL</v>
          </cell>
          <cell r="AD639" t="str">
            <v>NULL</v>
          </cell>
          <cell r="AE639" t="str">
            <v>NULL</v>
          </cell>
          <cell r="AF639" t="str">
            <v>NULL</v>
          </cell>
          <cell r="AG639" t="str">
            <v>NULL</v>
          </cell>
          <cell r="AH639" t="str">
            <v>NULL</v>
          </cell>
          <cell r="AI639" t="str">
            <v>NULL</v>
          </cell>
          <cell r="AJ639" t="str">
            <v>NULL</v>
          </cell>
          <cell r="AK639" t="str">
            <v>NULL</v>
          </cell>
          <cell r="AL639" t="str">
            <v>NULL</v>
          </cell>
          <cell r="AM639" t="str">
            <v>NULL</v>
          </cell>
          <cell r="AN639" t="str">
            <v>NULL</v>
          </cell>
          <cell r="AO639" t="str">
            <v>NULL</v>
          </cell>
          <cell r="AP639" t="str">
            <v>NULL</v>
          </cell>
          <cell r="AQ639" t="str">
            <v>NULL</v>
          </cell>
          <cell r="AR639" t="str">
            <v>NULL</v>
          </cell>
          <cell r="AS639" t="str">
            <v>NULL</v>
          </cell>
          <cell r="AT639" t="str">
            <v>NULL</v>
          </cell>
          <cell r="AU639" t="str">
            <v>NULL</v>
          </cell>
          <cell r="AV639" t="str">
            <v>NULL</v>
          </cell>
          <cell r="AW639" t="str">
            <v>NULL</v>
          </cell>
          <cell r="AX639" t="str">
            <v>NULL</v>
          </cell>
          <cell r="AY639" t="str">
            <v>NULL</v>
          </cell>
          <cell r="AZ639" t="str">
            <v>NULL</v>
          </cell>
          <cell r="BA639" t="str">
            <v>NULL</v>
          </cell>
          <cell r="BB639" t="str">
            <v>NULL</v>
          </cell>
        </row>
        <row r="640">
          <cell r="D640">
            <v>143539</v>
          </cell>
          <cell r="E640">
            <v>8786067</v>
          </cell>
          <cell r="F640" t="str">
            <v>Running Deer</v>
          </cell>
          <cell r="G640" t="str">
            <v>Other Independent Special School</v>
          </cell>
          <cell r="H640">
            <v>42618</v>
          </cell>
          <cell r="I640">
            <v>0</v>
          </cell>
          <cell r="J640" t="str">
            <v>South West</v>
          </cell>
          <cell r="K640" t="str">
            <v>South West</v>
          </cell>
          <cell r="L640" t="str">
            <v>Devon</v>
          </cell>
          <cell r="M640" t="str">
            <v>Central Devon</v>
          </cell>
          <cell r="N640" t="str">
            <v>TQ13 8PY</v>
          </cell>
          <cell r="O640" t="str">
            <v>Not applicable</v>
          </cell>
          <cell r="P640">
            <v>8</v>
          </cell>
          <cell r="Q640">
            <v>16</v>
          </cell>
          <cell r="R640" t="str">
            <v>None</v>
          </cell>
          <cell r="S640" t="str">
            <v>Ofsted</v>
          </cell>
          <cell r="T640">
            <v>1</v>
          </cell>
          <cell r="U640">
            <v>10047110</v>
          </cell>
          <cell r="V640" t="str">
            <v>Independent school evaluation of school action plan</v>
          </cell>
          <cell r="W640">
            <v>43129</v>
          </cell>
          <cell r="X640">
            <v>43129</v>
          </cell>
          <cell r="Y640" t="str">
            <v>NULL</v>
          </cell>
          <cell r="Z640" t="str">
            <v>Action plan is not acceptable</v>
          </cell>
          <cell r="AA640">
            <v>10033897</v>
          </cell>
          <cell r="AB640" t="str">
            <v>Independent school standard inspection - first</v>
          </cell>
          <cell r="AC640" t="str">
            <v>Independent Standard Inspection</v>
          </cell>
          <cell r="AD640">
            <v>42997</v>
          </cell>
          <cell r="AE640">
            <v>42999</v>
          </cell>
          <cell r="AF640">
            <v>43045</v>
          </cell>
          <cell r="AG640">
            <v>4</v>
          </cell>
          <cell r="AH640">
            <v>3</v>
          </cell>
          <cell r="AI640">
            <v>3</v>
          </cell>
          <cell r="AJ640">
            <v>4</v>
          </cell>
          <cell r="AK640">
            <v>3</v>
          </cell>
          <cell r="AL640" t="str">
            <v>NULL</v>
          </cell>
          <cell r="AM640" t="str">
            <v>NULL</v>
          </cell>
          <cell r="AN640" t="str">
            <v>No</v>
          </cell>
          <cell r="AO640" t="str">
            <v>NULL</v>
          </cell>
          <cell r="AP640" t="str">
            <v>NULL</v>
          </cell>
          <cell r="AQ640" t="str">
            <v>NULL</v>
          </cell>
          <cell r="AR640" t="str">
            <v>NULL</v>
          </cell>
          <cell r="AS640" t="str">
            <v>NULL</v>
          </cell>
          <cell r="AT640" t="str">
            <v>NULL</v>
          </cell>
          <cell r="AU640" t="str">
            <v>NULL</v>
          </cell>
          <cell r="AV640" t="str">
            <v>NULL</v>
          </cell>
          <cell r="AW640" t="str">
            <v>NULL</v>
          </cell>
          <cell r="AX640" t="str">
            <v>NULL</v>
          </cell>
          <cell r="AY640" t="str">
            <v>NULL</v>
          </cell>
          <cell r="AZ640" t="str">
            <v>NULL</v>
          </cell>
          <cell r="BA640" t="str">
            <v>NULL</v>
          </cell>
          <cell r="BB640" t="str">
            <v>NULL</v>
          </cell>
        </row>
        <row r="641">
          <cell r="D641">
            <v>143640</v>
          </cell>
          <cell r="E641">
            <v>3046004</v>
          </cell>
          <cell r="F641" t="str">
            <v>Advance Education</v>
          </cell>
          <cell r="G641" t="str">
            <v>Other Independent School</v>
          </cell>
          <cell r="H641">
            <v>42795</v>
          </cell>
          <cell r="I641" t="str">
            <v>NULL</v>
          </cell>
          <cell r="J641" t="str">
            <v>London</v>
          </cell>
          <cell r="K641" t="str">
            <v>London</v>
          </cell>
          <cell r="L641" t="str">
            <v>Brent</v>
          </cell>
          <cell r="M641" t="str">
            <v>Brent Central</v>
          </cell>
          <cell r="N641" t="str">
            <v>NW10 7TR</v>
          </cell>
          <cell r="O641" t="str">
            <v>Does not have a sixth form</v>
          </cell>
          <cell r="P641">
            <v>4</v>
          </cell>
          <cell r="Q641">
            <v>11</v>
          </cell>
          <cell r="R641" t="str">
            <v>None</v>
          </cell>
          <cell r="S641" t="str">
            <v>Ofsted</v>
          </cell>
          <cell r="T641">
            <v>1</v>
          </cell>
          <cell r="U641">
            <v>10023052</v>
          </cell>
          <cell r="V641" t="str">
            <v>Independent School Pre-registration Inspection</v>
          </cell>
          <cell r="W641">
            <v>42662</v>
          </cell>
          <cell r="X641">
            <v>42662</v>
          </cell>
          <cell r="Y641" t="str">
            <v>NULL</v>
          </cell>
          <cell r="Z641" t="str">
            <v>Likely to meet all standards</v>
          </cell>
          <cell r="AA641" t="str">
            <v>NULL</v>
          </cell>
          <cell r="AB641" t="str">
            <v>NULL</v>
          </cell>
          <cell r="AC641" t="str">
            <v>NULL</v>
          </cell>
          <cell r="AD641" t="str">
            <v>NULL</v>
          </cell>
          <cell r="AE641" t="str">
            <v>NULL</v>
          </cell>
          <cell r="AF641" t="str">
            <v>NULL</v>
          </cell>
          <cell r="AG641" t="str">
            <v>NULL</v>
          </cell>
          <cell r="AH641" t="str">
            <v>NULL</v>
          </cell>
          <cell r="AI641" t="str">
            <v>NULL</v>
          </cell>
          <cell r="AJ641" t="str">
            <v>NULL</v>
          </cell>
          <cell r="AK641" t="str">
            <v>NULL</v>
          </cell>
          <cell r="AL641" t="str">
            <v>NULL</v>
          </cell>
          <cell r="AM641" t="str">
            <v>NULL</v>
          </cell>
          <cell r="AN641" t="str">
            <v>NULL</v>
          </cell>
          <cell r="AO641" t="str">
            <v>NULL</v>
          </cell>
          <cell r="AP641" t="str">
            <v>NULL</v>
          </cell>
          <cell r="AQ641" t="str">
            <v>NULL</v>
          </cell>
          <cell r="AR641" t="str">
            <v>NULL</v>
          </cell>
          <cell r="AS641" t="str">
            <v>NULL</v>
          </cell>
          <cell r="AT641" t="str">
            <v>NULL</v>
          </cell>
          <cell r="AU641" t="str">
            <v>NULL</v>
          </cell>
          <cell r="AV641" t="str">
            <v>NULL</v>
          </cell>
          <cell r="AW641" t="str">
            <v>NULL</v>
          </cell>
          <cell r="AX641" t="str">
            <v>NULL</v>
          </cell>
          <cell r="AY641" t="str">
            <v>NULL</v>
          </cell>
          <cell r="AZ641" t="str">
            <v>NULL</v>
          </cell>
          <cell r="BA641" t="str">
            <v>NULL</v>
          </cell>
          <cell r="BB641" t="str">
            <v>NULL</v>
          </cell>
        </row>
        <row r="642">
          <cell r="D642">
            <v>143642</v>
          </cell>
          <cell r="E642">
            <v>8356039</v>
          </cell>
          <cell r="F642" t="str">
            <v>Arbour House</v>
          </cell>
          <cell r="G642" t="str">
            <v>Other Independent Special School</v>
          </cell>
          <cell r="H642">
            <v>42887</v>
          </cell>
          <cell r="I642" t="str">
            <v>NULL</v>
          </cell>
          <cell r="J642" t="str">
            <v>South West</v>
          </cell>
          <cell r="K642" t="str">
            <v>South West</v>
          </cell>
          <cell r="L642" t="str">
            <v>Dorset</v>
          </cell>
          <cell r="M642" t="str">
            <v>South Dorset</v>
          </cell>
          <cell r="N642" t="str">
            <v>DT4 7QF</v>
          </cell>
          <cell r="O642" t="str">
            <v>Not applicable</v>
          </cell>
          <cell r="P642">
            <v>6</v>
          </cell>
          <cell r="Q642">
            <v>16</v>
          </cell>
          <cell r="R642" t="str">
            <v>None</v>
          </cell>
          <cell r="S642" t="str">
            <v>Ofsted</v>
          </cell>
          <cell r="T642">
            <v>2</v>
          </cell>
          <cell r="U642">
            <v>10034460</v>
          </cell>
          <cell r="V642" t="str">
            <v>Independent School Pre-registration Inspection</v>
          </cell>
          <cell r="W642">
            <v>42873</v>
          </cell>
          <cell r="X642">
            <v>42873</v>
          </cell>
          <cell r="Y642" t="str">
            <v>NULL</v>
          </cell>
          <cell r="Z642" t="str">
            <v>Likely to meet all standards</v>
          </cell>
          <cell r="AA642" t="str">
            <v>NULL</v>
          </cell>
          <cell r="AB642" t="str">
            <v>NULL</v>
          </cell>
          <cell r="AC642" t="str">
            <v>NULL</v>
          </cell>
          <cell r="AD642" t="str">
            <v>NULL</v>
          </cell>
          <cell r="AE642" t="str">
            <v>NULL</v>
          </cell>
          <cell r="AF642" t="str">
            <v>NULL</v>
          </cell>
          <cell r="AG642" t="str">
            <v>NULL</v>
          </cell>
          <cell r="AH642" t="str">
            <v>NULL</v>
          </cell>
          <cell r="AI642" t="str">
            <v>NULL</v>
          </cell>
          <cell r="AJ642" t="str">
            <v>NULL</v>
          </cell>
          <cell r="AK642" t="str">
            <v>NULL</v>
          </cell>
          <cell r="AL642" t="str">
            <v>NULL</v>
          </cell>
          <cell r="AM642" t="str">
            <v>NULL</v>
          </cell>
          <cell r="AN642" t="str">
            <v>NULL</v>
          </cell>
          <cell r="AO642" t="str">
            <v>NULL</v>
          </cell>
          <cell r="AP642" t="str">
            <v>NULL</v>
          </cell>
          <cell r="AQ642" t="str">
            <v>NULL</v>
          </cell>
          <cell r="AR642" t="str">
            <v>NULL</v>
          </cell>
          <cell r="AS642" t="str">
            <v>NULL</v>
          </cell>
          <cell r="AT642" t="str">
            <v>NULL</v>
          </cell>
          <cell r="AU642" t="str">
            <v>NULL</v>
          </cell>
          <cell r="AV642" t="str">
            <v>NULL</v>
          </cell>
          <cell r="AW642" t="str">
            <v>NULL</v>
          </cell>
          <cell r="AX642" t="str">
            <v>NULL</v>
          </cell>
          <cell r="AY642" t="str">
            <v>NULL</v>
          </cell>
          <cell r="AZ642" t="str">
            <v>NULL</v>
          </cell>
          <cell r="BA642" t="str">
            <v>NULL</v>
          </cell>
          <cell r="BB642" t="str">
            <v>NULL</v>
          </cell>
        </row>
        <row r="643">
          <cell r="D643">
            <v>143646</v>
          </cell>
          <cell r="E643">
            <v>3516006</v>
          </cell>
          <cell r="F643" t="str">
            <v>Pennine House School</v>
          </cell>
          <cell r="G643" t="str">
            <v>Other Independent School</v>
          </cell>
          <cell r="H643">
            <v>42775</v>
          </cell>
          <cell r="I643" t="str">
            <v>NULL</v>
          </cell>
          <cell r="J643" t="str">
            <v>North West</v>
          </cell>
          <cell r="K643" t="str">
            <v>North West</v>
          </cell>
          <cell r="L643" t="str">
            <v>Bury</v>
          </cell>
          <cell r="M643" t="str">
            <v>Bury North</v>
          </cell>
          <cell r="N643" t="str">
            <v>BL9 7TD</v>
          </cell>
          <cell r="O643" t="str">
            <v>Has a sixth form</v>
          </cell>
          <cell r="P643">
            <v>13</v>
          </cell>
          <cell r="Q643">
            <v>18</v>
          </cell>
          <cell r="R643" t="str">
            <v>None</v>
          </cell>
          <cell r="S643" t="str">
            <v>Ofsted</v>
          </cell>
          <cell r="T643">
            <v>1</v>
          </cell>
          <cell r="U643">
            <v>10025463</v>
          </cell>
          <cell r="V643" t="str">
            <v>Independent School Pre-registration Inspection</v>
          </cell>
          <cell r="W643">
            <v>42724</v>
          </cell>
          <cell r="X643">
            <v>42724</v>
          </cell>
          <cell r="Y643" t="str">
            <v>NULL</v>
          </cell>
          <cell r="Z643" t="str">
            <v>Operating without registration and likely to meet all standards</v>
          </cell>
          <cell r="AA643" t="str">
            <v>NULL</v>
          </cell>
          <cell r="AB643" t="str">
            <v>NULL</v>
          </cell>
          <cell r="AC643" t="str">
            <v>NULL</v>
          </cell>
          <cell r="AD643" t="str">
            <v>NULL</v>
          </cell>
          <cell r="AE643" t="str">
            <v>NULL</v>
          </cell>
          <cell r="AF643" t="str">
            <v>NULL</v>
          </cell>
          <cell r="AG643" t="str">
            <v>NULL</v>
          </cell>
          <cell r="AH643" t="str">
            <v>NULL</v>
          </cell>
          <cell r="AI643" t="str">
            <v>NULL</v>
          </cell>
          <cell r="AJ643" t="str">
            <v>NULL</v>
          </cell>
          <cell r="AK643" t="str">
            <v>NULL</v>
          </cell>
          <cell r="AL643" t="str">
            <v>NULL</v>
          </cell>
          <cell r="AM643" t="str">
            <v>NULL</v>
          </cell>
          <cell r="AN643" t="str">
            <v>NULL</v>
          </cell>
          <cell r="AO643" t="str">
            <v>NULL</v>
          </cell>
          <cell r="AP643" t="str">
            <v>NULL</v>
          </cell>
          <cell r="AQ643" t="str">
            <v>NULL</v>
          </cell>
          <cell r="AR643" t="str">
            <v>NULL</v>
          </cell>
          <cell r="AS643" t="str">
            <v>NULL</v>
          </cell>
          <cell r="AT643" t="str">
            <v>NULL</v>
          </cell>
          <cell r="AU643" t="str">
            <v>NULL</v>
          </cell>
          <cell r="AV643" t="str">
            <v>NULL</v>
          </cell>
          <cell r="AW643" t="str">
            <v>NULL</v>
          </cell>
          <cell r="AX643" t="str">
            <v>NULL</v>
          </cell>
          <cell r="AY643" t="str">
            <v>NULL</v>
          </cell>
          <cell r="AZ643" t="str">
            <v>NULL</v>
          </cell>
          <cell r="BA643" t="str">
            <v>NULL</v>
          </cell>
          <cell r="BB643" t="str">
            <v>NULL</v>
          </cell>
        </row>
        <row r="644">
          <cell r="D644">
            <v>143653</v>
          </cell>
          <cell r="E644">
            <v>8616013</v>
          </cell>
          <cell r="F644" t="str">
            <v>Peak Education Stoke</v>
          </cell>
          <cell r="G644" t="str">
            <v>Other Independent Special School</v>
          </cell>
          <cell r="H644">
            <v>42751</v>
          </cell>
          <cell r="I644">
            <v>31</v>
          </cell>
          <cell r="J644" t="str">
            <v>West Midlands</v>
          </cell>
          <cell r="K644" t="str">
            <v>West Midlands</v>
          </cell>
          <cell r="L644" t="str">
            <v>Stoke-on-Trent</v>
          </cell>
          <cell r="M644" t="str">
            <v>Stoke-on-Trent Central</v>
          </cell>
          <cell r="N644" t="str">
            <v>ST1 4LY</v>
          </cell>
          <cell r="O644" t="str">
            <v>Not applicable</v>
          </cell>
          <cell r="P644">
            <v>5</v>
          </cell>
          <cell r="Q644">
            <v>18</v>
          </cell>
          <cell r="R644" t="str">
            <v>None</v>
          </cell>
          <cell r="S644" t="str">
            <v>Ofsted</v>
          </cell>
          <cell r="T644">
            <v>2</v>
          </cell>
          <cell r="U644">
            <v>10030918</v>
          </cell>
          <cell r="V644" t="str">
            <v>Independent school Material Change inspection</v>
          </cell>
          <cell r="W644">
            <v>42766</v>
          </cell>
          <cell r="X644">
            <v>42766</v>
          </cell>
          <cell r="Y644">
            <v>42797</v>
          </cell>
          <cell r="Z644" t="str">
            <v>Likely to meet relevant standards</v>
          </cell>
          <cell r="AA644" t="str">
            <v>NULL</v>
          </cell>
          <cell r="AB644" t="str">
            <v>NULL</v>
          </cell>
          <cell r="AC644" t="str">
            <v>NULL</v>
          </cell>
          <cell r="AD644" t="str">
            <v>NULL</v>
          </cell>
          <cell r="AE644" t="str">
            <v>NULL</v>
          </cell>
          <cell r="AF644" t="str">
            <v>NULL</v>
          </cell>
          <cell r="AG644" t="str">
            <v>NULL</v>
          </cell>
          <cell r="AH644" t="str">
            <v>NULL</v>
          </cell>
          <cell r="AI644" t="str">
            <v>NULL</v>
          </cell>
          <cell r="AJ644" t="str">
            <v>NULL</v>
          </cell>
          <cell r="AK644" t="str">
            <v>NULL</v>
          </cell>
          <cell r="AL644" t="str">
            <v>NULL</v>
          </cell>
          <cell r="AM644" t="str">
            <v>NULL</v>
          </cell>
          <cell r="AN644" t="str">
            <v>NULL</v>
          </cell>
          <cell r="AO644" t="str">
            <v>NULL</v>
          </cell>
          <cell r="AP644" t="str">
            <v>NULL</v>
          </cell>
          <cell r="AQ644" t="str">
            <v>NULL</v>
          </cell>
          <cell r="AR644" t="str">
            <v>NULL</v>
          </cell>
          <cell r="AS644" t="str">
            <v>NULL</v>
          </cell>
          <cell r="AT644" t="str">
            <v>NULL</v>
          </cell>
          <cell r="AU644" t="str">
            <v>NULL</v>
          </cell>
          <cell r="AV644" t="str">
            <v>NULL</v>
          </cell>
          <cell r="AW644" t="str">
            <v>NULL</v>
          </cell>
          <cell r="AX644" t="str">
            <v>NULL</v>
          </cell>
          <cell r="AY644" t="str">
            <v>NULL</v>
          </cell>
          <cell r="AZ644" t="str">
            <v>NULL</v>
          </cell>
          <cell r="BA644" t="str">
            <v>NULL</v>
          </cell>
          <cell r="BB644" t="str">
            <v>NULL</v>
          </cell>
        </row>
        <row r="645">
          <cell r="D645">
            <v>145181</v>
          </cell>
          <cell r="E645">
            <v>8786071</v>
          </cell>
          <cell r="F645" t="str">
            <v>On Track Education Centre Barnstaple</v>
          </cell>
          <cell r="G645" t="str">
            <v>Other Independent Special School</v>
          </cell>
          <cell r="H645">
            <v>42991</v>
          </cell>
          <cell r="I645" t="str">
            <v>NULL</v>
          </cell>
          <cell r="J645" t="str">
            <v>South West</v>
          </cell>
          <cell r="K645" t="str">
            <v>South West</v>
          </cell>
          <cell r="L645" t="str">
            <v>Devon</v>
          </cell>
          <cell r="M645" t="str">
            <v>North Devon</v>
          </cell>
          <cell r="N645" t="str">
            <v>EX32 8PA</v>
          </cell>
          <cell r="O645" t="str">
            <v>Not applicable</v>
          </cell>
          <cell r="P645">
            <v>7</v>
          </cell>
          <cell r="Q645">
            <v>18</v>
          </cell>
          <cell r="R645" t="str">
            <v>None</v>
          </cell>
          <cell r="S645" t="str">
            <v>Ofsted</v>
          </cell>
          <cell r="T645" t="str">
            <v>NULL</v>
          </cell>
          <cell r="U645" t="str">
            <v>NULL</v>
          </cell>
          <cell r="V645" t="str">
            <v>NULL</v>
          </cell>
          <cell r="W645" t="str">
            <v>NULL</v>
          </cell>
          <cell r="X645" t="str">
            <v>NULL</v>
          </cell>
          <cell r="Y645" t="str">
            <v>NULL</v>
          </cell>
          <cell r="Z645" t="str">
            <v>NULL</v>
          </cell>
          <cell r="AA645" t="str">
            <v>NULL</v>
          </cell>
          <cell r="AB645" t="str">
            <v>NULL</v>
          </cell>
          <cell r="AC645" t="str">
            <v>NULL</v>
          </cell>
          <cell r="AD645" t="str">
            <v>NULL</v>
          </cell>
          <cell r="AE645" t="str">
            <v>NULL</v>
          </cell>
          <cell r="AF645" t="str">
            <v>NULL</v>
          </cell>
          <cell r="AG645" t="str">
            <v>NULL</v>
          </cell>
          <cell r="AH645" t="str">
            <v>NULL</v>
          </cell>
          <cell r="AI645" t="str">
            <v>NULL</v>
          </cell>
          <cell r="AJ645" t="str">
            <v>NULL</v>
          </cell>
          <cell r="AK645" t="str">
            <v>NULL</v>
          </cell>
          <cell r="AL645" t="str">
            <v>NULL</v>
          </cell>
          <cell r="AM645" t="str">
            <v>NULL</v>
          </cell>
          <cell r="AN645" t="str">
            <v>NULL</v>
          </cell>
          <cell r="AO645" t="str">
            <v>NULL</v>
          </cell>
          <cell r="AP645" t="str">
            <v>NULL</v>
          </cell>
          <cell r="AQ645" t="str">
            <v>NULL</v>
          </cell>
          <cell r="AR645" t="str">
            <v>NULL</v>
          </cell>
          <cell r="AS645" t="str">
            <v>NULL</v>
          </cell>
          <cell r="AT645" t="str">
            <v>NULL</v>
          </cell>
          <cell r="AU645" t="str">
            <v>NULL</v>
          </cell>
          <cell r="AV645" t="str">
            <v>NULL</v>
          </cell>
          <cell r="AW645" t="str">
            <v>NULL</v>
          </cell>
          <cell r="AX645" t="str">
            <v>NULL</v>
          </cell>
          <cell r="AY645" t="str">
            <v>NULL</v>
          </cell>
          <cell r="AZ645" t="str">
            <v>NULL</v>
          </cell>
          <cell r="BA645" t="str">
            <v>NULL</v>
          </cell>
          <cell r="BB645" t="str">
            <v>NULL</v>
          </cell>
        </row>
        <row r="646">
          <cell r="D646">
            <v>145182</v>
          </cell>
          <cell r="E646">
            <v>3416011</v>
          </cell>
          <cell r="F646" t="str">
            <v>Birtenshaw School, Merseyside</v>
          </cell>
          <cell r="G646" t="str">
            <v>Other Independent Special School</v>
          </cell>
          <cell r="H646">
            <v>43082</v>
          </cell>
          <cell r="I646" t="str">
            <v>NULL</v>
          </cell>
          <cell r="J646" t="str">
            <v>North West</v>
          </cell>
          <cell r="K646" t="str">
            <v>North West</v>
          </cell>
          <cell r="L646" t="str">
            <v>Liverpool</v>
          </cell>
          <cell r="M646" t="str">
            <v>Liverpool, Walton</v>
          </cell>
          <cell r="N646" t="str">
            <v>L9 7AB</v>
          </cell>
          <cell r="O646" t="str">
            <v>Not applicable</v>
          </cell>
          <cell r="P646">
            <v>3</v>
          </cell>
          <cell r="Q646">
            <v>19</v>
          </cell>
          <cell r="R646" t="str">
            <v>None</v>
          </cell>
          <cell r="S646" t="str">
            <v>Ofsted</v>
          </cell>
          <cell r="T646">
            <v>1</v>
          </cell>
          <cell r="U646">
            <v>10041469</v>
          </cell>
          <cell r="V646" t="str">
            <v>Independent School Pre-registration Inspection</v>
          </cell>
          <cell r="W646">
            <v>43069</v>
          </cell>
          <cell r="X646">
            <v>43069</v>
          </cell>
          <cell r="Y646" t="str">
            <v>NULL</v>
          </cell>
          <cell r="Z646" t="str">
            <v>Likely to meet all standards</v>
          </cell>
          <cell r="AA646" t="str">
            <v>NULL</v>
          </cell>
          <cell r="AB646" t="str">
            <v>NULL</v>
          </cell>
          <cell r="AC646" t="str">
            <v>NULL</v>
          </cell>
          <cell r="AD646" t="str">
            <v>NULL</v>
          </cell>
          <cell r="AE646" t="str">
            <v>NULL</v>
          </cell>
          <cell r="AF646" t="str">
            <v>NULL</v>
          </cell>
          <cell r="AG646" t="str">
            <v>NULL</v>
          </cell>
          <cell r="AH646" t="str">
            <v>NULL</v>
          </cell>
          <cell r="AI646" t="str">
            <v>NULL</v>
          </cell>
          <cell r="AJ646" t="str">
            <v>NULL</v>
          </cell>
          <cell r="AK646" t="str">
            <v>NULL</v>
          </cell>
          <cell r="AL646" t="str">
            <v>NULL</v>
          </cell>
          <cell r="AM646" t="str">
            <v>NULL</v>
          </cell>
          <cell r="AN646" t="str">
            <v>NULL</v>
          </cell>
          <cell r="AO646" t="str">
            <v>NULL</v>
          </cell>
          <cell r="AP646" t="str">
            <v>NULL</v>
          </cell>
          <cell r="AQ646" t="str">
            <v>NULL</v>
          </cell>
          <cell r="AR646" t="str">
            <v>NULL</v>
          </cell>
          <cell r="AS646" t="str">
            <v>NULL</v>
          </cell>
          <cell r="AT646" t="str">
            <v>NULL</v>
          </cell>
          <cell r="AU646" t="str">
            <v>NULL</v>
          </cell>
          <cell r="AV646" t="str">
            <v>NULL</v>
          </cell>
          <cell r="AW646" t="str">
            <v>NULL</v>
          </cell>
          <cell r="AX646" t="str">
            <v>NULL</v>
          </cell>
          <cell r="AY646" t="str">
            <v>NULL</v>
          </cell>
          <cell r="AZ646" t="str">
            <v>NULL</v>
          </cell>
          <cell r="BA646" t="str">
            <v>NULL</v>
          </cell>
          <cell r="BB646" t="str">
            <v>NULL</v>
          </cell>
        </row>
        <row r="647">
          <cell r="D647">
            <v>145184</v>
          </cell>
          <cell r="E647">
            <v>9296004</v>
          </cell>
          <cell r="F647" t="str">
            <v>Buzz Learning School</v>
          </cell>
          <cell r="G647" t="str">
            <v>Other Independent School</v>
          </cell>
          <cell r="H647">
            <v>43167</v>
          </cell>
          <cell r="I647" t="str">
            <v>NULL</v>
          </cell>
          <cell r="J647" t="str">
            <v>North East, Yorkshire and the Humber</v>
          </cell>
          <cell r="K647" t="str">
            <v>North East</v>
          </cell>
          <cell r="L647" t="str">
            <v>Northumberland</v>
          </cell>
          <cell r="M647" t="str">
            <v>Wansbeck</v>
          </cell>
          <cell r="N647" t="str">
            <v>NE63 8AP</v>
          </cell>
          <cell r="O647" t="str">
            <v>Does not have a sixth form</v>
          </cell>
          <cell r="P647">
            <v>13</v>
          </cell>
          <cell r="Q647">
            <v>16</v>
          </cell>
          <cell r="R647" t="str">
            <v>None</v>
          </cell>
          <cell r="S647" t="str">
            <v>Ofsted</v>
          </cell>
          <cell r="T647">
            <v>1</v>
          </cell>
          <cell r="U647">
            <v>10044059</v>
          </cell>
          <cell r="V647" t="str">
            <v>Independent School Pre-registration Inspection</v>
          </cell>
          <cell r="W647">
            <v>43145</v>
          </cell>
          <cell r="X647">
            <v>43145</v>
          </cell>
          <cell r="Y647" t="str">
            <v>NULL</v>
          </cell>
          <cell r="Z647" t="str">
            <v>Likely to meet all standards</v>
          </cell>
          <cell r="AA647" t="str">
            <v>NULL</v>
          </cell>
          <cell r="AB647" t="str">
            <v>NULL</v>
          </cell>
          <cell r="AC647" t="str">
            <v>NULL</v>
          </cell>
          <cell r="AD647" t="str">
            <v>NULL</v>
          </cell>
          <cell r="AE647" t="str">
            <v>NULL</v>
          </cell>
          <cell r="AF647" t="str">
            <v>NULL</v>
          </cell>
          <cell r="AG647" t="str">
            <v>NULL</v>
          </cell>
          <cell r="AH647" t="str">
            <v>NULL</v>
          </cell>
          <cell r="AI647" t="str">
            <v>NULL</v>
          </cell>
          <cell r="AJ647" t="str">
            <v>NULL</v>
          </cell>
          <cell r="AK647" t="str">
            <v>NULL</v>
          </cell>
          <cell r="AL647" t="str">
            <v>NULL</v>
          </cell>
          <cell r="AM647" t="str">
            <v>NULL</v>
          </cell>
          <cell r="AN647" t="str">
            <v>NULL</v>
          </cell>
          <cell r="AO647" t="str">
            <v>NULL</v>
          </cell>
          <cell r="AP647" t="str">
            <v>NULL</v>
          </cell>
          <cell r="AQ647" t="str">
            <v>NULL</v>
          </cell>
          <cell r="AR647" t="str">
            <v>NULL</v>
          </cell>
          <cell r="AS647" t="str">
            <v>NULL</v>
          </cell>
          <cell r="AT647" t="str">
            <v>NULL</v>
          </cell>
          <cell r="AU647" t="str">
            <v>NULL</v>
          </cell>
          <cell r="AV647" t="str">
            <v>NULL</v>
          </cell>
          <cell r="AW647" t="str">
            <v>NULL</v>
          </cell>
          <cell r="AX647" t="str">
            <v>NULL</v>
          </cell>
          <cell r="AY647" t="str">
            <v>NULL</v>
          </cell>
          <cell r="AZ647" t="str">
            <v>NULL</v>
          </cell>
          <cell r="BA647" t="str">
            <v>NULL</v>
          </cell>
          <cell r="BB647" t="str">
            <v>NULL</v>
          </cell>
        </row>
        <row r="648">
          <cell r="D648">
            <v>145186</v>
          </cell>
          <cell r="E648">
            <v>3306035</v>
          </cell>
          <cell r="F648" t="str">
            <v>Edgbaston Grammar School</v>
          </cell>
          <cell r="G648" t="str">
            <v>Other Independent School</v>
          </cell>
          <cell r="H648">
            <v>43146</v>
          </cell>
          <cell r="I648" t="str">
            <v>NULL</v>
          </cell>
          <cell r="J648" t="str">
            <v>West Midlands</v>
          </cell>
          <cell r="K648" t="str">
            <v>West Midlands</v>
          </cell>
          <cell r="L648" t="str">
            <v>Birmingham</v>
          </cell>
          <cell r="M648" t="str">
            <v>Birmingham, Hall Green</v>
          </cell>
          <cell r="N648" t="str">
            <v>B12 9LB</v>
          </cell>
          <cell r="O648" t="str">
            <v>Does not have a sixth form</v>
          </cell>
          <cell r="P648">
            <v>9</v>
          </cell>
          <cell r="Q648">
            <v>12</v>
          </cell>
          <cell r="R648" t="str">
            <v>None</v>
          </cell>
          <cell r="S648" t="str">
            <v>Ofsted</v>
          </cell>
          <cell r="T648">
            <v>1</v>
          </cell>
          <cell r="U648">
            <v>10043118</v>
          </cell>
          <cell r="V648" t="str">
            <v>Independent School Pre-registration Inspection</v>
          </cell>
          <cell r="W648">
            <v>43081</v>
          </cell>
          <cell r="X648">
            <v>43081</v>
          </cell>
          <cell r="Y648" t="str">
            <v>NULL</v>
          </cell>
          <cell r="Z648" t="str">
            <v>Likely to meet all standards</v>
          </cell>
          <cell r="AA648" t="str">
            <v>NULL</v>
          </cell>
          <cell r="AB648" t="str">
            <v>NULL</v>
          </cell>
          <cell r="AC648" t="str">
            <v>NULL</v>
          </cell>
          <cell r="AD648" t="str">
            <v>NULL</v>
          </cell>
          <cell r="AE648" t="str">
            <v>NULL</v>
          </cell>
          <cell r="AF648" t="str">
            <v>NULL</v>
          </cell>
          <cell r="AG648" t="str">
            <v>NULL</v>
          </cell>
          <cell r="AH648" t="str">
            <v>NULL</v>
          </cell>
          <cell r="AI648" t="str">
            <v>NULL</v>
          </cell>
          <cell r="AJ648" t="str">
            <v>NULL</v>
          </cell>
          <cell r="AK648" t="str">
            <v>NULL</v>
          </cell>
          <cell r="AL648" t="str">
            <v>NULL</v>
          </cell>
          <cell r="AM648" t="str">
            <v>NULL</v>
          </cell>
          <cell r="AN648" t="str">
            <v>NULL</v>
          </cell>
          <cell r="AO648" t="str">
            <v>NULL</v>
          </cell>
          <cell r="AP648" t="str">
            <v>NULL</v>
          </cell>
          <cell r="AQ648" t="str">
            <v>NULL</v>
          </cell>
          <cell r="AR648" t="str">
            <v>NULL</v>
          </cell>
          <cell r="AS648" t="str">
            <v>NULL</v>
          </cell>
          <cell r="AT648" t="str">
            <v>NULL</v>
          </cell>
          <cell r="AU648" t="str">
            <v>NULL</v>
          </cell>
          <cell r="AV648" t="str">
            <v>NULL</v>
          </cell>
          <cell r="AW648" t="str">
            <v>NULL</v>
          </cell>
          <cell r="AX648" t="str">
            <v>NULL</v>
          </cell>
          <cell r="AY648" t="str">
            <v>NULL</v>
          </cell>
          <cell r="AZ648" t="str">
            <v>NULL</v>
          </cell>
          <cell r="BA648" t="str">
            <v>NULL</v>
          </cell>
          <cell r="BB648" t="str">
            <v>NULL</v>
          </cell>
        </row>
        <row r="649">
          <cell r="D649">
            <v>145187</v>
          </cell>
          <cell r="E649">
            <v>3596002</v>
          </cell>
          <cell r="F649" t="str">
            <v>Progress Schools - Wigan</v>
          </cell>
          <cell r="G649" t="str">
            <v>Other Independent School</v>
          </cell>
          <cell r="H649">
            <v>43047</v>
          </cell>
          <cell r="I649" t="str">
            <v>NULL</v>
          </cell>
          <cell r="J649" t="str">
            <v>North West</v>
          </cell>
          <cell r="K649" t="str">
            <v>North West</v>
          </cell>
          <cell r="L649" t="str">
            <v>Wigan</v>
          </cell>
          <cell r="M649" t="str">
            <v>Wigan</v>
          </cell>
          <cell r="N649" t="str">
            <v>WN1 1RU</v>
          </cell>
          <cell r="O649" t="str">
            <v>Does not have a sixth form</v>
          </cell>
          <cell r="P649">
            <v>13</v>
          </cell>
          <cell r="Q649">
            <v>16</v>
          </cell>
          <cell r="R649" t="str">
            <v>None</v>
          </cell>
          <cell r="S649" t="str">
            <v>Ofsted</v>
          </cell>
          <cell r="T649">
            <v>1</v>
          </cell>
          <cell r="U649">
            <v>10043119</v>
          </cell>
          <cell r="V649" t="str">
            <v>Independent School Pre-registration Inspection</v>
          </cell>
          <cell r="W649">
            <v>43025</v>
          </cell>
          <cell r="X649">
            <v>43025</v>
          </cell>
          <cell r="Y649" t="str">
            <v>NULL</v>
          </cell>
          <cell r="Z649" t="str">
            <v>Likely to meet all standards</v>
          </cell>
          <cell r="AA649" t="str">
            <v>NULL</v>
          </cell>
          <cell r="AB649" t="str">
            <v>NULL</v>
          </cell>
          <cell r="AC649" t="str">
            <v>NULL</v>
          </cell>
          <cell r="AD649" t="str">
            <v>NULL</v>
          </cell>
          <cell r="AE649" t="str">
            <v>NULL</v>
          </cell>
          <cell r="AF649" t="str">
            <v>NULL</v>
          </cell>
          <cell r="AG649" t="str">
            <v>NULL</v>
          </cell>
          <cell r="AH649" t="str">
            <v>NULL</v>
          </cell>
          <cell r="AI649" t="str">
            <v>NULL</v>
          </cell>
          <cell r="AJ649" t="str">
            <v>NULL</v>
          </cell>
          <cell r="AK649" t="str">
            <v>NULL</v>
          </cell>
          <cell r="AL649" t="str">
            <v>NULL</v>
          </cell>
          <cell r="AM649" t="str">
            <v>NULL</v>
          </cell>
          <cell r="AN649" t="str">
            <v>NULL</v>
          </cell>
          <cell r="AO649" t="str">
            <v>NULL</v>
          </cell>
          <cell r="AP649" t="str">
            <v>NULL</v>
          </cell>
          <cell r="AQ649" t="str">
            <v>NULL</v>
          </cell>
          <cell r="AR649" t="str">
            <v>NULL</v>
          </cell>
          <cell r="AS649" t="str">
            <v>NULL</v>
          </cell>
          <cell r="AT649" t="str">
            <v>NULL</v>
          </cell>
          <cell r="AU649" t="str">
            <v>NULL</v>
          </cell>
          <cell r="AV649" t="str">
            <v>NULL</v>
          </cell>
          <cell r="AW649" t="str">
            <v>NULL</v>
          </cell>
          <cell r="AX649" t="str">
            <v>NULL</v>
          </cell>
          <cell r="AY649" t="str">
            <v>NULL</v>
          </cell>
          <cell r="AZ649" t="str">
            <v>NULL</v>
          </cell>
          <cell r="BA649" t="str">
            <v>NULL</v>
          </cell>
          <cell r="BB649" t="str">
            <v>NULL</v>
          </cell>
        </row>
        <row r="650">
          <cell r="D650">
            <v>145192</v>
          </cell>
          <cell r="E650">
            <v>3116002</v>
          </cell>
          <cell r="F650" t="str">
            <v>Bep Academy</v>
          </cell>
          <cell r="G650" t="str">
            <v>Other Independent School</v>
          </cell>
          <cell r="H650">
            <v>43059</v>
          </cell>
          <cell r="I650" t="str">
            <v>NULL</v>
          </cell>
          <cell r="J650" t="str">
            <v>London</v>
          </cell>
          <cell r="K650" t="str">
            <v>London</v>
          </cell>
          <cell r="L650" t="str">
            <v>Havering</v>
          </cell>
          <cell r="M650" t="str">
            <v>Romford</v>
          </cell>
          <cell r="N650" t="str">
            <v>RM7 0AU</v>
          </cell>
          <cell r="O650" t="str">
            <v>Does not have a sixth form</v>
          </cell>
          <cell r="P650">
            <v>13</v>
          </cell>
          <cell r="Q650">
            <v>16</v>
          </cell>
          <cell r="R650" t="str">
            <v>None</v>
          </cell>
          <cell r="S650" t="str">
            <v>Ofsted</v>
          </cell>
          <cell r="T650">
            <v>1</v>
          </cell>
          <cell r="U650">
            <v>10043326</v>
          </cell>
          <cell r="V650" t="str">
            <v>Independent School Pre-registration Inspection</v>
          </cell>
          <cell r="W650">
            <v>43035</v>
          </cell>
          <cell r="X650">
            <v>43035</v>
          </cell>
          <cell r="Y650" t="str">
            <v>NULL</v>
          </cell>
          <cell r="Z650" t="str">
            <v>Likely to meet all standards</v>
          </cell>
          <cell r="AA650" t="str">
            <v>NULL</v>
          </cell>
          <cell r="AB650" t="str">
            <v>NULL</v>
          </cell>
          <cell r="AC650" t="str">
            <v>NULL</v>
          </cell>
          <cell r="AD650" t="str">
            <v>NULL</v>
          </cell>
          <cell r="AE650" t="str">
            <v>NULL</v>
          </cell>
          <cell r="AF650" t="str">
            <v>NULL</v>
          </cell>
          <cell r="AG650" t="str">
            <v>NULL</v>
          </cell>
          <cell r="AH650" t="str">
            <v>NULL</v>
          </cell>
          <cell r="AI650" t="str">
            <v>NULL</v>
          </cell>
          <cell r="AJ650" t="str">
            <v>NULL</v>
          </cell>
          <cell r="AK650" t="str">
            <v>NULL</v>
          </cell>
          <cell r="AL650" t="str">
            <v>NULL</v>
          </cell>
          <cell r="AM650" t="str">
            <v>NULL</v>
          </cell>
          <cell r="AN650" t="str">
            <v>NULL</v>
          </cell>
          <cell r="AO650" t="str">
            <v>NULL</v>
          </cell>
          <cell r="AP650" t="str">
            <v>NULL</v>
          </cell>
          <cell r="AQ650" t="str">
            <v>NULL</v>
          </cell>
          <cell r="AR650" t="str">
            <v>NULL</v>
          </cell>
          <cell r="AS650" t="str">
            <v>NULL</v>
          </cell>
          <cell r="AT650" t="str">
            <v>NULL</v>
          </cell>
          <cell r="AU650" t="str">
            <v>NULL</v>
          </cell>
          <cell r="AV650" t="str">
            <v>NULL</v>
          </cell>
          <cell r="AW650" t="str">
            <v>NULL</v>
          </cell>
          <cell r="AX650" t="str">
            <v>NULL</v>
          </cell>
          <cell r="AY650" t="str">
            <v>NULL</v>
          </cell>
          <cell r="AZ650" t="str">
            <v>NULL</v>
          </cell>
          <cell r="BA650" t="str">
            <v>NULL</v>
          </cell>
          <cell r="BB650" t="str">
            <v>NULL</v>
          </cell>
        </row>
        <row r="651">
          <cell r="D651">
            <v>145194</v>
          </cell>
          <cell r="E651">
            <v>8886074</v>
          </cell>
          <cell r="F651" t="str">
            <v>The Aspire Hub, Burnley</v>
          </cell>
          <cell r="G651" t="str">
            <v>Other Independent Special School</v>
          </cell>
          <cell r="H651">
            <v>43069</v>
          </cell>
          <cell r="I651" t="str">
            <v>NULL</v>
          </cell>
          <cell r="J651" t="str">
            <v>North West</v>
          </cell>
          <cell r="K651" t="str">
            <v>North West</v>
          </cell>
          <cell r="L651" t="str">
            <v>Lancashire</v>
          </cell>
          <cell r="M651" t="str">
            <v>Burnley</v>
          </cell>
          <cell r="N651" t="str">
            <v>BB11 1LE</v>
          </cell>
          <cell r="O651" t="str">
            <v>Not applicable</v>
          </cell>
          <cell r="P651">
            <v>3</v>
          </cell>
          <cell r="Q651">
            <v>11</v>
          </cell>
          <cell r="R651" t="str">
            <v>None</v>
          </cell>
          <cell r="S651" t="str">
            <v>Ofsted</v>
          </cell>
          <cell r="T651">
            <v>1</v>
          </cell>
          <cell r="U651">
            <v>10043263</v>
          </cell>
          <cell r="V651" t="str">
            <v>Independent School Pre-registration Inspection</v>
          </cell>
          <cell r="W651">
            <v>43048</v>
          </cell>
          <cell r="X651">
            <v>43048</v>
          </cell>
          <cell r="Y651" t="str">
            <v>NULL</v>
          </cell>
          <cell r="Z651" t="str">
            <v>Operating without registration and likely to meet all standards</v>
          </cell>
          <cell r="AA651" t="str">
            <v>NULL</v>
          </cell>
          <cell r="AB651" t="str">
            <v>NULL</v>
          </cell>
          <cell r="AC651" t="str">
            <v>NULL</v>
          </cell>
          <cell r="AD651" t="str">
            <v>NULL</v>
          </cell>
          <cell r="AE651" t="str">
            <v>NULL</v>
          </cell>
          <cell r="AF651" t="str">
            <v>NULL</v>
          </cell>
          <cell r="AG651" t="str">
            <v>NULL</v>
          </cell>
          <cell r="AH651" t="str">
            <v>NULL</v>
          </cell>
          <cell r="AI651" t="str">
            <v>NULL</v>
          </cell>
          <cell r="AJ651" t="str">
            <v>NULL</v>
          </cell>
          <cell r="AK651" t="str">
            <v>NULL</v>
          </cell>
          <cell r="AL651" t="str">
            <v>NULL</v>
          </cell>
          <cell r="AM651" t="str">
            <v>NULL</v>
          </cell>
          <cell r="AN651" t="str">
            <v>NULL</v>
          </cell>
          <cell r="AO651" t="str">
            <v>NULL</v>
          </cell>
          <cell r="AP651" t="str">
            <v>NULL</v>
          </cell>
          <cell r="AQ651" t="str">
            <v>NULL</v>
          </cell>
          <cell r="AR651" t="str">
            <v>NULL</v>
          </cell>
          <cell r="AS651" t="str">
            <v>NULL</v>
          </cell>
          <cell r="AT651" t="str">
            <v>NULL</v>
          </cell>
          <cell r="AU651" t="str">
            <v>NULL</v>
          </cell>
          <cell r="AV651" t="str">
            <v>NULL</v>
          </cell>
          <cell r="AW651" t="str">
            <v>NULL</v>
          </cell>
          <cell r="AX651" t="str">
            <v>NULL</v>
          </cell>
          <cell r="AY651" t="str">
            <v>NULL</v>
          </cell>
          <cell r="AZ651" t="str">
            <v>NULL</v>
          </cell>
          <cell r="BA651" t="str">
            <v>NULL</v>
          </cell>
          <cell r="BB651" t="str">
            <v>NULL</v>
          </cell>
        </row>
        <row r="652">
          <cell r="D652">
            <v>106162</v>
          </cell>
          <cell r="E652">
            <v>3566025</v>
          </cell>
          <cell r="F652" t="str">
            <v>Ashcroft School</v>
          </cell>
          <cell r="G652" t="str">
            <v>Other Independent Special School</v>
          </cell>
          <cell r="H652">
            <v>34463</v>
          </cell>
          <cell r="I652">
            <v>89</v>
          </cell>
          <cell r="J652" t="str">
            <v>North West</v>
          </cell>
          <cell r="K652" t="str">
            <v>North West</v>
          </cell>
          <cell r="L652" t="str">
            <v>Stockport</v>
          </cell>
          <cell r="M652" t="str">
            <v>Cheadle</v>
          </cell>
          <cell r="N652" t="str">
            <v>SK8 1JE</v>
          </cell>
          <cell r="O652" t="str">
            <v>Not applicable</v>
          </cell>
          <cell r="P652">
            <v>5</v>
          </cell>
          <cell r="Q652">
            <v>18</v>
          </cell>
          <cell r="R652" t="str">
            <v>None</v>
          </cell>
          <cell r="S652" t="str">
            <v>Ofsted</v>
          </cell>
          <cell r="T652">
            <v>1</v>
          </cell>
          <cell r="U652">
            <v>10045045</v>
          </cell>
          <cell r="V652" t="str">
            <v>Independent school Material Change inspection</v>
          </cell>
          <cell r="W652">
            <v>43124</v>
          </cell>
          <cell r="X652">
            <v>43124</v>
          </cell>
          <cell r="Y652">
            <v>43178</v>
          </cell>
          <cell r="Z652" t="str">
            <v>Likely to meet relevant standards</v>
          </cell>
          <cell r="AA652">
            <v>10008861</v>
          </cell>
          <cell r="AB652" t="str">
            <v>Independent school standard inspection - aligned with CH</v>
          </cell>
          <cell r="AC652" t="str">
            <v>Independent Standard Inspection</v>
          </cell>
          <cell r="AD652">
            <v>42542</v>
          </cell>
          <cell r="AE652">
            <v>42544</v>
          </cell>
          <cell r="AF652">
            <v>42573</v>
          </cell>
          <cell r="AG652">
            <v>2</v>
          </cell>
          <cell r="AH652">
            <v>2</v>
          </cell>
          <cell r="AI652">
            <v>2</v>
          </cell>
          <cell r="AJ652">
            <v>2</v>
          </cell>
          <cell r="AK652">
            <v>1</v>
          </cell>
          <cell r="AL652" t="str">
            <v>NULL</v>
          </cell>
          <cell r="AM652" t="str">
            <v>NULL</v>
          </cell>
          <cell r="AN652" t="str">
            <v>Yes</v>
          </cell>
          <cell r="AO652" t="str">
            <v>ITS397612</v>
          </cell>
          <cell r="AP652" t="str">
            <v>Independent School standard inspection</v>
          </cell>
          <cell r="AQ652" t="str">
            <v>Independent Standard Inspection</v>
          </cell>
          <cell r="AR652">
            <v>41317</v>
          </cell>
          <cell r="AS652">
            <v>41319</v>
          </cell>
          <cell r="AT652">
            <v>41345</v>
          </cell>
          <cell r="AU652">
            <v>2</v>
          </cell>
          <cell r="AV652">
            <v>2</v>
          </cell>
          <cell r="AW652">
            <v>2</v>
          </cell>
          <cell r="AX652">
            <v>2</v>
          </cell>
          <cell r="AY652" t="str">
            <v>NULL</v>
          </cell>
          <cell r="AZ652" t="str">
            <v>NULL</v>
          </cell>
          <cell r="BA652" t="str">
            <v>NULL</v>
          </cell>
          <cell r="BB652" t="str">
            <v>NULL</v>
          </cell>
        </row>
        <row r="653">
          <cell r="D653">
            <v>134978</v>
          </cell>
          <cell r="E653">
            <v>9266419</v>
          </cell>
          <cell r="F653" t="str">
            <v>Avocet House</v>
          </cell>
          <cell r="G653" t="str">
            <v>Other Independent Special School</v>
          </cell>
          <cell r="H653">
            <v>38429</v>
          </cell>
          <cell r="I653">
            <v>6</v>
          </cell>
          <cell r="J653" t="str">
            <v>East of England</v>
          </cell>
          <cell r="K653" t="str">
            <v>East of England</v>
          </cell>
          <cell r="L653" t="str">
            <v>Norfolk</v>
          </cell>
          <cell r="M653" t="str">
            <v>South Norfolk</v>
          </cell>
          <cell r="N653" t="str">
            <v>NR14 6QP</v>
          </cell>
          <cell r="O653" t="str">
            <v>Not applicable</v>
          </cell>
          <cell r="P653">
            <v>8</v>
          </cell>
          <cell r="Q653">
            <v>18</v>
          </cell>
          <cell r="R653" t="str">
            <v>None</v>
          </cell>
          <cell r="S653" t="str">
            <v>Ofsted</v>
          </cell>
          <cell r="T653" t="str">
            <v>NULL</v>
          </cell>
          <cell r="U653" t="str">
            <v>NULL</v>
          </cell>
          <cell r="V653" t="str">
            <v>NULL</v>
          </cell>
          <cell r="W653" t="str">
            <v>NULL</v>
          </cell>
          <cell r="X653" t="str">
            <v>NULL</v>
          </cell>
          <cell r="Y653" t="str">
            <v>NULL</v>
          </cell>
          <cell r="Z653" t="str">
            <v>NULL</v>
          </cell>
          <cell r="AA653">
            <v>10008940</v>
          </cell>
          <cell r="AB653" t="str">
            <v>Independent school standard inspection - aligned with CH</v>
          </cell>
          <cell r="AC653" t="str">
            <v>Independent Standard Inspection</v>
          </cell>
          <cell r="AD653">
            <v>42864</v>
          </cell>
          <cell r="AE653">
            <v>42866</v>
          </cell>
          <cell r="AF653">
            <v>42921</v>
          </cell>
          <cell r="AG653">
            <v>1</v>
          </cell>
          <cell r="AH653">
            <v>1</v>
          </cell>
          <cell r="AI653">
            <v>1</v>
          </cell>
          <cell r="AJ653">
            <v>1</v>
          </cell>
          <cell r="AK653">
            <v>1</v>
          </cell>
          <cell r="AL653" t="str">
            <v>NULL</v>
          </cell>
          <cell r="AM653" t="str">
            <v>NULL</v>
          </cell>
          <cell r="AN653" t="str">
            <v>Yes</v>
          </cell>
          <cell r="AO653" t="str">
            <v>ITS393281</v>
          </cell>
          <cell r="AP653" t="str">
            <v xml:space="preserve">Independent School standard inspection - integrated </v>
          </cell>
          <cell r="AQ653" t="str">
            <v>Independent Standard Inspection</v>
          </cell>
          <cell r="AR653">
            <v>41086</v>
          </cell>
          <cell r="AS653">
            <v>41087</v>
          </cell>
          <cell r="AT653">
            <v>41108</v>
          </cell>
          <cell r="AU653">
            <v>1</v>
          </cell>
          <cell r="AV653">
            <v>1</v>
          </cell>
          <cell r="AW653">
            <v>1</v>
          </cell>
          <cell r="AX653" t="str">
            <v>NULL</v>
          </cell>
          <cell r="AY653" t="str">
            <v>NULL</v>
          </cell>
          <cell r="AZ653">
            <v>8</v>
          </cell>
          <cell r="BA653" t="str">
            <v>NULL</v>
          </cell>
          <cell r="BB653" t="str">
            <v>NULL</v>
          </cell>
        </row>
        <row r="654">
          <cell r="D654">
            <v>140354</v>
          </cell>
          <cell r="E654">
            <v>9376008</v>
          </cell>
          <cell r="F654" t="str">
            <v>Avon Park School</v>
          </cell>
          <cell r="G654" t="str">
            <v>Other Independent Special School</v>
          </cell>
          <cell r="H654">
            <v>41592</v>
          </cell>
          <cell r="I654">
            <v>50</v>
          </cell>
          <cell r="J654" t="str">
            <v>West Midlands</v>
          </cell>
          <cell r="K654" t="str">
            <v>West Midlands</v>
          </cell>
          <cell r="L654" t="str">
            <v>Warwickshire</v>
          </cell>
          <cell r="M654" t="str">
            <v>Rugby</v>
          </cell>
          <cell r="N654" t="str">
            <v>CV22 5HR</v>
          </cell>
          <cell r="O654" t="str">
            <v>Not applicable</v>
          </cell>
          <cell r="P654">
            <v>6</v>
          </cell>
          <cell r="Q654">
            <v>16</v>
          </cell>
          <cell r="R654" t="str">
            <v>None</v>
          </cell>
          <cell r="S654" t="str">
            <v>Ofsted</v>
          </cell>
          <cell r="T654" t="str">
            <v>NULL</v>
          </cell>
          <cell r="U654" t="str">
            <v>NULL</v>
          </cell>
          <cell r="V654" t="str">
            <v>NULL</v>
          </cell>
          <cell r="W654" t="str">
            <v>NULL</v>
          </cell>
          <cell r="X654" t="str">
            <v>NULL</v>
          </cell>
          <cell r="Y654" t="str">
            <v>NULL</v>
          </cell>
          <cell r="Z654" t="str">
            <v>NULL</v>
          </cell>
          <cell r="AA654">
            <v>10038848</v>
          </cell>
          <cell r="AB654" t="str">
            <v>Independent School standard inspection</v>
          </cell>
          <cell r="AC654" t="str">
            <v>Independent Standard Inspection</v>
          </cell>
          <cell r="AD654">
            <v>43131</v>
          </cell>
          <cell r="AE654">
            <v>43133</v>
          </cell>
          <cell r="AF654">
            <v>43188</v>
          </cell>
          <cell r="AG654">
            <v>4</v>
          </cell>
          <cell r="AH654">
            <v>2</v>
          </cell>
          <cell r="AI654">
            <v>2</v>
          </cell>
          <cell r="AJ654">
            <v>4</v>
          </cell>
          <cell r="AK654">
            <v>4</v>
          </cell>
          <cell r="AL654" t="str">
            <v>NULL</v>
          </cell>
          <cell r="AM654" t="str">
            <v>NULL</v>
          </cell>
          <cell r="AN654" t="str">
            <v>No</v>
          </cell>
          <cell r="AO654" t="str">
            <v>ITS447299</v>
          </cell>
          <cell r="AP654" t="str">
            <v>Independent school standard inspection - first</v>
          </cell>
          <cell r="AQ654" t="str">
            <v>Independent Standard Inspection</v>
          </cell>
          <cell r="AR654">
            <v>41919</v>
          </cell>
          <cell r="AS654">
            <v>41921</v>
          </cell>
          <cell r="AT654">
            <v>41948</v>
          </cell>
          <cell r="AU654">
            <v>2</v>
          </cell>
          <cell r="AV654">
            <v>2</v>
          </cell>
          <cell r="AW654">
            <v>2</v>
          </cell>
          <cell r="AX654">
            <v>2</v>
          </cell>
          <cell r="AY654" t="str">
            <v>NULL</v>
          </cell>
          <cell r="AZ654">
            <v>9</v>
          </cell>
          <cell r="BA654">
            <v>9</v>
          </cell>
          <cell r="BB654" t="str">
            <v>NULL</v>
          </cell>
        </row>
        <row r="655">
          <cell r="D655">
            <v>134315</v>
          </cell>
          <cell r="E655">
            <v>8136004</v>
          </cell>
          <cell r="F655" t="str">
            <v>Options Barton</v>
          </cell>
          <cell r="G655" t="str">
            <v>Other Independent Special School</v>
          </cell>
          <cell r="H655">
            <v>38961</v>
          </cell>
          <cell r="I655">
            <v>24</v>
          </cell>
          <cell r="J655" t="str">
            <v>North East, Yorkshire and the Humber</v>
          </cell>
          <cell r="K655" t="str">
            <v>Yorkshire and the Humber</v>
          </cell>
          <cell r="L655" t="str">
            <v>North Lincolnshire</v>
          </cell>
          <cell r="M655" t="str">
            <v>Cleethorpes</v>
          </cell>
          <cell r="N655" t="str">
            <v>DN18 6DA</v>
          </cell>
          <cell r="O655" t="str">
            <v>Has a sixth form</v>
          </cell>
          <cell r="P655">
            <v>8</v>
          </cell>
          <cell r="Q655">
            <v>19</v>
          </cell>
          <cell r="R655" t="str">
            <v>None</v>
          </cell>
          <cell r="S655" t="str">
            <v>Ofsted</v>
          </cell>
          <cell r="T655" t="str">
            <v>NULL</v>
          </cell>
          <cell r="U655" t="str">
            <v>NULL</v>
          </cell>
          <cell r="V655" t="str">
            <v>NULL</v>
          </cell>
          <cell r="W655" t="str">
            <v>NULL</v>
          </cell>
          <cell r="X655" t="str">
            <v>NULL</v>
          </cell>
          <cell r="Y655" t="str">
            <v>NULL</v>
          </cell>
          <cell r="Z655" t="str">
            <v>NULL</v>
          </cell>
          <cell r="AA655">
            <v>10012920</v>
          </cell>
          <cell r="AB655" t="str">
            <v>Independent school standard inspection - aligned with CH</v>
          </cell>
          <cell r="AC655" t="str">
            <v>Independent Standard Inspection</v>
          </cell>
          <cell r="AD655">
            <v>42556</v>
          </cell>
          <cell r="AE655">
            <v>42558</v>
          </cell>
          <cell r="AF655">
            <v>42625</v>
          </cell>
          <cell r="AG655">
            <v>2</v>
          </cell>
          <cell r="AH655">
            <v>2</v>
          </cell>
          <cell r="AI655">
            <v>2</v>
          </cell>
          <cell r="AJ655">
            <v>2</v>
          </cell>
          <cell r="AK655">
            <v>2</v>
          </cell>
          <cell r="AL655" t="str">
            <v>NULL</v>
          </cell>
          <cell r="AM655">
            <v>2</v>
          </cell>
          <cell r="AN655" t="str">
            <v>Yes</v>
          </cell>
          <cell r="AO655" t="str">
            <v>ITS420225</v>
          </cell>
          <cell r="AP655" t="str">
            <v xml:space="preserve">Independent School standard inspection - integrated </v>
          </cell>
          <cell r="AQ655" t="str">
            <v>Independent Standard Inspection</v>
          </cell>
          <cell r="AR655">
            <v>41457</v>
          </cell>
          <cell r="AS655">
            <v>41459</v>
          </cell>
          <cell r="AT655">
            <v>41867</v>
          </cell>
          <cell r="AU655">
            <v>2</v>
          </cell>
          <cell r="AV655">
            <v>2</v>
          </cell>
          <cell r="AW655">
            <v>2</v>
          </cell>
          <cell r="AX655">
            <v>2</v>
          </cell>
          <cell r="AY655" t="str">
            <v>NULL</v>
          </cell>
          <cell r="AZ655" t="str">
            <v>NULL</v>
          </cell>
          <cell r="BA655" t="str">
            <v>NULL</v>
          </cell>
          <cell r="BB655" t="str">
            <v>NULL</v>
          </cell>
        </row>
        <row r="656">
          <cell r="D656">
            <v>138881</v>
          </cell>
          <cell r="E656">
            <v>9166004</v>
          </cell>
          <cell r="F656" t="str">
            <v>Cambian Southwick Park School</v>
          </cell>
          <cell r="G656" t="str">
            <v>Other Independent Special School</v>
          </cell>
          <cell r="H656">
            <v>41204</v>
          </cell>
          <cell r="I656">
            <v>22</v>
          </cell>
          <cell r="J656" t="str">
            <v>South West</v>
          </cell>
          <cell r="K656" t="str">
            <v>South West</v>
          </cell>
          <cell r="L656" t="str">
            <v>Gloucestershire</v>
          </cell>
          <cell r="M656" t="str">
            <v>Tewkesbury</v>
          </cell>
          <cell r="N656" t="str">
            <v>GL20 7DG</v>
          </cell>
          <cell r="O656" t="str">
            <v>Not applicable</v>
          </cell>
          <cell r="P656">
            <v>7</v>
          </cell>
          <cell r="Q656">
            <v>19</v>
          </cell>
          <cell r="R656" t="str">
            <v>None</v>
          </cell>
          <cell r="S656" t="str">
            <v>Ofsted</v>
          </cell>
          <cell r="T656">
            <v>3</v>
          </cell>
          <cell r="U656">
            <v>10044614</v>
          </cell>
          <cell r="V656" t="str">
            <v>Independent school emergency inspection</v>
          </cell>
          <cell r="W656">
            <v>43103</v>
          </cell>
          <cell r="X656">
            <v>43103</v>
          </cell>
          <cell r="Y656">
            <v>43144</v>
          </cell>
          <cell r="Z656" t="str">
            <v xml:space="preserve">Did not meet all standards that were checked </v>
          </cell>
          <cell r="AA656">
            <v>10020815</v>
          </cell>
          <cell r="AB656" t="str">
            <v>Independent school standard inspection - aligned with CH</v>
          </cell>
          <cell r="AC656" t="str">
            <v>Independent Standard Inspection</v>
          </cell>
          <cell r="AD656">
            <v>42633</v>
          </cell>
          <cell r="AE656">
            <v>42635</v>
          </cell>
          <cell r="AF656">
            <v>42683</v>
          </cell>
          <cell r="AG656">
            <v>4</v>
          </cell>
          <cell r="AH656">
            <v>4</v>
          </cell>
          <cell r="AI656">
            <v>4</v>
          </cell>
          <cell r="AJ656">
            <v>4</v>
          </cell>
          <cell r="AK656">
            <v>4</v>
          </cell>
          <cell r="AL656">
            <v>2</v>
          </cell>
          <cell r="AM656">
            <v>3</v>
          </cell>
          <cell r="AN656" t="str">
            <v>No</v>
          </cell>
          <cell r="AO656" t="str">
            <v>ITS422838</v>
          </cell>
          <cell r="AP656" t="str">
            <v>Independent school standard inspection - first</v>
          </cell>
          <cell r="AQ656" t="str">
            <v>Independent Standard Inspection</v>
          </cell>
          <cell r="AR656">
            <v>41569</v>
          </cell>
          <cell r="AS656">
            <v>41571</v>
          </cell>
          <cell r="AT656">
            <v>41591</v>
          </cell>
          <cell r="AU656">
            <v>2</v>
          </cell>
          <cell r="AV656">
            <v>2</v>
          </cell>
          <cell r="AW656">
            <v>2</v>
          </cell>
          <cell r="AX656">
            <v>2</v>
          </cell>
          <cell r="AY656" t="str">
            <v>NULL</v>
          </cell>
          <cell r="AZ656" t="str">
            <v>NULL</v>
          </cell>
          <cell r="BA656" t="str">
            <v>NULL</v>
          </cell>
          <cell r="BB656" t="str">
            <v>NULL</v>
          </cell>
        </row>
        <row r="657">
          <cell r="D657">
            <v>135990</v>
          </cell>
          <cell r="E657">
            <v>8226014</v>
          </cell>
          <cell r="F657" t="str">
            <v>Cambian Walnut Tree Lodge School</v>
          </cell>
          <cell r="G657" t="str">
            <v>Other Independent Special School</v>
          </cell>
          <cell r="H657">
            <v>40065</v>
          </cell>
          <cell r="I657">
            <v>5</v>
          </cell>
          <cell r="J657" t="str">
            <v>East of England</v>
          </cell>
          <cell r="K657" t="str">
            <v>East of England</v>
          </cell>
          <cell r="L657" t="str">
            <v>Bedford</v>
          </cell>
          <cell r="M657" t="str">
            <v>North East Bedfordshire</v>
          </cell>
          <cell r="N657" t="str">
            <v>MK44 2PY</v>
          </cell>
          <cell r="O657" t="str">
            <v>Not applicable</v>
          </cell>
          <cell r="P657">
            <v>7</v>
          </cell>
          <cell r="Q657">
            <v>19</v>
          </cell>
          <cell r="R657" t="str">
            <v>None</v>
          </cell>
          <cell r="S657" t="str">
            <v>Ofsted</v>
          </cell>
          <cell r="T657">
            <v>4</v>
          </cell>
          <cell r="U657">
            <v>10047152</v>
          </cell>
          <cell r="V657" t="str">
            <v>Independent school evaluation of school action plan</v>
          </cell>
          <cell r="W657">
            <v>43133</v>
          </cell>
          <cell r="X657">
            <v>43133</v>
          </cell>
          <cell r="Y657" t="str">
            <v>NULL</v>
          </cell>
          <cell r="Z657" t="str">
            <v>Action plan is not acceptable</v>
          </cell>
          <cell r="AA657">
            <v>10020928</v>
          </cell>
          <cell r="AB657" t="str">
            <v>Independent school standard inspection - aligned with CH</v>
          </cell>
          <cell r="AC657" t="str">
            <v>Independent Standard Inspection</v>
          </cell>
          <cell r="AD657">
            <v>42647</v>
          </cell>
          <cell r="AE657">
            <v>42649</v>
          </cell>
          <cell r="AF657">
            <v>42697</v>
          </cell>
          <cell r="AG657">
            <v>3</v>
          </cell>
          <cell r="AH657">
            <v>3</v>
          </cell>
          <cell r="AI657">
            <v>3</v>
          </cell>
          <cell r="AJ657">
            <v>3</v>
          </cell>
          <cell r="AK657">
            <v>2</v>
          </cell>
          <cell r="AL657" t="str">
            <v>NULL</v>
          </cell>
          <cell r="AM657">
            <v>3</v>
          </cell>
          <cell r="AN657" t="str">
            <v>Yes</v>
          </cell>
          <cell r="AO657" t="str">
            <v>ITS430054</v>
          </cell>
          <cell r="AP657" t="str">
            <v xml:space="preserve">Independent School standard inspection - integrated </v>
          </cell>
          <cell r="AQ657" t="str">
            <v>Independent Standard Inspection</v>
          </cell>
          <cell r="AR657">
            <v>41611</v>
          </cell>
          <cell r="AS657">
            <v>41612</v>
          </cell>
          <cell r="AT657">
            <v>41652</v>
          </cell>
          <cell r="AU657">
            <v>3</v>
          </cell>
          <cell r="AV657">
            <v>3</v>
          </cell>
          <cell r="AW657">
            <v>3</v>
          </cell>
          <cell r="AX657">
            <v>3</v>
          </cell>
          <cell r="AY657" t="str">
            <v>NULL</v>
          </cell>
          <cell r="AZ657" t="str">
            <v>NULL</v>
          </cell>
          <cell r="BA657" t="str">
            <v>NULL</v>
          </cell>
          <cell r="BB657" t="str">
            <v>NULL</v>
          </cell>
        </row>
        <row r="658">
          <cell r="D658">
            <v>134781</v>
          </cell>
          <cell r="E658">
            <v>9096054</v>
          </cell>
          <cell r="F658" t="str">
            <v>Cambian Whinfell School</v>
          </cell>
          <cell r="G658" t="str">
            <v>Other Independent Special School</v>
          </cell>
          <cell r="H658">
            <v>38208</v>
          </cell>
          <cell r="I658">
            <v>14</v>
          </cell>
          <cell r="J658" t="str">
            <v>North West</v>
          </cell>
          <cell r="K658" t="str">
            <v>North West</v>
          </cell>
          <cell r="L658" t="str">
            <v>Cumbria</v>
          </cell>
          <cell r="M658" t="str">
            <v>Westmorland and Lonsdale</v>
          </cell>
          <cell r="N658" t="str">
            <v>LA9 5EZ</v>
          </cell>
          <cell r="O658" t="str">
            <v>Has a sixth form</v>
          </cell>
          <cell r="P658">
            <v>11</v>
          </cell>
          <cell r="Q658">
            <v>19</v>
          </cell>
          <cell r="R658" t="str">
            <v>None</v>
          </cell>
          <cell r="S658" t="str">
            <v>Ofsted</v>
          </cell>
          <cell r="T658" t="str">
            <v>NULL</v>
          </cell>
          <cell r="U658" t="str">
            <v>NULL</v>
          </cell>
          <cell r="V658" t="str">
            <v>NULL</v>
          </cell>
          <cell r="W658" t="str">
            <v>NULL</v>
          </cell>
          <cell r="X658" t="str">
            <v>NULL</v>
          </cell>
          <cell r="Y658" t="str">
            <v>NULL</v>
          </cell>
          <cell r="Z658" t="str">
            <v>NULL</v>
          </cell>
          <cell r="AA658" t="str">
            <v>ITS463008</v>
          </cell>
          <cell r="AB658" t="str">
            <v>Independent school standard inspection - aligned with CH</v>
          </cell>
          <cell r="AC658" t="str">
            <v>Independent Standard Inspection</v>
          </cell>
          <cell r="AD658">
            <v>42185</v>
          </cell>
          <cell r="AE658">
            <v>42187</v>
          </cell>
          <cell r="AF658">
            <v>42219</v>
          </cell>
          <cell r="AG658">
            <v>1</v>
          </cell>
          <cell r="AH658">
            <v>1</v>
          </cell>
          <cell r="AI658">
            <v>1</v>
          </cell>
          <cell r="AJ658">
            <v>1</v>
          </cell>
          <cell r="AK658" t="str">
            <v>NULL</v>
          </cell>
          <cell r="AL658">
            <v>9</v>
          </cell>
          <cell r="AM658">
            <v>1</v>
          </cell>
          <cell r="AN658" t="str">
            <v>NULL</v>
          </cell>
          <cell r="AO658" t="str">
            <v>ITS386885</v>
          </cell>
          <cell r="AP658" t="str">
            <v>Independent School standard inspection</v>
          </cell>
          <cell r="AQ658" t="str">
            <v>Independent Standard Inspection</v>
          </cell>
          <cell r="AR658">
            <v>40925</v>
          </cell>
          <cell r="AS658">
            <v>40926</v>
          </cell>
          <cell r="AT658">
            <v>40947</v>
          </cell>
          <cell r="AU658">
            <v>1</v>
          </cell>
          <cell r="AV658">
            <v>1</v>
          </cell>
          <cell r="AW658">
            <v>1</v>
          </cell>
          <cell r="AX658" t="str">
            <v>NULL</v>
          </cell>
          <cell r="AY658" t="str">
            <v>NULL</v>
          </cell>
          <cell r="AZ658">
            <v>8</v>
          </cell>
          <cell r="BA658" t="str">
            <v>NULL</v>
          </cell>
          <cell r="BB658" t="str">
            <v>NULL</v>
          </cell>
        </row>
        <row r="659">
          <cell r="D659">
            <v>134179</v>
          </cell>
          <cell r="E659">
            <v>8736033</v>
          </cell>
          <cell r="F659" t="str">
            <v>Cambian Wisbech School</v>
          </cell>
          <cell r="G659" t="str">
            <v>Other Independent Special School</v>
          </cell>
          <cell r="H659">
            <v>37720</v>
          </cell>
          <cell r="I659">
            <v>19</v>
          </cell>
          <cell r="J659" t="str">
            <v>East of England</v>
          </cell>
          <cell r="K659" t="str">
            <v>East of England</v>
          </cell>
          <cell r="L659" t="str">
            <v>Cambridgeshire</v>
          </cell>
          <cell r="M659" t="str">
            <v>North East Cambridgeshire</v>
          </cell>
          <cell r="N659" t="str">
            <v>PE13 1JF</v>
          </cell>
          <cell r="O659" t="str">
            <v>Has a sixth form</v>
          </cell>
          <cell r="P659">
            <v>7</v>
          </cell>
          <cell r="Q659">
            <v>17</v>
          </cell>
          <cell r="R659" t="str">
            <v>None</v>
          </cell>
          <cell r="S659" t="str">
            <v>Ofsted</v>
          </cell>
          <cell r="T659" t="str">
            <v>NULL</v>
          </cell>
          <cell r="U659" t="str">
            <v>NULL</v>
          </cell>
          <cell r="V659" t="str">
            <v>NULL</v>
          </cell>
          <cell r="W659" t="str">
            <v>NULL</v>
          </cell>
          <cell r="X659" t="str">
            <v>NULL</v>
          </cell>
          <cell r="Y659" t="str">
            <v>NULL</v>
          </cell>
          <cell r="Z659" t="str">
            <v>NULL</v>
          </cell>
          <cell r="AA659">
            <v>10006014</v>
          </cell>
          <cell r="AB659" t="str">
            <v>Independent School standard inspection</v>
          </cell>
          <cell r="AC659" t="str">
            <v>Independent Standard Inspection</v>
          </cell>
          <cell r="AD659">
            <v>42745</v>
          </cell>
          <cell r="AE659">
            <v>42747</v>
          </cell>
          <cell r="AF659">
            <v>42793</v>
          </cell>
          <cell r="AG659">
            <v>3</v>
          </cell>
          <cell r="AH659">
            <v>3</v>
          </cell>
          <cell r="AI659">
            <v>3</v>
          </cell>
          <cell r="AJ659">
            <v>2</v>
          </cell>
          <cell r="AK659">
            <v>3</v>
          </cell>
          <cell r="AL659" t="str">
            <v>NULL</v>
          </cell>
          <cell r="AM659" t="str">
            <v>NULL</v>
          </cell>
          <cell r="AN659" t="str">
            <v>Yes</v>
          </cell>
          <cell r="AO659" t="str">
            <v>ITS388413</v>
          </cell>
          <cell r="AP659" t="str">
            <v>Independent School standard inspection</v>
          </cell>
          <cell r="AQ659" t="str">
            <v>Independent Standard Inspection</v>
          </cell>
          <cell r="AR659">
            <v>40989</v>
          </cell>
          <cell r="AS659">
            <v>40990</v>
          </cell>
          <cell r="AT659">
            <v>41024</v>
          </cell>
          <cell r="AU659">
            <v>2</v>
          </cell>
          <cell r="AV659">
            <v>2</v>
          </cell>
          <cell r="AW659">
            <v>2</v>
          </cell>
          <cell r="AX659" t="str">
            <v>NULL</v>
          </cell>
          <cell r="AY659" t="str">
            <v>NULL</v>
          </cell>
          <cell r="AZ659">
            <v>8</v>
          </cell>
          <cell r="BA659" t="str">
            <v>NULL</v>
          </cell>
          <cell r="BB659" t="str">
            <v>NULL</v>
          </cell>
        </row>
        <row r="660">
          <cell r="D660">
            <v>139135</v>
          </cell>
          <cell r="E660">
            <v>8916020</v>
          </cell>
          <cell r="F660" t="str">
            <v>Catch 22</v>
          </cell>
          <cell r="G660" t="str">
            <v>Other Independent Special School</v>
          </cell>
          <cell r="H660">
            <v>41257</v>
          </cell>
          <cell r="I660">
            <v>28</v>
          </cell>
          <cell r="J660" t="str">
            <v>East Midlands</v>
          </cell>
          <cell r="K660" t="str">
            <v>East Midlands</v>
          </cell>
          <cell r="L660" t="str">
            <v>Nottinghamshire</v>
          </cell>
          <cell r="M660" t="str">
            <v>Newark</v>
          </cell>
          <cell r="N660" t="str">
            <v>NG24 4UT</v>
          </cell>
          <cell r="O660" t="str">
            <v>Not applicable</v>
          </cell>
          <cell r="P660">
            <v>14</v>
          </cell>
          <cell r="Q660">
            <v>16</v>
          </cell>
          <cell r="R660" t="str">
            <v>None</v>
          </cell>
          <cell r="S660" t="str">
            <v>Ofsted</v>
          </cell>
          <cell r="T660" t="str">
            <v>NULL</v>
          </cell>
          <cell r="U660" t="str">
            <v>NULL</v>
          </cell>
          <cell r="V660" t="str">
            <v>NULL</v>
          </cell>
          <cell r="W660" t="str">
            <v>NULL</v>
          </cell>
          <cell r="X660" t="str">
            <v>NULL</v>
          </cell>
          <cell r="Y660" t="str">
            <v>NULL</v>
          </cell>
          <cell r="Z660" t="str">
            <v>NULL</v>
          </cell>
          <cell r="AA660">
            <v>10020946</v>
          </cell>
          <cell r="AB660" t="str">
            <v>Independent School standard inspection</v>
          </cell>
          <cell r="AC660" t="str">
            <v>Independent Standard Inspection</v>
          </cell>
          <cell r="AD660">
            <v>42717</v>
          </cell>
          <cell r="AE660">
            <v>42719</v>
          </cell>
          <cell r="AF660">
            <v>42760</v>
          </cell>
          <cell r="AG660">
            <v>2</v>
          </cell>
          <cell r="AH660">
            <v>2</v>
          </cell>
          <cell r="AI660">
            <v>2</v>
          </cell>
          <cell r="AJ660">
            <v>2</v>
          </cell>
          <cell r="AK660">
            <v>2</v>
          </cell>
          <cell r="AL660" t="str">
            <v>NULL</v>
          </cell>
          <cell r="AM660">
            <v>2</v>
          </cell>
          <cell r="AN660" t="str">
            <v>Yes</v>
          </cell>
          <cell r="AO660" t="str">
            <v>ITS422849</v>
          </cell>
          <cell r="AP660" t="str">
            <v>Independent school standard inspection - first</v>
          </cell>
          <cell r="AQ660" t="str">
            <v>Independent Standard Inspection</v>
          </cell>
          <cell r="AR660">
            <v>41612</v>
          </cell>
          <cell r="AS660">
            <v>41613</v>
          </cell>
          <cell r="AT660">
            <v>41627</v>
          </cell>
          <cell r="AU660">
            <v>2</v>
          </cell>
          <cell r="AV660">
            <v>2</v>
          </cell>
          <cell r="AW660">
            <v>2</v>
          </cell>
          <cell r="AX660">
            <v>2</v>
          </cell>
          <cell r="AY660" t="str">
            <v>NULL</v>
          </cell>
          <cell r="AZ660" t="str">
            <v>NULL</v>
          </cell>
          <cell r="BA660" t="str">
            <v>NULL</v>
          </cell>
          <cell r="BB660" t="str">
            <v>NULL</v>
          </cell>
        </row>
        <row r="661">
          <cell r="D661">
            <v>135604</v>
          </cell>
          <cell r="E661">
            <v>8256040</v>
          </cell>
          <cell r="F661" t="str">
            <v>Progress Schools - Buckinghamshire</v>
          </cell>
          <cell r="G661" t="str">
            <v>Other Independent Special School</v>
          </cell>
          <cell r="H661">
            <v>39622</v>
          </cell>
          <cell r="I661">
            <v>18</v>
          </cell>
          <cell r="J661" t="str">
            <v>South East</v>
          </cell>
          <cell r="K661" t="str">
            <v>South East</v>
          </cell>
          <cell r="L661" t="str">
            <v>Buckinghamshire</v>
          </cell>
          <cell r="M661" t="str">
            <v>Wycombe</v>
          </cell>
          <cell r="N661" t="str">
            <v>HP12 4JG</v>
          </cell>
          <cell r="O661" t="str">
            <v>Not applicable</v>
          </cell>
          <cell r="P661">
            <v>13</v>
          </cell>
          <cell r="Q661">
            <v>16</v>
          </cell>
          <cell r="R661" t="str">
            <v>None</v>
          </cell>
          <cell r="S661" t="str">
            <v>Ofsted</v>
          </cell>
          <cell r="T661" t="str">
            <v>NULL</v>
          </cell>
          <cell r="U661" t="str">
            <v>NULL</v>
          </cell>
          <cell r="V661" t="str">
            <v>NULL</v>
          </cell>
          <cell r="W661" t="str">
            <v>NULL</v>
          </cell>
          <cell r="X661" t="str">
            <v>NULL</v>
          </cell>
          <cell r="Y661" t="str">
            <v>NULL</v>
          </cell>
          <cell r="Z661" t="str">
            <v>NULL</v>
          </cell>
          <cell r="AA661">
            <v>10006103</v>
          </cell>
          <cell r="AB661" t="str">
            <v>Independent School standard inspection</v>
          </cell>
          <cell r="AC661" t="str">
            <v>Independent Standard Inspection</v>
          </cell>
          <cell r="AD661">
            <v>42864</v>
          </cell>
          <cell r="AE661">
            <v>42866</v>
          </cell>
          <cell r="AF661">
            <v>42887</v>
          </cell>
          <cell r="AG661">
            <v>2</v>
          </cell>
          <cell r="AH661">
            <v>2</v>
          </cell>
          <cell r="AI661">
            <v>2</v>
          </cell>
          <cell r="AJ661">
            <v>2</v>
          </cell>
          <cell r="AK661">
            <v>2</v>
          </cell>
          <cell r="AL661" t="str">
            <v>NULL</v>
          </cell>
          <cell r="AM661" t="str">
            <v>NULL</v>
          </cell>
          <cell r="AN661" t="str">
            <v>Yes</v>
          </cell>
          <cell r="AO661" t="str">
            <v>ITS397643</v>
          </cell>
          <cell r="AP661" t="str">
            <v>Independent School standard inspection</v>
          </cell>
          <cell r="AQ661" t="str">
            <v>Independent Standard Inspection</v>
          </cell>
          <cell r="AR661">
            <v>41191</v>
          </cell>
          <cell r="AS661">
            <v>41192</v>
          </cell>
          <cell r="AT661">
            <v>41213</v>
          </cell>
          <cell r="AU661">
            <v>3</v>
          </cell>
          <cell r="AV661">
            <v>3</v>
          </cell>
          <cell r="AW661">
            <v>3</v>
          </cell>
          <cell r="AX661" t="str">
            <v>NULL</v>
          </cell>
          <cell r="AY661" t="str">
            <v>NULL</v>
          </cell>
          <cell r="AZ661">
            <v>8</v>
          </cell>
          <cell r="BA661" t="str">
            <v>NULL</v>
          </cell>
          <cell r="BB661" t="str">
            <v>NULL</v>
          </cell>
        </row>
        <row r="662">
          <cell r="D662">
            <v>135555</v>
          </cell>
          <cell r="E662">
            <v>9096097</v>
          </cell>
          <cell r="F662" t="str">
            <v>Progress Schools - Carlisle</v>
          </cell>
          <cell r="G662" t="str">
            <v>Other Independent Special School</v>
          </cell>
          <cell r="H662">
            <v>39560</v>
          </cell>
          <cell r="I662">
            <v>9</v>
          </cell>
          <cell r="J662" t="str">
            <v>North West</v>
          </cell>
          <cell r="K662" t="str">
            <v>North West</v>
          </cell>
          <cell r="L662" t="str">
            <v>Cumbria</v>
          </cell>
          <cell r="M662" t="str">
            <v>Carlisle</v>
          </cell>
          <cell r="N662" t="str">
            <v>CA1 1EJ</v>
          </cell>
          <cell r="O662" t="str">
            <v>Not applicable</v>
          </cell>
          <cell r="P662">
            <v>13</v>
          </cell>
          <cell r="Q662">
            <v>16</v>
          </cell>
          <cell r="R662" t="str">
            <v>None</v>
          </cell>
          <cell r="S662" t="str">
            <v>Ofsted</v>
          </cell>
          <cell r="T662">
            <v>4</v>
          </cell>
          <cell r="U662">
            <v>10044094</v>
          </cell>
          <cell r="V662" t="str">
            <v>Independent school Progress Monitoring inspection</v>
          </cell>
          <cell r="W662">
            <v>43074</v>
          </cell>
          <cell r="X662">
            <v>43074</v>
          </cell>
          <cell r="Y662">
            <v>43119</v>
          </cell>
          <cell r="Z662" t="str">
            <v>Met all standards that were checked</v>
          </cell>
          <cell r="AA662">
            <v>10006022</v>
          </cell>
          <cell r="AB662" t="str">
            <v>Independent School standard inspection</v>
          </cell>
          <cell r="AC662" t="str">
            <v>Independent Standard Inspection</v>
          </cell>
          <cell r="AD662">
            <v>42556</v>
          </cell>
          <cell r="AE662">
            <v>42558</v>
          </cell>
          <cell r="AF662">
            <v>42671</v>
          </cell>
          <cell r="AG662">
            <v>2</v>
          </cell>
          <cell r="AH662">
            <v>2</v>
          </cell>
          <cell r="AI662">
            <v>2</v>
          </cell>
          <cell r="AJ662">
            <v>2</v>
          </cell>
          <cell r="AK662">
            <v>2</v>
          </cell>
          <cell r="AL662" t="str">
            <v>NULL</v>
          </cell>
          <cell r="AM662" t="str">
            <v>NULL</v>
          </cell>
          <cell r="AN662" t="str">
            <v>Yes</v>
          </cell>
          <cell r="AO662" t="str">
            <v>ITS393347</v>
          </cell>
          <cell r="AP662" t="str">
            <v>Independent School standard inspection</v>
          </cell>
          <cell r="AQ662" t="str">
            <v>Independent Standard Inspection</v>
          </cell>
          <cell r="AR662">
            <v>40946</v>
          </cell>
          <cell r="AS662">
            <v>40947</v>
          </cell>
          <cell r="AT662">
            <v>40973</v>
          </cell>
          <cell r="AU662">
            <v>3</v>
          </cell>
          <cell r="AV662">
            <v>3</v>
          </cell>
          <cell r="AW662">
            <v>3</v>
          </cell>
          <cell r="AX662" t="str">
            <v>NULL</v>
          </cell>
          <cell r="AY662" t="str">
            <v>NULL</v>
          </cell>
          <cell r="AZ662">
            <v>8</v>
          </cell>
          <cell r="BA662" t="str">
            <v>NULL</v>
          </cell>
          <cell r="BB662" t="str">
            <v>NULL</v>
          </cell>
        </row>
        <row r="663">
          <cell r="D663">
            <v>131751</v>
          </cell>
          <cell r="E663">
            <v>3536019</v>
          </cell>
          <cell r="F663" t="str">
            <v>Elland House School</v>
          </cell>
          <cell r="G663" t="str">
            <v>Other Independent Special School</v>
          </cell>
          <cell r="H663">
            <v>38881</v>
          </cell>
          <cell r="I663">
            <v>6</v>
          </cell>
          <cell r="J663" t="str">
            <v>North West</v>
          </cell>
          <cell r="K663" t="str">
            <v>North West</v>
          </cell>
          <cell r="L663" t="str">
            <v>Oldham</v>
          </cell>
          <cell r="M663" t="str">
            <v>Oldham West and Royton</v>
          </cell>
          <cell r="N663" t="str">
            <v>OL2 5PJ</v>
          </cell>
          <cell r="O663" t="str">
            <v>Not applicable</v>
          </cell>
          <cell r="P663">
            <v>11</v>
          </cell>
          <cell r="Q663">
            <v>16</v>
          </cell>
          <cell r="R663" t="str">
            <v>None</v>
          </cell>
          <cell r="S663" t="str">
            <v>Ofsted</v>
          </cell>
          <cell r="T663" t="str">
            <v>NULL</v>
          </cell>
          <cell r="U663" t="str">
            <v>NULL</v>
          </cell>
          <cell r="V663" t="str">
            <v>NULL</v>
          </cell>
          <cell r="W663" t="str">
            <v>NULL</v>
          </cell>
          <cell r="X663" t="str">
            <v>NULL</v>
          </cell>
          <cell r="Y663" t="str">
            <v>NULL</v>
          </cell>
          <cell r="Z663" t="str">
            <v>NULL</v>
          </cell>
          <cell r="AA663">
            <v>10012866</v>
          </cell>
          <cell r="AB663" t="str">
            <v>Independent School standard inspection</v>
          </cell>
          <cell r="AC663" t="str">
            <v>Independent Standard Inspection</v>
          </cell>
          <cell r="AD663">
            <v>42661</v>
          </cell>
          <cell r="AE663">
            <v>42663</v>
          </cell>
          <cell r="AF663">
            <v>42695</v>
          </cell>
          <cell r="AG663">
            <v>2</v>
          </cell>
          <cell r="AH663">
            <v>2</v>
          </cell>
          <cell r="AI663">
            <v>2</v>
          </cell>
          <cell r="AJ663">
            <v>2</v>
          </cell>
          <cell r="AK663">
            <v>2</v>
          </cell>
          <cell r="AL663" t="str">
            <v>NULL</v>
          </cell>
          <cell r="AM663" t="str">
            <v>NULL</v>
          </cell>
          <cell r="AN663" t="str">
            <v>Yes</v>
          </cell>
          <cell r="AO663" t="str">
            <v>ITS420182</v>
          </cell>
          <cell r="AP663" t="str">
            <v>Independent School standard inspection</v>
          </cell>
          <cell r="AQ663" t="str">
            <v>Independent Standard Inspection</v>
          </cell>
          <cell r="AR663">
            <v>41450</v>
          </cell>
          <cell r="AS663">
            <v>41451</v>
          </cell>
          <cell r="AT663">
            <v>41472</v>
          </cell>
          <cell r="AU663">
            <v>3</v>
          </cell>
          <cell r="AV663">
            <v>3</v>
          </cell>
          <cell r="AW663">
            <v>3</v>
          </cell>
          <cell r="AX663">
            <v>3</v>
          </cell>
          <cell r="AY663" t="str">
            <v>NULL</v>
          </cell>
          <cell r="AZ663" t="str">
            <v>NULL</v>
          </cell>
          <cell r="BA663" t="str">
            <v>NULL</v>
          </cell>
          <cell r="BB663" t="str">
            <v>NULL</v>
          </cell>
        </row>
        <row r="664">
          <cell r="D664">
            <v>135438</v>
          </cell>
          <cell r="E664">
            <v>8866123</v>
          </cell>
          <cell r="F664" t="str">
            <v>Hope View School</v>
          </cell>
          <cell r="G664" t="str">
            <v>Other Independent Special School</v>
          </cell>
          <cell r="H664">
            <v>39379</v>
          </cell>
          <cell r="I664">
            <v>45</v>
          </cell>
          <cell r="J664" t="str">
            <v>South East</v>
          </cell>
          <cell r="K664" t="str">
            <v>South East</v>
          </cell>
          <cell r="L664" t="str">
            <v>Kent</v>
          </cell>
          <cell r="M664" t="str">
            <v>Ashford</v>
          </cell>
          <cell r="N664" t="str">
            <v>CT4 8EG</v>
          </cell>
          <cell r="O664" t="str">
            <v>Has a sixth form</v>
          </cell>
          <cell r="P664">
            <v>7</v>
          </cell>
          <cell r="Q664">
            <v>18</v>
          </cell>
          <cell r="R664" t="str">
            <v>None</v>
          </cell>
          <cell r="S664" t="str">
            <v>Ofsted</v>
          </cell>
          <cell r="T664" t="str">
            <v>NULL</v>
          </cell>
          <cell r="U664" t="str">
            <v>NULL</v>
          </cell>
          <cell r="V664" t="str">
            <v>NULL</v>
          </cell>
          <cell r="W664" t="str">
            <v>NULL</v>
          </cell>
          <cell r="X664" t="str">
            <v>NULL</v>
          </cell>
          <cell r="Y664" t="str">
            <v>NULL</v>
          </cell>
          <cell r="Z664" t="str">
            <v>NULL</v>
          </cell>
          <cell r="AA664">
            <v>10021176</v>
          </cell>
          <cell r="AB664" t="str">
            <v>Independent School standard inspection</v>
          </cell>
          <cell r="AC664" t="str">
            <v>Independent Standard Inspection</v>
          </cell>
          <cell r="AD664">
            <v>42626</v>
          </cell>
          <cell r="AE664">
            <v>42628</v>
          </cell>
          <cell r="AF664">
            <v>42654</v>
          </cell>
          <cell r="AG664">
            <v>2</v>
          </cell>
          <cell r="AH664">
            <v>2</v>
          </cell>
          <cell r="AI664">
            <v>2</v>
          </cell>
          <cell r="AJ664">
            <v>2</v>
          </cell>
          <cell r="AK664">
            <v>2</v>
          </cell>
          <cell r="AL664" t="str">
            <v>NULL</v>
          </cell>
          <cell r="AM664">
            <v>2</v>
          </cell>
          <cell r="AN664" t="str">
            <v>Yes</v>
          </cell>
          <cell r="AO664" t="str">
            <v>ITS454286</v>
          </cell>
          <cell r="AP664" t="str">
            <v>Independent School standard inspection</v>
          </cell>
          <cell r="AQ664" t="str">
            <v>Independent Standard Inspection</v>
          </cell>
          <cell r="AR664">
            <v>42143</v>
          </cell>
          <cell r="AS664">
            <v>42145</v>
          </cell>
          <cell r="AT664">
            <v>42181</v>
          </cell>
          <cell r="AU664">
            <v>4</v>
          </cell>
          <cell r="AV664">
            <v>3</v>
          </cell>
          <cell r="AW664">
            <v>3</v>
          </cell>
          <cell r="AX664">
            <v>4</v>
          </cell>
          <cell r="AY664" t="str">
            <v>NULL</v>
          </cell>
          <cell r="AZ664">
            <v>9</v>
          </cell>
          <cell r="BA664">
            <v>4</v>
          </cell>
          <cell r="BB664" t="str">
            <v>NULL</v>
          </cell>
        </row>
        <row r="665">
          <cell r="D665">
            <v>138243</v>
          </cell>
          <cell r="E665">
            <v>8606040</v>
          </cell>
          <cell r="F665" t="str">
            <v>Hopedale School</v>
          </cell>
          <cell r="G665" t="str">
            <v>Other Independent Special School</v>
          </cell>
          <cell r="H665">
            <v>41072</v>
          </cell>
          <cell r="I665">
            <v>56</v>
          </cell>
          <cell r="J665" t="str">
            <v>West Midlands</v>
          </cell>
          <cell r="K665" t="str">
            <v>West Midlands</v>
          </cell>
          <cell r="L665" t="str">
            <v>Staffordshire</v>
          </cell>
          <cell r="M665" t="str">
            <v>Staffordshire Moorlands</v>
          </cell>
          <cell r="N665" t="str">
            <v>ST13 7ED</v>
          </cell>
          <cell r="O665" t="str">
            <v>Not applicable</v>
          </cell>
          <cell r="P665">
            <v>5</v>
          </cell>
          <cell r="Q665">
            <v>18</v>
          </cell>
          <cell r="R665" t="str">
            <v>None</v>
          </cell>
          <cell r="S665" t="str">
            <v>Ofsted</v>
          </cell>
          <cell r="T665" t="str">
            <v>NULL</v>
          </cell>
          <cell r="U665" t="str">
            <v>NULL</v>
          </cell>
          <cell r="V665" t="str">
            <v>NULL</v>
          </cell>
          <cell r="W665" t="str">
            <v>NULL</v>
          </cell>
          <cell r="X665" t="str">
            <v>NULL</v>
          </cell>
          <cell r="Y665" t="str">
            <v>NULL</v>
          </cell>
          <cell r="Z665" t="str">
            <v>NULL</v>
          </cell>
          <cell r="AA665">
            <v>10010818</v>
          </cell>
          <cell r="AB665" t="str">
            <v>Independent school standard inspection - aligned with CH</v>
          </cell>
          <cell r="AC665" t="str">
            <v>Independent Standard Inspection</v>
          </cell>
          <cell r="AD665">
            <v>42528</v>
          </cell>
          <cell r="AE665">
            <v>42530</v>
          </cell>
          <cell r="AF665">
            <v>42571</v>
          </cell>
          <cell r="AG665">
            <v>1</v>
          </cell>
          <cell r="AH665">
            <v>1</v>
          </cell>
          <cell r="AI665">
            <v>1</v>
          </cell>
          <cell r="AJ665">
            <v>1</v>
          </cell>
          <cell r="AK665">
            <v>1</v>
          </cell>
          <cell r="AL665" t="str">
            <v>NULL</v>
          </cell>
          <cell r="AM665" t="str">
            <v>NULL</v>
          </cell>
          <cell r="AN665" t="str">
            <v>Yes</v>
          </cell>
          <cell r="AO665" t="str">
            <v>ITS420276</v>
          </cell>
          <cell r="AP665" t="str">
            <v xml:space="preserve">Independent school standard inspection - integrated - first </v>
          </cell>
          <cell r="AQ665" t="str">
            <v>Independent Standard Inspection</v>
          </cell>
          <cell r="AR665">
            <v>41429</v>
          </cell>
          <cell r="AS665">
            <v>41431</v>
          </cell>
          <cell r="AT665">
            <v>41450</v>
          </cell>
          <cell r="AU665">
            <v>2</v>
          </cell>
          <cell r="AV665">
            <v>2</v>
          </cell>
          <cell r="AW665">
            <v>2</v>
          </cell>
          <cell r="AX665">
            <v>2</v>
          </cell>
          <cell r="AY665" t="str">
            <v>NULL</v>
          </cell>
          <cell r="AZ665" t="str">
            <v>NULL</v>
          </cell>
          <cell r="BA665" t="str">
            <v>NULL</v>
          </cell>
          <cell r="BB665" t="str">
            <v>NULL</v>
          </cell>
        </row>
        <row r="666">
          <cell r="D666">
            <v>134388</v>
          </cell>
          <cell r="E666">
            <v>3016002</v>
          </cell>
          <cell r="F666" t="str">
            <v>Hopewell School (Harmony House)</v>
          </cell>
          <cell r="G666" t="str">
            <v>Other Independent Special School</v>
          </cell>
          <cell r="H666">
            <v>38968</v>
          </cell>
          <cell r="I666">
            <v>35</v>
          </cell>
          <cell r="J666" t="str">
            <v>London</v>
          </cell>
          <cell r="K666" t="str">
            <v>London</v>
          </cell>
          <cell r="L666" t="str">
            <v>Barking and Dagenham</v>
          </cell>
          <cell r="M666" t="str">
            <v>Barking</v>
          </cell>
          <cell r="N666" t="str">
            <v>RM9 6XN</v>
          </cell>
          <cell r="O666" t="str">
            <v>Not applicable</v>
          </cell>
          <cell r="P666">
            <v>5</v>
          </cell>
          <cell r="Q666">
            <v>19</v>
          </cell>
          <cell r="R666" t="str">
            <v>None</v>
          </cell>
          <cell r="S666" t="str">
            <v>Ofsted</v>
          </cell>
          <cell r="T666" t="str">
            <v>NULL</v>
          </cell>
          <cell r="U666" t="str">
            <v>NULL</v>
          </cell>
          <cell r="V666" t="str">
            <v>NULL</v>
          </cell>
          <cell r="W666" t="str">
            <v>NULL</v>
          </cell>
          <cell r="X666" t="str">
            <v>NULL</v>
          </cell>
          <cell r="Y666" t="str">
            <v>NULL</v>
          </cell>
          <cell r="Z666" t="str">
            <v>NULL</v>
          </cell>
          <cell r="AA666">
            <v>10038168</v>
          </cell>
          <cell r="AB666" t="str">
            <v>Independent School standard inspection</v>
          </cell>
          <cell r="AC666" t="str">
            <v>Independent Standard Inspection</v>
          </cell>
          <cell r="AD666">
            <v>43054</v>
          </cell>
          <cell r="AE666">
            <v>43056</v>
          </cell>
          <cell r="AF666">
            <v>43097</v>
          </cell>
          <cell r="AG666">
            <v>3</v>
          </cell>
          <cell r="AH666">
            <v>3</v>
          </cell>
          <cell r="AI666">
            <v>3</v>
          </cell>
          <cell r="AJ666">
            <v>2</v>
          </cell>
          <cell r="AK666">
            <v>3</v>
          </cell>
          <cell r="AL666" t="str">
            <v>NULL</v>
          </cell>
          <cell r="AM666" t="str">
            <v>NULL</v>
          </cell>
          <cell r="AN666" t="str">
            <v>Yes</v>
          </cell>
          <cell r="AO666" t="str">
            <v>ITS454206</v>
          </cell>
          <cell r="AP666" t="str">
            <v>Independent School standard inspection</v>
          </cell>
          <cell r="AQ666" t="str">
            <v>Independent Standard Inspection</v>
          </cell>
          <cell r="AR666">
            <v>41954</v>
          </cell>
          <cell r="AS666">
            <v>41956</v>
          </cell>
          <cell r="AT666">
            <v>42059</v>
          </cell>
          <cell r="AU666">
            <v>4</v>
          </cell>
          <cell r="AV666">
            <v>4</v>
          </cell>
          <cell r="AW666">
            <v>4</v>
          </cell>
          <cell r="AX666">
            <v>4</v>
          </cell>
          <cell r="AY666" t="str">
            <v>NULL</v>
          </cell>
          <cell r="AZ666">
            <v>9</v>
          </cell>
          <cell r="BA666">
            <v>4</v>
          </cell>
          <cell r="BB666" t="str">
            <v>NULL</v>
          </cell>
        </row>
        <row r="667">
          <cell r="D667">
            <v>133640</v>
          </cell>
          <cell r="E667">
            <v>8106004</v>
          </cell>
          <cell r="F667" t="str">
            <v>Horton House School</v>
          </cell>
          <cell r="G667" t="str">
            <v>Other Independent Special School</v>
          </cell>
          <cell r="H667">
            <v>37334</v>
          </cell>
          <cell r="I667">
            <v>20</v>
          </cell>
          <cell r="J667" t="str">
            <v>North East, Yorkshire and the Humber</v>
          </cell>
          <cell r="K667" t="str">
            <v>Yorkshire and the Humber</v>
          </cell>
          <cell r="L667" t="str">
            <v>Kingston upon Hull</v>
          </cell>
          <cell r="M667" t="str">
            <v>Beverley and Holderness</v>
          </cell>
          <cell r="N667" t="str">
            <v>HU7 5YY</v>
          </cell>
          <cell r="O667" t="str">
            <v>Not applicable</v>
          </cell>
          <cell r="P667">
            <v>7</v>
          </cell>
          <cell r="Q667">
            <v>18</v>
          </cell>
          <cell r="R667" t="str">
            <v>None</v>
          </cell>
          <cell r="S667" t="str">
            <v>Ofsted</v>
          </cell>
          <cell r="T667" t="str">
            <v>NULL</v>
          </cell>
          <cell r="U667" t="str">
            <v>NULL</v>
          </cell>
          <cell r="V667" t="str">
            <v>NULL</v>
          </cell>
          <cell r="W667" t="str">
            <v>NULL</v>
          </cell>
          <cell r="X667" t="str">
            <v>NULL</v>
          </cell>
          <cell r="Y667" t="str">
            <v>NULL</v>
          </cell>
          <cell r="Z667" t="str">
            <v>NULL</v>
          </cell>
          <cell r="AA667">
            <v>10020903</v>
          </cell>
          <cell r="AB667" t="str">
            <v>Independent School standard inspection</v>
          </cell>
          <cell r="AC667" t="str">
            <v>Independent Standard Inspection</v>
          </cell>
          <cell r="AD667">
            <v>42696</v>
          </cell>
          <cell r="AE667">
            <v>42698</v>
          </cell>
          <cell r="AF667">
            <v>42727</v>
          </cell>
          <cell r="AG667">
            <v>3</v>
          </cell>
          <cell r="AH667">
            <v>3</v>
          </cell>
          <cell r="AI667">
            <v>3</v>
          </cell>
          <cell r="AJ667">
            <v>3</v>
          </cell>
          <cell r="AK667">
            <v>2</v>
          </cell>
          <cell r="AL667" t="str">
            <v>NULL</v>
          </cell>
          <cell r="AM667" t="str">
            <v>NULL</v>
          </cell>
          <cell r="AN667" t="str">
            <v>Yes</v>
          </cell>
          <cell r="AO667" t="str">
            <v>ITS422757</v>
          </cell>
          <cell r="AP667" t="str">
            <v>Independent School standard inspection</v>
          </cell>
          <cell r="AQ667" t="str">
            <v>Independent Standard Inspection</v>
          </cell>
          <cell r="AR667">
            <v>41549</v>
          </cell>
          <cell r="AS667">
            <v>41551</v>
          </cell>
          <cell r="AT667">
            <v>41572</v>
          </cell>
          <cell r="AU667">
            <v>2</v>
          </cell>
          <cell r="AV667">
            <v>2</v>
          </cell>
          <cell r="AW667">
            <v>2</v>
          </cell>
          <cell r="AX667">
            <v>2</v>
          </cell>
          <cell r="AY667" t="str">
            <v>NULL</v>
          </cell>
          <cell r="AZ667" t="str">
            <v>NULL</v>
          </cell>
          <cell r="BA667" t="str">
            <v>NULL</v>
          </cell>
          <cell r="BB667" t="str">
            <v>NULL</v>
          </cell>
        </row>
        <row r="668">
          <cell r="D668">
            <v>139787</v>
          </cell>
          <cell r="E668">
            <v>8316012</v>
          </cell>
          <cell r="F668" t="str">
            <v>Mackworth House School</v>
          </cell>
          <cell r="G668" t="str">
            <v>Other Independent Special School</v>
          </cell>
          <cell r="H668">
            <v>41435</v>
          </cell>
          <cell r="I668">
            <v>7</v>
          </cell>
          <cell r="J668" t="str">
            <v>East Midlands</v>
          </cell>
          <cell r="K668" t="str">
            <v>East Midlands</v>
          </cell>
          <cell r="L668" t="str">
            <v>Derby</v>
          </cell>
          <cell r="M668" t="str">
            <v>Derby North</v>
          </cell>
          <cell r="N668" t="str">
            <v>DE22 4LL</v>
          </cell>
          <cell r="O668" t="str">
            <v>Not applicable</v>
          </cell>
          <cell r="P668">
            <v>6</v>
          </cell>
          <cell r="Q668">
            <v>19</v>
          </cell>
          <cell r="R668" t="str">
            <v>None</v>
          </cell>
          <cell r="S668" t="str">
            <v>Ofsted</v>
          </cell>
          <cell r="T668" t="str">
            <v>NULL</v>
          </cell>
          <cell r="U668" t="str">
            <v>NULL</v>
          </cell>
          <cell r="V668" t="str">
            <v>NULL</v>
          </cell>
          <cell r="W668" t="str">
            <v>NULL</v>
          </cell>
          <cell r="X668" t="str">
            <v>NULL</v>
          </cell>
          <cell r="Y668" t="str">
            <v>NULL</v>
          </cell>
          <cell r="Z668" t="str">
            <v>NULL</v>
          </cell>
          <cell r="AA668" t="str">
            <v>ITS446396</v>
          </cell>
          <cell r="AB668" t="str">
            <v>Independent School standard inspection</v>
          </cell>
          <cell r="AC668" t="str">
            <v>Independent Standard Inspection</v>
          </cell>
          <cell r="AD668">
            <v>41898</v>
          </cell>
          <cell r="AE668">
            <v>41899</v>
          </cell>
          <cell r="AF668">
            <v>41919</v>
          </cell>
          <cell r="AG668">
            <v>2</v>
          </cell>
          <cell r="AH668">
            <v>2</v>
          </cell>
          <cell r="AI668">
            <v>2</v>
          </cell>
          <cell r="AJ668">
            <v>2</v>
          </cell>
          <cell r="AK668" t="str">
            <v>NULL</v>
          </cell>
          <cell r="AL668" t="str">
            <v>NULL</v>
          </cell>
          <cell r="AM668" t="str">
            <v>NULL</v>
          </cell>
          <cell r="AN668" t="str">
            <v>NULL</v>
          </cell>
          <cell r="AO668" t="str">
            <v>NULL</v>
          </cell>
          <cell r="AP668" t="str">
            <v>NULL</v>
          </cell>
          <cell r="AQ668" t="str">
            <v>NULL</v>
          </cell>
          <cell r="AR668" t="str">
            <v>NULL</v>
          </cell>
          <cell r="AS668" t="str">
            <v>NULL</v>
          </cell>
          <cell r="AT668" t="str">
            <v>NULL</v>
          </cell>
          <cell r="AU668" t="str">
            <v>NULL</v>
          </cell>
          <cell r="AV668" t="str">
            <v>NULL</v>
          </cell>
          <cell r="AW668" t="str">
            <v>NULL</v>
          </cell>
          <cell r="AX668" t="str">
            <v>NULL</v>
          </cell>
          <cell r="AY668" t="str">
            <v>NULL</v>
          </cell>
          <cell r="AZ668" t="str">
            <v>NULL</v>
          </cell>
          <cell r="BA668" t="str">
            <v>NULL</v>
          </cell>
          <cell r="BB668" t="str">
            <v>NULL</v>
          </cell>
        </row>
        <row r="669">
          <cell r="D669">
            <v>140615</v>
          </cell>
          <cell r="E669">
            <v>8116013</v>
          </cell>
          <cell r="F669" t="str">
            <v>Manor Cottage</v>
          </cell>
          <cell r="G669" t="str">
            <v>Other Independent Special School</v>
          </cell>
          <cell r="H669">
            <v>41683</v>
          </cell>
          <cell r="I669">
            <v>9</v>
          </cell>
          <cell r="J669" t="str">
            <v>North East, Yorkshire and the Humber</v>
          </cell>
          <cell r="K669" t="str">
            <v>Yorkshire and the Humber</v>
          </cell>
          <cell r="L669" t="str">
            <v>East Riding of Yorkshire</v>
          </cell>
          <cell r="M669" t="str">
            <v>Hammersmith</v>
          </cell>
          <cell r="N669" t="str">
            <v>W6 9RU</v>
          </cell>
          <cell r="O669" t="str">
            <v>Not applicable</v>
          </cell>
          <cell r="P669">
            <v>7</v>
          </cell>
          <cell r="Q669">
            <v>16</v>
          </cell>
          <cell r="R669" t="str">
            <v>None</v>
          </cell>
          <cell r="S669" t="str">
            <v>Ofsted</v>
          </cell>
          <cell r="T669" t="str">
            <v>NULL</v>
          </cell>
          <cell r="U669" t="str">
            <v>NULL</v>
          </cell>
          <cell r="V669" t="str">
            <v>NULL</v>
          </cell>
          <cell r="W669" t="str">
            <v>NULL</v>
          </cell>
          <cell r="X669" t="str">
            <v>NULL</v>
          </cell>
          <cell r="Y669" t="str">
            <v>NULL</v>
          </cell>
          <cell r="Z669" t="str">
            <v>NULL</v>
          </cell>
          <cell r="AA669" t="str">
            <v>ITS454303</v>
          </cell>
          <cell r="AB669" t="str">
            <v>Independent school standard inspection - first</v>
          </cell>
          <cell r="AC669" t="str">
            <v>Independent Standard Inspection</v>
          </cell>
          <cell r="AD669">
            <v>42080</v>
          </cell>
          <cell r="AE669">
            <v>42081</v>
          </cell>
          <cell r="AF669">
            <v>42117</v>
          </cell>
          <cell r="AG669">
            <v>2</v>
          </cell>
          <cell r="AH669">
            <v>2</v>
          </cell>
          <cell r="AI669">
            <v>2</v>
          </cell>
          <cell r="AJ669">
            <v>2</v>
          </cell>
          <cell r="AK669" t="str">
            <v>NULL</v>
          </cell>
          <cell r="AL669">
            <v>9</v>
          </cell>
          <cell r="AM669">
            <v>9</v>
          </cell>
          <cell r="AN669" t="str">
            <v>NULL</v>
          </cell>
          <cell r="AO669" t="str">
            <v>NULL</v>
          </cell>
          <cell r="AP669" t="str">
            <v>NULL</v>
          </cell>
          <cell r="AQ669" t="str">
            <v>NULL</v>
          </cell>
          <cell r="AR669" t="str">
            <v>NULL</v>
          </cell>
          <cell r="AS669" t="str">
            <v>NULL</v>
          </cell>
          <cell r="AT669" t="str">
            <v>NULL</v>
          </cell>
          <cell r="AU669" t="str">
            <v>NULL</v>
          </cell>
          <cell r="AV669" t="str">
            <v>NULL</v>
          </cell>
          <cell r="AW669" t="str">
            <v>NULL</v>
          </cell>
          <cell r="AX669" t="str">
            <v>NULL</v>
          </cell>
          <cell r="AY669" t="str">
            <v>NULL</v>
          </cell>
          <cell r="AZ669" t="str">
            <v>NULL</v>
          </cell>
          <cell r="BA669" t="str">
            <v>NULL</v>
          </cell>
          <cell r="BB669" t="str">
            <v>NULL</v>
          </cell>
        </row>
        <row r="670">
          <cell r="D670">
            <v>124488</v>
          </cell>
          <cell r="E670">
            <v>8606022</v>
          </cell>
          <cell r="F670" t="str">
            <v>Maple Hayes Hall School</v>
          </cell>
          <cell r="G670" t="str">
            <v>Other Independent Special School</v>
          </cell>
          <cell r="H670">
            <v>30008</v>
          </cell>
          <cell r="I670">
            <v>106</v>
          </cell>
          <cell r="J670" t="str">
            <v>West Midlands</v>
          </cell>
          <cell r="K670" t="str">
            <v>West Midlands</v>
          </cell>
          <cell r="L670" t="str">
            <v>Staffordshire</v>
          </cell>
          <cell r="M670" t="str">
            <v>Lichfield</v>
          </cell>
          <cell r="N670" t="str">
            <v>WS13 8BL</v>
          </cell>
          <cell r="O670" t="str">
            <v>Not applicable</v>
          </cell>
          <cell r="P670">
            <v>7</v>
          </cell>
          <cell r="Q670">
            <v>17</v>
          </cell>
          <cell r="R670" t="str">
            <v>None</v>
          </cell>
          <cell r="S670" t="str">
            <v>Ofsted</v>
          </cell>
          <cell r="T670" t="str">
            <v>NULL</v>
          </cell>
          <cell r="U670" t="str">
            <v>NULL</v>
          </cell>
          <cell r="V670" t="str">
            <v>NULL</v>
          </cell>
          <cell r="W670" t="str">
            <v>NULL</v>
          </cell>
          <cell r="X670" t="str">
            <v>NULL</v>
          </cell>
          <cell r="Y670" t="str">
            <v>NULL</v>
          </cell>
          <cell r="Z670" t="str">
            <v>NULL</v>
          </cell>
          <cell r="AA670">
            <v>10026104</v>
          </cell>
          <cell r="AB670" t="str">
            <v>Independent School standard inspection</v>
          </cell>
          <cell r="AC670" t="str">
            <v>Independent Standard Inspection</v>
          </cell>
          <cell r="AD670">
            <v>43039</v>
          </cell>
          <cell r="AE670">
            <v>43041</v>
          </cell>
          <cell r="AF670">
            <v>43063</v>
          </cell>
          <cell r="AG670">
            <v>1</v>
          </cell>
          <cell r="AH670">
            <v>1</v>
          </cell>
          <cell r="AI670">
            <v>1</v>
          </cell>
          <cell r="AJ670">
            <v>1</v>
          </cell>
          <cell r="AK670">
            <v>1</v>
          </cell>
          <cell r="AL670" t="str">
            <v>NULL</v>
          </cell>
          <cell r="AM670" t="str">
            <v>NULL</v>
          </cell>
          <cell r="AN670" t="str">
            <v>Yes</v>
          </cell>
          <cell r="AO670" t="str">
            <v>ITS454252</v>
          </cell>
          <cell r="AP670" t="str">
            <v>Independent School standard inspection</v>
          </cell>
          <cell r="AQ670" t="str">
            <v>Independent Standard Inspection</v>
          </cell>
          <cell r="AR670">
            <v>42073</v>
          </cell>
          <cell r="AS670">
            <v>42075</v>
          </cell>
          <cell r="AT670">
            <v>42130</v>
          </cell>
          <cell r="AU670">
            <v>2</v>
          </cell>
          <cell r="AV670">
            <v>2</v>
          </cell>
          <cell r="AW670">
            <v>2</v>
          </cell>
          <cell r="AX670">
            <v>2</v>
          </cell>
          <cell r="AY670" t="str">
            <v>NULL</v>
          </cell>
          <cell r="AZ670">
            <v>9</v>
          </cell>
          <cell r="BA670">
            <v>9</v>
          </cell>
          <cell r="BB670" t="str">
            <v>NULL</v>
          </cell>
        </row>
        <row r="671">
          <cell r="D671">
            <v>123920</v>
          </cell>
          <cell r="E671">
            <v>9336089</v>
          </cell>
          <cell r="F671" t="str">
            <v>Marchant Holliday School</v>
          </cell>
          <cell r="G671" t="str">
            <v>Other Independent Special School</v>
          </cell>
          <cell r="H671">
            <v>21102</v>
          </cell>
          <cell r="I671">
            <v>34</v>
          </cell>
          <cell r="J671" t="str">
            <v>South West</v>
          </cell>
          <cell r="K671" t="str">
            <v>South West</v>
          </cell>
          <cell r="L671" t="str">
            <v>Somerset</v>
          </cell>
          <cell r="M671" t="str">
            <v>Somerton and Frome</v>
          </cell>
          <cell r="N671" t="str">
            <v>BA8 0AH</v>
          </cell>
          <cell r="O671" t="str">
            <v>Not applicable</v>
          </cell>
          <cell r="P671">
            <v>5</v>
          </cell>
          <cell r="Q671">
            <v>12</v>
          </cell>
          <cell r="R671" t="str">
            <v>None</v>
          </cell>
          <cell r="S671" t="str">
            <v>Ofsted</v>
          </cell>
          <cell r="T671" t="str">
            <v>NULL</v>
          </cell>
          <cell r="U671" t="str">
            <v>NULL</v>
          </cell>
          <cell r="V671" t="str">
            <v>NULL</v>
          </cell>
          <cell r="W671" t="str">
            <v>NULL</v>
          </cell>
          <cell r="X671" t="str">
            <v>NULL</v>
          </cell>
          <cell r="Y671" t="str">
            <v>NULL</v>
          </cell>
          <cell r="Z671" t="str">
            <v>NULL</v>
          </cell>
          <cell r="AA671">
            <v>10008941</v>
          </cell>
          <cell r="AB671" t="str">
            <v xml:space="preserve">Independent School standard inspection - integrated </v>
          </cell>
          <cell r="AC671" t="str">
            <v>Independent Standard Inspection</v>
          </cell>
          <cell r="AD671">
            <v>42815</v>
          </cell>
          <cell r="AE671">
            <v>42817</v>
          </cell>
          <cell r="AF671">
            <v>42859</v>
          </cell>
          <cell r="AG671">
            <v>2</v>
          </cell>
          <cell r="AH671">
            <v>2</v>
          </cell>
          <cell r="AI671">
            <v>2</v>
          </cell>
          <cell r="AJ671">
            <v>2</v>
          </cell>
          <cell r="AK671">
            <v>2</v>
          </cell>
          <cell r="AL671" t="str">
            <v>NULL</v>
          </cell>
          <cell r="AM671" t="str">
            <v>NULL</v>
          </cell>
          <cell r="AN671" t="str">
            <v>Yes</v>
          </cell>
          <cell r="AO671" t="str">
            <v>ITS393323</v>
          </cell>
          <cell r="AP671" t="str">
            <v xml:space="preserve">Independent School standard inspection - integrated </v>
          </cell>
          <cell r="AQ671" t="str">
            <v>Independent Standard Inspection</v>
          </cell>
          <cell r="AR671">
            <v>41086</v>
          </cell>
          <cell r="AS671">
            <v>41087</v>
          </cell>
          <cell r="AT671">
            <v>41107</v>
          </cell>
          <cell r="AU671">
            <v>2</v>
          </cell>
          <cell r="AV671">
            <v>2</v>
          </cell>
          <cell r="AW671">
            <v>3</v>
          </cell>
          <cell r="AX671" t="str">
            <v>NULL</v>
          </cell>
          <cell r="AY671" t="str">
            <v>NULL</v>
          </cell>
          <cell r="AZ671">
            <v>8</v>
          </cell>
          <cell r="BA671" t="str">
            <v>NULL</v>
          </cell>
          <cell r="BB671" t="str">
            <v>NULL</v>
          </cell>
        </row>
        <row r="672">
          <cell r="D672">
            <v>136088</v>
          </cell>
          <cell r="E672">
            <v>3436134</v>
          </cell>
          <cell r="F672" t="str">
            <v>Olsen House School</v>
          </cell>
          <cell r="G672" t="str">
            <v>Other Independent Special School</v>
          </cell>
          <cell r="H672">
            <v>40248</v>
          </cell>
          <cell r="I672">
            <v>10</v>
          </cell>
          <cell r="J672" t="str">
            <v>North West</v>
          </cell>
          <cell r="K672" t="str">
            <v>North West</v>
          </cell>
          <cell r="L672" t="str">
            <v>Sefton</v>
          </cell>
          <cell r="M672" t="str">
            <v>Bootle</v>
          </cell>
          <cell r="N672" t="str">
            <v>L23 5TD</v>
          </cell>
          <cell r="O672" t="str">
            <v>Not applicable</v>
          </cell>
          <cell r="P672">
            <v>7</v>
          </cell>
          <cell r="Q672">
            <v>16</v>
          </cell>
          <cell r="R672" t="str">
            <v>None</v>
          </cell>
          <cell r="S672" t="str">
            <v>Ofsted</v>
          </cell>
          <cell r="T672" t="str">
            <v>NULL</v>
          </cell>
          <cell r="U672" t="str">
            <v>NULL</v>
          </cell>
          <cell r="V672" t="str">
            <v>NULL</v>
          </cell>
          <cell r="W672" t="str">
            <v>NULL</v>
          </cell>
          <cell r="X672" t="str">
            <v>NULL</v>
          </cell>
          <cell r="Y672" t="str">
            <v>NULL</v>
          </cell>
          <cell r="Z672" t="str">
            <v>NULL</v>
          </cell>
          <cell r="AA672">
            <v>10026016</v>
          </cell>
          <cell r="AB672" t="str">
            <v>Independent School standard inspection</v>
          </cell>
          <cell r="AC672" t="str">
            <v>Independent Standard Inspection</v>
          </cell>
          <cell r="AD672">
            <v>42927</v>
          </cell>
          <cell r="AE672">
            <v>42929</v>
          </cell>
          <cell r="AF672">
            <v>42998</v>
          </cell>
          <cell r="AG672">
            <v>2</v>
          </cell>
          <cell r="AH672">
            <v>2</v>
          </cell>
          <cell r="AI672">
            <v>2</v>
          </cell>
          <cell r="AJ672">
            <v>2</v>
          </cell>
          <cell r="AK672">
            <v>2</v>
          </cell>
          <cell r="AL672" t="str">
            <v>NULL</v>
          </cell>
          <cell r="AM672" t="str">
            <v>NULL</v>
          </cell>
          <cell r="AN672" t="str">
            <v>Yes</v>
          </cell>
          <cell r="AO672" t="str">
            <v>ITS441440</v>
          </cell>
          <cell r="AP672" t="str">
            <v>Independent School standard inspection</v>
          </cell>
          <cell r="AQ672" t="str">
            <v>Independent Standard Inspection</v>
          </cell>
          <cell r="AR672">
            <v>41716</v>
          </cell>
          <cell r="AS672">
            <v>41718</v>
          </cell>
          <cell r="AT672">
            <v>41758</v>
          </cell>
          <cell r="AU672">
            <v>3</v>
          </cell>
          <cell r="AV672">
            <v>3</v>
          </cell>
          <cell r="AW672">
            <v>3</v>
          </cell>
          <cell r="AX672">
            <v>3</v>
          </cell>
          <cell r="AY672" t="str">
            <v>NULL</v>
          </cell>
          <cell r="AZ672" t="str">
            <v>NULL</v>
          </cell>
          <cell r="BA672" t="str">
            <v>NULL</v>
          </cell>
          <cell r="BB672" t="str">
            <v>NULL</v>
          </cell>
        </row>
        <row r="673">
          <cell r="D673">
            <v>127003</v>
          </cell>
          <cell r="E673">
            <v>9356083</v>
          </cell>
          <cell r="F673" t="str">
            <v>On Track Education Centre (Mildenhall)</v>
          </cell>
          <cell r="G673" t="str">
            <v>Other Independent Special School</v>
          </cell>
          <cell r="H673">
            <v>38546</v>
          </cell>
          <cell r="I673">
            <v>23</v>
          </cell>
          <cell r="J673" t="str">
            <v>East of England</v>
          </cell>
          <cell r="K673" t="str">
            <v>East of England</v>
          </cell>
          <cell r="L673" t="str">
            <v>Suffolk</v>
          </cell>
          <cell r="M673" t="str">
            <v>West Suffolk</v>
          </cell>
          <cell r="N673" t="str">
            <v>IP28 7RD</v>
          </cell>
          <cell r="O673" t="str">
            <v>Has a sixth form</v>
          </cell>
          <cell r="P673">
            <v>11</v>
          </cell>
          <cell r="Q673">
            <v>18</v>
          </cell>
          <cell r="R673" t="str">
            <v>None</v>
          </cell>
          <cell r="S673" t="str">
            <v>Ofsted</v>
          </cell>
          <cell r="T673" t="str">
            <v>NULL</v>
          </cell>
          <cell r="U673" t="str">
            <v>NULL</v>
          </cell>
          <cell r="V673" t="str">
            <v>NULL</v>
          </cell>
          <cell r="W673" t="str">
            <v>NULL</v>
          </cell>
          <cell r="X673" t="str">
            <v>NULL</v>
          </cell>
          <cell r="Y673" t="str">
            <v>NULL</v>
          </cell>
          <cell r="Z673" t="str">
            <v>NULL</v>
          </cell>
          <cell r="AA673">
            <v>10006012</v>
          </cell>
          <cell r="AB673" t="str">
            <v>Independent School standard inspection</v>
          </cell>
          <cell r="AC673" t="str">
            <v>Independent Standard Inspection</v>
          </cell>
          <cell r="AD673">
            <v>42801</v>
          </cell>
          <cell r="AE673">
            <v>42803</v>
          </cell>
          <cell r="AF673">
            <v>42835</v>
          </cell>
          <cell r="AG673">
            <v>3</v>
          </cell>
          <cell r="AH673">
            <v>2</v>
          </cell>
          <cell r="AI673">
            <v>2</v>
          </cell>
          <cell r="AJ673">
            <v>3</v>
          </cell>
          <cell r="AK673">
            <v>2</v>
          </cell>
          <cell r="AL673" t="str">
            <v>NULL</v>
          </cell>
          <cell r="AM673" t="str">
            <v>NULL</v>
          </cell>
          <cell r="AN673" t="str">
            <v>Yes</v>
          </cell>
          <cell r="AO673" t="str">
            <v>ITS388416</v>
          </cell>
          <cell r="AP673" t="str">
            <v>Independent School standard inspection</v>
          </cell>
          <cell r="AQ673" t="str">
            <v>Independent Standard Inspection</v>
          </cell>
          <cell r="AR673">
            <v>40987</v>
          </cell>
          <cell r="AS673">
            <v>40988</v>
          </cell>
          <cell r="AT673">
            <v>41026</v>
          </cell>
          <cell r="AU673">
            <v>2</v>
          </cell>
          <cell r="AV673">
            <v>2</v>
          </cell>
          <cell r="AW673">
            <v>2</v>
          </cell>
          <cell r="AX673" t="str">
            <v>NULL</v>
          </cell>
          <cell r="AY673" t="str">
            <v>NULL</v>
          </cell>
          <cell r="AZ673">
            <v>8</v>
          </cell>
          <cell r="BA673" t="str">
            <v>NULL</v>
          </cell>
          <cell r="BB673" t="str">
            <v>NULL</v>
          </cell>
        </row>
        <row r="674">
          <cell r="D674">
            <v>136227</v>
          </cell>
          <cell r="E674">
            <v>9286073</v>
          </cell>
          <cell r="F674" t="str">
            <v>On Track Education Centre Northants</v>
          </cell>
          <cell r="G674" t="str">
            <v>Other Independent Special School</v>
          </cell>
          <cell r="H674">
            <v>40428</v>
          </cell>
          <cell r="I674">
            <v>27</v>
          </cell>
          <cell r="J674" t="str">
            <v>East Midlands</v>
          </cell>
          <cell r="K674" t="str">
            <v>East Midlands</v>
          </cell>
          <cell r="L674" t="str">
            <v>Northamptonshire</v>
          </cell>
          <cell r="M674" t="str">
            <v>Northampton North</v>
          </cell>
          <cell r="N674" t="str">
            <v>NN3 6QB</v>
          </cell>
          <cell r="O674" t="str">
            <v>Not applicable</v>
          </cell>
          <cell r="P674">
            <v>11</v>
          </cell>
          <cell r="Q674">
            <v>19</v>
          </cell>
          <cell r="R674" t="str">
            <v>None</v>
          </cell>
          <cell r="S674" t="str">
            <v>Ofsted</v>
          </cell>
          <cell r="T674" t="str">
            <v>NULL</v>
          </cell>
          <cell r="U674" t="str">
            <v>NULL</v>
          </cell>
          <cell r="V674" t="str">
            <v>NULL</v>
          </cell>
          <cell r="W674" t="str">
            <v>NULL</v>
          </cell>
          <cell r="X674" t="str">
            <v>NULL</v>
          </cell>
          <cell r="Y674" t="str">
            <v>NULL</v>
          </cell>
          <cell r="Z674" t="str">
            <v>NULL</v>
          </cell>
          <cell r="AA674">
            <v>10039190</v>
          </cell>
          <cell r="AB674" t="str">
            <v>Independent School standard inspection</v>
          </cell>
          <cell r="AC674" t="str">
            <v>Independent Standard Inspection</v>
          </cell>
          <cell r="AD674">
            <v>43053</v>
          </cell>
          <cell r="AE674">
            <v>43055</v>
          </cell>
          <cell r="AF674">
            <v>43076</v>
          </cell>
          <cell r="AG674">
            <v>2</v>
          </cell>
          <cell r="AH674">
            <v>2</v>
          </cell>
          <cell r="AI674">
            <v>2</v>
          </cell>
          <cell r="AJ674">
            <v>2</v>
          </cell>
          <cell r="AK674">
            <v>2</v>
          </cell>
          <cell r="AL674" t="str">
            <v>NULL</v>
          </cell>
          <cell r="AM674">
            <v>2</v>
          </cell>
          <cell r="AN674" t="str">
            <v>Yes</v>
          </cell>
          <cell r="AO674" t="str">
            <v>ITS447296</v>
          </cell>
          <cell r="AP674" t="str">
            <v>Independent School standard inspection</v>
          </cell>
          <cell r="AQ674" t="str">
            <v>Independent Standard Inspection</v>
          </cell>
          <cell r="AR674">
            <v>41968</v>
          </cell>
          <cell r="AS674">
            <v>41970</v>
          </cell>
          <cell r="AT674">
            <v>41990</v>
          </cell>
          <cell r="AU674">
            <v>2</v>
          </cell>
          <cell r="AV674">
            <v>2</v>
          </cell>
          <cell r="AW674">
            <v>2</v>
          </cell>
          <cell r="AX674">
            <v>2</v>
          </cell>
          <cell r="AY674" t="str">
            <v>NULL</v>
          </cell>
          <cell r="AZ674">
            <v>9</v>
          </cell>
          <cell r="BA674">
            <v>2</v>
          </cell>
          <cell r="BB674" t="str">
            <v>NULL</v>
          </cell>
        </row>
        <row r="675">
          <cell r="D675">
            <v>131715</v>
          </cell>
          <cell r="E675">
            <v>8786060</v>
          </cell>
          <cell r="F675" t="str">
            <v>On Track Education Centre Totnes</v>
          </cell>
          <cell r="G675" t="str">
            <v>Other Independent Special School</v>
          </cell>
          <cell r="H675">
            <v>38874</v>
          </cell>
          <cell r="I675">
            <v>49</v>
          </cell>
          <cell r="J675" t="str">
            <v>South West</v>
          </cell>
          <cell r="K675" t="str">
            <v>South West</v>
          </cell>
          <cell r="L675" t="str">
            <v>Devon</v>
          </cell>
          <cell r="M675" t="str">
            <v>Totnes</v>
          </cell>
          <cell r="N675" t="str">
            <v>TQ9 5LQ</v>
          </cell>
          <cell r="O675" t="str">
            <v>Not applicable</v>
          </cell>
          <cell r="P675">
            <v>11</v>
          </cell>
          <cell r="Q675">
            <v>19</v>
          </cell>
          <cell r="R675" t="str">
            <v>None</v>
          </cell>
          <cell r="S675" t="str">
            <v>Ofsted</v>
          </cell>
          <cell r="T675">
            <v>1</v>
          </cell>
          <cell r="U675">
            <v>10022389</v>
          </cell>
          <cell r="V675" t="str">
            <v>Independent school evaluation of school action plan</v>
          </cell>
          <cell r="W675">
            <v>42615</v>
          </cell>
          <cell r="X675">
            <v>42615</v>
          </cell>
          <cell r="Y675" t="str">
            <v>NULL</v>
          </cell>
          <cell r="Z675" t="str">
            <v>Action plan is acceptable</v>
          </cell>
          <cell r="AA675">
            <v>10012945</v>
          </cell>
          <cell r="AB675" t="str">
            <v>Independent School standard inspection</v>
          </cell>
          <cell r="AC675" t="str">
            <v>Independent Standard Inspection</v>
          </cell>
          <cell r="AD675">
            <v>42507</v>
          </cell>
          <cell r="AE675">
            <v>42509</v>
          </cell>
          <cell r="AF675">
            <v>42542</v>
          </cell>
          <cell r="AG675">
            <v>3</v>
          </cell>
          <cell r="AH675">
            <v>3</v>
          </cell>
          <cell r="AI675">
            <v>3</v>
          </cell>
          <cell r="AJ675">
            <v>3</v>
          </cell>
          <cell r="AK675">
            <v>2</v>
          </cell>
          <cell r="AL675" t="str">
            <v>NULL</v>
          </cell>
          <cell r="AM675">
            <v>3</v>
          </cell>
          <cell r="AN675" t="str">
            <v>Yes</v>
          </cell>
          <cell r="AO675" t="str">
            <v>ITS422731</v>
          </cell>
          <cell r="AP675" t="str">
            <v>Independent School standard inspection</v>
          </cell>
          <cell r="AQ675" t="str">
            <v>Independent Standard Inspection</v>
          </cell>
          <cell r="AR675">
            <v>41402</v>
          </cell>
          <cell r="AS675">
            <v>41404</v>
          </cell>
          <cell r="AT675">
            <v>41431</v>
          </cell>
          <cell r="AU675">
            <v>2</v>
          </cell>
          <cell r="AV675">
            <v>2</v>
          </cell>
          <cell r="AW675">
            <v>2</v>
          </cell>
          <cell r="AX675">
            <v>2</v>
          </cell>
          <cell r="AY675" t="str">
            <v>NULL</v>
          </cell>
          <cell r="AZ675" t="str">
            <v>NULL</v>
          </cell>
          <cell r="BA675" t="str">
            <v>NULL</v>
          </cell>
          <cell r="BB675" t="str">
            <v>NULL</v>
          </cell>
        </row>
        <row r="676">
          <cell r="D676">
            <v>141515</v>
          </cell>
          <cell r="E676">
            <v>8786064</v>
          </cell>
          <cell r="F676" t="str">
            <v>School for Inspiring Talents</v>
          </cell>
          <cell r="G676" t="str">
            <v>Other Independent Special School</v>
          </cell>
          <cell r="H676">
            <v>41926</v>
          </cell>
          <cell r="I676">
            <v>12</v>
          </cell>
          <cell r="J676" t="str">
            <v>South West</v>
          </cell>
          <cell r="K676" t="str">
            <v>South West</v>
          </cell>
          <cell r="L676" t="str">
            <v>Devon</v>
          </cell>
          <cell r="M676" t="str">
            <v>Newton Abbot</v>
          </cell>
          <cell r="N676" t="str">
            <v>TQ12 6NQ</v>
          </cell>
          <cell r="O676" t="str">
            <v>Not applicable</v>
          </cell>
          <cell r="P676">
            <v>5</v>
          </cell>
          <cell r="Q676">
            <v>16</v>
          </cell>
          <cell r="R676" t="str">
            <v>None</v>
          </cell>
          <cell r="S676" t="str">
            <v>Ofsted</v>
          </cell>
          <cell r="T676">
            <v>2</v>
          </cell>
          <cell r="U676">
            <v>10026261</v>
          </cell>
          <cell r="V676" t="str">
            <v>Independent school evaluation of school action plan</v>
          </cell>
          <cell r="W676">
            <v>42703</v>
          </cell>
          <cell r="X676">
            <v>42703</v>
          </cell>
          <cell r="Y676" t="str">
            <v>NULL</v>
          </cell>
          <cell r="Z676" t="str">
            <v>Action plan is acceptable</v>
          </cell>
          <cell r="AA676">
            <v>10006312</v>
          </cell>
          <cell r="AB676" t="str">
            <v>Independent school standard inspection - first</v>
          </cell>
          <cell r="AC676" t="str">
            <v>Independent Standard Inspection</v>
          </cell>
          <cell r="AD676">
            <v>42381</v>
          </cell>
          <cell r="AE676">
            <v>42383</v>
          </cell>
          <cell r="AF676">
            <v>42430</v>
          </cell>
          <cell r="AG676">
            <v>3</v>
          </cell>
          <cell r="AH676">
            <v>3</v>
          </cell>
          <cell r="AI676">
            <v>3</v>
          </cell>
          <cell r="AJ676">
            <v>3</v>
          </cell>
          <cell r="AK676">
            <v>3</v>
          </cell>
          <cell r="AL676" t="str">
            <v>NULL</v>
          </cell>
          <cell r="AM676" t="str">
            <v>NULL</v>
          </cell>
          <cell r="AN676" t="str">
            <v>Yes</v>
          </cell>
          <cell r="AO676" t="str">
            <v>NULL</v>
          </cell>
          <cell r="AP676" t="str">
            <v>NULL</v>
          </cell>
          <cell r="AQ676" t="str">
            <v>NULL</v>
          </cell>
          <cell r="AR676" t="str">
            <v>NULL</v>
          </cell>
          <cell r="AS676" t="str">
            <v>NULL</v>
          </cell>
          <cell r="AT676" t="str">
            <v>NULL</v>
          </cell>
          <cell r="AU676" t="str">
            <v>NULL</v>
          </cell>
          <cell r="AV676" t="str">
            <v>NULL</v>
          </cell>
          <cell r="AW676" t="str">
            <v>NULL</v>
          </cell>
          <cell r="AX676" t="str">
            <v>NULL</v>
          </cell>
          <cell r="AY676" t="str">
            <v>NULL</v>
          </cell>
          <cell r="AZ676" t="str">
            <v>NULL</v>
          </cell>
          <cell r="BA676" t="str">
            <v>NULL</v>
          </cell>
          <cell r="BB676" t="str">
            <v>NULL</v>
          </cell>
        </row>
        <row r="677">
          <cell r="D677">
            <v>135691</v>
          </cell>
          <cell r="E677">
            <v>9386228</v>
          </cell>
          <cell r="F677" t="str">
            <v>Seadown School</v>
          </cell>
          <cell r="G677" t="str">
            <v>Other Independent Special School</v>
          </cell>
          <cell r="H677">
            <v>39701</v>
          </cell>
          <cell r="I677">
            <v>26</v>
          </cell>
          <cell r="J677" t="str">
            <v>South East</v>
          </cell>
          <cell r="K677" t="str">
            <v>South East</v>
          </cell>
          <cell r="L677" t="str">
            <v>West Sussex</v>
          </cell>
          <cell r="M677" t="str">
            <v>East Worthing and Shoreham</v>
          </cell>
          <cell r="N677" t="str">
            <v>BN11 2BE</v>
          </cell>
          <cell r="O677" t="str">
            <v>Not applicable</v>
          </cell>
          <cell r="P677">
            <v>6</v>
          </cell>
          <cell r="Q677">
            <v>16</v>
          </cell>
          <cell r="R677" t="str">
            <v>None</v>
          </cell>
          <cell r="S677" t="str">
            <v>Ofsted</v>
          </cell>
          <cell r="T677" t="str">
            <v>NULL</v>
          </cell>
          <cell r="U677" t="str">
            <v>NULL</v>
          </cell>
          <cell r="V677" t="str">
            <v>NULL</v>
          </cell>
          <cell r="W677" t="str">
            <v>NULL</v>
          </cell>
          <cell r="X677" t="str">
            <v>NULL</v>
          </cell>
          <cell r="Y677" t="str">
            <v>NULL</v>
          </cell>
          <cell r="Z677" t="str">
            <v>NULL</v>
          </cell>
          <cell r="AA677">
            <v>10006052</v>
          </cell>
          <cell r="AB677" t="str">
            <v>Independent School standard inspection</v>
          </cell>
          <cell r="AC677" t="str">
            <v>Independent Standard Inspection</v>
          </cell>
          <cell r="AD677">
            <v>42654</v>
          </cell>
          <cell r="AE677">
            <v>42656</v>
          </cell>
          <cell r="AF677">
            <v>42690</v>
          </cell>
          <cell r="AG677">
            <v>2</v>
          </cell>
          <cell r="AH677">
            <v>2</v>
          </cell>
          <cell r="AI677">
            <v>2</v>
          </cell>
          <cell r="AJ677">
            <v>2</v>
          </cell>
          <cell r="AK677">
            <v>2</v>
          </cell>
          <cell r="AL677" t="str">
            <v>NULL</v>
          </cell>
          <cell r="AM677" t="str">
            <v>NULL</v>
          </cell>
          <cell r="AN677" t="str">
            <v>Yes</v>
          </cell>
          <cell r="AO677" t="str">
            <v>ITS397740</v>
          </cell>
          <cell r="AP677" t="str">
            <v>Independent School standard inspection</v>
          </cell>
          <cell r="AQ677" t="str">
            <v>Independent Standard Inspection</v>
          </cell>
          <cell r="AR677">
            <v>41241</v>
          </cell>
          <cell r="AS677">
            <v>41242</v>
          </cell>
          <cell r="AT677">
            <v>41263</v>
          </cell>
          <cell r="AU677">
            <v>2</v>
          </cell>
          <cell r="AV677">
            <v>2</v>
          </cell>
          <cell r="AW677">
            <v>2</v>
          </cell>
          <cell r="AX677" t="str">
            <v>NULL</v>
          </cell>
          <cell r="AY677" t="str">
            <v>NULL</v>
          </cell>
          <cell r="AZ677">
            <v>8</v>
          </cell>
          <cell r="BA677" t="str">
            <v>NULL</v>
          </cell>
          <cell r="BB677" t="str">
            <v>NULL</v>
          </cell>
        </row>
        <row r="678">
          <cell r="D678">
            <v>139919</v>
          </cell>
          <cell r="E678">
            <v>9376006</v>
          </cell>
          <cell r="F678" t="str">
            <v>Shaftesbury Extended Learning Centre</v>
          </cell>
          <cell r="G678" t="str">
            <v>Other Independent Special School</v>
          </cell>
          <cell r="H678">
            <v>41466</v>
          </cell>
          <cell r="I678">
            <v>33</v>
          </cell>
          <cell r="J678" t="str">
            <v>West Midlands</v>
          </cell>
          <cell r="K678" t="str">
            <v>West Midlands</v>
          </cell>
          <cell r="L678" t="str">
            <v>Warwickshire</v>
          </cell>
          <cell r="M678" t="str">
            <v>North Warwickshire</v>
          </cell>
          <cell r="N678" t="str">
            <v>CV7 8LA</v>
          </cell>
          <cell r="O678" t="str">
            <v>Not applicable</v>
          </cell>
          <cell r="P678">
            <v>14</v>
          </cell>
          <cell r="Q678">
            <v>16</v>
          </cell>
          <cell r="R678" t="str">
            <v>None</v>
          </cell>
          <cell r="S678" t="str">
            <v>Ofsted</v>
          </cell>
          <cell r="T678">
            <v>2</v>
          </cell>
          <cell r="U678" t="str">
            <v>ITS454864</v>
          </cell>
          <cell r="V678" t="str">
            <v>Independent school Progress Monitoring inspection</v>
          </cell>
          <cell r="W678">
            <v>42089</v>
          </cell>
          <cell r="X678">
            <v>42089</v>
          </cell>
          <cell r="Y678">
            <v>42116</v>
          </cell>
          <cell r="Z678" t="str">
            <v>Standards met</v>
          </cell>
          <cell r="AA678" t="str">
            <v>ITS443018</v>
          </cell>
          <cell r="AB678" t="str">
            <v>Independent school standard inspection - first</v>
          </cell>
          <cell r="AC678" t="str">
            <v>Independent Standard Inspection</v>
          </cell>
          <cell r="AD678">
            <v>41773</v>
          </cell>
          <cell r="AE678">
            <v>41775</v>
          </cell>
          <cell r="AF678">
            <v>41813</v>
          </cell>
          <cell r="AG678">
            <v>4</v>
          </cell>
          <cell r="AH678">
            <v>4</v>
          </cell>
          <cell r="AI678">
            <v>4</v>
          </cell>
          <cell r="AJ678">
            <v>4</v>
          </cell>
          <cell r="AK678" t="str">
            <v>NULL</v>
          </cell>
          <cell r="AL678" t="str">
            <v>NULL</v>
          </cell>
          <cell r="AM678" t="str">
            <v>NULL</v>
          </cell>
          <cell r="AN678" t="str">
            <v>NULL</v>
          </cell>
          <cell r="AO678" t="str">
            <v>NULL</v>
          </cell>
          <cell r="AP678" t="str">
            <v>NULL</v>
          </cell>
          <cell r="AQ678" t="str">
            <v>NULL</v>
          </cell>
          <cell r="AR678" t="str">
            <v>NULL</v>
          </cell>
          <cell r="AS678" t="str">
            <v>NULL</v>
          </cell>
          <cell r="AT678" t="str">
            <v>NULL</v>
          </cell>
          <cell r="AU678" t="str">
            <v>NULL</v>
          </cell>
          <cell r="AV678" t="str">
            <v>NULL</v>
          </cell>
          <cell r="AW678" t="str">
            <v>NULL</v>
          </cell>
          <cell r="AX678" t="str">
            <v>NULL</v>
          </cell>
          <cell r="AY678" t="str">
            <v>NULL</v>
          </cell>
          <cell r="AZ678" t="str">
            <v>NULL</v>
          </cell>
          <cell r="BA678" t="str">
            <v>NULL</v>
          </cell>
          <cell r="BB678" t="str">
            <v>NULL</v>
          </cell>
        </row>
        <row r="679">
          <cell r="D679">
            <v>123929</v>
          </cell>
          <cell r="E679">
            <v>9336173</v>
          </cell>
          <cell r="F679" t="str">
            <v>Shapwick School</v>
          </cell>
          <cell r="G679" t="str">
            <v>Other Independent Special School</v>
          </cell>
          <cell r="H679">
            <v>27281</v>
          </cell>
          <cell r="I679">
            <v>82</v>
          </cell>
          <cell r="J679" t="str">
            <v>South West</v>
          </cell>
          <cell r="K679" t="str">
            <v>South West</v>
          </cell>
          <cell r="L679" t="str">
            <v>Somerset</v>
          </cell>
          <cell r="M679" t="str">
            <v>Bridgwater and West Somerset</v>
          </cell>
          <cell r="N679" t="str">
            <v>TA7 9NJ</v>
          </cell>
          <cell r="O679" t="str">
            <v>Has a sixth form</v>
          </cell>
          <cell r="P679">
            <v>8</v>
          </cell>
          <cell r="Q679">
            <v>18</v>
          </cell>
          <cell r="R679" t="str">
            <v>None</v>
          </cell>
          <cell r="S679" t="str">
            <v>Ofsted</v>
          </cell>
          <cell r="T679" t="str">
            <v>NULL</v>
          </cell>
          <cell r="U679" t="str">
            <v>NULL</v>
          </cell>
          <cell r="V679" t="str">
            <v>NULL</v>
          </cell>
          <cell r="W679" t="str">
            <v>NULL</v>
          </cell>
          <cell r="X679" t="str">
            <v>NULL</v>
          </cell>
          <cell r="Y679" t="str">
            <v>NULL</v>
          </cell>
          <cell r="Z679" t="str">
            <v>NULL</v>
          </cell>
          <cell r="AA679">
            <v>10034720</v>
          </cell>
          <cell r="AB679" t="str">
            <v xml:space="preserve">Independent School standard inspection - integrated </v>
          </cell>
          <cell r="AC679" t="str">
            <v>Independent Standard Inspection</v>
          </cell>
          <cell r="AD679">
            <v>42892</v>
          </cell>
          <cell r="AE679">
            <v>42894</v>
          </cell>
          <cell r="AF679">
            <v>42922</v>
          </cell>
          <cell r="AG679">
            <v>3</v>
          </cell>
          <cell r="AH679">
            <v>3</v>
          </cell>
          <cell r="AI679">
            <v>3</v>
          </cell>
          <cell r="AJ679">
            <v>3</v>
          </cell>
          <cell r="AK679">
            <v>3</v>
          </cell>
          <cell r="AL679" t="str">
            <v>NULL</v>
          </cell>
          <cell r="AM679">
            <v>2</v>
          </cell>
          <cell r="AN679" t="str">
            <v>Yes</v>
          </cell>
          <cell r="AO679" t="str">
            <v>ITS446388</v>
          </cell>
          <cell r="AP679" t="str">
            <v>Independent School standard inspection</v>
          </cell>
          <cell r="AQ679" t="str">
            <v>Independent Standard Inspection</v>
          </cell>
          <cell r="AR679">
            <v>41905</v>
          </cell>
          <cell r="AS679">
            <v>41907</v>
          </cell>
          <cell r="AT679">
            <v>42017</v>
          </cell>
          <cell r="AU679">
            <v>4</v>
          </cell>
          <cell r="AV679">
            <v>3</v>
          </cell>
          <cell r="AW679">
            <v>3</v>
          </cell>
          <cell r="AX679">
            <v>4</v>
          </cell>
          <cell r="AY679" t="str">
            <v>NULL</v>
          </cell>
          <cell r="AZ679" t="str">
            <v>NULL</v>
          </cell>
          <cell r="BA679" t="str">
            <v>NULL</v>
          </cell>
          <cell r="BB679" t="str">
            <v>NULL</v>
          </cell>
        </row>
        <row r="680">
          <cell r="D680">
            <v>135468</v>
          </cell>
          <cell r="E680">
            <v>8656040</v>
          </cell>
          <cell r="F680" t="str">
            <v>The Farringdon Centre</v>
          </cell>
          <cell r="G680" t="str">
            <v>Other Independent Special School</v>
          </cell>
          <cell r="H680">
            <v>39427</v>
          </cell>
          <cell r="I680">
            <v>18</v>
          </cell>
          <cell r="J680" t="str">
            <v>South West</v>
          </cell>
          <cell r="K680" t="str">
            <v>South West</v>
          </cell>
          <cell r="L680" t="str">
            <v>Wiltshire</v>
          </cell>
          <cell r="M680" t="str">
            <v>Salisbury</v>
          </cell>
          <cell r="N680" t="str">
            <v>SP1 3YA</v>
          </cell>
          <cell r="O680" t="str">
            <v>Not applicable</v>
          </cell>
          <cell r="P680">
            <v>9</v>
          </cell>
          <cell r="Q680">
            <v>18</v>
          </cell>
          <cell r="R680" t="str">
            <v>None</v>
          </cell>
          <cell r="S680" t="str">
            <v>Ofsted</v>
          </cell>
          <cell r="T680" t="str">
            <v>NULL</v>
          </cell>
          <cell r="U680" t="str">
            <v>NULL</v>
          </cell>
          <cell r="V680" t="str">
            <v>NULL</v>
          </cell>
          <cell r="W680" t="str">
            <v>NULL</v>
          </cell>
          <cell r="X680" t="str">
            <v>NULL</v>
          </cell>
          <cell r="Y680" t="str">
            <v>NULL</v>
          </cell>
          <cell r="Z680" t="str">
            <v>NULL</v>
          </cell>
          <cell r="AA680" t="str">
            <v>ITS454289</v>
          </cell>
          <cell r="AB680" t="str">
            <v>Independent School standard inspection</v>
          </cell>
          <cell r="AC680" t="str">
            <v>Independent Standard Inspection</v>
          </cell>
          <cell r="AD680">
            <v>41982</v>
          </cell>
          <cell r="AE680">
            <v>41984</v>
          </cell>
          <cell r="AF680">
            <v>42025</v>
          </cell>
          <cell r="AG680">
            <v>2</v>
          </cell>
          <cell r="AH680">
            <v>2</v>
          </cell>
          <cell r="AI680">
            <v>2</v>
          </cell>
          <cell r="AJ680">
            <v>2</v>
          </cell>
          <cell r="AK680" t="str">
            <v>NULL</v>
          </cell>
          <cell r="AL680">
            <v>9</v>
          </cell>
          <cell r="AM680">
            <v>9</v>
          </cell>
          <cell r="AN680" t="str">
            <v>NULL</v>
          </cell>
          <cell r="AO680" t="str">
            <v>ITS385147</v>
          </cell>
          <cell r="AP680" t="str">
            <v>Independent School standard inspection</v>
          </cell>
          <cell r="AQ680" t="str">
            <v>Independent Standard Inspection</v>
          </cell>
          <cell r="AR680">
            <v>40813</v>
          </cell>
          <cell r="AS680">
            <v>40814</v>
          </cell>
          <cell r="AT680">
            <v>40835</v>
          </cell>
          <cell r="AU680">
            <v>3</v>
          </cell>
          <cell r="AV680">
            <v>3</v>
          </cell>
          <cell r="AW680">
            <v>3</v>
          </cell>
          <cell r="AX680" t="str">
            <v>NULL</v>
          </cell>
          <cell r="AY680" t="str">
            <v>NULL</v>
          </cell>
          <cell r="AZ680">
            <v>8</v>
          </cell>
          <cell r="BA680" t="str">
            <v>NULL</v>
          </cell>
          <cell r="BB680" t="str">
            <v>NULL</v>
          </cell>
        </row>
        <row r="681">
          <cell r="D681">
            <v>116593</v>
          </cell>
          <cell r="E681">
            <v>8356033</v>
          </cell>
          <cell r="F681" t="str">
            <v>The Forum School</v>
          </cell>
          <cell r="G681" t="str">
            <v>Other Independent Special School</v>
          </cell>
          <cell r="H681">
            <v>33774</v>
          </cell>
          <cell r="I681">
            <v>33</v>
          </cell>
          <cell r="J681" t="str">
            <v>South West</v>
          </cell>
          <cell r="K681" t="str">
            <v>South West</v>
          </cell>
          <cell r="L681" t="str">
            <v>Dorset</v>
          </cell>
          <cell r="M681" t="str">
            <v>North Dorset</v>
          </cell>
          <cell r="N681" t="str">
            <v>DT11 0QS</v>
          </cell>
          <cell r="O681" t="str">
            <v>Has a sixth form</v>
          </cell>
          <cell r="P681">
            <v>7</v>
          </cell>
          <cell r="Q681">
            <v>19</v>
          </cell>
          <cell r="R681" t="str">
            <v>None</v>
          </cell>
          <cell r="S681" t="str">
            <v>Ofsted</v>
          </cell>
          <cell r="T681">
            <v>2</v>
          </cell>
          <cell r="U681">
            <v>10034721</v>
          </cell>
          <cell r="V681" t="str">
            <v>Independent school Progress Monitoring inspection</v>
          </cell>
          <cell r="W681">
            <v>42929</v>
          </cell>
          <cell r="X681">
            <v>42929</v>
          </cell>
          <cell r="Y681">
            <v>42958</v>
          </cell>
          <cell r="Z681" t="str">
            <v>Met all standards that were checked</v>
          </cell>
          <cell r="AA681">
            <v>10006038</v>
          </cell>
          <cell r="AB681" t="str">
            <v>Independent School standard inspection</v>
          </cell>
          <cell r="AC681" t="str">
            <v>Independent Standard Inspection</v>
          </cell>
          <cell r="AD681">
            <v>42703</v>
          </cell>
          <cell r="AE681">
            <v>42705</v>
          </cell>
          <cell r="AF681">
            <v>42759</v>
          </cell>
          <cell r="AG681">
            <v>4</v>
          </cell>
          <cell r="AH681">
            <v>3</v>
          </cell>
          <cell r="AI681">
            <v>3</v>
          </cell>
          <cell r="AJ681">
            <v>4</v>
          </cell>
          <cell r="AK681">
            <v>4</v>
          </cell>
          <cell r="AL681" t="str">
            <v>NULL</v>
          </cell>
          <cell r="AM681">
            <v>4</v>
          </cell>
          <cell r="AN681" t="str">
            <v>No</v>
          </cell>
          <cell r="AO681" t="str">
            <v>ITS397658</v>
          </cell>
          <cell r="AP681" t="str">
            <v xml:space="preserve">Independent School standard inspection - integrated </v>
          </cell>
          <cell r="AQ681" t="str">
            <v>Independent Standard Inspection</v>
          </cell>
          <cell r="AR681">
            <v>41198</v>
          </cell>
          <cell r="AS681">
            <v>41199</v>
          </cell>
          <cell r="AT681">
            <v>41221</v>
          </cell>
          <cell r="AU681">
            <v>1</v>
          </cell>
          <cell r="AV681">
            <v>1</v>
          </cell>
          <cell r="AW681">
            <v>1</v>
          </cell>
          <cell r="AX681" t="str">
            <v>NULL</v>
          </cell>
          <cell r="AY681" t="str">
            <v>NULL</v>
          </cell>
          <cell r="AZ681">
            <v>8</v>
          </cell>
          <cell r="BA681" t="str">
            <v>NULL</v>
          </cell>
          <cell r="BB681" t="str">
            <v>NULL</v>
          </cell>
        </row>
        <row r="682">
          <cell r="D682">
            <v>135834</v>
          </cell>
          <cell r="E682">
            <v>8406010</v>
          </cell>
          <cell r="F682" t="str">
            <v>The Grange Learning Centre</v>
          </cell>
          <cell r="G682" t="str">
            <v>Other Independent Special School</v>
          </cell>
          <cell r="H682">
            <v>39918</v>
          </cell>
          <cell r="I682">
            <v>14</v>
          </cell>
          <cell r="J682" t="str">
            <v>North East, Yorkshire and the Humber</v>
          </cell>
          <cell r="K682" t="str">
            <v>North East</v>
          </cell>
          <cell r="L682" t="str">
            <v>Durham</v>
          </cell>
          <cell r="M682" t="str">
            <v>North West Durham</v>
          </cell>
          <cell r="N682" t="str">
            <v>DL15 0TY</v>
          </cell>
          <cell r="O682" t="str">
            <v>Not applicable</v>
          </cell>
          <cell r="P682">
            <v>8</v>
          </cell>
          <cell r="Q682">
            <v>19</v>
          </cell>
          <cell r="R682" t="str">
            <v>None</v>
          </cell>
          <cell r="S682" t="str">
            <v>Ofsted</v>
          </cell>
          <cell r="T682" t="str">
            <v>NULL</v>
          </cell>
          <cell r="U682" t="str">
            <v>NULL</v>
          </cell>
          <cell r="V682" t="str">
            <v>NULL</v>
          </cell>
          <cell r="W682" t="str">
            <v>NULL</v>
          </cell>
          <cell r="X682" t="str">
            <v>NULL</v>
          </cell>
          <cell r="Y682" t="str">
            <v>NULL</v>
          </cell>
          <cell r="Z682" t="str">
            <v>NULL</v>
          </cell>
          <cell r="AA682">
            <v>10020940</v>
          </cell>
          <cell r="AB682" t="str">
            <v>Independent school standard inspection - aligned with CH</v>
          </cell>
          <cell r="AC682" t="str">
            <v>Independent Standard Inspection</v>
          </cell>
          <cell r="AD682">
            <v>42647</v>
          </cell>
          <cell r="AE682">
            <v>42649</v>
          </cell>
          <cell r="AF682">
            <v>42705</v>
          </cell>
          <cell r="AG682">
            <v>1</v>
          </cell>
          <cell r="AH682">
            <v>1</v>
          </cell>
          <cell r="AI682">
            <v>1</v>
          </cell>
          <cell r="AJ682">
            <v>1</v>
          </cell>
          <cell r="AK682">
            <v>1</v>
          </cell>
          <cell r="AL682" t="str">
            <v>NULL</v>
          </cell>
          <cell r="AM682" t="str">
            <v>NULL</v>
          </cell>
          <cell r="AN682" t="str">
            <v>Yes</v>
          </cell>
          <cell r="AO682" t="str">
            <v>ITS422797</v>
          </cell>
          <cell r="AP682" t="str">
            <v xml:space="preserve">Independent School standard inspection - integrated </v>
          </cell>
          <cell r="AQ682" t="str">
            <v>Independent Standard Inspection</v>
          </cell>
          <cell r="AR682">
            <v>41569</v>
          </cell>
          <cell r="AS682">
            <v>41571</v>
          </cell>
          <cell r="AT682">
            <v>41610</v>
          </cell>
          <cell r="AU682">
            <v>1</v>
          </cell>
          <cell r="AV682">
            <v>1</v>
          </cell>
          <cell r="AW682">
            <v>1</v>
          </cell>
          <cell r="AX682">
            <v>1</v>
          </cell>
          <cell r="AY682" t="str">
            <v>NULL</v>
          </cell>
          <cell r="AZ682" t="str">
            <v>NULL</v>
          </cell>
          <cell r="BA682" t="str">
            <v>NULL</v>
          </cell>
          <cell r="BB682" t="str">
            <v>NULL</v>
          </cell>
        </row>
        <row r="683">
          <cell r="D683">
            <v>136040</v>
          </cell>
          <cell r="E683">
            <v>3846126</v>
          </cell>
          <cell r="F683" t="str">
            <v>The Grange School</v>
          </cell>
          <cell r="G683" t="str">
            <v>Other Independent Special School</v>
          </cell>
          <cell r="H683">
            <v>40162</v>
          </cell>
          <cell r="I683">
            <v>14</v>
          </cell>
          <cell r="J683" t="str">
            <v>North East, Yorkshire and the Humber</v>
          </cell>
          <cell r="K683" t="str">
            <v>Yorkshire and the Humber</v>
          </cell>
          <cell r="L683" t="str">
            <v>Wakefield</v>
          </cell>
          <cell r="M683" t="str">
            <v>Wakefield</v>
          </cell>
          <cell r="N683" t="str">
            <v>WF5 9JE</v>
          </cell>
          <cell r="O683" t="str">
            <v>Not applicable</v>
          </cell>
          <cell r="P683">
            <v>7</v>
          </cell>
          <cell r="Q683">
            <v>14</v>
          </cell>
          <cell r="R683" t="str">
            <v>None</v>
          </cell>
          <cell r="S683" t="str">
            <v>Ofsted</v>
          </cell>
          <cell r="T683" t="str">
            <v>NULL</v>
          </cell>
          <cell r="U683" t="str">
            <v>NULL</v>
          </cell>
          <cell r="V683" t="str">
            <v>NULL</v>
          </cell>
          <cell r="W683" t="str">
            <v>NULL</v>
          </cell>
          <cell r="X683" t="str">
            <v>NULL</v>
          </cell>
          <cell r="Y683" t="str">
            <v>NULL</v>
          </cell>
          <cell r="Z683" t="str">
            <v>NULL</v>
          </cell>
          <cell r="AA683">
            <v>10033919</v>
          </cell>
          <cell r="AB683" t="str">
            <v>Independent School standard inspection</v>
          </cell>
          <cell r="AC683" t="str">
            <v>Independent Standard Inspection</v>
          </cell>
          <cell r="AD683">
            <v>42823</v>
          </cell>
          <cell r="AE683">
            <v>42825</v>
          </cell>
          <cell r="AF683">
            <v>42860</v>
          </cell>
          <cell r="AG683">
            <v>2</v>
          </cell>
          <cell r="AH683">
            <v>2</v>
          </cell>
          <cell r="AI683">
            <v>2</v>
          </cell>
          <cell r="AJ683">
            <v>2</v>
          </cell>
          <cell r="AK683">
            <v>2</v>
          </cell>
          <cell r="AL683" t="str">
            <v>NULL</v>
          </cell>
          <cell r="AM683" t="str">
            <v>NULL</v>
          </cell>
          <cell r="AN683" t="str">
            <v>Yes</v>
          </cell>
          <cell r="AO683" t="str">
            <v>ITS442996</v>
          </cell>
          <cell r="AP683" t="str">
            <v>Independent School standard inspection</v>
          </cell>
          <cell r="AQ683" t="str">
            <v>Independent Standard Inspection</v>
          </cell>
          <cell r="AR683">
            <v>41758</v>
          </cell>
          <cell r="AS683">
            <v>41760</v>
          </cell>
          <cell r="AT683">
            <v>41782</v>
          </cell>
          <cell r="AU683">
            <v>2</v>
          </cell>
          <cell r="AV683">
            <v>2</v>
          </cell>
          <cell r="AW683">
            <v>2</v>
          </cell>
          <cell r="AX683">
            <v>2</v>
          </cell>
          <cell r="AY683" t="str">
            <v>NULL</v>
          </cell>
          <cell r="AZ683" t="str">
            <v>NULL</v>
          </cell>
          <cell r="BA683" t="str">
            <v>NULL</v>
          </cell>
          <cell r="BB683" t="str">
            <v>NULL</v>
          </cell>
        </row>
        <row r="684">
          <cell r="D684">
            <v>135419</v>
          </cell>
          <cell r="E684">
            <v>9366592</v>
          </cell>
          <cell r="F684" t="str">
            <v>Unsted Park School</v>
          </cell>
          <cell r="G684" t="str">
            <v>Other Independent Special School</v>
          </cell>
          <cell r="H684">
            <v>39345</v>
          </cell>
          <cell r="I684">
            <v>57</v>
          </cell>
          <cell r="J684" t="str">
            <v>South East</v>
          </cell>
          <cell r="K684" t="str">
            <v>South East</v>
          </cell>
          <cell r="L684" t="str">
            <v>Surrey</v>
          </cell>
          <cell r="M684" t="str">
            <v>South West Surrey</v>
          </cell>
          <cell r="N684" t="str">
            <v>GU7 1UW</v>
          </cell>
          <cell r="O684" t="str">
            <v>Not applicable</v>
          </cell>
          <cell r="P684">
            <v>7</v>
          </cell>
          <cell r="Q684">
            <v>20</v>
          </cell>
          <cell r="R684" t="str">
            <v>None</v>
          </cell>
          <cell r="S684" t="str">
            <v>Ofsted</v>
          </cell>
          <cell r="T684" t="str">
            <v>NULL</v>
          </cell>
          <cell r="U684" t="str">
            <v>NULL</v>
          </cell>
          <cell r="V684" t="str">
            <v>NULL</v>
          </cell>
          <cell r="W684" t="str">
            <v>NULL</v>
          </cell>
          <cell r="X684" t="str">
            <v>NULL</v>
          </cell>
          <cell r="Y684" t="str">
            <v>NULL</v>
          </cell>
          <cell r="Z684" t="str">
            <v>NULL</v>
          </cell>
          <cell r="AA684">
            <v>10017962</v>
          </cell>
          <cell r="AB684" t="str">
            <v xml:space="preserve">Independent School standard inspection - integrated </v>
          </cell>
          <cell r="AC684" t="str">
            <v>Independent Standard Inspection</v>
          </cell>
          <cell r="AD684">
            <v>42500</v>
          </cell>
          <cell r="AE684">
            <v>42502</v>
          </cell>
          <cell r="AF684">
            <v>42534</v>
          </cell>
          <cell r="AG684">
            <v>2</v>
          </cell>
          <cell r="AH684">
            <v>2</v>
          </cell>
          <cell r="AI684">
            <v>2</v>
          </cell>
          <cell r="AJ684">
            <v>1</v>
          </cell>
          <cell r="AK684">
            <v>2</v>
          </cell>
          <cell r="AL684" t="str">
            <v>NULL</v>
          </cell>
          <cell r="AM684">
            <v>2</v>
          </cell>
          <cell r="AN684" t="str">
            <v>Yes</v>
          </cell>
          <cell r="AO684" t="str">
            <v>ITS423546</v>
          </cell>
          <cell r="AP684" t="str">
            <v xml:space="preserve">Independent School standard inspection - integrated </v>
          </cell>
          <cell r="AQ684" t="str">
            <v>Independent Standard Inspection</v>
          </cell>
          <cell r="AR684">
            <v>41457</v>
          </cell>
          <cell r="AS684">
            <v>41459</v>
          </cell>
          <cell r="AT684">
            <v>41522</v>
          </cell>
          <cell r="AU684">
            <v>2</v>
          </cell>
          <cell r="AV684">
            <v>2</v>
          </cell>
          <cell r="AW684">
            <v>2</v>
          </cell>
          <cell r="AX684">
            <v>2</v>
          </cell>
          <cell r="AY684" t="str">
            <v>NULL</v>
          </cell>
          <cell r="AZ684" t="str">
            <v>NULL</v>
          </cell>
          <cell r="BA684" t="str">
            <v>NULL</v>
          </cell>
          <cell r="BB684" t="str">
            <v>NULL</v>
          </cell>
        </row>
        <row r="685">
          <cell r="D685">
            <v>113019</v>
          </cell>
          <cell r="E685">
            <v>8306009</v>
          </cell>
          <cell r="F685" t="str">
            <v>Bladon House School</v>
          </cell>
          <cell r="G685" t="str">
            <v>Other Independent Special School</v>
          </cell>
          <cell r="H685">
            <v>26054</v>
          </cell>
          <cell r="I685">
            <v>46</v>
          </cell>
          <cell r="J685" t="str">
            <v>East Midlands</v>
          </cell>
          <cell r="K685" t="str">
            <v>East Midlands</v>
          </cell>
          <cell r="L685" t="str">
            <v>Derbyshire</v>
          </cell>
          <cell r="M685" t="str">
            <v>South Derbyshire</v>
          </cell>
          <cell r="N685" t="str">
            <v>DE15 0TA</v>
          </cell>
          <cell r="O685" t="str">
            <v>Has a sixth form</v>
          </cell>
          <cell r="P685">
            <v>5</v>
          </cell>
          <cell r="Q685">
            <v>19</v>
          </cell>
          <cell r="R685" t="str">
            <v>None</v>
          </cell>
          <cell r="S685" t="str">
            <v>Ofsted</v>
          </cell>
          <cell r="T685" t="str">
            <v>NULL</v>
          </cell>
          <cell r="U685" t="str">
            <v>NULL</v>
          </cell>
          <cell r="V685" t="str">
            <v>NULL</v>
          </cell>
          <cell r="W685" t="str">
            <v>NULL</v>
          </cell>
          <cell r="X685" t="str">
            <v>NULL</v>
          </cell>
          <cell r="Y685" t="str">
            <v>NULL</v>
          </cell>
          <cell r="Z685" t="str">
            <v>NULL</v>
          </cell>
          <cell r="AA685">
            <v>10012886</v>
          </cell>
          <cell r="AB685" t="str">
            <v>Independent School standard inspection</v>
          </cell>
          <cell r="AC685" t="str">
            <v>Independent Standard Inspection</v>
          </cell>
          <cell r="AD685">
            <v>42494</v>
          </cell>
          <cell r="AE685">
            <v>42496</v>
          </cell>
          <cell r="AF685">
            <v>42538</v>
          </cell>
          <cell r="AG685">
            <v>2</v>
          </cell>
          <cell r="AH685">
            <v>2</v>
          </cell>
          <cell r="AI685">
            <v>2</v>
          </cell>
          <cell r="AJ685">
            <v>2</v>
          </cell>
          <cell r="AK685">
            <v>2</v>
          </cell>
          <cell r="AL685" t="str">
            <v>NULL</v>
          </cell>
          <cell r="AM685">
            <v>2</v>
          </cell>
          <cell r="AN685" t="str">
            <v>Yes</v>
          </cell>
          <cell r="AO685" t="str">
            <v>ITS420228</v>
          </cell>
          <cell r="AP685" t="str">
            <v xml:space="preserve">Independent School standard inspection - integrated </v>
          </cell>
          <cell r="AQ685" t="str">
            <v>Independent Standard Inspection</v>
          </cell>
          <cell r="AR685">
            <v>41541</v>
          </cell>
          <cell r="AS685">
            <v>41543</v>
          </cell>
          <cell r="AT685">
            <v>41564</v>
          </cell>
          <cell r="AU685">
            <v>2</v>
          </cell>
          <cell r="AV685">
            <v>2</v>
          </cell>
          <cell r="AW685">
            <v>2</v>
          </cell>
          <cell r="AX685">
            <v>2</v>
          </cell>
          <cell r="AY685" t="str">
            <v>NULL</v>
          </cell>
          <cell r="AZ685" t="str">
            <v>NULL</v>
          </cell>
          <cell r="BA685" t="str">
            <v>NULL</v>
          </cell>
          <cell r="BB685" t="str">
            <v>NULL</v>
          </cell>
        </row>
        <row r="686">
          <cell r="D686">
            <v>135518</v>
          </cell>
          <cell r="E686">
            <v>3336004</v>
          </cell>
          <cell r="F686" t="str">
            <v>Bloomfield School</v>
          </cell>
          <cell r="G686" t="str">
            <v>Other Independent Special School</v>
          </cell>
          <cell r="H686">
            <v>39507</v>
          </cell>
          <cell r="I686">
            <v>60</v>
          </cell>
          <cell r="J686" t="str">
            <v>West Midlands</v>
          </cell>
          <cell r="K686" t="str">
            <v>West Midlands</v>
          </cell>
          <cell r="L686" t="str">
            <v>Sandwell</v>
          </cell>
          <cell r="M686" t="str">
            <v>West Bromwich West</v>
          </cell>
          <cell r="N686" t="str">
            <v>DY4 9ER</v>
          </cell>
          <cell r="O686" t="str">
            <v>Not applicable</v>
          </cell>
          <cell r="P686">
            <v>11</v>
          </cell>
          <cell r="Q686">
            <v>16</v>
          </cell>
          <cell r="R686" t="str">
            <v>None</v>
          </cell>
          <cell r="S686" t="str">
            <v>Ofsted</v>
          </cell>
          <cell r="T686" t="str">
            <v>NULL</v>
          </cell>
          <cell r="U686" t="str">
            <v>NULL</v>
          </cell>
          <cell r="V686" t="str">
            <v>NULL</v>
          </cell>
          <cell r="W686" t="str">
            <v>NULL</v>
          </cell>
          <cell r="X686" t="str">
            <v>NULL</v>
          </cell>
          <cell r="Y686" t="str">
            <v>NULL</v>
          </cell>
          <cell r="Z686" t="str">
            <v>NULL</v>
          </cell>
          <cell r="AA686">
            <v>10008602</v>
          </cell>
          <cell r="AB686" t="str">
            <v>Independent School standard inspection</v>
          </cell>
          <cell r="AC686" t="str">
            <v>Independent Standard Inspection</v>
          </cell>
          <cell r="AD686">
            <v>42402</v>
          </cell>
          <cell r="AE686">
            <v>42404</v>
          </cell>
          <cell r="AF686">
            <v>42436</v>
          </cell>
          <cell r="AG686">
            <v>2</v>
          </cell>
          <cell r="AH686">
            <v>2</v>
          </cell>
          <cell r="AI686">
            <v>2</v>
          </cell>
          <cell r="AJ686">
            <v>2</v>
          </cell>
          <cell r="AK686">
            <v>1</v>
          </cell>
          <cell r="AL686" t="str">
            <v>NULL</v>
          </cell>
          <cell r="AM686" t="str">
            <v>NULL</v>
          </cell>
          <cell r="AN686" t="str">
            <v>Yes</v>
          </cell>
          <cell r="AO686" t="str">
            <v>ITS397680</v>
          </cell>
          <cell r="AP686" t="str">
            <v>Independent School standard inspection</v>
          </cell>
          <cell r="AQ686" t="str">
            <v>Independent Standard Inspection</v>
          </cell>
          <cell r="AR686">
            <v>41080</v>
          </cell>
          <cell r="AS686">
            <v>41081</v>
          </cell>
          <cell r="AT686">
            <v>41103</v>
          </cell>
          <cell r="AU686">
            <v>2</v>
          </cell>
          <cell r="AV686">
            <v>2</v>
          </cell>
          <cell r="AW686">
            <v>2</v>
          </cell>
          <cell r="AX686" t="str">
            <v>NULL</v>
          </cell>
          <cell r="AY686" t="str">
            <v>NULL</v>
          </cell>
          <cell r="AZ686">
            <v>8</v>
          </cell>
          <cell r="BA686" t="str">
            <v>NULL</v>
          </cell>
          <cell r="BB686" t="str">
            <v>NULL</v>
          </cell>
        </row>
        <row r="687">
          <cell r="D687">
            <v>102694</v>
          </cell>
          <cell r="E687">
            <v>3156076</v>
          </cell>
          <cell r="F687" t="str">
            <v>Blossom House School</v>
          </cell>
          <cell r="G687" t="str">
            <v>Other Independent Special School</v>
          </cell>
          <cell r="H687">
            <v>34610</v>
          </cell>
          <cell r="I687">
            <v>216</v>
          </cell>
          <cell r="J687" t="str">
            <v>London</v>
          </cell>
          <cell r="K687" t="str">
            <v>London</v>
          </cell>
          <cell r="L687" t="str">
            <v>Merton</v>
          </cell>
          <cell r="M687" t="str">
            <v>Wimbledon</v>
          </cell>
          <cell r="N687" t="str">
            <v>KT3 6JJ</v>
          </cell>
          <cell r="O687" t="str">
            <v>Not applicable</v>
          </cell>
          <cell r="P687">
            <v>3</v>
          </cell>
          <cell r="Q687">
            <v>19</v>
          </cell>
          <cell r="R687" t="str">
            <v>None</v>
          </cell>
          <cell r="S687" t="str">
            <v>Ofsted</v>
          </cell>
          <cell r="T687" t="str">
            <v>NULL</v>
          </cell>
          <cell r="U687" t="str">
            <v>NULL</v>
          </cell>
          <cell r="V687" t="str">
            <v>NULL</v>
          </cell>
          <cell r="W687" t="str">
            <v>NULL</v>
          </cell>
          <cell r="X687" t="str">
            <v>NULL</v>
          </cell>
          <cell r="Y687" t="str">
            <v>NULL</v>
          </cell>
          <cell r="Z687" t="str">
            <v>NULL</v>
          </cell>
          <cell r="AA687">
            <v>10006008</v>
          </cell>
          <cell r="AB687" t="str">
            <v>Independent School standard inspection</v>
          </cell>
          <cell r="AC687" t="str">
            <v>Independent Standard Inspection</v>
          </cell>
          <cell r="AD687">
            <v>42710</v>
          </cell>
          <cell r="AE687">
            <v>42712</v>
          </cell>
          <cell r="AF687">
            <v>42790</v>
          </cell>
          <cell r="AG687">
            <v>1</v>
          </cell>
          <cell r="AH687">
            <v>1</v>
          </cell>
          <cell r="AI687">
            <v>1</v>
          </cell>
          <cell r="AJ687">
            <v>1</v>
          </cell>
          <cell r="AK687">
            <v>1</v>
          </cell>
          <cell r="AL687">
            <v>1</v>
          </cell>
          <cell r="AM687">
            <v>1</v>
          </cell>
          <cell r="AN687" t="str">
            <v>Yes</v>
          </cell>
          <cell r="AO687" t="str">
            <v>ITS386902</v>
          </cell>
          <cell r="AP687" t="str">
            <v>Independent School standard inspection</v>
          </cell>
          <cell r="AQ687" t="str">
            <v>Independent Standard Inspection</v>
          </cell>
          <cell r="AR687">
            <v>40974</v>
          </cell>
          <cell r="AS687">
            <v>40975</v>
          </cell>
          <cell r="AT687">
            <v>41241</v>
          </cell>
          <cell r="AU687">
            <v>1</v>
          </cell>
          <cell r="AV687">
            <v>1</v>
          </cell>
          <cell r="AW687">
            <v>1</v>
          </cell>
          <cell r="AX687" t="str">
            <v>NULL</v>
          </cell>
          <cell r="AY687" t="str">
            <v>NULL</v>
          </cell>
          <cell r="AZ687">
            <v>8</v>
          </cell>
          <cell r="BA687" t="str">
            <v>NULL</v>
          </cell>
          <cell r="BB687" t="str">
            <v>NULL</v>
          </cell>
        </row>
        <row r="688">
          <cell r="D688">
            <v>131536</v>
          </cell>
          <cell r="E688">
            <v>8916026</v>
          </cell>
          <cell r="F688" t="str">
            <v>Blue Mountain Education</v>
          </cell>
          <cell r="G688" t="str">
            <v>Other Independent Special School</v>
          </cell>
          <cell r="H688">
            <v>38814</v>
          </cell>
          <cell r="I688">
            <v>4</v>
          </cell>
          <cell r="J688" t="str">
            <v>East Midlands</v>
          </cell>
          <cell r="K688" t="str">
            <v>East Midlands</v>
          </cell>
          <cell r="L688" t="str">
            <v>Nottinghamshire</v>
          </cell>
          <cell r="M688" t="str">
            <v>Broxtowe</v>
          </cell>
          <cell r="N688" t="str">
            <v>NG16 2SD</v>
          </cell>
          <cell r="O688" t="str">
            <v>Not applicable</v>
          </cell>
          <cell r="P688">
            <v>8</v>
          </cell>
          <cell r="Q688">
            <v>18</v>
          </cell>
          <cell r="R688" t="str">
            <v>None</v>
          </cell>
          <cell r="S688" t="str">
            <v>Ofsted</v>
          </cell>
          <cell r="T688" t="str">
            <v>NULL</v>
          </cell>
          <cell r="U688" t="str">
            <v>NULL</v>
          </cell>
          <cell r="V688" t="str">
            <v>NULL</v>
          </cell>
          <cell r="W688" t="str">
            <v>NULL</v>
          </cell>
          <cell r="X688" t="str">
            <v>NULL</v>
          </cell>
          <cell r="Y688" t="str">
            <v>NULL</v>
          </cell>
          <cell r="Z688" t="str">
            <v>NULL</v>
          </cell>
          <cell r="AA688">
            <v>10033624</v>
          </cell>
          <cell r="AB688" t="str">
            <v xml:space="preserve">Independent School standard inspection - integrated </v>
          </cell>
          <cell r="AC688" t="str">
            <v>Independent Standard Inspection</v>
          </cell>
          <cell r="AD688">
            <v>42906</v>
          </cell>
          <cell r="AE688">
            <v>42907</v>
          </cell>
          <cell r="AF688">
            <v>42933</v>
          </cell>
          <cell r="AG688">
            <v>2</v>
          </cell>
          <cell r="AH688">
            <v>2</v>
          </cell>
          <cell r="AI688">
            <v>2</v>
          </cell>
          <cell r="AJ688">
            <v>2</v>
          </cell>
          <cell r="AK688">
            <v>2</v>
          </cell>
          <cell r="AL688" t="str">
            <v>NULL</v>
          </cell>
          <cell r="AM688" t="str">
            <v>NULL</v>
          </cell>
          <cell r="AN688" t="str">
            <v>Yes</v>
          </cell>
          <cell r="AO688" t="str">
            <v>ITS446391</v>
          </cell>
          <cell r="AP688" t="str">
            <v>Independent school standard inspection - aligned with CH</v>
          </cell>
          <cell r="AQ688" t="str">
            <v>Independent Standard Inspection</v>
          </cell>
          <cell r="AR688">
            <v>41801</v>
          </cell>
          <cell r="AS688">
            <v>41803</v>
          </cell>
          <cell r="AT688">
            <v>41836</v>
          </cell>
          <cell r="AU688">
            <v>3</v>
          </cell>
          <cell r="AV688">
            <v>3</v>
          </cell>
          <cell r="AW688">
            <v>3</v>
          </cell>
          <cell r="AX688">
            <v>3</v>
          </cell>
          <cell r="AY688" t="str">
            <v>NULL</v>
          </cell>
          <cell r="AZ688" t="str">
            <v>NULL</v>
          </cell>
          <cell r="BA688" t="str">
            <v>NULL</v>
          </cell>
          <cell r="BB688" t="str">
            <v>NULL</v>
          </cell>
        </row>
        <row r="689">
          <cell r="D689">
            <v>141879</v>
          </cell>
          <cell r="E689">
            <v>8736052</v>
          </cell>
          <cell r="F689" t="str">
            <v>Cambian Home Tree School</v>
          </cell>
          <cell r="G689" t="str">
            <v>Other Independent Special School</v>
          </cell>
          <cell r="H689">
            <v>42068</v>
          </cell>
          <cell r="I689">
            <v>20</v>
          </cell>
          <cell r="J689" t="str">
            <v>East of England</v>
          </cell>
          <cell r="K689" t="str">
            <v>East of England</v>
          </cell>
          <cell r="L689" t="str">
            <v>Cambridgeshire</v>
          </cell>
          <cell r="M689" t="str">
            <v>North East Cambridgeshire</v>
          </cell>
          <cell r="N689" t="str">
            <v>PE14 0LP</v>
          </cell>
          <cell r="O689" t="str">
            <v>Not applicable</v>
          </cell>
          <cell r="P689">
            <v>12</v>
          </cell>
          <cell r="Q689">
            <v>18</v>
          </cell>
          <cell r="R689" t="str">
            <v>None</v>
          </cell>
          <cell r="S689" t="str">
            <v>Ofsted</v>
          </cell>
          <cell r="T689" t="str">
            <v>NULL</v>
          </cell>
          <cell r="U689" t="str">
            <v>NULL</v>
          </cell>
          <cell r="V689" t="str">
            <v>NULL</v>
          </cell>
          <cell r="W689" t="str">
            <v>NULL</v>
          </cell>
          <cell r="X689" t="str">
            <v>NULL</v>
          </cell>
          <cell r="Y689" t="str">
            <v>NULL</v>
          </cell>
          <cell r="Z689" t="str">
            <v>NULL</v>
          </cell>
          <cell r="AA689">
            <v>10018105</v>
          </cell>
          <cell r="AB689" t="str">
            <v>Independent school standard inspection - aligned with CH - first</v>
          </cell>
          <cell r="AC689" t="str">
            <v>Independent Standard Inspection</v>
          </cell>
          <cell r="AD689">
            <v>42528</v>
          </cell>
          <cell r="AE689">
            <v>42530</v>
          </cell>
          <cell r="AF689">
            <v>42563</v>
          </cell>
          <cell r="AG689">
            <v>2</v>
          </cell>
          <cell r="AH689">
            <v>2</v>
          </cell>
          <cell r="AI689">
            <v>2</v>
          </cell>
          <cell r="AJ689">
            <v>2</v>
          </cell>
          <cell r="AK689">
            <v>2</v>
          </cell>
          <cell r="AL689" t="str">
            <v>NULL</v>
          </cell>
          <cell r="AM689">
            <v>2</v>
          </cell>
          <cell r="AN689" t="str">
            <v>Yes</v>
          </cell>
          <cell r="AO689" t="str">
            <v>NULL</v>
          </cell>
          <cell r="AP689" t="str">
            <v>NULL</v>
          </cell>
          <cell r="AQ689" t="str">
            <v>NULL</v>
          </cell>
          <cell r="AR689" t="str">
            <v>NULL</v>
          </cell>
          <cell r="AS689" t="str">
            <v>NULL</v>
          </cell>
          <cell r="AT689" t="str">
            <v>NULL</v>
          </cell>
          <cell r="AU689" t="str">
            <v>NULL</v>
          </cell>
          <cell r="AV689" t="str">
            <v>NULL</v>
          </cell>
          <cell r="AW689" t="str">
            <v>NULL</v>
          </cell>
          <cell r="AX689" t="str">
            <v>NULL</v>
          </cell>
          <cell r="AY689" t="str">
            <v>NULL</v>
          </cell>
          <cell r="AZ689" t="str">
            <v>NULL</v>
          </cell>
          <cell r="BA689" t="str">
            <v>NULL</v>
          </cell>
          <cell r="BB689" t="str">
            <v>NULL</v>
          </cell>
        </row>
        <row r="690">
          <cell r="D690">
            <v>117030</v>
          </cell>
          <cell r="E690">
            <v>8856021</v>
          </cell>
          <cell r="F690" t="str">
            <v>Cambian New Elizabethan School</v>
          </cell>
          <cell r="G690" t="str">
            <v>Other Independent Special School</v>
          </cell>
          <cell r="H690">
            <v>21102</v>
          </cell>
          <cell r="I690">
            <v>42</v>
          </cell>
          <cell r="J690" t="str">
            <v>West Midlands</v>
          </cell>
          <cell r="K690" t="str">
            <v>West Midlands</v>
          </cell>
          <cell r="L690" t="str">
            <v>Worcestershire</v>
          </cell>
          <cell r="M690" t="str">
            <v>Mid Worcestershire</v>
          </cell>
          <cell r="N690" t="str">
            <v>DY11 7TE</v>
          </cell>
          <cell r="O690" t="str">
            <v>Has a sixth form</v>
          </cell>
          <cell r="P690">
            <v>7</v>
          </cell>
          <cell r="Q690">
            <v>19</v>
          </cell>
          <cell r="R690" t="str">
            <v>None</v>
          </cell>
          <cell r="S690" t="str">
            <v>Ofsted</v>
          </cell>
          <cell r="T690" t="str">
            <v>NULL</v>
          </cell>
          <cell r="U690" t="str">
            <v>NULL</v>
          </cell>
          <cell r="V690" t="str">
            <v>NULL</v>
          </cell>
          <cell r="W690" t="str">
            <v>NULL</v>
          </cell>
          <cell r="X690" t="str">
            <v>NULL</v>
          </cell>
          <cell r="Y690" t="str">
            <v>NULL</v>
          </cell>
          <cell r="Z690" t="str">
            <v>NULL</v>
          </cell>
          <cell r="AA690">
            <v>10020929</v>
          </cell>
          <cell r="AB690" t="str">
            <v>Independent School standard inspection</v>
          </cell>
          <cell r="AC690" t="str">
            <v>Independent Standard Inspection</v>
          </cell>
          <cell r="AD690">
            <v>43046</v>
          </cell>
          <cell r="AE690">
            <v>43048</v>
          </cell>
          <cell r="AF690">
            <v>43123</v>
          </cell>
          <cell r="AG690">
            <v>2</v>
          </cell>
          <cell r="AH690">
            <v>2</v>
          </cell>
          <cell r="AI690">
            <v>2</v>
          </cell>
          <cell r="AJ690">
            <v>2</v>
          </cell>
          <cell r="AK690">
            <v>2</v>
          </cell>
          <cell r="AL690" t="str">
            <v>NULL</v>
          </cell>
          <cell r="AM690">
            <v>2</v>
          </cell>
          <cell r="AN690" t="str">
            <v>Yes</v>
          </cell>
          <cell r="AO690" t="str">
            <v>ITS411692</v>
          </cell>
          <cell r="AP690" t="str">
            <v>Independent School standard inspection</v>
          </cell>
          <cell r="AQ690" t="str">
            <v>Independent Standard Inspection</v>
          </cell>
          <cell r="AR690">
            <v>41309</v>
          </cell>
          <cell r="AS690">
            <v>41311</v>
          </cell>
          <cell r="AT690">
            <v>41333</v>
          </cell>
          <cell r="AU690">
            <v>2</v>
          </cell>
          <cell r="AV690">
            <v>2</v>
          </cell>
          <cell r="AW690">
            <v>2</v>
          </cell>
          <cell r="AX690">
            <v>2</v>
          </cell>
          <cell r="AY690" t="str">
            <v>NULL</v>
          </cell>
          <cell r="AZ690" t="str">
            <v>NULL</v>
          </cell>
          <cell r="BA690" t="str">
            <v>NULL</v>
          </cell>
          <cell r="BB690" t="str">
            <v>NULL</v>
          </cell>
        </row>
        <row r="691">
          <cell r="D691">
            <v>134660</v>
          </cell>
          <cell r="E691">
            <v>8156036</v>
          </cell>
          <cell r="F691" t="str">
            <v>Cambian Scarborough School</v>
          </cell>
          <cell r="G691" t="str">
            <v>Other Independent Special School</v>
          </cell>
          <cell r="H691">
            <v>38055</v>
          </cell>
          <cell r="I691">
            <v>16</v>
          </cell>
          <cell r="J691" t="str">
            <v>North East, Yorkshire and the Humber</v>
          </cell>
          <cell r="K691" t="str">
            <v>Yorkshire and the Humber</v>
          </cell>
          <cell r="L691" t="str">
            <v>North Yorkshire</v>
          </cell>
          <cell r="M691" t="str">
            <v>Scarborough and Whitby</v>
          </cell>
          <cell r="N691" t="str">
            <v>YO11 3BQ</v>
          </cell>
          <cell r="O691" t="str">
            <v>Has a sixth form</v>
          </cell>
          <cell r="P691">
            <v>8</v>
          </cell>
          <cell r="Q691">
            <v>18</v>
          </cell>
          <cell r="R691" t="str">
            <v>None</v>
          </cell>
          <cell r="S691" t="str">
            <v>Ofsted</v>
          </cell>
          <cell r="T691" t="str">
            <v>NULL</v>
          </cell>
          <cell r="U691" t="str">
            <v>NULL</v>
          </cell>
          <cell r="V691" t="str">
            <v>NULL</v>
          </cell>
          <cell r="W691" t="str">
            <v>NULL</v>
          </cell>
          <cell r="X691" t="str">
            <v>NULL</v>
          </cell>
          <cell r="Y691" t="str">
            <v>NULL</v>
          </cell>
          <cell r="Z691" t="str">
            <v>NULL</v>
          </cell>
          <cell r="AA691" t="str">
            <v>ITS463007</v>
          </cell>
          <cell r="AB691" t="str">
            <v>Independent School standard inspection</v>
          </cell>
          <cell r="AC691" t="str">
            <v>Independent Standard Inspection</v>
          </cell>
          <cell r="AD691">
            <v>42122</v>
          </cell>
          <cell r="AE691">
            <v>42124</v>
          </cell>
          <cell r="AF691">
            <v>42160</v>
          </cell>
          <cell r="AG691">
            <v>2</v>
          </cell>
          <cell r="AH691">
            <v>2</v>
          </cell>
          <cell r="AI691">
            <v>2</v>
          </cell>
          <cell r="AJ691">
            <v>2</v>
          </cell>
          <cell r="AK691" t="str">
            <v>NULL</v>
          </cell>
          <cell r="AL691">
            <v>9</v>
          </cell>
          <cell r="AM691">
            <v>2</v>
          </cell>
          <cell r="AN691" t="str">
            <v>NULL</v>
          </cell>
          <cell r="AO691" t="str">
            <v>ITS386881</v>
          </cell>
          <cell r="AP691" t="str">
            <v>Independent School standard inspection</v>
          </cell>
          <cell r="AQ691" t="str">
            <v>Independent Standard Inspection</v>
          </cell>
          <cell r="AR691">
            <v>40981</v>
          </cell>
          <cell r="AS691">
            <v>40982</v>
          </cell>
          <cell r="AT691">
            <v>41003</v>
          </cell>
          <cell r="AU691">
            <v>2</v>
          </cell>
          <cell r="AV691">
            <v>2</v>
          </cell>
          <cell r="AW691">
            <v>2</v>
          </cell>
          <cell r="AX691" t="str">
            <v>NULL</v>
          </cell>
          <cell r="AY691" t="str">
            <v>NULL</v>
          </cell>
          <cell r="AZ691">
            <v>8</v>
          </cell>
          <cell r="BA691" t="str">
            <v>NULL</v>
          </cell>
          <cell r="BB691" t="str">
            <v>NULL</v>
          </cell>
        </row>
        <row r="692">
          <cell r="D692">
            <v>131455</v>
          </cell>
          <cell r="E692">
            <v>9336211</v>
          </cell>
          <cell r="F692" t="str">
            <v>Cambian Somerset School</v>
          </cell>
          <cell r="G692" t="str">
            <v>Other Independent Special School</v>
          </cell>
          <cell r="H692">
            <v>38808</v>
          </cell>
          <cell r="I692">
            <v>22</v>
          </cell>
          <cell r="J692" t="str">
            <v>South West</v>
          </cell>
          <cell r="K692" t="str">
            <v>South West</v>
          </cell>
          <cell r="L692" t="str">
            <v>Somerset</v>
          </cell>
          <cell r="M692" t="str">
            <v>Taunton Deane</v>
          </cell>
          <cell r="N692" t="str">
            <v>TA3 5PX</v>
          </cell>
          <cell r="O692" t="str">
            <v>Not applicable</v>
          </cell>
          <cell r="P692">
            <v>10</v>
          </cell>
          <cell r="Q692">
            <v>18</v>
          </cell>
          <cell r="R692" t="str">
            <v>None</v>
          </cell>
          <cell r="S692" t="str">
            <v>Ofsted</v>
          </cell>
          <cell r="T692" t="str">
            <v>NULL</v>
          </cell>
          <cell r="U692" t="str">
            <v>NULL</v>
          </cell>
          <cell r="V692" t="str">
            <v>NULL</v>
          </cell>
          <cell r="W692" t="str">
            <v>NULL</v>
          </cell>
          <cell r="X692" t="str">
            <v>NULL</v>
          </cell>
          <cell r="Y692" t="str">
            <v>NULL</v>
          </cell>
          <cell r="Z692" t="str">
            <v>NULL</v>
          </cell>
          <cell r="AA692" t="str">
            <v>ITS454261</v>
          </cell>
          <cell r="AB692" t="str">
            <v>Independent School standard inspection</v>
          </cell>
          <cell r="AC692" t="str">
            <v>Independent Standard Inspection</v>
          </cell>
          <cell r="AD692">
            <v>42087</v>
          </cell>
          <cell r="AE692">
            <v>42089</v>
          </cell>
          <cell r="AF692">
            <v>42129</v>
          </cell>
          <cell r="AG692">
            <v>2</v>
          </cell>
          <cell r="AH692">
            <v>2</v>
          </cell>
          <cell r="AI692">
            <v>2</v>
          </cell>
          <cell r="AJ692">
            <v>2</v>
          </cell>
          <cell r="AK692" t="str">
            <v>NULL</v>
          </cell>
          <cell r="AL692">
            <v>9</v>
          </cell>
          <cell r="AM692">
            <v>9</v>
          </cell>
          <cell r="AN692" t="str">
            <v>NULL</v>
          </cell>
          <cell r="AO692" t="str">
            <v>ITS385161</v>
          </cell>
          <cell r="AP692" t="str">
            <v>Independent School standard inspection</v>
          </cell>
          <cell r="AQ692" t="str">
            <v>Independent Standard Inspection</v>
          </cell>
          <cell r="AR692">
            <v>40807</v>
          </cell>
          <cell r="AS692">
            <v>40808</v>
          </cell>
          <cell r="AT692">
            <v>40829</v>
          </cell>
          <cell r="AU692">
            <v>2</v>
          </cell>
          <cell r="AV692">
            <v>2</v>
          </cell>
          <cell r="AW692">
            <v>2</v>
          </cell>
          <cell r="AX692" t="str">
            <v>NULL</v>
          </cell>
          <cell r="AY692" t="str">
            <v>NULL</v>
          </cell>
          <cell r="AZ692">
            <v>8</v>
          </cell>
          <cell r="BA692" t="str">
            <v>NULL</v>
          </cell>
          <cell r="BB692" t="str">
            <v>NULL</v>
          </cell>
        </row>
        <row r="693">
          <cell r="D693">
            <v>115802</v>
          </cell>
          <cell r="E693">
            <v>9166040</v>
          </cell>
          <cell r="F693" t="str">
            <v>Cotswold Chine School</v>
          </cell>
          <cell r="G693" t="str">
            <v>Other Independent Special School</v>
          </cell>
          <cell r="H693">
            <v>21166</v>
          </cell>
          <cell r="I693">
            <v>49</v>
          </cell>
          <cell r="J693" t="str">
            <v>South West</v>
          </cell>
          <cell r="K693" t="str">
            <v>South West</v>
          </cell>
          <cell r="L693" t="str">
            <v>Gloucestershire</v>
          </cell>
          <cell r="M693" t="str">
            <v>The Cotswolds</v>
          </cell>
          <cell r="N693" t="str">
            <v>GL6 9AG</v>
          </cell>
          <cell r="O693" t="str">
            <v>Not applicable</v>
          </cell>
          <cell r="P693">
            <v>7</v>
          </cell>
          <cell r="Q693">
            <v>19</v>
          </cell>
          <cell r="R693" t="str">
            <v>None</v>
          </cell>
          <cell r="S693" t="str">
            <v>Ofsted</v>
          </cell>
          <cell r="T693" t="str">
            <v>NULL</v>
          </cell>
          <cell r="U693" t="str">
            <v>NULL</v>
          </cell>
          <cell r="V693" t="str">
            <v>NULL</v>
          </cell>
          <cell r="W693" t="str">
            <v>NULL</v>
          </cell>
          <cell r="X693" t="str">
            <v>NULL</v>
          </cell>
          <cell r="Y693" t="str">
            <v>NULL</v>
          </cell>
          <cell r="Z693" t="str">
            <v>NULL</v>
          </cell>
          <cell r="AA693">
            <v>10035561</v>
          </cell>
          <cell r="AB693" t="str">
            <v xml:space="preserve">Independent School standard inspection - integrated </v>
          </cell>
          <cell r="AC693" t="str">
            <v>Independent Standard Inspection</v>
          </cell>
          <cell r="AD693">
            <v>43004</v>
          </cell>
          <cell r="AE693">
            <v>43006</v>
          </cell>
          <cell r="AF693">
            <v>43045</v>
          </cell>
          <cell r="AG693">
            <v>2</v>
          </cell>
          <cell r="AH693">
            <v>2</v>
          </cell>
          <cell r="AI693">
            <v>2</v>
          </cell>
          <cell r="AJ693">
            <v>2</v>
          </cell>
          <cell r="AK693">
            <v>2</v>
          </cell>
          <cell r="AL693" t="str">
            <v>NULL</v>
          </cell>
          <cell r="AM693">
            <v>2</v>
          </cell>
          <cell r="AN693" t="str">
            <v>Yes</v>
          </cell>
          <cell r="AO693">
            <v>10007067</v>
          </cell>
          <cell r="AP693" t="str">
            <v>Independent school standard inspection - aligned with CH</v>
          </cell>
          <cell r="AQ693" t="str">
            <v>Independent Standard Inspection</v>
          </cell>
          <cell r="AR693">
            <v>42291</v>
          </cell>
          <cell r="AS693">
            <v>42292</v>
          </cell>
          <cell r="AT693">
            <v>42408</v>
          </cell>
          <cell r="AU693">
            <v>4</v>
          </cell>
          <cell r="AV693">
            <v>3</v>
          </cell>
          <cell r="AW693">
            <v>3</v>
          </cell>
          <cell r="AX693">
            <v>4</v>
          </cell>
          <cell r="AY693">
            <v>4</v>
          </cell>
          <cell r="AZ693" t="str">
            <v>NULL</v>
          </cell>
          <cell r="BA693">
            <v>4</v>
          </cell>
          <cell r="BB693" t="str">
            <v>No</v>
          </cell>
        </row>
        <row r="694">
          <cell r="D694">
            <v>116586</v>
          </cell>
          <cell r="E694">
            <v>8506017</v>
          </cell>
          <cell r="F694" t="str">
            <v>Coxlease School</v>
          </cell>
          <cell r="G694" t="str">
            <v>Other Independent Special School</v>
          </cell>
          <cell r="H694">
            <v>30028</v>
          </cell>
          <cell r="I694">
            <v>63</v>
          </cell>
          <cell r="J694" t="str">
            <v>South East</v>
          </cell>
          <cell r="K694" t="str">
            <v>South East</v>
          </cell>
          <cell r="L694" t="str">
            <v>Hampshire</v>
          </cell>
          <cell r="M694" t="str">
            <v>New Forest East</v>
          </cell>
          <cell r="N694" t="str">
            <v>SO43 7DE</v>
          </cell>
          <cell r="O694" t="str">
            <v>Not applicable</v>
          </cell>
          <cell r="P694">
            <v>5</v>
          </cell>
          <cell r="Q694">
            <v>19</v>
          </cell>
          <cell r="R694" t="str">
            <v>None</v>
          </cell>
          <cell r="S694" t="str">
            <v>Ofsted</v>
          </cell>
          <cell r="T694" t="str">
            <v>NULL</v>
          </cell>
          <cell r="U694" t="str">
            <v>NULL</v>
          </cell>
          <cell r="V694" t="str">
            <v>NULL</v>
          </cell>
          <cell r="W694" t="str">
            <v>NULL</v>
          </cell>
          <cell r="X694" t="str">
            <v>NULL</v>
          </cell>
          <cell r="Y694" t="str">
            <v>NULL</v>
          </cell>
          <cell r="Z694" t="str">
            <v>NULL</v>
          </cell>
          <cell r="AA694">
            <v>10034635</v>
          </cell>
          <cell r="AB694" t="str">
            <v>Independent School standard inspection</v>
          </cell>
          <cell r="AC694" t="str">
            <v>Independent Standard Inspection</v>
          </cell>
          <cell r="AD694">
            <v>42927</v>
          </cell>
          <cell r="AE694">
            <v>42929</v>
          </cell>
          <cell r="AF694">
            <v>43005</v>
          </cell>
          <cell r="AG694">
            <v>1</v>
          </cell>
          <cell r="AH694">
            <v>1</v>
          </cell>
          <cell r="AI694">
            <v>1</v>
          </cell>
          <cell r="AJ694">
            <v>1</v>
          </cell>
          <cell r="AK694">
            <v>1</v>
          </cell>
          <cell r="AL694" t="str">
            <v>NULL</v>
          </cell>
          <cell r="AM694">
            <v>1</v>
          </cell>
          <cell r="AN694" t="str">
            <v>Yes</v>
          </cell>
          <cell r="AO694">
            <v>10006133</v>
          </cell>
          <cell r="AP694" t="str">
            <v>Independent School standard inspection</v>
          </cell>
          <cell r="AQ694" t="str">
            <v>Independent Standard Inspection</v>
          </cell>
          <cell r="AR694">
            <v>42291</v>
          </cell>
          <cell r="AS694">
            <v>42293</v>
          </cell>
          <cell r="AT694">
            <v>42387</v>
          </cell>
          <cell r="AU694">
            <v>1</v>
          </cell>
          <cell r="AV694">
            <v>1</v>
          </cell>
          <cell r="AW694">
            <v>1</v>
          </cell>
          <cell r="AX694">
            <v>1</v>
          </cell>
          <cell r="AY694">
            <v>1</v>
          </cell>
          <cell r="AZ694" t="str">
            <v>NULL</v>
          </cell>
          <cell r="BA694">
            <v>1</v>
          </cell>
          <cell r="BB694" t="str">
            <v>Yes</v>
          </cell>
        </row>
        <row r="695">
          <cell r="D695">
            <v>110178</v>
          </cell>
          <cell r="E695">
            <v>8676580</v>
          </cell>
          <cell r="F695" t="str">
            <v>Cressex Lodge (SWAAY)</v>
          </cell>
          <cell r="G695" t="str">
            <v>Other Independent Special School</v>
          </cell>
          <cell r="H695">
            <v>34463</v>
          </cell>
          <cell r="I695">
            <v>13</v>
          </cell>
          <cell r="J695" t="str">
            <v>South East</v>
          </cell>
          <cell r="K695" t="str">
            <v>South East</v>
          </cell>
          <cell r="L695" t="str">
            <v>Bracknell Forest</v>
          </cell>
          <cell r="M695" t="str">
            <v>Windsor</v>
          </cell>
          <cell r="N695" t="str">
            <v>RG42 4DE</v>
          </cell>
          <cell r="O695" t="str">
            <v>Not applicable</v>
          </cell>
          <cell r="P695">
            <v>11</v>
          </cell>
          <cell r="Q695">
            <v>17</v>
          </cell>
          <cell r="R695" t="str">
            <v>None</v>
          </cell>
          <cell r="S695" t="str">
            <v>Ofsted</v>
          </cell>
          <cell r="T695" t="str">
            <v>NULL</v>
          </cell>
          <cell r="U695" t="str">
            <v>NULL</v>
          </cell>
          <cell r="V695" t="str">
            <v>NULL</v>
          </cell>
          <cell r="W695" t="str">
            <v>NULL</v>
          </cell>
          <cell r="X695" t="str">
            <v>NULL</v>
          </cell>
          <cell r="Y695" t="str">
            <v>NULL</v>
          </cell>
          <cell r="Z695" t="str">
            <v>NULL</v>
          </cell>
          <cell r="AA695">
            <v>10006109</v>
          </cell>
          <cell r="AB695" t="str">
            <v>Independent School standard inspection</v>
          </cell>
          <cell r="AC695" t="str">
            <v>Independent Standard Inspection</v>
          </cell>
          <cell r="AD695">
            <v>42920</v>
          </cell>
          <cell r="AE695">
            <v>42922</v>
          </cell>
          <cell r="AF695">
            <v>42985</v>
          </cell>
          <cell r="AG695">
            <v>2</v>
          </cell>
          <cell r="AH695">
            <v>2</v>
          </cell>
          <cell r="AI695">
            <v>2</v>
          </cell>
          <cell r="AJ695">
            <v>2</v>
          </cell>
          <cell r="AK695">
            <v>2</v>
          </cell>
          <cell r="AL695" t="str">
            <v>NULL</v>
          </cell>
          <cell r="AM695" t="str">
            <v>NULL</v>
          </cell>
          <cell r="AN695" t="str">
            <v>Yes</v>
          </cell>
          <cell r="AO695" t="str">
            <v>ITS397668</v>
          </cell>
          <cell r="AP695" t="str">
            <v>Independent School standard inspection</v>
          </cell>
          <cell r="AQ695" t="str">
            <v>Independent Standard Inspection</v>
          </cell>
          <cell r="AR695">
            <v>41178</v>
          </cell>
          <cell r="AS695">
            <v>41179</v>
          </cell>
          <cell r="AT695">
            <v>41200</v>
          </cell>
          <cell r="AU695">
            <v>3</v>
          </cell>
          <cell r="AV695">
            <v>3</v>
          </cell>
          <cell r="AW695">
            <v>3</v>
          </cell>
          <cell r="AX695" t="str">
            <v>NULL</v>
          </cell>
          <cell r="AY695" t="str">
            <v>NULL</v>
          </cell>
          <cell r="AZ695">
            <v>8</v>
          </cell>
          <cell r="BA695" t="str">
            <v>NULL</v>
          </cell>
          <cell r="BB695" t="str">
            <v>NULL</v>
          </cell>
        </row>
        <row r="696">
          <cell r="D696">
            <v>133438</v>
          </cell>
          <cell r="E696">
            <v>3066104</v>
          </cell>
          <cell r="F696" t="str">
            <v>Cressey College</v>
          </cell>
          <cell r="G696" t="str">
            <v>Other Independent Special School</v>
          </cell>
          <cell r="H696">
            <v>38958</v>
          </cell>
          <cell r="I696">
            <v>102</v>
          </cell>
          <cell r="J696" t="str">
            <v>London</v>
          </cell>
          <cell r="K696" t="str">
            <v>London</v>
          </cell>
          <cell r="L696" t="str">
            <v>Croydon</v>
          </cell>
          <cell r="M696" t="str">
            <v>Croydon Central</v>
          </cell>
          <cell r="N696" t="str">
            <v>CR0 5SP</v>
          </cell>
          <cell r="O696" t="str">
            <v>Has a sixth form</v>
          </cell>
          <cell r="P696">
            <v>5</v>
          </cell>
          <cell r="Q696">
            <v>19</v>
          </cell>
          <cell r="R696" t="str">
            <v>None</v>
          </cell>
          <cell r="S696" t="str">
            <v>Ofsted</v>
          </cell>
          <cell r="T696">
            <v>4</v>
          </cell>
          <cell r="U696">
            <v>10021715</v>
          </cell>
          <cell r="V696" t="str">
            <v>Independent school Progress Monitoring inspection</v>
          </cell>
          <cell r="W696">
            <v>42663</v>
          </cell>
          <cell r="X696">
            <v>42663</v>
          </cell>
          <cell r="Y696">
            <v>42710</v>
          </cell>
          <cell r="Z696" t="str">
            <v>Met all standards that were checked</v>
          </cell>
          <cell r="AA696" t="str">
            <v>ITS422750</v>
          </cell>
          <cell r="AB696" t="str">
            <v>Independent School standard inspection</v>
          </cell>
          <cell r="AC696" t="str">
            <v>Independent Standard Inspection</v>
          </cell>
          <cell r="AD696">
            <v>41584</v>
          </cell>
          <cell r="AE696">
            <v>41586</v>
          </cell>
          <cell r="AF696">
            <v>41606</v>
          </cell>
          <cell r="AG696">
            <v>2</v>
          </cell>
          <cell r="AH696">
            <v>2</v>
          </cell>
          <cell r="AI696">
            <v>2</v>
          </cell>
          <cell r="AJ696">
            <v>2</v>
          </cell>
          <cell r="AK696" t="str">
            <v>NULL</v>
          </cell>
          <cell r="AL696" t="str">
            <v>NULL</v>
          </cell>
          <cell r="AM696" t="str">
            <v>NULL</v>
          </cell>
          <cell r="AN696" t="str">
            <v>NULL</v>
          </cell>
          <cell r="AO696" t="str">
            <v>ITS348770</v>
          </cell>
          <cell r="AP696" t="str">
            <v>Independent School standard inspection</v>
          </cell>
          <cell r="AQ696" t="str">
            <v>Independent Standard Inspection</v>
          </cell>
          <cell r="AR696">
            <v>40364</v>
          </cell>
          <cell r="AS696">
            <v>40365</v>
          </cell>
          <cell r="AT696">
            <v>40386</v>
          </cell>
          <cell r="AU696">
            <v>2</v>
          </cell>
          <cell r="AV696">
            <v>2</v>
          </cell>
          <cell r="AW696">
            <v>2</v>
          </cell>
          <cell r="AX696" t="str">
            <v>NULL</v>
          </cell>
          <cell r="AY696" t="str">
            <v>NULL</v>
          </cell>
          <cell r="AZ696">
            <v>8</v>
          </cell>
          <cell r="BA696" t="str">
            <v>NULL</v>
          </cell>
          <cell r="BB696" t="str">
            <v>NULL</v>
          </cell>
        </row>
        <row r="697">
          <cell r="D697">
            <v>136239</v>
          </cell>
          <cell r="E697">
            <v>3586019</v>
          </cell>
          <cell r="F697" t="str">
            <v>Fairfield House School</v>
          </cell>
          <cell r="G697" t="str">
            <v>Other Independent Special School</v>
          </cell>
          <cell r="H697">
            <v>40445</v>
          </cell>
          <cell r="I697">
            <v>3</v>
          </cell>
          <cell r="J697" t="str">
            <v>North West</v>
          </cell>
          <cell r="K697" t="str">
            <v>North West</v>
          </cell>
          <cell r="L697" t="str">
            <v>Trafford</v>
          </cell>
          <cell r="M697" t="str">
            <v>Stretford and Urmston</v>
          </cell>
          <cell r="N697" t="str">
            <v>M31 4NL</v>
          </cell>
          <cell r="O697" t="str">
            <v>Not applicable</v>
          </cell>
          <cell r="P697">
            <v>8</v>
          </cell>
          <cell r="Q697">
            <v>19</v>
          </cell>
          <cell r="R697" t="str">
            <v>Christian</v>
          </cell>
          <cell r="S697" t="str">
            <v>Ofsted</v>
          </cell>
          <cell r="T697" t="str">
            <v>NULL</v>
          </cell>
          <cell r="U697" t="str">
            <v>NULL</v>
          </cell>
          <cell r="V697" t="str">
            <v>NULL</v>
          </cell>
          <cell r="W697" t="str">
            <v>NULL</v>
          </cell>
          <cell r="X697" t="str">
            <v>NULL</v>
          </cell>
          <cell r="Y697" t="str">
            <v>NULL</v>
          </cell>
          <cell r="Z697" t="str">
            <v>NULL</v>
          </cell>
          <cell r="AA697">
            <v>10034046</v>
          </cell>
          <cell r="AB697" t="str">
            <v>Independent school standard inspection - aligned with CH</v>
          </cell>
          <cell r="AC697" t="str">
            <v>Independent Standard Inspection</v>
          </cell>
          <cell r="AD697">
            <v>42871</v>
          </cell>
          <cell r="AE697">
            <v>42872</v>
          </cell>
          <cell r="AF697">
            <v>42898</v>
          </cell>
          <cell r="AG697">
            <v>2</v>
          </cell>
          <cell r="AH697">
            <v>2</v>
          </cell>
          <cell r="AI697">
            <v>2</v>
          </cell>
          <cell r="AJ697">
            <v>2</v>
          </cell>
          <cell r="AK697">
            <v>1</v>
          </cell>
          <cell r="AL697" t="str">
            <v>NULL</v>
          </cell>
          <cell r="AM697">
            <v>2</v>
          </cell>
          <cell r="AN697" t="str">
            <v>Yes</v>
          </cell>
          <cell r="AO697" t="str">
            <v>ITS463015</v>
          </cell>
          <cell r="AP697" t="str">
            <v>Independent school standard inspection - aligned with CH</v>
          </cell>
          <cell r="AQ697" t="str">
            <v>Independent Standard Inspection</v>
          </cell>
          <cell r="AR697">
            <v>42165</v>
          </cell>
          <cell r="AS697">
            <v>42166</v>
          </cell>
          <cell r="AT697">
            <v>42209</v>
          </cell>
          <cell r="AU697">
            <v>4</v>
          </cell>
          <cell r="AV697">
            <v>2</v>
          </cell>
          <cell r="AW697">
            <v>2</v>
          </cell>
          <cell r="AX697">
            <v>4</v>
          </cell>
          <cell r="AY697" t="str">
            <v>NULL</v>
          </cell>
          <cell r="AZ697">
            <v>9</v>
          </cell>
          <cell r="BA697">
            <v>4</v>
          </cell>
          <cell r="BB697" t="str">
            <v>NULL</v>
          </cell>
        </row>
        <row r="698">
          <cell r="D698">
            <v>135623</v>
          </cell>
          <cell r="E698">
            <v>8866132</v>
          </cell>
          <cell r="F698" t="str">
            <v>Fairlight Glen Independent Special School</v>
          </cell>
          <cell r="G698" t="str">
            <v>Other Independent Special School</v>
          </cell>
          <cell r="H698">
            <v>39638</v>
          </cell>
          <cell r="I698">
            <v>4</v>
          </cell>
          <cell r="J698" t="str">
            <v>South East</v>
          </cell>
          <cell r="K698" t="str">
            <v>South East</v>
          </cell>
          <cell r="L698" t="str">
            <v>Kent</v>
          </cell>
          <cell r="M698" t="str">
            <v>North Thanet</v>
          </cell>
          <cell r="N698" t="str">
            <v>CT6 5QQ</v>
          </cell>
          <cell r="O698" t="str">
            <v>Not applicable</v>
          </cell>
          <cell r="P698">
            <v>8</v>
          </cell>
          <cell r="Q698">
            <v>18</v>
          </cell>
          <cell r="R698" t="str">
            <v>None</v>
          </cell>
          <cell r="S698" t="str">
            <v>Ofsted</v>
          </cell>
          <cell r="T698">
            <v>1</v>
          </cell>
          <cell r="U698">
            <v>10026334</v>
          </cell>
          <cell r="V698" t="str">
            <v>Independent school evaluation of school action plan</v>
          </cell>
          <cell r="W698">
            <v>42706</v>
          </cell>
          <cell r="X698">
            <v>42706</v>
          </cell>
          <cell r="Y698" t="str">
            <v>NULL</v>
          </cell>
          <cell r="Z698" t="str">
            <v>Action plan is acceptable</v>
          </cell>
          <cell r="AA698">
            <v>10006350</v>
          </cell>
          <cell r="AB698" t="str">
            <v>Independent school standard inspection - aligned with CH</v>
          </cell>
          <cell r="AC698" t="str">
            <v>Independent Standard Inspection</v>
          </cell>
          <cell r="AD698">
            <v>42633</v>
          </cell>
          <cell r="AE698">
            <v>42634</v>
          </cell>
          <cell r="AF698">
            <v>42661</v>
          </cell>
          <cell r="AG698">
            <v>3</v>
          </cell>
          <cell r="AH698">
            <v>2</v>
          </cell>
          <cell r="AI698">
            <v>2</v>
          </cell>
          <cell r="AJ698">
            <v>3</v>
          </cell>
          <cell r="AK698">
            <v>3</v>
          </cell>
          <cell r="AL698" t="str">
            <v>NULL</v>
          </cell>
          <cell r="AM698" t="str">
            <v>NULL</v>
          </cell>
          <cell r="AN698" t="str">
            <v>Yes</v>
          </cell>
          <cell r="AO698" t="str">
            <v>ITS386907</v>
          </cell>
          <cell r="AP698" t="str">
            <v>Independent School standard inspection</v>
          </cell>
          <cell r="AQ698" t="str">
            <v>Independent Standard Inspection</v>
          </cell>
          <cell r="AR698">
            <v>40946</v>
          </cell>
          <cell r="AS698">
            <v>40947</v>
          </cell>
          <cell r="AT698">
            <v>41236</v>
          </cell>
          <cell r="AU698">
            <v>2</v>
          </cell>
          <cell r="AV698">
            <v>2</v>
          </cell>
          <cell r="AW698">
            <v>2</v>
          </cell>
          <cell r="AX698" t="str">
            <v>NULL</v>
          </cell>
          <cell r="AY698" t="str">
            <v>NULL</v>
          </cell>
          <cell r="AZ698">
            <v>8</v>
          </cell>
          <cell r="BA698" t="str">
            <v>NULL</v>
          </cell>
          <cell r="BB698" t="str">
            <v>NULL</v>
          </cell>
        </row>
        <row r="699">
          <cell r="D699">
            <v>126139</v>
          </cell>
          <cell r="E699">
            <v>9386217</v>
          </cell>
          <cell r="F699" t="str">
            <v>Farney Close School</v>
          </cell>
          <cell r="G699" t="str">
            <v>Other Independent Special School</v>
          </cell>
          <cell r="H699">
            <v>21261</v>
          </cell>
          <cell r="I699">
            <v>49</v>
          </cell>
          <cell r="J699" t="str">
            <v>South East</v>
          </cell>
          <cell r="K699" t="str">
            <v>South East</v>
          </cell>
          <cell r="L699" t="str">
            <v>West Sussex</v>
          </cell>
          <cell r="M699" t="str">
            <v>Mid Sussex</v>
          </cell>
          <cell r="N699" t="str">
            <v>RH17 5RD</v>
          </cell>
          <cell r="O699" t="str">
            <v>Not applicable</v>
          </cell>
          <cell r="P699">
            <v>11</v>
          </cell>
          <cell r="Q699">
            <v>18</v>
          </cell>
          <cell r="R699" t="str">
            <v>None</v>
          </cell>
          <cell r="S699" t="str">
            <v>Ofsted</v>
          </cell>
          <cell r="T699">
            <v>1</v>
          </cell>
          <cell r="U699">
            <v>10048707</v>
          </cell>
          <cell r="V699" t="str">
            <v>Independent school Material Change inspection</v>
          </cell>
          <cell r="W699">
            <v>43174</v>
          </cell>
          <cell r="X699">
            <v>43174</v>
          </cell>
          <cell r="Y699" t="str">
            <v>NULL</v>
          </cell>
          <cell r="Z699" t="str">
            <v>Likely to meet relevant standards</v>
          </cell>
          <cell r="AA699">
            <v>10006011</v>
          </cell>
          <cell r="AB699" t="str">
            <v xml:space="preserve">Independent School standard inspection - integrated </v>
          </cell>
          <cell r="AC699" t="str">
            <v>Independent Standard Inspection</v>
          </cell>
          <cell r="AD699">
            <v>42311</v>
          </cell>
          <cell r="AE699">
            <v>42313</v>
          </cell>
          <cell r="AF699">
            <v>42339</v>
          </cell>
          <cell r="AG699">
            <v>1</v>
          </cell>
          <cell r="AH699">
            <v>1</v>
          </cell>
          <cell r="AI699">
            <v>1</v>
          </cell>
          <cell r="AJ699">
            <v>1</v>
          </cell>
          <cell r="AK699">
            <v>1</v>
          </cell>
          <cell r="AL699" t="str">
            <v>NULL</v>
          </cell>
          <cell r="AM699">
            <v>1</v>
          </cell>
          <cell r="AN699" t="str">
            <v>Yes</v>
          </cell>
          <cell r="AO699" t="str">
            <v>ITS386888</v>
          </cell>
          <cell r="AP699" t="str">
            <v xml:space="preserve">Independent School standard inspection - integrated </v>
          </cell>
          <cell r="AQ699" t="str">
            <v>Independent Standard Inspection</v>
          </cell>
          <cell r="AR699">
            <v>40939</v>
          </cell>
          <cell r="AS699">
            <v>40940</v>
          </cell>
          <cell r="AT699">
            <v>41241</v>
          </cell>
          <cell r="AU699">
            <v>1</v>
          </cell>
          <cell r="AV699">
            <v>1</v>
          </cell>
          <cell r="AW699">
            <v>1</v>
          </cell>
          <cell r="AX699" t="str">
            <v>NULL</v>
          </cell>
          <cell r="AY699" t="str">
            <v>NULL</v>
          </cell>
          <cell r="AZ699">
            <v>8</v>
          </cell>
          <cell r="BA699" t="str">
            <v>NULL</v>
          </cell>
          <cell r="BB699" t="str">
            <v>NULL</v>
          </cell>
        </row>
        <row r="700">
          <cell r="D700">
            <v>133346</v>
          </cell>
          <cell r="E700">
            <v>9096051</v>
          </cell>
          <cell r="F700" t="str">
            <v>Fell House School</v>
          </cell>
          <cell r="G700" t="str">
            <v>Other Independent Special School</v>
          </cell>
          <cell r="H700">
            <v>37042</v>
          </cell>
          <cell r="I700">
            <v>8</v>
          </cell>
          <cell r="J700" t="str">
            <v>North West</v>
          </cell>
          <cell r="K700" t="str">
            <v>North West</v>
          </cell>
          <cell r="L700" t="str">
            <v>Cumbria</v>
          </cell>
          <cell r="M700" t="str">
            <v>Westmorland and Lonsdale</v>
          </cell>
          <cell r="N700" t="str">
            <v>LA11 6AS</v>
          </cell>
          <cell r="O700" t="str">
            <v>Not applicable</v>
          </cell>
          <cell r="P700">
            <v>6</v>
          </cell>
          <cell r="Q700">
            <v>12</v>
          </cell>
          <cell r="R700" t="str">
            <v>None</v>
          </cell>
          <cell r="S700" t="str">
            <v>Ofsted</v>
          </cell>
          <cell r="T700" t="str">
            <v>NULL</v>
          </cell>
          <cell r="U700" t="str">
            <v>NULL</v>
          </cell>
          <cell r="V700" t="str">
            <v>NULL</v>
          </cell>
          <cell r="W700" t="str">
            <v>NULL</v>
          </cell>
          <cell r="X700" t="str">
            <v>NULL</v>
          </cell>
          <cell r="Y700" t="str">
            <v>NULL</v>
          </cell>
          <cell r="Z700" t="str">
            <v>NULL</v>
          </cell>
          <cell r="AA700">
            <v>10033388</v>
          </cell>
          <cell r="AB700" t="str">
            <v>Independent school standard inspection - aligned with CH</v>
          </cell>
          <cell r="AC700" t="str">
            <v>Independent Standard Inspection</v>
          </cell>
          <cell r="AD700">
            <v>42801</v>
          </cell>
          <cell r="AE700">
            <v>42803</v>
          </cell>
          <cell r="AF700">
            <v>42828</v>
          </cell>
          <cell r="AG700">
            <v>2</v>
          </cell>
          <cell r="AH700">
            <v>2</v>
          </cell>
          <cell r="AI700">
            <v>2</v>
          </cell>
          <cell r="AJ700">
            <v>2</v>
          </cell>
          <cell r="AK700">
            <v>1</v>
          </cell>
          <cell r="AL700" t="str">
            <v>NULL</v>
          </cell>
          <cell r="AM700" t="str">
            <v>NULL</v>
          </cell>
          <cell r="AN700" t="str">
            <v>Yes</v>
          </cell>
          <cell r="AO700" t="str">
            <v>ITS463005</v>
          </cell>
          <cell r="AP700" t="str">
            <v>Independent school standard inspection - aligned with CH</v>
          </cell>
          <cell r="AQ700" t="str">
            <v>Independent Standard Inspection</v>
          </cell>
          <cell r="AR700">
            <v>42171</v>
          </cell>
          <cell r="AS700">
            <v>42173</v>
          </cell>
          <cell r="AT700">
            <v>42220</v>
          </cell>
          <cell r="AU700">
            <v>2</v>
          </cell>
          <cell r="AV700">
            <v>2</v>
          </cell>
          <cell r="AW700">
            <v>2</v>
          </cell>
          <cell r="AX700">
            <v>2</v>
          </cell>
          <cell r="AY700" t="str">
            <v>NULL</v>
          </cell>
          <cell r="AZ700">
            <v>9</v>
          </cell>
          <cell r="BA700">
            <v>9</v>
          </cell>
          <cell r="BB700" t="str">
            <v>NULL</v>
          </cell>
        </row>
        <row r="701">
          <cell r="D701">
            <v>134148</v>
          </cell>
          <cell r="E701">
            <v>8456051</v>
          </cell>
          <cell r="F701" t="str">
            <v>Headstart</v>
          </cell>
          <cell r="G701" t="str">
            <v>Other Independent Special School</v>
          </cell>
          <cell r="H701">
            <v>37683</v>
          </cell>
          <cell r="I701">
            <v>42</v>
          </cell>
          <cell r="J701" t="str">
            <v>South East</v>
          </cell>
          <cell r="K701" t="str">
            <v>South East</v>
          </cell>
          <cell r="L701" t="str">
            <v>East Sussex</v>
          </cell>
          <cell r="M701" t="str">
            <v>Bexhill and Battle</v>
          </cell>
          <cell r="N701" t="str">
            <v>TN33 9EG</v>
          </cell>
          <cell r="O701" t="str">
            <v>Not applicable</v>
          </cell>
          <cell r="P701">
            <v>5</v>
          </cell>
          <cell r="Q701">
            <v>21</v>
          </cell>
          <cell r="R701" t="str">
            <v>None</v>
          </cell>
          <cell r="S701" t="str">
            <v>Ofsted</v>
          </cell>
          <cell r="T701" t="str">
            <v>NULL</v>
          </cell>
          <cell r="U701" t="str">
            <v>NULL</v>
          </cell>
          <cell r="V701" t="str">
            <v>NULL</v>
          </cell>
          <cell r="W701" t="str">
            <v>NULL</v>
          </cell>
          <cell r="X701" t="str">
            <v>NULL</v>
          </cell>
          <cell r="Y701" t="str">
            <v>NULL</v>
          </cell>
          <cell r="Z701" t="str">
            <v>NULL</v>
          </cell>
          <cell r="AA701">
            <v>10020900</v>
          </cell>
          <cell r="AB701" t="str">
            <v>Independent School standard inspection</v>
          </cell>
          <cell r="AC701" t="str">
            <v>Independent Standard Inspection</v>
          </cell>
          <cell r="AD701">
            <v>42927</v>
          </cell>
          <cell r="AE701">
            <v>42929</v>
          </cell>
          <cell r="AF701">
            <v>42992</v>
          </cell>
          <cell r="AG701">
            <v>2</v>
          </cell>
          <cell r="AH701">
            <v>2</v>
          </cell>
          <cell r="AI701">
            <v>2</v>
          </cell>
          <cell r="AJ701">
            <v>2</v>
          </cell>
          <cell r="AK701">
            <v>2</v>
          </cell>
          <cell r="AL701" t="str">
            <v>NULL</v>
          </cell>
          <cell r="AM701">
            <v>2</v>
          </cell>
          <cell r="AN701" t="str">
            <v>Yes</v>
          </cell>
          <cell r="AO701" t="str">
            <v>ITS422760</v>
          </cell>
          <cell r="AP701" t="str">
            <v>Independent School standard inspection</v>
          </cell>
          <cell r="AQ701" t="str">
            <v>Independent Standard Inspection</v>
          </cell>
          <cell r="AR701">
            <v>41555</v>
          </cell>
          <cell r="AS701">
            <v>41557</v>
          </cell>
          <cell r="AT701">
            <v>41646</v>
          </cell>
          <cell r="AU701">
            <v>2</v>
          </cell>
          <cell r="AV701">
            <v>2</v>
          </cell>
          <cell r="AW701">
            <v>2</v>
          </cell>
          <cell r="AX701">
            <v>2</v>
          </cell>
          <cell r="AY701" t="str">
            <v>NULL</v>
          </cell>
          <cell r="AZ701" t="str">
            <v>NULL</v>
          </cell>
          <cell r="BA701" t="str">
            <v>NULL</v>
          </cell>
          <cell r="BB701" t="str">
            <v>NULL</v>
          </cell>
        </row>
        <row r="702">
          <cell r="D702">
            <v>119009</v>
          </cell>
          <cell r="E702">
            <v>8866060</v>
          </cell>
          <cell r="F702" t="str">
            <v>Heath Farm School</v>
          </cell>
          <cell r="G702" t="str">
            <v>Other Independent Special School</v>
          </cell>
          <cell r="H702">
            <v>32489</v>
          </cell>
          <cell r="I702">
            <v>73</v>
          </cell>
          <cell r="J702" t="str">
            <v>South East</v>
          </cell>
          <cell r="K702" t="str">
            <v>South East</v>
          </cell>
          <cell r="L702" t="str">
            <v>Kent</v>
          </cell>
          <cell r="M702" t="str">
            <v>Ashford</v>
          </cell>
          <cell r="N702" t="str">
            <v>TN27 0AX</v>
          </cell>
          <cell r="O702" t="str">
            <v>Has a sixth form</v>
          </cell>
          <cell r="P702">
            <v>5</v>
          </cell>
          <cell r="Q702">
            <v>18</v>
          </cell>
          <cell r="R702" t="str">
            <v>None</v>
          </cell>
          <cell r="S702" t="str">
            <v>Ofsted</v>
          </cell>
          <cell r="T702" t="str">
            <v>NULL</v>
          </cell>
          <cell r="U702" t="str">
            <v>NULL</v>
          </cell>
          <cell r="V702" t="str">
            <v>NULL</v>
          </cell>
          <cell r="W702" t="str">
            <v>NULL</v>
          </cell>
          <cell r="X702" t="str">
            <v>NULL</v>
          </cell>
          <cell r="Y702" t="str">
            <v>NULL</v>
          </cell>
          <cell r="Z702" t="str">
            <v>NULL</v>
          </cell>
          <cell r="AA702">
            <v>10026656</v>
          </cell>
          <cell r="AB702" t="str">
            <v>Independent School standard inspection</v>
          </cell>
          <cell r="AC702" t="str">
            <v>Independent Standard Inspection</v>
          </cell>
          <cell r="AD702">
            <v>42787</v>
          </cell>
          <cell r="AE702">
            <v>42789</v>
          </cell>
          <cell r="AF702">
            <v>42808</v>
          </cell>
          <cell r="AG702">
            <v>2</v>
          </cell>
          <cell r="AH702">
            <v>2</v>
          </cell>
          <cell r="AI702">
            <v>2</v>
          </cell>
          <cell r="AJ702">
            <v>1</v>
          </cell>
          <cell r="AK702">
            <v>1</v>
          </cell>
          <cell r="AL702" t="str">
            <v>NULL</v>
          </cell>
          <cell r="AM702">
            <v>2</v>
          </cell>
          <cell r="AN702" t="str">
            <v>Yes</v>
          </cell>
          <cell r="AO702" t="str">
            <v>ITS462866</v>
          </cell>
          <cell r="AP702" t="str">
            <v xml:space="preserve">Independent School standard inspection - integrated </v>
          </cell>
          <cell r="AQ702" t="str">
            <v>Independent Standard Inspection</v>
          </cell>
          <cell r="AR702">
            <v>42115</v>
          </cell>
          <cell r="AS702">
            <v>42117</v>
          </cell>
          <cell r="AT702">
            <v>42150</v>
          </cell>
          <cell r="AU702">
            <v>2</v>
          </cell>
          <cell r="AV702">
            <v>2</v>
          </cell>
          <cell r="AW702">
            <v>2</v>
          </cell>
          <cell r="AX702">
            <v>2</v>
          </cell>
          <cell r="AY702" t="str">
            <v>NULL</v>
          </cell>
          <cell r="AZ702">
            <v>9</v>
          </cell>
          <cell r="BA702">
            <v>2</v>
          </cell>
          <cell r="BB702" t="str">
            <v>NULL</v>
          </cell>
        </row>
        <row r="703">
          <cell r="D703">
            <v>118993</v>
          </cell>
          <cell r="E703">
            <v>8866046</v>
          </cell>
          <cell r="F703" t="str">
            <v>Helen Allison School</v>
          </cell>
          <cell r="G703" t="str">
            <v>Other Independent Special School</v>
          </cell>
          <cell r="H703">
            <v>25694</v>
          </cell>
          <cell r="I703">
            <v>77</v>
          </cell>
          <cell r="J703" t="str">
            <v>South East</v>
          </cell>
          <cell r="K703" t="str">
            <v>South East</v>
          </cell>
          <cell r="L703" t="str">
            <v>Kent</v>
          </cell>
          <cell r="M703" t="str">
            <v>Gravesham</v>
          </cell>
          <cell r="N703" t="str">
            <v>DA13 0EW</v>
          </cell>
          <cell r="O703" t="str">
            <v>Has a sixth form</v>
          </cell>
          <cell r="P703">
            <v>5</v>
          </cell>
          <cell r="Q703">
            <v>19</v>
          </cell>
          <cell r="R703" t="str">
            <v>None</v>
          </cell>
          <cell r="S703" t="str">
            <v>Ofsted</v>
          </cell>
          <cell r="T703" t="str">
            <v>NULL</v>
          </cell>
          <cell r="U703" t="str">
            <v>NULL</v>
          </cell>
          <cell r="V703" t="str">
            <v>NULL</v>
          </cell>
          <cell r="W703" t="str">
            <v>NULL</v>
          </cell>
          <cell r="X703" t="str">
            <v>NULL</v>
          </cell>
          <cell r="Y703" t="str">
            <v>NULL</v>
          </cell>
          <cell r="Z703" t="str">
            <v>NULL</v>
          </cell>
          <cell r="AA703">
            <v>10008936</v>
          </cell>
          <cell r="AB703" t="str">
            <v>Independent School standard inspection</v>
          </cell>
          <cell r="AC703" t="str">
            <v>Independent Standard Inspection</v>
          </cell>
          <cell r="AD703">
            <v>42696</v>
          </cell>
          <cell r="AE703">
            <v>42698</v>
          </cell>
          <cell r="AF703">
            <v>42746</v>
          </cell>
          <cell r="AG703">
            <v>1</v>
          </cell>
          <cell r="AH703">
            <v>1</v>
          </cell>
          <cell r="AI703">
            <v>1</v>
          </cell>
          <cell r="AJ703">
            <v>1</v>
          </cell>
          <cell r="AK703">
            <v>1</v>
          </cell>
          <cell r="AL703" t="str">
            <v>NULL</v>
          </cell>
          <cell r="AM703">
            <v>1</v>
          </cell>
          <cell r="AN703" t="str">
            <v>Yes</v>
          </cell>
          <cell r="AO703" t="str">
            <v>ITS393295</v>
          </cell>
          <cell r="AP703" t="str">
            <v xml:space="preserve">Independent School standard inspection - integrated </v>
          </cell>
          <cell r="AQ703" t="str">
            <v>Independent Standard Inspection</v>
          </cell>
          <cell r="AR703">
            <v>41109</v>
          </cell>
          <cell r="AS703">
            <v>41110</v>
          </cell>
          <cell r="AT703">
            <v>41165</v>
          </cell>
          <cell r="AU703">
            <v>1</v>
          </cell>
          <cell r="AV703">
            <v>1</v>
          </cell>
          <cell r="AW703">
            <v>1</v>
          </cell>
          <cell r="AX703" t="str">
            <v>NULL</v>
          </cell>
          <cell r="AY703" t="str">
            <v>NULL</v>
          </cell>
          <cell r="AZ703">
            <v>8</v>
          </cell>
          <cell r="BA703" t="str">
            <v>NULL</v>
          </cell>
          <cell r="BB703" t="str">
            <v>NULL</v>
          </cell>
        </row>
        <row r="704">
          <cell r="D704">
            <v>135445</v>
          </cell>
          <cell r="E704">
            <v>8936106</v>
          </cell>
          <cell r="F704" t="str">
            <v>Options Higford</v>
          </cell>
          <cell r="G704" t="str">
            <v>Other Independent Special School</v>
          </cell>
          <cell r="H704">
            <v>39393</v>
          </cell>
          <cell r="I704">
            <v>24</v>
          </cell>
          <cell r="J704" t="str">
            <v>West Midlands</v>
          </cell>
          <cell r="K704" t="str">
            <v>West Midlands</v>
          </cell>
          <cell r="L704" t="str">
            <v>Shropshire</v>
          </cell>
          <cell r="M704" t="str">
            <v>Ludlow</v>
          </cell>
          <cell r="N704" t="str">
            <v>TF11 9ET</v>
          </cell>
          <cell r="O704" t="str">
            <v>Has a sixth form</v>
          </cell>
          <cell r="P704">
            <v>8</v>
          </cell>
          <cell r="Q704">
            <v>19</v>
          </cell>
          <cell r="R704" t="str">
            <v>None</v>
          </cell>
          <cell r="S704" t="str">
            <v>Ofsted</v>
          </cell>
          <cell r="T704">
            <v>1</v>
          </cell>
          <cell r="U704">
            <v>10039336</v>
          </cell>
          <cell r="V704" t="str">
            <v>Independent school Material Change inspection</v>
          </cell>
          <cell r="W704">
            <v>42928</v>
          </cell>
          <cell r="X704">
            <v>42928</v>
          </cell>
          <cell r="Y704">
            <v>42992</v>
          </cell>
          <cell r="Z704" t="str">
            <v>Likely to meet relevant standards</v>
          </cell>
          <cell r="AA704" t="str">
            <v>ITS462939</v>
          </cell>
          <cell r="AB704" t="str">
            <v>Independent school standard inspection - aligned with CH</v>
          </cell>
          <cell r="AC704" t="str">
            <v>Independent Standard Inspection</v>
          </cell>
          <cell r="AD704">
            <v>42179</v>
          </cell>
          <cell r="AE704">
            <v>42181</v>
          </cell>
          <cell r="AF704">
            <v>42249</v>
          </cell>
          <cell r="AG704">
            <v>2</v>
          </cell>
          <cell r="AH704">
            <v>2</v>
          </cell>
          <cell r="AI704">
            <v>2</v>
          </cell>
          <cell r="AJ704">
            <v>2</v>
          </cell>
          <cell r="AK704" t="str">
            <v>NULL</v>
          </cell>
          <cell r="AL704">
            <v>9</v>
          </cell>
          <cell r="AM704">
            <v>2</v>
          </cell>
          <cell r="AN704" t="str">
            <v>NULL</v>
          </cell>
          <cell r="AO704" t="str">
            <v>ITS385187</v>
          </cell>
          <cell r="AP704" t="str">
            <v>Independent School standard inspection</v>
          </cell>
          <cell r="AQ704" t="str">
            <v>Independent Standard Inspection</v>
          </cell>
          <cell r="AR704">
            <v>40982</v>
          </cell>
          <cell r="AS704">
            <v>40983</v>
          </cell>
          <cell r="AT704">
            <v>41023</v>
          </cell>
          <cell r="AU704">
            <v>2</v>
          </cell>
          <cell r="AV704">
            <v>2</v>
          </cell>
          <cell r="AW704">
            <v>2</v>
          </cell>
          <cell r="AX704" t="str">
            <v>NULL</v>
          </cell>
          <cell r="AY704" t="str">
            <v>NULL</v>
          </cell>
          <cell r="AZ704">
            <v>8</v>
          </cell>
          <cell r="BA704" t="str">
            <v>NULL</v>
          </cell>
          <cell r="BB704" t="str">
            <v>NULL</v>
          </cell>
        </row>
        <row r="705">
          <cell r="D705">
            <v>139419</v>
          </cell>
          <cell r="E705">
            <v>9376024</v>
          </cell>
          <cell r="F705" t="str">
            <v>Independent Educational Services</v>
          </cell>
          <cell r="G705" t="str">
            <v>Other Independent Special School</v>
          </cell>
          <cell r="H705">
            <v>41344</v>
          </cell>
          <cell r="I705">
            <v>20</v>
          </cell>
          <cell r="J705" t="str">
            <v>West Midlands</v>
          </cell>
          <cell r="K705" t="str">
            <v>West Midlands</v>
          </cell>
          <cell r="L705" t="str">
            <v>Warwickshire</v>
          </cell>
          <cell r="M705" t="str">
            <v>Nuneaton</v>
          </cell>
          <cell r="N705" t="str">
            <v>CV10 8JH</v>
          </cell>
          <cell r="O705" t="str">
            <v>Not applicable</v>
          </cell>
          <cell r="P705">
            <v>9</v>
          </cell>
          <cell r="Q705">
            <v>19</v>
          </cell>
          <cell r="R705" t="str">
            <v>None</v>
          </cell>
          <cell r="S705" t="str">
            <v>Ofsted</v>
          </cell>
          <cell r="T705">
            <v>2</v>
          </cell>
          <cell r="U705">
            <v>10030920</v>
          </cell>
          <cell r="V705" t="str">
            <v>Independent school Material Change inspection</v>
          </cell>
          <cell r="W705">
            <v>42787</v>
          </cell>
          <cell r="X705">
            <v>42787</v>
          </cell>
          <cell r="Y705">
            <v>42824</v>
          </cell>
          <cell r="Z705" t="str">
            <v>Likely to meet relevant standards</v>
          </cell>
          <cell r="AA705" t="str">
            <v>ITS422866</v>
          </cell>
          <cell r="AB705" t="str">
            <v>Independent school standard inspection - first</v>
          </cell>
          <cell r="AC705" t="str">
            <v>Independent Standard Inspection</v>
          </cell>
          <cell r="AD705">
            <v>41702</v>
          </cell>
          <cell r="AE705">
            <v>41704</v>
          </cell>
          <cell r="AF705">
            <v>41723</v>
          </cell>
          <cell r="AG705">
            <v>2</v>
          </cell>
          <cell r="AH705">
            <v>2</v>
          </cell>
          <cell r="AI705">
            <v>2</v>
          </cell>
          <cell r="AJ705">
            <v>1</v>
          </cell>
          <cell r="AK705" t="str">
            <v>NULL</v>
          </cell>
          <cell r="AL705" t="str">
            <v>NULL</v>
          </cell>
          <cell r="AM705" t="str">
            <v>NULL</v>
          </cell>
          <cell r="AN705" t="str">
            <v>NULL</v>
          </cell>
          <cell r="AO705" t="str">
            <v>NULL</v>
          </cell>
          <cell r="AP705" t="str">
            <v>NULL</v>
          </cell>
          <cell r="AQ705" t="str">
            <v>NULL</v>
          </cell>
          <cell r="AR705" t="str">
            <v>NULL</v>
          </cell>
          <cell r="AS705" t="str">
            <v>NULL</v>
          </cell>
          <cell r="AT705" t="str">
            <v>NULL</v>
          </cell>
          <cell r="AU705" t="str">
            <v>NULL</v>
          </cell>
          <cell r="AV705" t="str">
            <v>NULL</v>
          </cell>
          <cell r="AW705" t="str">
            <v>NULL</v>
          </cell>
          <cell r="AX705" t="str">
            <v>NULL</v>
          </cell>
          <cell r="AY705" t="str">
            <v>NULL</v>
          </cell>
          <cell r="AZ705" t="str">
            <v>NULL</v>
          </cell>
          <cell r="BA705" t="str">
            <v>NULL</v>
          </cell>
          <cell r="BB705" t="str">
            <v>NULL</v>
          </cell>
        </row>
        <row r="706">
          <cell r="D706">
            <v>135493</v>
          </cell>
          <cell r="E706">
            <v>3076339</v>
          </cell>
          <cell r="F706" t="str">
            <v>Insights Independent School</v>
          </cell>
          <cell r="G706" t="str">
            <v>Other Independent Special School</v>
          </cell>
          <cell r="H706">
            <v>39463</v>
          </cell>
          <cell r="I706">
            <v>68</v>
          </cell>
          <cell r="J706" t="str">
            <v>London</v>
          </cell>
          <cell r="K706" t="str">
            <v>London</v>
          </cell>
          <cell r="L706" t="str">
            <v>Ealing</v>
          </cell>
          <cell r="M706" t="str">
            <v>Ealing, Southall</v>
          </cell>
          <cell r="N706" t="str">
            <v>W13 0NP</v>
          </cell>
          <cell r="O706" t="str">
            <v>Not applicable</v>
          </cell>
          <cell r="P706">
            <v>5</v>
          </cell>
          <cell r="Q706">
            <v>21</v>
          </cell>
          <cell r="R706" t="str">
            <v>None</v>
          </cell>
          <cell r="S706" t="str">
            <v>Ofsted</v>
          </cell>
          <cell r="T706" t="str">
            <v>NULL</v>
          </cell>
          <cell r="U706" t="str">
            <v>NULL</v>
          </cell>
          <cell r="V706" t="str">
            <v>NULL</v>
          </cell>
          <cell r="W706" t="str">
            <v>NULL</v>
          </cell>
          <cell r="X706" t="str">
            <v>NULL</v>
          </cell>
          <cell r="Y706" t="str">
            <v>NULL</v>
          </cell>
          <cell r="Z706" t="str">
            <v>NULL</v>
          </cell>
          <cell r="AA706">
            <v>10006315</v>
          </cell>
          <cell r="AB706" t="str">
            <v>Independent School standard inspection</v>
          </cell>
          <cell r="AC706" t="str">
            <v>Independent Standard Inspection</v>
          </cell>
          <cell r="AD706">
            <v>42311</v>
          </cell>
          <cell r="AE706">
            <v>42313</v>
          </cell>
          <cell r="AF706">
            <v>42340</v>
          </cell>
          <cell r="AG706">
            <v>1</v>
          </cell>
          <cell r="AH706">
            <v>1</v>
          </cell>
          <cell r="AI706">
            <v>1</v>
          </cell>
          <cell r="AJ706">
            <v>1</v>
          </cell>
          <cell r="AK706">
            <v>1</v>
          </cell>
          <cell r="AL706" t="str">
            <v>NULL</v>
          </cell>
          <cell r="AM706">
            <v>1</v>
          </cell>
          <cell r="AN706" t="str">
            <v>Yes</v>
          </cell>
          <cell r="AO706" t="str">
            <v>ITS393297</v>
          </cell>
          <cell r="AP706" t="str">
            <v>Independent School standard inspection</v>
          </cell>
          <cell r="AQ706" t="str">
            <v>Independent Standard Inspection</v>
          </cell>
          <cell r="AR706">
            <v>41045</v>
          </cell>
          <cell r="AS706">
            <v>41046</v>
          </cell>
          <cell r="AT706">
            <v>41071</v>
          </cell>
          <cell r="AU706">
            <v>2</v>
          </cell>
          <cell r="AV706">
            <v>2</v>
          </cell>
          <cell r="AW706">
            <v>2</v>
          </cell>
          <cell r="AX706" t="str">
            <v>NULL</v>
          </cell>
          <cell r="AY706" t="str">
            <v>NULL</v>
          </cell>
          <cell r="AZ706">
            <v>8</v>
          </cell>
          <cell r="BA706" t="str">
            <v>NULL</v>
          </cell>
          <cell r="BB706" t="str">
            <v>NULL</v>
          </cell>
        </row>
        <row r="707">
          <cell r="D707">
            <v>141029</v>
          </cell>
          <cell r="E707">
            <v>2046009</v>
          </cell>
          <cell r="F707" t="str">
            <v>Inspired Directions School</v>
          </cell>
          <cell r="G707" t="str">
            <v>Other Independent Special School</v>
          </cell>
          <cell r="H707">
            <v>41807</v>
          </cell>
          <cell r="I707">
            <v>8</v>
          </cell>
          <cell r="J707" t="str">
            <v>London</v>
          </cell>
          <cell r="K707" t="str">
            <v>London</v>
          </cell>
          <cell r="L707" t="str">
            <v>Hackney</v>
          </cell>
          <cell r="M707" t="str">
            <v>Hackney North and Stoke Newington</v>
          </cell>
          <cell r="N707" t="str">
            <v>E8 3AZ</v>
          </cell>
          <cell r="O707" t="str">
            <v>Not applicable</v>
          </cell>
          <cell r="P707">
            <v>13</v>
          </cell>
          <cell r="Q707">
            <v>16</v>
          </cell>
          <cell r="R707" t="str">
            <v>None</v>
          </cell>
          <cell r="S707" t="str">
            <v>Ofsted</v>
          </cell>
          <cell r="T707">
            <v>2</v>
          </cell>
          <cell r="U707">
            <v>10030984</v>
          </cell>
          <cell r="V707" t="str">
            <v>Independent school Material Change inspection</v>
          </cell>
          <cell r="W707">
            <v>42773</v>
          </cell>
          <cell r="X707">
            <v>42773</v>
          </cell>
          <cell r="Y707" t="str">
            <v>NULL</v>
          </cell>
          <cell r="Z707" t="str">
            <v>Likely to meet relevant standards</v>
          </cell>
          <cell r="AA707" t="str">
            <v>ITS462895</v>
          </cell>
          <cell r="AB707" t="str">
            <v>Independent school standard inspection - first</v>
          </cell>
          <cell r="AC707" t="str">
            <v>Independent Standard Inspection</v>
          </cell>
          <cell r="AD707">
            <v>42165</v>
          </cell>
          <cell r="AE707">
            <v>42167</v>
          </cell>
          <cell r="AF707">
            <v>42202</v>
          </cell>
          <cell r="AG707">
            <v>2</v>
          </cell>
          <cell r="AH707">
            <v>2</v>
          </cell>
          <cell r="AI707">
            <v>2</v>
          </cell>
          <cell r="AJ707">
            <v>2</v>
          </cell>
          <cell r="AK707" t="str">
            <v>NULL</v>
          </cell>
          <cell r="AL707">
            <v>9</v>
          </cell>
          <cell r="AM707">
            <v>9</v>
          </cell>
          <cell r="AN707" t="str">
            <v>NULL</v>
          </cell>
          <cell r="AO707" t="str">
            <v>NULL</v>
          </cell>
          <cell r="AP707" t="str">
            <v>NULL</v>
          </cell>
          <cell r="AQ707" t="str">
            <v>NULL</v>
          </cell>
          <cell r="AR707" t="str">
            <v>NULL</v>
          </cell>
          <cell r="AS707" t="str">
            <v>NULL</v>
          </cell>
          <cell r="AT707" t="str">
            <v>NULL</v>
          </cell>
          <cell r="AU707" t="str">
            <v>NULL</v>
          </cell>
          <cell r="AV707" t="str">
            <v>NULL</v>
          </cell>
          <cell r="AW707" t="str">
            <v>NULL</v>
          </cell>
          <cell r="AX707" t="str">
            <v>NULL</v>
          </cell>
          <cell r="AY707" t="str">
            <v>NULL</v>
          </cell>
          <cell r="AZ707" t="str">
            <v>NULL</v>
          </cell>
          <cell r="BA707" t="str">
            <v>NULL</v>
          </cell>
          <cell r="BB707" t="str">
            <v>NULL</v>
          </cell>
        </row>
        <row r="708">
          <cell r="D708">
            <v>119015</v>
          </cell>
          <cell r="E708">
            <v>8866065</v>
          </cell>
          <cell r="F708" t="str">
            <v>ISP School (Kent)</v>
          </cell>
          <cell r="G708" t="str">
            <v>Other Independent Special School</v>
          </cell>
          <cell r="H708">
            <v>34435</v>
          </cell>
          <cell r="I708">
            <v>45</v>
          </cell>
          <cell r="J708" t="str">
            <v>South East</v>
          </cell>
          <cell r="K708" t="str">
            <v>South East</v>
          </cell>
          <cell r="L708" t="str">
            <v>Kent</v>
          </cell>
          <cell r="M708" t="str">
            <v>Sittingbourne and Sheppey</v>
          </cell>
          <cell r="N708" t="str">
            <v>ME10 3EG</v>
          </cell>
          <cell r="O708" t="str">
            <v>Not applicable</v>
          </cell>
          <cell r="P708">
            <v>7</v>
          </cell>
          <cell r="Q708">
            <v>18</v>
          </cell>
          <cell r="R708" t="str">
            <v>None</v>
          </cell>
          <cell r="S708" t="str">
            <v>Ofsted</v>
          </cell>
          <cell r="T708">
            <v>1</v>
          </cell>
          <cell r="U708">
            <v>10044121</v>
          </cell>
          <cell r="V708" t="str">
            <v>Independent school evaluation of school action plan</v>
          </cell>
          <cell r="W708">
            <v>43076</v>
          </cell>
          <cell r="X708">
            <v>43076</v>
          </cell>
          <cell r="Y708" t="str">
            <v>NULL</v>
          </cell>
          <cell r="Z708" t="str">
            <v>Action plan is acceptable with modifications</v>
          </cell>
          <cell r="AA708">
            <v>10008864</v>
          </cell>
          <cell r="AB708" t="str">
            <v>Independent School standard inspection</v>
          </cell>
          <cell r="AC708" t="str">
            <v>Independent Standard Inspection</v>
          </cell>
          <cell r="AD708">
            <v>42913</v>
          </cell>
          <cell r="AE708">
            <v>42915</v>
          </cell>
          <cell r="AF708">
            <v>42997</v>
          </cell>
          <cell r="AG708">
            <v>4</v>
          </cell>
          <cell r="AH708">
            <v>3</v>
          </cell>
          <cell r="AI708">
            <v>3</v>
          </cell>
          <cell r="AJ708">
            <v>4</v>
          </cell>
          <cell r="AK708">
            <v>4</v>
          </cell>
          <cell r="AL708" t="str">
            <v>NULL</v>
          </cell>
          <cell r="AM708" t="str">
            <v>NULL</v>
          </cell>
          <cell r="AN708" t="str">
            <v>No</v>
          </cell>
          <cell r="AO708" t="str">
            <v>ITS420212</v>
          </cell>
          <cell r="AP708" t="str">
            <v>Independent School standard inspection</v>
          </cell>
          <cell r="AQ708" t="str">
            <v>Independent Standard Inspection</v>
          </cell>
          <cell r="AR708">
            <v>41332</v>
          </cell>
          <cell r="AS708">
            <v>41334</v>
          </cell>
          <cell r="AT708">
            <v>41370</v>
          </cell>
          <cell r="AU708">
            <v>2</v>
          </cell>
          <cell r="AV708">
            <v>2</v>
          </cell>
          <cell r="AW708">
            <v>2</v>
          </cell>
          <cell r="AX708">
            <v>2</v>
          </cell>
          <cell r="AY708" t="str">
            <v>NULL</v>
          </cell>
          <cell r="AZ708" t="str">
            <v>NULL</v>
          </cell>
          <cell r="BA708" t="str">
            <v>NULL</v>
          </cell>
          <cell r="BB708" t="str">
            <v>NULL</v>
          </cell>
        </row>
        <row r="709">
          <cell r="D709">
            <v>141994</v>
          </cell>
          <cell r="E709">
            <v>8306043</v>
          </cell>
          <cell r="F709" t="str">
            <v>Longdon Park School</v>
          </cell>
          <cell r="G709" t="str">
            <v>Other Independent Special School</v>
          </cell>
          <cell r="H709">
            <v>42115</v>
          </cell>
          <cell r="I709">
            <v>26</v>
          </cell>
          <cell r="J709" t="str">
            <v>East Midlands</v>
          </cell>
          <cell r="K709" t="str">
            <v>East Midlands</v>
          </cell>
          <cell r="L709" t="str">
            <v>Derbyshire</v>
          </cell>
          <cell r="M709" t="str">
            <v>South Derbyshire</v>
          </cell>
          <cell r="N709" t="str">
            <v>DE65 6GU</v>
          </cell>
          <cell r="O709" t="str">
            <v>Not applicable</v>
          </cell>
          <cell r="P709">
            <v>7</v>
          </cell>
          <cell r="Q709">
            <v>18</v>
          </cell>
          <cell r="R709" t="str">
            <v>None</v>
          </cell>
          <cell r="S709" t="str">
            <v>Ofsted</v>
          </cell>
          <cell r="T709" t="str">
            <v>NULL</v>
          </cell>
          <cell r="U709" t="str">
            <v>NULL</v>
          </cell>
          <cell r="V709" t="str">
            <v>NULL</v>
          </cell>
          <cell r="W709" t="str">
            <v>NULL</v>
          </cell>
          <cell r="X709" t="str">
            <v>NULL</v>
          </cell>
          <cell r="Y709" t="str">
            <v>NULL</v>
          </cell>
          <cell r="Z709" t="str">
            <v>NULL</v>
          </cell>
          <cell r="AA709">
            <v>10008629</v>
          </cell>
          <cell r="AB709" t="str">
            <v>Independent school standard inspection - first</v>
          </cell>
          <cell r="AC709" t="str">
            <v>Independent Standard Inspection</v>
          </cell>
          <cell r="AD709">
            <v>42451</v>
          </cell>
          <cell r="AE709">
            <v>42453</v>
          </cell>
          <cell r="AF709">
            <v>42488</v>
          </cell>
          <cell r="AG709">
            <v>1</v>
          </cell>
          <cell r="AH709">
            <v>1</v>
          </cell>
          <cell r="AI709">
            <v>1</v>
          </cell>
          <cell r="AJ709">
            <v>1</v>
          </cell>
          <cell r="AK709">
            <v>1</v>
          </cell>
          <cell r="AL709" t="str">
            <v>NULL</v>
          </cell>
          <cell r="AM709" t="str">
            <v>NULL</v>
          </cell>
          <cell r="AN709" t="str">
            <v>Yes</v>
          </cell>
          <cell r="AO709" t="str">
            <v>NULL</v>
          </cell>
          <cell r="AP709" t="str">
            <v>NULL</v>
          </cell>
          <cell r="AQ709" t="str">
            <v>NULL</v>
          </cell>
          <cell r="AR709" t="str">
            <v>NULL</v>
          </cell>
          <cell r="AS709" t="str">
            <v>NULL</v>
          </cell>
          <cell r="AT709" t="str">
            <v>NULL</v>
          </cell>
          <cell r="AU709" t="str">
            <v>NULL</v>
          </cell>
          <cell r="AV709" t="str">
            <v>NULL</v>
          </cell>
          <cell r="AW709" t="str">
            <v>NULL</v>
          </cell>
          <cell r="AX709" t="str">
            <v>NULL</v>
          </cell>
          <cell r="AY709" t="str">
            <v>NULL</v>
          </cell>
          <cell r="AZ709" t="str">
            <v>NULL</v>
          </cell>
          <cell r="BA709" t="str">
            <v>NULL</v>
          </cell>
          <cell r="BB709" t="str">
            <v>NULL</v>
          </cell>
        </row>
        <row r="710">
          <cell r="D710">
            <v>135930</v>
          </cell>
          <cell r="E710">
            <v>9386267</v>
          </cell>
          <cell r="F710" t="str">
            <v>LVS Hassocks</v>
          </cell>
          <cell r="G710" t="str">
            <v>Other Independent Special School</v>
          </cell>
          <cell r="H710">
            <v>40025</v>
          </cell>
          <cell r="I710">
            <v>87</v>
          </cell>
          <cell r="J710" t="str">
            <v>South East</v>
          </cell>
          <cell r="K710" t="str">
            <v>South East</v>
          </cell>
          <cell r="L710" t="str">
            <v>West Sussex</v>
          </cell>
          <cell r="M710" t="str">
            <v>Arundel and South Downs</v>
          </cell>
          <cell r="N710" t="str">
            <v>BN6 9HT</v>
          </cell>
          <cell r="O710" t="str">
            <v>Not applicable</v>
          </cell>
          <cell r="P710">
            <v>8</v>
          </cell>
          <cell r="Q710">
            <v>19</v>
          </cell>
          <cell r="R710" t="str">
            <v>None</v>
          </cell>
          <cell r="S710" t="str">
            <v>Ofsted</v>
          </cell>
          <cell r="T710">
            <v>3</v>
          </cell>
          <cell r="U710">
            <v>10045180</v>
          </cell>
          <cell r="V710" t="str">
            <v>Independent school emergency inspection</v>
          </cell>
          <cell r="W710">
            <v>43123</v>
          </cell>
          <cell r="X710">
            <v>43123</v>
          </cell>
          <cell r="Y710" t="str">
            <v>NULL</v>
          </cell>
          <cell r="Z710" t="str">
            <v>Met all standards that were checked</v>
          </cell>
          <cell r="AA710">
            <v>10020827</v>
          </cell>
          <cell r="AB710" t="str">
            <v xml:space="preserve">Independent School standard inspection - integrated </v>
          </cell>
          <cell r="AC710" t="str">
            <v>Independent Standard Inspection</v>
          </cell>
          <cell r="AD710">
            <v>42633</v>
          </cell>
          <cell r="AE710">
            <v>42635</v>
          </cell>
          <cell r="AF710">
            <v>42678</v>
          </cell>
          <cell r="AG710">
            <v>4</v>
          </cell>
          <cell r="AH710">
            <v>4</v>
          </cell>
          <cell r="AI710">
            <v>4</v>
          </cell>
          <cell r="AJ710">
            <v>4</v>
          </cell>
          <cell r="AK710">
            <v>4</v>
          </cell>
          <cell r="AL710" t="str">
            <v>NULL</v>
          </cell>
          <cell r="AM710">
            <v>4</v>
          </cell>
          <cell r="AN710" t="str">
            <v>No</v>
          </cell>
          <cell r="AO710" t="str">
            <v>ITS422809</v>
          </cell>
          <cell r="AP710" t="str">
            <v xml:space="preserve">Independent School standard inspection - integrated </v>
          </cell>
          <cell r="AQ710" t="str">
            <v>Independent Standard Inspection</v>
          </cell>
          <cell r="AR710">
            <v>41534</v>
          </cell>
          <cell r="AS710">
            <v>41536</v>
          </cell>
          <cell r="AT710">
            <v>41561</v>
          </cell>
          <cell r="AU710">
            <v>3</v>
          </cell>
          <cell r="AV710">
            <v>2</v>
          </cell>
          <cell r="AW710">
            <v>3</v>
          </cell>
          <cell r="AX710">
            <v>3</v>
          </cell>
          <cell r="AY710" t="str">
            <v>NULL</v>
          </cell>
          <cell r="AZ710" t="str">
            <v>NULL</v>
          </cell>
          <cell r="BA710" t="str">
            <v>NULL</v>
          </cell>
          <cell r="BB710" t="str">
            <v>NULL</v>
          </cell>
        </row>
        <row r="711">
          <cell r="D711">
            <v>141208</v>
          </cell>
          <cell r="E711">
            <v>9316015</v>
          </cell>
          <cell r="F711" t="str">
            <v>LVS Oxford</v>
          </cell>
          <cell r="G711" t="str">
            <v>Other Independent Special School</v>
          </cell>
          <cell r="H711">
            <v>41869</v>
          </cell>
          <cell r="I711">
            <v>46</v>
          </cell>
          <cell r="J711" t="str">
            <v>South East</v>
          </cell>
          <cell r="K711" t="str">
            <v>South East</v>
          </cell>
          <cell r="L711" t="str">
            <v>Oxfordshire</v>
          </cell>
          <cell r="M711" t="str">
            <v>Oxford West and Abingdon</v>
          </cell>
          <cell r="N711" t="str">
            <v>OX5 1RX</v>
          </cell>
          <cell r="O711" t="str">
            <v>Not applicable</v>
          </cell>
          <cell r="P711">
            <v>11</v>
          </cell>
          <cell r="Q711">
            <v>20</v>
          </cell>
          <cell r="R711" t="str">
            <v>None</v>
          </cell>
          <cell r="S711" t="str">
            <v>Ofsted</v>
          </cell>
          <cell r="T711">
            <v>2</v>
          </cell>
          <cell r="U711">
            <v>10033377</v>
          </cell>
          <cell r="V711" t="str">
            <v>Independent school Material Change inspection</v>
          </cell>
          <cell r="W711">
            <v>42823</v>
          </cell>
          <cell r="X711">
            <v>42823</v>
          </cell>
          <cell r="Y711">
            <v>42849</v>
          </cell>
          <cell r="Z711" t="str">
            <v>Likely to meet relevant standards</v>
          </cell>
          <cell r="AA711" t="str">
            <v>ITS462901</v>
          </cell>
          <cell r="AB711" t="str">
            <v>Independent school standard inspection - first</v>
          </cell>
          <cell r="AC711" t="str">
            <v>Independent Standard Inspection</v>
          </cell>
          <cell r="AD711">
            <v>42136</v>
          </cell>
          <cell r="AE711">
            <v>42138</v>
          </cell>
          <cell r="AF711">
            <v>42174</v>
          </cell>
          <cell r="AG711">
            <v>2</v>
          </cell>
          <cell r="AH711">
            <v>2</v>
          </cell>
          <cell r="AI711">
            <v>2</v>
          </cell>
          <cell r="AJ711">
            <v>2</v>
          </cell>
          <cell r="AK711" t="str">
            <v>NULL</v>
          </cell>
          <cell r="AL711">
            <v>9</v>
          </cell>
          <cell r="AM711">
            <v>2</v>
          </cell>
          <cell r="AN711" t="str">
            <v>NULL</v>
          </cell>
          <cell r="AO711" t="str">
            <v>NULL</v>
          </cell>
          <cell r="AP711" t="str">
            <v>NULL</v>
          </cell>
          <cell r="AQ711" t="str">
            <v>NULL</v>
          </cell>
          <cell r="AR711" t="str">
            <v>NULL</v>
          </cell>
          <cell r="AS711" t="str">
            <v>NULL</v>
          </cell>
          <cell r="AT711" t="str">
            <v>NULL</v>
          </cell>
          <cell r="AU711" t="str">
            <v>NULL</v>
          </cell>
          <cell r="AV711" t="str">
            <v>NULL</v>
          </cell>
          <cell r="AW711" t="str">
            <v>NULL</v>
          </cell>
          <cell r="AX711" t="str">
            <v>NULL</v>
          </cell>
          <cell r="AY711" t="str">
            <v>NULL</v>
          </cell>
          <cell r="AZ711" t="str">
            <v>NULL</v>
          </cell>
          <cell r="BA711" t="str">
            <v>NULL</v>
          </cell>
          <cell r="BB711" t="str">
            <v>NULL</v>
          </cell>
        </row>
        <row r="712">
          <cell r="D712">
            <v>110564</v>
          </cell>
          <cell r="E712">
            <v>8256011</v>
          </cell>
          <cell r="F712" t="str">
            <v>Macintyre School</v>
          </cell>
          <cell r="G712" t="str">
            <v>Other Independent Special School</v>
          </cell>
          <cell r="H712">
            <v>26646</v>
          </cell>
          <cell r="I712">
            <v>34</v>
          </cell>
          <cell r="J712" t="str">
            <v>South East</v>
          </cell>
          <cell r="K712" t="str">
            <v>South East</v>
          </cell>
          <cell r="L712" t="str">
            <v>Buckinghamshire</v>
          </cell>
          <cell r="M712" t="str">
            <v>Buckingham</v>
          </cell>
          <cell r="N712" t="str">
            <v>HP22 4PA</v>
          </cell>
          <cell r="O712" t="str">
            <v>Has a sixth form</v>
          </cell>
          <cell r="P712">
            <v>10</v>
          </cell>
          <cell r="Q712">
            <v>19</v>
          </cell>
          <cell r="R712" t="str">
            <v>None</v>
          </cell>
          <cell r="S712" t="str">
            <v>Ofsted</v>
          </cell>
          <cell r="T712" t="str">
            <v>NULL</v>
          </cell>
          <cell r="U712" t="str">
            <v>NULL</v>
          </cell>
          <cell r="V712" t="str">
            <v>NULL</v>
          </cell>
          <cell r="W712" t="str">
            <v>NULL</v>
          </cell>
          <cell r="X712" t="str">
            <v>NULL</v>
          </cell>
          <cell r="Y712" t="str">
            <v>NULL</v>
          </cell>
          <cell r="Z712" t="str">
            <v>NULL</v>
          </cell>
          <cell r="AA712">
            <v>10025975</v>
          </cell>
          <cell r="AB712" t="str">
            <v>Independent School standard inspection</v>
          </cell>
          <cell r="AC712" t="str">
            <v>Independent Standard Inspection</v>
          </cell>
          <cell r="AD712">
            <v>42899</v>
          </cell>
          <cell r="AE712">
            <v>42901</v>
          </cell>
          <cell r="AF712">
            <v>42922</v>
          </cell>
          <cell r="AG712">
            <v>2</v>
          </cell>
          <cell r="AH712">
            <v>2</v>
          </cell>
          <cell r="AI712">
            <v>2</v>
          </cell>
          <cell r="AJ712">
            <v>2</v>
          </cell>
          <cell r="AK712">
            <v>1</v>
          </cell>
          <cell r="AL712" t="str">
            <v>NULL</v>
          </cell>
          <cell r="AM712">
            <v>2</v>
          </cell>
          <cell r="AN712" t="str">
            <v>Yes</v>
          </cell>
          <cell r="AO712" t="str">
            <v>ITS455485</v>
          </cell>
          <cell r="AP712" t="str">
            <v>Independent School standard inspection</v>
          </cell>
          <cell r="AQ712" t="str">
            <v>Independent Standard Inspection</v>
          </cell>
          <cell r="AR712">
            <v>42080</v>
          </cell>
          <cell r="AS712">
            <v>42082</v>
          </cell>
          <cell r="AT712">
            <v>42121</v>
          </cell>
          <cell r="AU712">
            <v>3</v>
          </cell>
          <cell r="AV712">
            <v>3</v>
          </cell>
          <cell r="AW712">
            <v>3</v>
          </cell>
          <cell r="AX712">
            <v>3</v>
          </cell>
          <cell r="AY712" t="str">
            <v>NULL</v>
          </cell>
          <cell r="AZ712">
            <v>9</v>
          </cell>
          <cell r="BA712">
            <v>3</v>
          </cell>
          <cell r="BB712" t="str">
            <v>NULL</v>
          </cell>
        </row>
        <row r="713">
          <cell r="D713">
            <v>140816</v>
          </cell>
          <cell r="E713">
            <v>3716001</v>
          </cell>
          <cell r="F713" t="str">
            <v>North Bridge Enterprise College</v>
          </cell>
          <cell r="G713" t="str">
            <v>Other Independent Special School</v>
          </cell>
          <cell r="H713">
            <v>41731</v>
          </cell>
          <cell r="I713">
            <v>44</v>
          </cell>
          <cell r="J713" t="str">
            <v>North East, Yorkshire and the Humber</v>
          </cell>
          <cell r="K713" t="str">
            <v>Yorkshire and the Humber</v>
          </cell>
          <cell r="L713" t="str">
            <v>Doncaster</v>
          </cell>
          <cell r="M713" t="str">
            <v>Doncaster Central</v>
          </cell>
          <cell r="N713" t="str">
            <v>DN5 8AF</v>
          </cell>
          <cell r="O713" t="str">
            <v>Not applicable</v>
          </cell>
          <cell r="P713">
            <v>11</v>
          </cell>
          <cell r="Q713">
            <v>17</v>
          </cell>
          <cell r="R713" t="str">
            <v>None</v>
          </cell>
          <cell r="S713" t="str">
            <v>Ofsted</v>
          </cell>
          <cell r="T713" t="str">
            <v>NULL</v>
          </cell>
          <cell r="U713" t="str">
            <v>NULL</v>
          </cell>
          <cell r="V713" t="str">
            <v>NULL</v>
          </cell>
          <cell r="W713" t="str">
            <v>NULL</v>
          </cell>
          <cell r="X713" t="str">
            <v>NULL</v>
          </cell>
          <cell r="Y713" t="str">
            <v>NULL</v>
          </cell>
          <cell r="Z713" t="str">
            <v>NULL</v>
          </cell>
          <cell r="AA713">
            <v>10040146</v>
          </cell>
          <cell r="AB713" t="str">
            <v>Independent School standard inspection</v>
          </cell>
          <cell r="AC713" t="str">
            <v>Independent Standard Inspection</v>
          </cell>
          <cell r="AD713">
            <v>43081</v>
          </cell>
          <cell r="AE713">
            <v>43083</v>
          </cell>
          <cell r="AF713">
            <v>43115</v>
          </cell>
          <cell r="AG713">
            <v>2</v>
          </cell>
          <cell r="AH713">
            <v>2</v>
          </cell>
          <cell r="AI713">
            <v>2</v>
          </cell>
          <cell r="AJ713">
            <v>2</v>
          </cell>
          <cell r="AK713">
            <v>2</v>
          </cell>
          <cell r="AL713" t="str">
            <v>NULL</v>
          </cell>
          <cell r="AM713" t="str">
            <v>NULL</v>
          </cell>
          <cell r="AN713" t="str">
            <v>Yes</v>
          </cell>
          <cell r="AO713">
            <v>10006604</v>
          </cell>
          <cell r="AP713" t="str">
            <v>Independent school standard inspection - first</v>
          </cell>
          <cell r="AQ713" t="str">
            <v>Independent Standard Inspection</v>
          </cell>
          <cell r="AR713">
            <v>42311</v>
          </cell>
          <cell r="AS713">
            <v>42313</v>
          </cell>
          <cell r="AT713">
            <v>42353</v>
          </cell>
          <cell r="AU713">
            <v>3</v>
          </cell>
          <cell r="AV713">
            <v>3</v>
          </cell>
          <cell r="AW713">
            <v>3</v>
          </cell>
          <cell r="AX713">
            <v>3</v>
          </cell>
          <cell r="AY713">
            <v>3</v>
          </cell>
          <cell r="AZ713" t="str">
            <v>NULL</v>
          </cell>
          <cell r="BA713" t="str">
            <v>NULL</v>
          </cell>
          <cell r="BB713" t="str">
            <v>Yes</v>
          </cell>
        </row>
        <row r="714">
          <cell r="D714">
            <v>139329</v>
          </cell>
          <cell r="E714">
            <v>8406013</v>
          </cell>
          <cell r="F714" t="str">
            <v>North East Centre for Autism - Aycliffe School</v>
          </cell>
          <cell r="G714" t="str">
            <v>Other Independent Special School</v>
          </cell>
          <cell r="H714">
            <v>41318</v>
          </cell>
          <cell r="I714">
            <v>29</v>
          </cell>
          <cell r="J714" t="str">
            <v>North East, Yorkshire and the Humber</v>
          </cell>
          <cell r="K714" t="str">
            <v>North East</v>
          </cell>
          <cell r="L714" t="str">
            <v>Durham</v>
          </cell>
          <cell r="M714" t="str">
            <v>Sedgefield</v>
          </cell>
          <cell r="N714" t="str">
            <v>DL5 6UN</v>
          </cell>
          <cell r="O714" t="str">
            <v>Not applicable</v>
          </cell>
          <cell r="P714">
            <v>3</v>
          </cell>
          <cell r="Q714">
            <v>19</v>
          </cell>
          <cell r="R714" t="str">
            <v>None</v>
          </cell>
          <cell r="S714" t="str">
            <v>Ofsted</v>
          </cell>
          <cell r="T714" t="str">
            <v>NULL</v>
          </cell>
          <cell r="U714" t="str">
            <v>NULL</v>
          </cell>
          <cell r="V714" t="str">
            <v>NULL</v>
          </cell>
          <cell r="W714" t="str">
            <v>NULL</v>
          </cell>
          <cell r="X714" t="str">
            <v>NULL</v>
          </cell>
          <cell r="Y714" t="str">
            <v>NULL</v>
          </cell>
          <cell r="Z714" t="str">
            <v>NULL</v>
          </cell>
          <cell r="AA714">
            <v>10017429</v>
          </cell>
          <cell r="AB714" t="str">
            <v>Independent School standard inspection</v>
          </cell>
          <cell r="AC714" t="str">
            <v>Independent Standard Inspection</v>
          </cell>
          <cell r="AD714">
            <v>42486</v>
          </cell>
          <cell r="AE714">
            <v>42488</v>
          </cell>
          <cell r="AF714">
            <v>42510</v>
          </cell>
          <cell r="AG714">
            <v>2</v>
          </cell>
          <cell r="AH714">
            <v>2</v>
          </cell>
          <cell r="AI714">
            <v>2</v>
          </cell>
          <cell r="AJ714">
            <v>2</v>
          </cell>
          <cell r="AK714">
            <v>2</v>
          </cell>
          <cell r="AL714" t="str">
            <v>NULL</v>
          </cell>
          <cell r="AM714">
            <v>2</v>
          </cell>
          <cell r="AN714" t="str">
            <v>Yes</v>
          </cell>
          <cell r="AO714" t="str">
            <v>ITS422859</v>
          </cell>
          <cell r="AP714" t="str">
            <v>Independent school standard inspection - first</v>
          </cell>
          <cell r="AQ714" t="str">
            <v>Independent Standard Inspection</v>
          </cell>
          <cell r="AR714">
            <v>41667</v>
          </cell>
          <cell r="AS714">
            <v>41669</v>
          </cell>
          <cell r="AT714">
            <v>41697</v>
          </cell>
          <cell r="AU714">
            <v>3</v>
          </cell>
          <cell r="AV714">
            <v>3</v>
          </cell>
          <cell r="AW714">
            <v>3</v>
          </cell>
          <cell r="AX714">
            <v>3</v>
          </cell>
          <cell r="AY714" t="str">
            <v>NULL</v>
          </cell>
          <cell r="AZ714" t="str">
            <v>NULL</v>
          </cell>
          <cell r="BA714" t="str">
            <v>NULL</v>
          </cell>
          <cell r="BB714" t="str">
            <v>NULL</v>
          </cell>
        </row>
        <row r="715">
          <cell r="D715">
            <v>131975</v>
          </cell>
          <cell r="E715">
            <v>9336200</v>
          </cell>
          <cell r="F715" t="str">
            <v>North Hill House</v>
          </cell>
          <cell r="G715" t="str">
            <v>Other Independent Special School</v>
          </cell>
          <cell r="H715">
            <v>36446</v>
          </cell>
          <cell r="I715">
            <v>45</v>
          </cell>
          <cell r="J715" t="str">
            <v>South West</v>
          </cell>
          <cell r="K715" t="str">
            <v>South West</v>
          </cell>
          <cell r="L715" t="str">
            <v>Somerset</v>
          </cell>
          <cell r="M715" t="str">
            <v>Somerton and Frome</v>
          </cell>
          <cell r="N715" t="str">
            <v>BA11 2HB</v>
          </cell>
          <cell r="O715" t="str">
            <v>Not applicable</v>
          </cell>
          <cell r="P715">
            <v>6</v>
          </cell>
          <cell r="Q715">
            <v>19</v>
          </cell>
          <cell r="R715" t="str">
            <v>None</v>
          </cell>
          <cell r="S715" t="str">
            <v>Ofsted</v>
          </cell>
          <cell r="T715" t="str">
            <v>NULL</v>
          </cell>
          <cell r="U715" t="str">
            <v>NULL</v>
          </cell>
          <cell r="V715" t="str">
            <v>NULL</v>
          </cell>
          <cell r="W715" t="str">
            <v>NULL</v>
          </cell>
          <cell r="X715" t="str">
            <v>NULL</v>
          </cell>
          <cell r="Y715" t="str">
            <v>NULL</v>
          </cell>
          <cell r="Z715" t="str">
            <v>NULL</v>
          </cell>
          <cell r="AA715">
            <v>10026040</v>
          </cell>
          <cell r="AB715" t="str">
            <v xml:space="preserve">Independent School standard inspection - integrated </v>
          </cell>
          <cell r="AC715" t="str">
            <v>Independent Standard Inspection</v>
          </cell>
          <cell r="AD715">
            <v>42801</v>
          </cell>
          <cell r="AE715">
            <v>42803</v>
          </cell>
          <cell r="AF715">
            <v>42850</v>
          </cell>
          <cell r="AG715">
            <v>2</v>
          </cell>
          <cell r="AH715">
            <v>2</v>
          </cell>
          <cell r="AI715">
            <v>2</v>
          </cell>
          <cell r="AJ715">
            <v>2</v>
          </cell>
          <cell r="AK715">
            <v>2</v>
          </cell>
          <cell r="AL715" t="str">
            <v>NULL</v>
          </cell>
          <cell r="AM715">
            <v>2</v>
          </cell>
          <cell r="AN715" t="str">
            <v>Yes</v>
          </cell>
          <cell r="AO715" t="str">
            <v>ITS422737</v>
          </cell>
          <cell r="AP715" t="str">
            <v xml:space="preserve">Independent School standard inspection - integrated </v>
          </cell>
          <cell r="AQ715" t="str">
            <v>Independent Standard Inspection</v>
          </cell>
          <cell r="AR715">
            <v>41604</v>
          </cell>
          <cell r="AS715">
            <v>41606</v>
          </cell>
          <cell r="AT715">
            <v>41663</v>
          </cell>
          <cell r="AU715">
            <v>1</v>
          </cell>
          <cell r="AV715">
            <v>1</v>
          </cell>
          <cell r="AW715">
            <v>1</v>
          </cell>
          <cell r="AX715">
            <v>1</v>
          </cell>
          <cell r="AY715" t="str">
            <v>NULL</v>
          </cell>
          <cell r="AZ715" t="str">
            <v>NULL</v>
          </cell>
          <cell r="BA715" t="str">
            <v>NULL</v>
          </cell>
          <cell r="BB715" t="str">
            <v>NULL</v>
          </cell>
        </row>
        <row r="716">
          <cell r="D716">
            <v>135794</v>
          </cell>
          <cell r="E716">
            <v>3076401</v>
          </cell>
          <cell r="F716" t="str">
            <v>North West London Independent Special School</v>
          </cell>
          <cell r="G716" t="str">
            <v>Other Independent Special School</v>
          </cell>
          <cell r="H716">
            <v>39848</v>
          </cell>
          <cell r="I716">
            <v>27</v>
          </cell>
          <cell r="J716" t="str">
            <v>London</v>
          </cell>
          <cell r="K716" t="str">
            <v>London</v>
          </cell>
          <cell r="L716" t="str">
            <v>Ealing</v>
          </cell>
          <cell r="M716" t="str">
            <v>Ealing Central and Acton</v>
          </cell>
          <cell r="N716" t="str">
            <v>W3 7DD</v>
          </cell>
          <cell r="O716" t="str">
            <v>Not applicable</v>
          </cell>
          <cell r="P716">
            <v>7</v>
          </cell>
          <cell r="Q716">
            <v>19</v>
          </cell>
          <cell r="R716" t="str">
            <v>None</v>
          </cell>
          <cell r="S716" t="str">
            <v>Ofsted</v>
          </cell>
          <cell r="T716" t="str">
            <v>NULL</v>
          </cell>
          <cell r="U716" t="str">
            <v>NULL</v>
          </cell>
          <cell r="V716" t="str">
            <v>NULL</v>
          </cell>
          <cell r="W716" t="str">
            <v>NULL</v>
          </cell>
          <cell r="X716" t="str">
            <v>NULL</v>
          </cell>
          <cell r="Y716" t="str">
            <v>NULL</v>
          </cell>
          <cell r="Z716" t="str">
            <v>NULL</v>
          </cell>
          <cell r="AA716">
            <v>10012833</v>
          </cell>
          <cell r="AB716" t="str">
            <v>Independent School standard inspection</v>
          </cell>
          <cell r="AC716" t="str">
            <v>Independent Standard Inspection</v>
          </cell>
          <cell r="AD716">
            <v>42773</v>
          </cell>
          <cell r="AE716">
            <v>42775</v>
          </cell>
          <cell r="AF716">
            <v>42818</v>
          </cell>
          <cell r="AG716">
            <v>1</v>
          </cell>
          <cell r="AH716">
            <v>1</v>
          </cell>
          <cell r="AI716">
            <v>1</v>
          </cell>
          <cell r="AJ716">
            <v>1</v>
          </cell>
          <cell r="AK716">
            <v>1</v>
          </cell>
          <cell r="AL716" t="str">
            <v>NULL</v>
          </cell>
          <cell r="AM716" t="str">
            <v>NULL</v>
          </cell>
          <cell r="AN716" t="str">
            <v>Yes</v>
          </cell>
          <cell r="AO716" t="str">
            <v>ITS420207</v>
          </cell>
          <cell r="AP716" t="str">
            <v>Independent School standard inspection</v>
          </cell>
          <cell r="AQ716" t="str">
            <v>Independent Standard Inspection</v>
          </cell>
          <cell r="AR716">
            <v>41436</v>
          </cell>
          <cell r="AS716">
            <v>41438</v>
          </cell>
          <cell r="AT716">
            <v>41458</v>
          </cell>
          <cell r="AU716">
            <v>2</v>
          </cell>
          <cell r="AV716">
            <v>2</v>
          </cell>
          <cell r="AW716">
            <v>2</v>
          </cell>
          <cell r="AX716">
            <v>2</v>
          </cell>
          <cell r="AY716" t="str">
            <v>NULL</v>
          </cell>
          <cell r="AZ716" t="str">
            <v>NULL</v>
          </cell>
          <cell r="BA716" t="str">
            <v>NULL</v>
          </cell>
          <cell r="BB716" t="str">
            <v>NULL</v>
          </cell>
        </row>
        <row r="717">
          <cell r="D717">
            <v>136236</v>
          </cell>
          <cell r="E717">
            <v>8736028</v>
          </cell>
          <cell r="F717" t="str">
            <v>Begdale House School</v>
          </cell>
          <cell r="G717" t="str">
            <v>Other Independent Special School</v>
          </cell>
          <cell r="H717">
            <v>40438</v>
          </cell>
          <cell r="I717">
            <v>8</v>
          </cell>
          <cell r="J717" t="str">
            <v>East of England</v>
          </cell>
          <cell r="K717" t="str">
            <v>East of England</v>
          </cell>
          <cell r="L717" t="str">
            <v>Cambridgeshire</v>
          </cell>
          <cell r="M717" t="str">
            <v>North East Cambridgeshire</v>
          </cell>
          <cell r="N717" t="str">
            <v>PE14 0AZ</v>
          </cell>
          <cell r="O717" t="str">
            <v>Not applicable</v>
          </cell>
          <cell r="P717">
            <v>10</v>
          </cell>
          <cell r="Q717">
            <v>16</v>
          </cell>
          <cell r="R717" t="str">
            <v>None</v>
          </cell>
          <cell r="S717" t="str">
            <v>Ofsted</v>
          </cell>
          <cell r="T717">
            <v>1</v>
          </cell>
          <cell r="U717">
            <v>10045442</v>
          </cell>
          <cell r="V717" t="str">
            <v>Independent school evaluation of school action plan</v>
          </cell>
          <cell r="W717">
            <v>43122</v>
          </cell>
          <cell r="X717">
            <v>43122</v>
          </cell>
          <cell r="Y717" t="str">
            <v>NULL</v>
          </cell>
          <cell r="Z717" t="str">
            <v>Action plan is acceptable</v>
          </cell>
          <cell r="AA717">
            <v>10038908</v>
          </cell>
          <cell r="AB717" t="str">
            <v>Independent school standard inspection - aligned with CH</v>
          </cell>
          <cell r="AC717" t="str">
            <v>Independent Standard Inspection</v>
          </cell>
          <cell r="AD717">
            <v>43004</v>
          </cell>
          <cell r="AE717">
            <v>43006</v>
          </cell>
          <cell r="AF717">
            <v>43049</v>
          </cell>
          <cell r="AG717">
            <v>3</v>
          </cell>
          <cell r="AH717">
            <v>3</v>
          </cell>
          <cell r="AI717">
            <v>3</v>
          </cell>
          <cell r="AJ717">
            <v>3</v>
          </cell>
          <cell r="AK717">
            <v>3</v>
          </cell>
          <cell r="AL717" t="str">
            <v>NULL</v>
          </cell>
          <cell r="AM717" t="str">
            <v>NULL</v>
          </cell>
          <cell r="AN717" t="str">
            <v>Yes</v>
          </cell>
          <cell r="AO717" t="str">
            <v>ITS446393</v>
          </cell>
          <cell r="AP717" t="str">
            <v>Independent School standard inspection</v>
          </cell>
          <cell r="AQ717" t="str">
            <v>Independent Standard Inspection</v>
          </cell>
          <cell r="AR717">
            <v>41968</v>
          </cell>
          <cell r="AS717">
            <v>41969</v>
          </cell>
          <cell r="AT717">
            <v>41990</v>
          </cell>
          <cell r="AU717">
            <v>2</v>
          </cell>
          <cell r="AV717">
            <v>2</v>
          </cell>
          <cell r="AW717">
            <v>2</v>
          </cell>
          <cell r="AX717">
            <v>2</v>
          </cell>
          <cell r="AY717" t="str">
            <v>NULL</v>
          </cell>
          <cell r="AZ717">
            <v>9</v>
          </cell>
          <cell r="BA717">
            <v>9</v>
          </cell>
          <cell r="BB717" t="str">
            <v>NULL</v>
          </cell>
        </row>
        <row r="718">
          <cell r="D718">
            <v>131025</v>
          </cell>
          <cell r="E718">
            <v>8886029</v>
          </cell>
          <cell r="F718" t="str">
            <v>Belmont School</v>
          </cell>
          <cell r="G718" t="str">
            <v>Other Independent Special School</v>
          </cell>
          <cell r="H718">
            <v>35312</v>
          </cell>
          <cell r="I718">
            <v>116</v>
          </cell>
          <cell r="J718" t="str">
            <v>North West</v>
          </cell>
          <cell r="K718" t="str">
            <v>North West</v>
          </cell>
          <cell r="L718" t="str">
            <v>Lancashire</v>
          </cell>
          <cell r="M718" t="str">
            <v>Rossendale and Darwen</v>
          </cell>
          <cell r="N718" t="str">
            <v>BB4 6RX</v>
          </cell>
          <cell r="O718" t="str">
            <v>Has a sixth form</v>
          </cell>
          <cell r="P718">
            <v>5</v>
          </cell>
          <cell r="Q718">
            <v>18</v>
          </cell>
          <cell r="R718" t="str">
            <v>None</v>
          </cell>
          <cell r="S718" t="str">
            <v>Ofsted</v>
          </cell>
          <cell r="T718" t="str">
            <v>NULL</v>
          </cell>
          <cell r="U718" t="str">
            <v>NULL</v>
          </cell>
          <cell r="V718" t="str">
            <v>NULL</v>
          </cell>
          <cell r="W718" t="str">
            <v>NULL</v>
          </cell>
          <cell r="X718" t="str">
            <v>NULL</v>
          </cell>
          <cell r="Y718" t="str">
            <v>NULL</v>
          </cell>
          <cell r="Z718" t="str">
            <v>NULL</v>
          </cell>
          <cell r="AA718">
            <v>10043372</v>
          </cell>
          <cell r="AB718" t="str">
            <v>Independent School standard inspection</v>
          </cell>
          <cell r="AC718" t="str">
            <v>Independent Standard Inspection</v>
          </cell>
          <cell r="AD718">
            <v>43130</v>
          </cell>
          <cell r="AE718">
            <v>43132</v>
          </cell>
          <cell r="AF718">
            <v>43158</v>
          </cell>
          <cell r="AG718">
            <v>2</v>
          </cell>
          <cell r="AH718">
            <v>2</v>
          </cell>
          <cell r="AI718">
            <v>2</v>
          </cell>
          <cell r="AJ718">
            <v>2</v>
          </cell>
          <cell r="AK718">
            <v>2</v>
          </cell>
          <cell r="AL718" t="str">
            <v>NULL</v>
          </cell>
          <cell r="AM718" t="str">
            <v>NULL</v>
          </cell>
          <cell r="AN718" t="str">
            <v>Yes</v>
          </cell>
          <cell r="AO718" t="str">
            <v>ITS463003</v>
          </cell>
          <cell r="AP718" t="str">
            <v>Independent school standard inspection - aligned with CH</v>
          </cell>
          <cell r="AQ718" t="str">
            <v>Independent Standard Inspection</v>
          </cell>
          <cell r="AR718">
            <v>42185</v>
          </cell>
          <cell r="AS718">
            <v>42187</v>
          </cell>
          <cell r="AT718">
            <v>42228</v>
          </cell>
          <cell r="AU718">
            <v>1</v>
          </cell>
          <cell r="AV718">
            <v>1</v>
          </cell>
          <cell r="AW718">
            <v>1</v>
          </cell>
          <cell r="AX718">
            <v>1</v>
          </cell>
          <cell r="AY718" t="str">
            <v>NULL</v>
          </cell>
          <cell r="AZ718">
            <v>9</v>
          </cell>
          <cell r="BA718">
            <v>9</v>
          </cell>
          <cell r="BB718" t="str">
            <v>NULL</v>
          </cell>
        </row>
        <row r="719">
          <cell r="D719">
            <v>135805</v>
          </cell>
          <cell r="E719">
            <v>8256042</v>
          </cell>
          <cell r="F719" t="str">
            <v>Benjamin College</v>
          </cell>
          <cell r="G719" t="str">
            <v>Other Independent Special School</v>
          </cell>
          <cell r="H719">
            <v>39870</v>
          </cell>
          <cell r="I719">
            <v>17</v>
          </cell>
          <cell r="J719" t="str">
            <v>South East</v>
          </cell>
          <cell r="K719" t="str">
            <v>South East</v>
          </cell>
          <cell r="L719" t="str">
            <v>Buckinghamshire</v>
          </cell>
          <cell r="M719" t="str">
            <v>Aylesbury</v>
          </cell>
          <cell r="N719" t="str">
            <v>HP19 7AR</v>
          </cell>
          <cell r="O719" t="str">
            <v>Has a sixth form</v>
          </cell>
          <cell r="P719">
            <v>12</v>
          </cell>
          <cell r="Q719">
            <v>18</v>
          </cell>
          <cell r="R719" t="str">
            <v>None</v>
          </cell>
          <cell r="S719" t="str">
            <v>Ofsted</v>
          </cell>
          <cell r="T719" t="str">
            <v>NULL</v>
          </cell>
          <cell r="U719" t="str">
            <v>NULL</v>
          </cell>
          <cell r="V719" t="str">
            <v>NULL</v>
          </cell>
          <cell r="W719" t="str">
            <v>NULL</v>
          </cell>
          <cell r="X719" t="str">
            <v>NULL</v>
          </cell>
          <cell r="Y719" t="str">
            <v>NULL</v>
          </cell>
          <cell r="Z719" t="str">
            <v>NULL</v>
          </cell>
          <cell r="AA719">
            <v>10025990</v>
          </cell>
          <cell r="AB719" t="str">
            <v>Independent School standard inspection</v>
          </cell>
          <cell r="AC719" t="str">
            <v>Independent Standard Inspection</v>
          </cell>
          <cell r="AD719">
            <v>43130</v>
          </cell>
          <cell r="AE719">
            <v>43132</v>
          </cell>
          <cell r="AF719">
            <v>43160</v>
          </cell>
          <cell r="AG719">
            <v>2</v>
          </cell>
          <cell r="AH719">
            <v>2</v>
          </cell>
          <cell r="AI719">
            <v>2</v>
          </cell>
          <cell r="AJ719">
            <v>2</v>
          </cell>
          <cell r="AK719">
            <v>2</v>
          </cell>
          <cell r="AL719" t="str">
            <v>NULL</v>
          </cell>
          <cell r="AM719" t="str">
            <v>NULL</v>
          </cell>
          <cell r="AN719" t="str">
            <v>Yes</v>
          </cell>
          <cell r="AO719" t="str">
            <v>ITS422794</v>
          </cell>
          <cell r="AP719" t="str">
            <v>Independent School standard inspection</v>
          </cell>
          <cell r="AQ719" t="str">
            <v>Independent Standard Inspection</v>
          </cell>
          <cell r="AR719">
            <v>41611</v>
          </cell>
          <cell r="AS719">
            <v>41612</v>
          </cell>
          <cell r="AT719">
            <v>41632</v>
          </cell>
          <cell r="AU719">
            <v>2</v>
          </cell>
          <cell r="AV719">
            <v>2</v>
          </cell>
          <cell r="AW719">
            <v>2</v>
          </cell>
          <cell r="AX719">
            <v>2</v>
          </cell>
          <cell r="AY719" t="str">
            <v>NULL</v>
          </cell>
          <cell r="AZ719" t="str">
            <v>NULL</v>
          </cell>
          <cell r="BA719" t="str">
            <v>NULL</v>
          </cell>
          <cell r="BB719" t="str">
            <v>NULL</v>
          </cell>
        </row>
        <row r="720">
          <cell r="D720">
            <v>133392</v>
          </cell>
          <cell r="E720">
            <v>8786202</v>
          </cell>
          <cell r="F720" t="str">
            <v>Blackford Education (Schools) Ltd T/A the Libra School</v>
          </cell>
          <cell r="G720" t="str">
            <v>Other Independent Special School</v>
          </cell>
          <cell r="H720">
            <v>37092</v>
          </cell>
          <cell r="I720">
            <v>24</v>
          </cell>
          <cell r="J720" t="str">
            <v>South West</v>
          </cell>
          <cell r="K720" t="str">
            <v>South West</v>
          </cell>
          <cell r="L720" t="str">
            <v>Devon</v>
          </cell>
          <cell r="M720" t="str">
            <v>North Devon</v>
          </cell>
          <cell r="N720" t="str">
            <v>EX36 3LN</v>
          </cell>
          <cell r="O720" t="str">
            <v>Not applicable</v>
          </cell>
          <cell r="P720">
            <v>5</v>
          </cell>
          <cell r="Q720">
            <v>18</v>
          </cell>
          <cell r="R720" t="str">
            <v>None</v>
          </cell>
          <cell r="S720" t="str">
            <v>Ofsted</v>
          </cell>
          <cell r="T720">
            <v>1</v>
          </cell>
          <cell r="U720">
            <v>10033489</v>
          </cell>
          <cell r="V720" t="str">
            <v>Independent school Material Change inspection</v>
          </cell>
          <cell r="W720">
            <v>42797</v>
          </cell>
          <cell r="X720">
            <v>42797</v>
          </cell>
          <cell r="Y720">
            <v>42822</v>
          </cell>
          <cell r="Z720" t="str">
            <v>Likely to meet relevant standards</v>
          </cell>
          <cell r="AA720">
            <v>10006819</v>
          </cell>
          <cell r="AB720" t="str">
            <v>Independent school standard inspection - aligned with CH</v>
          </cell>
          <cell r="AC720" t="str">
            <v>Independent Standard Inspection</v>
          </cell>
          <cell r="AD720">
            <v>42389</v>
          </cell>
          <cell r="AE720">
            <v>42391</v>
          </cell>
          <cell r="AF720">
            <v>42430</v>
          </cell>
          <cell r="AG720">
            <v>1</v>
          </cell>
          <cell r="AH720">
            <v>1</v>
          </cell>
          <cell r="AI720">
            <v>1</v>
          </cell>
          <cell r="AJ720">
            <v>1</v>
          </cell>
          <cell r="AK720">
            <v>1</v>
          </cell>
          <cell r="AL720" t="str">
            <v>NULL</v>
          </cell>
          <cell r="AM720" t="str">
            <v>NULL</v>
          </cell>
          <cell r="AN720" t="str">
            <v>Yes</v>
          </cell>
          <cell r="AO720" t="str">
            <v>ITS386906</v>
          </cell>
          <cell r="AP720" t="str">
            <v>Independent School standard inspection</v>
          </cell>
          <cell r="AQ720" t="str">
            <v>Independent Standard Inspection</v>
          </cell>
          <cell r="AR720">
            <v>40973</v>
          </cell>
          <cell r="AS720">
            <v>40974</v>
          </cell>
          <cell r="AT720">
            <v>41236</v>
          </cell>
          <cell r="AU720">
            <v>2</v>
          </cell>
          <cell r="AV720">
            <v>2</v>
          </cell>
          <cell r="AW720">
            <v>2</v>
          </cell>
          <cell r="AX720" t="str">
            <v>NULL</v>
          </cell>
          <cell r="AY720" t="str">
            <v>NULL</v>
          </cell>
          <cell r="AZ720">
            <v>8</v>
          </cell>
          <cell r="BA720" t="str">
            <v>NULL</v>
          </cell>
          <cell r="BB720" t="str">
            <v>NULL</v>
          </cell>
        </row>
        <row r="721">
          <cell r="D721">
            <v>131960</v>
          </cell>
          <cell r="E721">
            <v>3816010</v>
          </cell>
          <cell r="F721" t="str">
            <v>Broadwood School</v>
          </cell>
          <cell r="G721" t="str">
            <v>Other Independent Special School</v>
          </cell>
          <cell r="H721">
            <v>36433</v>
          </cell>
          <cell r="I721">
            <v>41</v>
          </cell>
          <cell r="J721" t="str">
            <v>North East, Yorkshire and the Humber</v>
          </cell>
          <cell r="K721" t="str">
            <v>Yorkshire and the Humber</v>
          </cell>
          <cell r="L721" t="str">
            <v>Calderdale</v>
          </cell>
          <cell r="M721" t="str">
            <v>Halifax</v>
          </cell>
          <cell r="N721" t="str">
            <v>HX2 0RU</v>
          </cell>
          <cell r="O721" t="str">
            <v>Not applicable</v>
          </cell>
          <cell r="P721">
            <v>7</v>
          </cell>
          <cell r="Q721">
            <v>18</v>
          </cell>
          <cell r="R721" t="str">
            <v>None</v>
          </cell>
          <cell r="S721" t="str">
            <v>Ofsted</v>
          </cell>
          <cell r="T721" t="str">
            <v>NULL</v>
          </cell>
          <cell r="U721" t="str">
            <v>NULL</v>
          </cell>
          <cell r="V721" t="str">
            <v>NULL</v>
          </cell>
          <cell r="W721" t="str">
            <v>NULL</v>
          </cell>
          <cell r="X721" t="str">
            <v>NULL</v>
          </cell>
          <cell r="Y721" t="str">
            <v>NULL</v>
          </cell>
          <cell r="Z721" t="str">
            <v>NULL</v>
          </cell>
          <cell r="AA721">
            <v>10006061</v>
          </cell>
          <cell r="AB721" t="str">
            <v>Independent School standard inspection</v>
          </cell>
          <cell r="AC721" t="str">
            <v>Independent Standard Inspection</v>
          </cell>
          <cell r="AD721">
            <v>42514</v>
          </cell>
          <cell r="AE721">
            <v>42516</v>
          </cell>
          <cell r="AF721">
            <v>42543</v>
          </cell>
          <cell r="AG721">
            <v>2</v>
          </cell>
          <cell r="AH721">
            <v>2</v>
          </cell>
          <cell r="AI721">
            <v>2</v>
          </cell>
          <cell r="AJ721">
            <v>2</v>
          </cell>
          <cell r="AK721">
            <v>2</v>
          </cell>
          <cell r="AL721" t="str">
            <v>NULL</v>
          </cell>
          <cell r="AM721" t="str">
            <v>NULL</v>
          </cell>
          <cell r="AN721" t="str">
            <v>Yes</v>
          </cell>
          <cell r="AO721" t="str">
            <v>ITS397603</v>
          </cell>
          <cell r="AP721" t="str">
            <v>Independent School standard inspection</v>
          </cell>
          <cell r="AQ721" t="str">
            <v>Independent Standard Inspection</v>
          </cell>
          <cell r="AR721">
            <v>41227</v>
          </cell>
          <cell r="AS721">
            <v>41228</v>
          </cell>
          <cell r="AT721">
            <v>41249</v>
          </cell>
          <cell r="AU721">
            <v>2</v>
          </cell>
          <cell r="AV721">
            <v>2</v>
          </cell>
          <cell r="AW721">
            <v>2</v>
          </cell>
          <cell r="AX721" t="str">
            <v>NULL</v>
          </cell>
          <cell r="AY721" t="str">
            <v>NULL</v>
          </cell>
          <cell r="AZ721">
            <v>8</v>
          </cell>
          <cell r="BA721" t="str">
            <v>NULL</v>
          </cell>
          <cell r="BB721" t="str">
            <v>NULL</v>
          </cell>
        </row>
        <row r="722">
          <cell r="D722">
            <v>139220</v>
          </cell>
          <cell r="E722">
            <v>8936031</v>
          </cell>
          <cell r="F722" t="str">
            <v>Serene House School</v>
          </cell>
          <cell r="G722" t="str">
            <v>Other Independent Special School</v>
          </cell>
          <cell r="H722">
            <v>41277</v>
          </cell>
          <cell r="I722">
            <v>2</v>
          </cell>
          <cell r="J722" t="str">
            <v>North West</v>
          </cell>
          <cell r="K722" t="str">
            <v>North West</v>
          </cell>
          <cell r="L722" t="str">
            <v>Shropshire</v>
          </cell>
          <cell r="M722" t="str">
            <v>Hammersmith</v>
          </cell>
          <cell r="N722" t="str">
            <v>W6 9RU</v>
          </cell>
          <cell r="O722" t="str">
            <v>Not applicable</v>
          </cell>
          <cell r="P722">
            <v>11</v>
          </cell>
          <cell r="Q722">
            <v>18</v>
          </cell>
          <cell r="R722" t="str">
            <v>None</v>
          </cell>
          <cell r="S722" t="str">
            <v>Ofsted</v>
          </cell>
          <cell r="T722" t="str">
            <v>NULL</v>
          </cell>
          <cell r="U722" t="str">
            <v>NULL</v>
          </cell>
          <cell r="V722" t="str">
            <v>NULL</v>
          </cell>
          <cell r="W722" t="str">
            <v>NULL</v>
          </cell>
          <cell r="X722" t="str">
            <v>NULL</v>
          </cell>
          <cell r="Y722" t="str">
            <v>NULL</v>
          </cell>
          <cell r="Z722" t="str">
            <v>NULL</v>
          </cell>
          <cell r="AA722" t="str">
            <v>ITS422852</v>
          </cell>
          <cell r="AB722" t="str">
            <v>Independent school standard inspection - first</v>
          </cell>
          <cell r="AC722" t="str">
            <v>Independent Standard Inspection</v>
          </cell>
          <cell r="AD722">
            <v>41570</v>
          </cell>
          <cell r="AE722">
            <v>41571</v>
          </cell>
          <cell r="AF722">
            <v>41600</v>
          </cell>
          <cell r="AG722">
            <v>2</v>
          </cell>
          <cell r="AH722">
            <v>2</v>
          </cell>
          <cell r="AI722">
            <v>2</v>
          </cell>
          <cell r="AJ722">
            <v>2</v>
          </cell>
          <cell r="AK722" t="str">
            <v>NULL</v>
          </cell>
          <cell r="AL722" t="str">
            <v>NULL</v>
          </cell>
          <cell r="AM722" t="str">
            <v>NULL</v>
          </cell>
          <cell r="AN722" t="str">
            <v>NULL</v>
          </cell>
          <cell r="AO722" t="str">
            <v>NULL</v>
          </cell>
          <cell r="AP722" t="str">
            <v>NULL</v>
          </cell>
          <cell r="AQ722" t="str">
            <v>NULL</v>
          </cell>
          <cell r="AR722" t="str">
            <v>NULL</v>
          </cell>
          <cell r="AS722" t="str">
            <v>NULL</v>
          </cell>
          <cell r="AT722" t="str">
            <v>NULL</v>
          </cell>
          <cell r="AU722" t="str">
            <v>NULL</v>
          </cell>
          <cell r="AV722" t="str">
            <v>NULL</v>
          </cell>
          <cell r="AW722" t="str">
            <v>NULL</v>
          </cell>
          <cell r="AX722" t="str">
            <v>NULL</v>
          </cell>
          <cell r="AY722" t="str">
            <v>NULL</v>
          </cell>
          <cell r="AZ722" t="str">
            <v>NULL</v>
          </cell>
          <cell r="BA722" t="str">
            <v>NULL</v>
          </cell>
          <cell r="BB722" t="str">
            <v>NULL</v>
          </cell>
        </row>
        <row r="723">
          <cell r="D723">
            <v>131395</v>
          </cell>
          <cell r="E723">
            <v>3056078</v>
          </cell>
          <cell r="F723" t="str">
            <v>Browns School</v>
          </cell>
          <cell r="G723" t="str">
            <v>Other Independent Special School</v>
          </cell>
          <cell r="H723">
            <v>35723</v>
          </cell>
          <cell r="I723">
            <v>55</v>
          </cell>
          <cell r="J723" t="str">
            <v>London</v>
          </cell>
          <cell r="K723" t="str">
            <v>London</v>
          </cell>
          <cell r="L723" t="str">
            <v>Bromley</v>
          </cell>
          <cell r="M723" t="str">
            <v>Orpington</v>
          </cell>
          <cell r="N723" t="str">
            <v>BR6 7PH</v>
          </cell>
          <cell r="O723" t="str">
            <v>Not applicable</v>
          </cell>
          <cell r="P723">
            <v>6</v>
          </cell>
          <cell r="Q723">
            <v>18</v>
          </cell>
          <cell r="R723" t="str">
            <v>None</v>
          </cell>
          <cell r="S723" t="str">
            <v>Ofsted</v>
          </cell>
          <cell r="T723">
            <v>2</v>
          </cell>
          <cell r="U723">
            <v>10046997</v>
          </cell>
          <cell r="V723" t="str">
            <v>Independent school Progress Monitoring inspection</v>
          </cell>
          <cell r="W723">
            <v>43130</v>
          </cell>
          <cell r="X723">
            <v>43130</v>
          </cell>
          <cell r="Y723">
            <v>43168</v>
          </cell>
          <cell r="Z723" t="str">
            <v>Met all standards that were checked</v>
          </cell>
          <cell r="AA723">
            <v>10008598</v>
          </cell>
          <cell r="AB723" t="str">
            <v>Independent School standard inspection</v>
          </cell>
          <cell r="AC723" t="str">
            <v>Independent Standard Inspection</v>
          </cell>
          <cell r="AD723">
            <v>42927</v>
          </cell>
          <cell r="AE723">
            <v>42929</v>
          </cell>
          <cell r="AF723">
            <v>43012</v>
          </cell>
          <cell r="AG723">
            <v>4</v>
          </cell>
          <cell r="AH723">
            <v>3</v>
          </cell>
          <cell r="AI723">
            <v>3</v>
          </cell>
          <cell r="AJ723">
            <v>4</v>
          </cell>
          <cell r="AK723">
            <v>4</v>
          </cell>
          <cell r="AL723" t="str">
            <v>NULL</v>
          </cell>
          <cell r="AM723" t="str">
            <v>NULL</v>
          </cell>
          <cell r="AN723" t="str">
            <v>No</v>
          </cell>
          <cell r="AO723" t="str">
            <v>ITS393331</v>
          </cell>
          <cell r="AP723" t="str">
            <v>Independent School standard inspection</v>
          </cell>
          <cell r="AQ723" t="str">
            <v>Independent Standard Inspection</v>
          </cell>
          <cell r="AR723">
            <v>41087</v>
          </cell>
          <cell r="AS723">
            <v>41088</v>
          </cell>
          <cell r="AT723">
            <v>41158</v>
          </cell>
          <cell r="AU723">
            <v>2</v>
          </cell>
          <cell r="AV723">
            <v>2</v>
          </cell>
          <cell r="AW723">
            <v>2</v>
          </cell>
          <cell r="AX723" t="str">
            <v>NULL</v>
          </cell>
          <cell r="AY723" t="str">
            <v>NULL</v>
          </cell>
          <cell r="AZ723">
            <v>8</v>
          </cell>
          <cell r="BA723" t="str">
            <v>NULL</v>
          </cell>
          <cell r="BB723" t="str">
            <v>NULL</v>
          </cell>
        </row>
        <row r="724">
          <cell r="D724">
            <v>126542</v>
          </cell>
          <cell r="E724">
            <v>8656024</v>
          </cell>
          <cell r="F724" t="str">
            <v>Calder House School</v>
          </cell>
          <cell r="G724" t="str">
            <v>Other Independent Special School</v>
          </cell>
          <cell r="H724">
            <v>34974</v>
          </cell>
          <cell r="I724">
            <v>47</v>
          </cell>
          <cell r="J724" t="str">
            <v>South West</v>
          </cell>
          <cell r="K724" t="str">
            <v>South West</v>
          </cell>
          <cell r="L724" t="str">
            <v>Wiltshire</v>
          </cell>
          <cell r="M724" t="str">
            <v>North Wiltshire</v>
          </cell>
          <cell r="N724" t="str">
            <v>SN14 8BN</v>
          </cell>
          <cell r="O724" t="str">
            <v>Not applicable</v>
          </cell>
          <cell r="P724">
            <v>5</v>
          </cell>
          <cell r="Q724">
            <v>13</v>
          </cell>
          <cell r="R724" t="str">
            <v>None</v>
          </cell>
          <cell r="S724" t="str">
            <v>Ofsted</v>
          </cell>
          <cell r="T724" t="str">
            <v>NULL</v>
          </cell>
          <cell r="U724" t="str">
            <v>NULL</v>
          </cell>
          <cell r="V724" t="str">
            <v>NULL</v>
          </cell>
          <cell r="W724" t="str">
            <v>NULL</v>
          </cell>
          <cell r="X724" t="str">
            <v>NULL</v>
          </cell>
          <cell r="Y724" t="str">
            <v>NULL</v>
          </cell>
          <cell r="Z724" t="str">
            <v>NULL</v>
          </cell>
          <cell r="AA724">
            <v>10006321</v>
          </cell>
          <cell r="AB724" t="str">
            <v>Independent School standard inspection</v>
          </cell>
          <cell r="AC724" t="str">
            <v>Independent Standard Inspection</v>
          </cell>
          <cell r="AD724">
            <v>42311</v>
          </cell>
          <cell r="AE724">
            <v>42313</v>
          </cell>
          <cell r="AF724">
            <v>42355</v>
          </cell>
          <cell r="AG724">
            <v>1</v>
          </cell>
          <cell r="AH724">
            <v>1</v>
          </cell>
          <cell r="AI724">
            <v>1</v>
          </cell>
          <cell r="AJ724">
            <v>1</v>
          </cell>
          <cell r="AK724">
            <v>1</v>
          </cell>
          <cell r="AL724" t="str">
            <v>NULL</v>
          </cell>
          <cell r="AM724" t="str">
            <v>NULL</v>
          </cell>
          <cell r="AN724" t="str">
            <v>Yes</v>
          </cell>
          <cell r="AO724" t="str">
            <v>ITS397682</v>
          </cell>
          <cell r="AP724" t="str">
            <v>Independent School standard inspection</v>
          </cell>
          <cell r="AQ724" t="str">
            <v>Independent Standard Inspection</v>
          </cell>
          <cell r="AR724">
            <v>41051</v>
          </cell>
          <cell r="AS724">
            <v>41052</v>
          </cell>
          <cell r="AT724">
            <v>41075</v>
          </cell>
          <cell r="AU724">
            <v>1</v>
          </cell>
          <cell r="AV724">
            <v>1</v>
          </cell>
          <cell r="AW724">
            <v>1</v>
          </cell>
          <cell r="AX724" t="str">
            <v>NULL</v>
          </cell>
          <cell r="AY724" t="str">
            <v>NULL</v>
          </cell>
          <cell r="AZ724">
            <v>8</v>
          </cell>
          <cell r="BA724" t="str">
            <v>NULL</v>
          </cell>
          <cell r="BB724" t="str">
            <v>NULL</v>
          </cell>
        </row>
        <row r="725">
          <cell r="D725">
            <v>140046</v>
          </cell>
          <cell r="E725">
            <v>8506090</v>
          </cell>
          <cell r="F725" t="str">
            <v>Clay Hill School</v>
          </cell>
          <cell r="G725" t="str">
            <v>Other Independent Special School</v>
          </cell>
          <cell r="H725">
            <v>41513</v>
          </cell>
          <cell r="I725">
            <v>24</v>
          </cell>
          <cell r="J725" t="str">
            <v>South East</v>
          </cell>
          <cell r="K725" t="str">
            <v>South East</v>
          </cell>
          <cell r="L725" t="str">
            <v>Hampshire</v>
          </cell>
          <cell r="M725" t="str">
            <v>New Forest East</v>
          </cell>
          <cell r="N725" t="str">
            <v>SO43 7DE</v>
          </cell>
          <cell r="O725" t="str">
            <v>Not applicable</v>
          </cell>
          <cell r="P725">
            <v>5</v>
          </cell>
          <cell r="Q725">
            <v>19</v>
          </cell>
          <cell r="R725" t="str">
            <v>None</v>
          </cell>
          <cell r="S725" t="str">
            <v>Ofsted</v>
          </cell>
          <cell r="T725" t="str">
            <v>NULL</v>
          </cell>
          <cell r="U725" t="str">
            <v>NULL</v>
          </cell>
          <cell r="V725" t="str">
            <v>NULL</v>
          </cell>
          <cell r="W725" t="str">
            <v>NULL</v>
          </cell>
          <cell r="X725" t="str">
            <v>NULL</v>
          </cell>
          <cell r="Y725" t="str">
            <v>NULL</v>
          </cell>
          <cell r="Z725" t="str">
            <v>NULL</v>
          </cell>
          <cell r="AA725">
            <v>10033963</v>
          </cell>
          <cell r="AB725" t="str">
            <v>Independent School standard inspection</v>
          </cell>
          <cell r="AC725" t="str">
            <v>Independent Standard Inspection</v>
          </cell>
          <cell r="AD725">
            <v>43060</v>
          </cell>
          <cell r="AE725">
            <v>43062</v>
          </cell>
          <cell r="AF725">
            <v>43108</v>
          </cell>
          <cell r="AG725">
            <v>2</v>
          </cell>
          <cell r="AH725">
            <v>2</v>
          </cell>
          <cell r="AI725">
            <v>2</v>
          </cell>
          <cell r="AJ725">
            <v>2</v>
          </cell>
          <cell r="AK725">
            <v>2</v>
          </cell>
          <cell r="AL725" t="str">
            <v>NULL</v>
          </cell>
          <cell r="AM725">
            <v>2</v>
          </cell>
          <cell r="AN725" t="str">
            <v>Yes</v>
          </cell>
          <cell r="AO725" t="str">
            <v>ITS443029</v>
          </cell>
          <cell r="AP725" t="str">
            <v>Independent school standard inspection - first</v>
          </cell>
          <cell r="AQ725" t="str">
            <v>Independent Standard Inspection</v>
          </cell>
          <cell r="AR725">
            <v>41793</v>
          </cell>
          <cell r="AS725">
            <v>41794</v>
          </cell>
          <cell r="AT725">
            <v>41817</v>
          </cell>
          <cell r="AU725">
            <v>2</v>
          </cell>
          <cell r="AV725">
            <v>2</v>
          </cell>
          <cell r="AW725">
            <v>2</v>
          </cell>
          <cell r="AX725">
            <v>2</v>
          </cell>
          <cell r="AY725" t="str">
            <v>NULL</v>
          </cell>
          <cell r="AZ725" t="str">
            <v>NULL</v>
          </cell>
          <cell r="BA725" t="str">
            <v>NULL</v>
          </cell>
          <cell r="BB725" t="str">
            <v>NULL</v>
          </cell>
        </row>
        <row r="726">
          <cell r="D726">
            <v>138441</v>
          </cell>
          <cell r="E726">
            <v>3816004</v>
          </cell>
          <cell r="F726" t="str">
            <v>Compass Community School North</v>
          </cell>
          <cell r="G726" t="str">
            <v>Other Independent Special School</v>
          </cell>
          <cell r="H726">
            <v>41116</v>
          </cell>
          <cell r="I726">
            <v>5</v>
          </cell>
          <cell r="J726" t="str">
            <v>North East, Yorkshire and the Humber</v>
          </cell>
          <cell r="K726" t="str">
            <v>Yorkshire and the Humber</v>
          </cell>
          <cell r="L726" t="str">
            <v>Calderdale</v>
          </cell>
          <cell r="M726" t="str">
            <v>Calder Valley</v>
          </cell>
          <cell r="N726" t="str">
            <v>HX5 0SH</v>
          </cell>
          <cell r="O726" t="str">
            <v>Not applicable</v>
          </cell>
          <cell r="P726">
            <v>11</v>
          </cell>
          <cell r="Q726">
            <v>17</v>
          </cell>
          <cell r="R726" t="str">
            <v>None</v>
          </cell>
          <cell r="S726" t="str">
            <v>Ofsted</v>
          </cell>
          <cell r="T726" t="str">
            <v>NULL</v>
          </cell>
          <cell r="U726" t="str">
            <v>NULL</v>
          </cell>
          <cell r="V726" t="str">
            <v>NULL</v>
          </cell>
          <cell r="W726" t="str">
            <v>NULL</v>
          </cell>
          <cell r="X726" t="str">
            <v>NULL</v>
          </cell>
          <cell r="Y726" t="str">
            <v>NULL</v>
          </cell>
          <cell r="Z726" t="str">
            <v>NULL</v>
          </cell>
          <cell r="AA726">
            <v>10012878</v>
          </cell>
          <cell r="AB726" t="str">
            <v>Independent School standard inspection</v>
          </cell>
          <cell r="AC726" t="str">
            <v>Independent Standard Inspection</v>
          </cell>
          <cell r="AD726">
            <v>42689</v>
          </cell>
          <cell r="AE726">
            <v>42691</v>
          </cell>
          <cell r="AF726">
            <v>42751</v>
          </cell>
          <cell r="AG726">
            <v>2</v>
          </cell>
          <cell r="AH726">
            <v>2</v>
          </cell>
          <cell r="AI726">
            <v>2</v>
          </cell>
          <cell r="AJ726">
            <v>2</v>
          </cell>
          <cell r="AK726">
            <v>2</v>
          </cell>
          <cell r="AL726" t="str">
            <v>NULL</v>
          </cell>
          <cell r="AM726" t="str">
            <v>NULL</v>
          </cell>
          <cell r="AN726" t="str">
            <v>Yes</v>
          </cell>
          <cell r="AO726" t="str">
            <v>ITS420279</v>
          </cell>
          <cell r="AP726" t="str">
            <v xml:space="preserve">Independent school standard inspection - integrated - first </v>
          </cell>
          <cell r="AQ726" t="str">
            <v>Independent Standard Inspection</v>
          </cell>
          <cell r="AR726">
            <v>41452</v>
          </cell>
          <cell r="AS726">
            <v>41453</v>
          </cell>
          <cell r="AT726">
            <v>41474</v>
          </cell>
          <cell r="AU726">
            <v>2</v>
          </cell>
          <cell r="AV726">
            <v>2</v>
          </cell>
          <cell r="AW726">
            <v>2</v>
          </cell>
          <cell r="AX726">
            <v>2</v>
          </cell>
          <cell r="AY726" t="str">
            <v>NULL</v>
          </cell>
          <cell r="AZ726" t="str">
            <v>NULL</v>
          </cell>
          <cell r="BA726" t="str">
            <v>NULL</v>
          </cell>
          <cell r="BB726" t="str">
            <v>NULL</v>
          </cell>
        </row>
        <row r="727">
          <cell r="D727">
            <v>138779</v>
          </cell>
          <cell r="E727">
            <v>9266006</v>
          </cell>
          <cell r="F727" t="str">
            <v>Novaturient School</v>
          </cell>
          <cell r="G727" t="str">
            <v>Other Independent Special School</v>
          </cell>
          <cell r="H727">
            <v>41162</v>
          </cell>
          <cell r="I727">
            <v>11</v>
          </cell>
          <cell r="J727" t="str">
            <v>East of England</v>
          </cell>
          <cell r="K727" t="str">
            <v>East of England</v>
          </cell>
          <cell r="L727" t="str">
            <v>Norfolk</v>
          </cell>
          <cell r="M727" t="str">
            <v>Great Yarmouth</v>
          </cell>
          <cell r="N727" t="str">
            <v>NR30 1EA</v>
          </cell>
          <cell r="O727" t="str">
            <v>Not applicable</v>
          </cell>
          <cell r="P727">
            <v>11</v>
          </cell>
          <cell r="Q727">
            <v>16</v>
          </cell>
          <cell r="R727" t="str">
            <v>None</v>
          </cell>
          <cell r="S727" t="str">
            <v>Ofsted</v>
          </cell>
          <cell r="T727">
            <v>5</v>
          </cell>
          <cell r="U727">
            <v>10048578</v>
          </cell>
          <cell r="V727" t="str">
            <v>Independent school Progress Monitoring inspection</v>
          </cell>
          <cell r="W727">
            <v>43172</v>
          </cell>
          <cell r="X727">
            <v>43172</v>
          </cell>
          <cell r="Y727" t="str">
            <v>NULL</v>
          </cell>
          <cell r="Z727" t="str">
            <v>Met all standards that were checked</v>
          </cell>
          <cell r="AA727">
            <v>10012967</v>
          </cell>
          <cell r="AB727" t="str">
            <v>Independent School standard inspection</v>
          </cell>
          <cell r="AC727" t="str">
            <v>Independent Standard Inspection</v>
          </cell>
          <cell r="AD727">
            <v>42647</v>
          </cell>
          <cell r="AE727">
            <v>42649</v>
          </cell>
          <cell r="AF727">
            <v>42692</v>
          </cell>
          <cell r="AG727">
            <v>4</v>
          </cell>
          <cell r="AH727">
            <v>3</v>
          </cell>
          <cell r="AI727">
            <v>3</v>
          </cell>
          <cell r="AJ727">
            <v>4</v>
          </cell>
          <cell r="AK727">
            <v>4</v>
          </cell>
          <cell r="AL727" t="str">
            <v>NULL</v>
          </cell>
          <cell r="AM727" t="str">
            <v>NULL</v>
          </cell>
          <cell r="AN727" t="str">
            <v>No</v>
          </cell>
          <cell r="AO727" t="str">
            <v>ITS420270</v>
          </cell>
          <cell r="AP727" t="str">
            <v>Independent school standard inspection - first</v>
          </cell>
          <cell r="AQ727" t="str">
            <v>Independent Standard Inspection</v>
          </cell>
          <cell r="AR727">
            <v>41408</v>
          </cell>
          <cell r="AS727">
            <v>41410</v>
          </cell>
          <cell r="AT727">
            <v>41430</v>
          </cell>
          <cell r="AU727">
            <v>2</v>
          </cell>
          <cell r="AV727">
            <v>2</v>
          </cell>
          <cell r="AW727">
            <v>2</v>
          </cell>
          <cell r="AX727">
            <v>2</v>
          </cell>
          <cell r="AY727" t="str">
            <v>NULL</v>
          </cell>
          <cell r="AZ727" t="str">
            <v>NULL</v>
          </cell>
          <cell r="BA727" t="str">
            <v>NULL</v>
          </cell>
          <cell r="BB727" t="str">
            <v>NULL</v>
          </cell>
        </row>
        <row r="728">
          <cell r="D728">
            <v>133477</v>
          </cell>
          <cell r="E728">
            <v>9366581</v>
          </cell>
          <cell r="F728" t="str">
            <v>Cornfield School</v>
          </cell>
          <cell r="G728" t="str">
            <v>Other Independent Special School</v>
          </cell>
          <cell r="H728">
            <v>37187</v>
          </cell>
          <cell r="I728">
            <v>23</v>
          </cell>
          <cell r="J728" t="str">
            <v>South East</v>
          </cell>
          <cell r="K728" t="str">
            <v>South East</v>
          </cell>
          <cell r="L728" t="str">
            <v>Surrey</v>
          </cell>
          <cell r="M728" t="str">
            <v>Reigate</v>
          </cell>
          <cell r="N728" t="str">
            <v>RH1 5HS</v>
          </cell>
          <cell r="O728" t="str">
            <v>Has a sixth form</v>
          </cell>
          <cell r="P728">
            <v>11</v>
          </cell>
          <cell r="Q728">
            <v>18</v>
          </cell>
          <cell r="R728" t="str">
            <v>None</v>
          </cell>
          <cell r="S728" t="str">
            <v>Ofsted</v>
          </cell>
          <cell r="T728" t="str">
            <v>NULL</v>
          </cell>
          <cell r="U728" t="str">
            <v>NULL</v>
          </cell>
          <cell r="V728" t="str">
            <v>NULL</v>
          </cell>
          <cell r="W728" t="str">
            <v>NULL</v>
          </cell>
          <cell r="X728" t="str">
            <v>NULL</v>
          </cell>
          <cell r="Y728" t="str">
            <v>NULL</v>
          </cell>
          <cell r="Z728" t="str">
            <v>NULL</v>
          </cell>
          <cell r="AA728">
            <v>10026023</v>
          </cell>
          <cell r="AB728" t="str">
            <v>Independent School standard inspection</v>
          </cell>
          <cell r="AC728" t="str">
            <v>Independent Standard Inspection</v>
          </cell>
          <cell r="AD728">
            <v>43158</v>
          </cell>
          <cell r="AE728">
            <v>43160</v>
          </cell>
          <cell r="AF728">
            <v>43185</v>
          </cell>
          <cell r="AG728">
            <v>2</v>
          </cell>
          <cell r="AH728">
            <v>2</v>
          </cell>
          <cell r="AI728">
            <v>2</v>
          </cell>
          <cell r="AJ728">
            <v>2</v>
          </cell>
          <cell r="AK728">
            <v>2</v>
          </cell>
          <cell r="AL728" t="str">
            <v>NULL</v>
          </cell>
          <cell r="AM728">
            <v>2</v>
          </cell>
          <cell r="AN728" t="str">
            <v>Yes</v>
          </cell>
          <cell r="AO728" t="str">
            <v>ITS422752</v>
          </cell>
          <cell r="AP728" t="str">
            <v>Independent School standard inspection</v>
          </cell>
          <cell r="AQ728" t="str">
            <v>Independent Standard Inspection</v>
          </cell>
          <cell r="AR728">
            <v>41590</v>
          </cell>
          <cell r="AS728">
            <v>41592</v>
          </cell>
          <cell r="AT728">
            <v>41612</v>
          </cell>
          <cell r="AU728">
            <v>2</v>
          </cell>
          <cell r="AV728">
            <v>2</v>
          </cell>
          <cell r="AW728">
            <v>2</v>
          </cell>
          <cell r="AX728">
            <v>2</v>
          </cell>
          <cell r="AY728" t="str">
            <v>NULL</v>
          </cell>
          <cell r="AZ728" t="str">
            <v>NULL</v>
          </cell>
          <cell r="BA728" t="str">
            <v>NULL</v>
          </cell>
          <cell r="BB728" t="str">
            <v>NULL</v>
          </cell>
        </row>
        <row r="729">
          <cell r="D729">
            <v>139963</v>
          </cell>
          <cell r="E729">
            <v>8696017</v>
          </cell>
          <cell r="F729" t="str">
            <v>Engaging Potential</v>
          </cell>
          <cell r="G729" t="str">
            <v>Other Independent Special School</v>
          </cell>
          <cell r="H729">
            <v>41473</v>
          </cell>
          <cell r="I729">
            <v>13</v>
          </cell>
          <cell r="J729" t="str">
            <v>South East</v>
          </cell>
          <cell r="K729" t="str">
            <v>South East</v>
          </cell>
          <cell r="L729" t="str">
            <v>West Berkshire</v>
          </cell>
          <cell r="M729" t="str">
            <v>Newbury</v>
          </cell>
          <cell r="N729" t="str">
            <v>RG14 2PR</v>
          </cell>
          <cell r="O729" t="str">
            <v>Not applicable</v>
          </cell>
          <cell r="P729">
            <v>13</v>
          </cell>
          <cell r="Q729">
            <v>19</v>
          </cell>
          <cell r="R729" t="str">
            <v>None</v>
          </cell>
          <cell r="S729" t="str">
            <v>Ofsted</v>
          </cell>
          <cell r="T729" t="str">
            <v>NULL</v>
          </cell>
          <cell r="U729" t="str">
            <v>NULL</v>
          </cell>
          <cell r="V729" t="str">
            <v>NULL</v>
          </cell>
          <cell r="W729" t="str">
            <v>NULL</v>
          </cell>
          <cell r="X729" t="str">
            <v>NULL</v>
          </cell>
          <cell r="Y729" t="str">
            <v>NULL</v>
          </cell>
          <cell r="Z729" t="str">
            <v>NULL</v>
          </cell>
          <cell r="AA729">
            <v>10033958</v>
          </cell>
          <cell r="AB729" t="str">
            <v>Independent School standard inspection</v>
          </cell>
          <cell r="AC729" t="str">
            <v>Independent Standard Inspection</v>
          </cell>
          <cell r="AD729">
            <v>42913</v>
          </cell>
          <cell r="AE729">
            <v>42915</v>
          </cell>
          <cell r="AF729">
            <v>42982</v>
          </cell>
          <cell r="AG729">
            <v>2</v>
          </cell>
          <cell r="AH729">
            <v>2</v>
          </cell>
          <cell r="AI729">
            <v>2</v>
          </cell>
          <cell r="AJ729">
            <v>2</v>
          </cell>
          <cell r="AK729">
            <v>2</v>
          </cell>
          <cell r="AL729" t="str">
            <v>NULL</v>
          </cell>
          <cell r="AM729">
            <v>2</v>
          </cell>
          <cell r="AN729" t="str">
            <v>Yes</v>
          </cell>
          <cell r="AO729" t="str">
            <v>ITS443020</v>
          </cell>
          <cell r="AP729" t="str">
            <v>Independent school standard inspection - first</v>
          </cell>
          <cell r="AQ729" t="str">
            <v>Independent Standard Inspection</v>
          </cell>
          <cell r="AR729">
            <v>41828</v>
          </cell>
          <cell r="AS729">
            <v>41830</v>
          </cell>
          <cell r="AT729">
            <v>41890</v>
          </cell>
          <cell r="AU729">
            <v>2</v>
          </cell>
          <cell r="AV729">
            <v>2</v>
          </cell>
          <cell r="AW729">
            <v>2</v>
          </cell>
          <cell r="AX729">
            <v>2</v>
          </cell>
          <cell r="AY729" t="str">
            <v>NULL</v>
          </cell>
          <cell r="AZ729" t="str">
            <v>NULL</v>
          </cell>
          <cell r="BA729" t="str">
            <v>NULL</v>
          </cell>
          <cell r="BB729" t="str">
            <v>NULL</v>
          </cell>
        </row>
        <row r="730">
          <cell r="D730">
            <v>135150</v>
          </cell>
          <cell r="E730">
            <v>8816056</v>
          </cell>
          <cell r="F730" t="str">
            <v>Essex Fresh Start</v>
          </cell>
          <cell r="G730" t="str">
            <v>Other Independent Special School</v>
          </cell>
          <cell r="H730">
            <v>39090</v>
          </cell>
          <cell r="I730">
            <v>80</v>
          </cell>
          <cell r="J730" t="str">
            <v>East of England</v>
          </cell>
          <cell r="K730" t="str">
            <v>East of England</v>
          </cell>
          <cell r="L730" t="str">
            <v>Essex</v>
          </cell>
          <cell r="M730" t="str">
            <v>Witham</v>
          </cell>
          <cell r="N730" t="str">
            <v>CM8 2JL</v>
          </cell>
          <cell r="O730" t="str">
            <v>Not applicable</v>
          </cell>
          <cell r="P730">
            <v>7</v>
          </cell>
          <cell r="Q730">
            <v>19</v>
          </cell>
          <cell r="R730" t="str">
            <v>None</v>
          </cell>
          <cell r="S730" t="str">
            <v>Ofsted</v>
          </cell>
          <cell r="T730">
            <v>1</v>
          </cell>
          <cell r="U730">
            <v>10043795</v>
          </cell>
          <cell r="V730" t="str">
            <v>Independent school evaluation of school action plan</v>
          </cell>
          <cell r="W730">
            <v>43038</v>
          </cell>
          <cell r="X730">
            <v>43038</v>
          </cell>
          <cell r="Y730" t="str">
            <v>NULL</v>
          </cell>
          <cell r="Z730" t="str">
            <v>Action plan is acceptable</v>
          </cell>
          <cell r="AA730">
            <v>10034755</v>
          </cell>
          <cell r="AB730" t="str">
            <v>Independent School standard inspection</v>
          </cell>
          <cell r="AC730" t="str">
            <v>Independent Standard Inspection</v>
          </cell>
          <cell r="AD730">
            <v>42892</v>
          </cell>
          <cell r="AE730">
            <v>42894</v>
          </cell>
          <cell r="AF730">
            <v>42933</v>
          </cell>
          <cell r="AG730">
            <v>3</v>
          </cell>
          <cell r="AH730">
            <v>2</v>
          </cell>
          <cell r="AI730">
            <v>2</v>
          </cell>
          <cell r="AJ730">
            <v>3</v>
          </cell>
          <cell r="AK730">
            <v>3</v>
          </cell>
          <cell r="AL730" t="str">
            <v>NULL</v>
          </cell>
          <cell r="AM730">
            <v>2</v>
          </cell>
          <cell r="AN730" t="str">
            <v>Yes</v>
          </cell>
          <cell r="AO730" t="str">
            <v>ITS442991</v>
          </cell>
          <cell r="AP730" t="str">
            <v>Independent School standard inspection</v>
          </cell>
          <cell r="AQ730" t="str">
            <v>Independent Standard Inspection</v>
          </cell>
          <cell r="AR730">
            <v>41905</v>
          </cell>
          <cell r="AS730">
            <v>41907</v>
          </cell>
          <cell r="AT730">
            <v>41927</v>
          </cell>
          <cell r="AU730">
            <v>2</v>
          </cell>
          <cell r="AV730">
            <v>2</v>
          </cell>
          <cell r="AW730">
            <v>2</v>
          </cell>
          <cell r="AX730">
            <v>1</v>
          </cell>
          <cell r="AY730" t="str">
            <v>NULL</v>
          </cell>
          <cell r="AZ730" t="str">
            <v>NULL</v>
          </cell>
          <cell r="BA730" t="str">
            <v>NULL</v>
          </cell>
          <cell r="BB730" t="str">
            <v>NULL</v>
          </cell>
        </row>
        <row r="731">
          <cell r="D731">
            <v>134940</v>
          </cell>
          <cell r="E731">
            <v>8826053</v>
          </cell>
          <cell r="F731" t="str">
            <v>Estuary High School</v>
          </cell>
          <cell r="G731" t="str">
            <v>Other Independent Special School</v>
          </cell>
          <cell r="H731">
            <v>38380</v>
          </cell>
          <cell r="I731">
            <v>3</v>
          </cell>
          <cell r="J731" t="str">
            <v>East of England</v>
          </cell>
          <cell r="K731" t="str">
            <v>East of England</v>
          </cell>
          <cell r="L731" t="str">
            <v>Southend on Sea</v>
          </cell>
          <cell r="M731" t="str">
            <v>Southend West</v>
          </cell>
          <cell r="N731" t="str">
            <v>SS9 3NH</v>
          </cell>
          <cell r="O731" t="str">
            <v>Has a sixth form</v>
          </cell>
          <cell r="P731">
            <v>13</v>
          </cell>
          <cell r="Q731">
            <v>18</v>
          </cell>
          <cell r="R731" t="str">
            <v>None</v>
          </cell>
          <cell r="S731" t="str">
            <v>Ofsted</v>
          </cell>
          <cell r="T731" t="str">
            <v>NULL</v>
          </cell>
          <cell r="U731" t="str">
            <v>NULL</v>
          </cell>
          <cell r="V731" t="str">
            <v>NULL</v>
          </cell>
          <cell r="W731" t="str">
            <v>NULL</v>
          </cell>
          <cell r="X731" t="str">
            <v>NULL</v>
          </cell>
          <cell r="Y731" t="str">
            <v>NULL</v>
          </cell>
          <cell r="Z731" t="str">
            <v>NULL</v>
          </cell>
          <cell r="AA731" t="str">
            <v>ITS462929</v>
          </cell>
          <cell r="AB731" t="str">
            <v>Independent school standard inspection - aligned with CH</v>
          </cell>
          <cell r="AC731" t="str">
            <v>Independent Standard Inspection</v>
          </cell>
          <cell r="AD731">
            <v>42172</v>
          </cell>
          <cell r="AE731">
            <v>42174</v>
          </cell>
          <cell r="AF731">
            <v>42202</v>
          </cell>
          <cell r="AG731">
            <v>2</v>
          </cell>
          <cell r="AH731">
            <v>2</v>
          </cell>
          <cell r="AI731">
            <v>2</v>
          </cell>
          <cell r="AJ731">
            <v>2</v>
          </cell>
          <cell r="AK731" t="str">
            <v>NULL</v>
          </cell>
          <cell r="AL731">
            <v>9</v>
          </cell>
          <cell r="AM731">
            <v>2</v>
          </cell>
          <cell r="AN731" t="str">
            <v>NULL</v>
          </cell>
          <cell r="AO731" t="str">
            <v>ITS385175</v>
          </cell>
          <cell r="AP731" t="str">
            <v>Independent School standard inspection</v>
          </cell>
          <cell r="AQ731" t="str">
            <v>Independent Standard Inspection</v>
          </cell>
          <cell r="AR731">
            <v>40975</v>
          </cell>
          <cell r="AS731">
            <v>40976</v>
          </cell>
          <cell r="AT731">
            <v>41001</v>
          </cell>
          <cell r="AU731">
            <v>2</v>
          </cell>
          <cell r="AV731">
            <v>2</v>
          </cell>
          <cell r="AW731">
            <v>2</v>
          </cell>
          <cell r="AX731" t="str">
            <v>NULL</v>
          </cell>
          <cell r="AY731" t="str">
            <v>NULL</v>
          </cell>
          <cell r="AZ731">
            <v>8</v>
          </cell>
          <cell r="BA731" t="str">
            <v>NULL</v>
          </cell>
          <cell r="BB731" t="str">
            <v>NULL</v>
          </cell>
        </row>
        <row r="732">
          <cell r="D732">
            <v>140421</v>
          </cell>
          <cell r="E732">
            <v>3156005</v>
          </cell>
          <cell r="F732" t="str">
            <v>Face Youth Therapeutic School</v>
          </cell>
          <cell r="G732" t="str">
            <v>Other Independent Special School</v>
          </cell>
          <cell r="H732">
            <v>41600</v>
          </cell>
          <cell r="I732">
            <v>10</v>
          </cell>
          <cell r="J732" t="str">
            <v>London</v>
          </cell>
          <cell r="K732" t="str">
            <v>London</v>
          </cell>
          <cell r="L732" t="str">
            <v>Merton</v>
          </cell>
          <cell r="M732" t="str">
            <v>Wimbledon</v>
          </cell>
          <cell r="N732" t="str">
            <v>SW19 1JN</v>
          </cell>
          <cell r="O732" t="str">
            <v>Not applicable</v>
          </cell>
          <cell r="P732">
            <v>11</v>
          </cell>
          <cell r="Q732">
            <v>16</v>
          </cell>
          <cell r="R732" t="str">
            <v>None</v>
          </cell>
          <cell r="S732" t="str">
            <v>Ofsted</v>
          </cell>
          <cell r="T732" t="str">
            <v>NULL</v>
          </cell>
          <cell r="U732" t="str">
            <v>NULL</v>
          </cell>
          <cell r="V732" t="str">
            <v>NULL</v>
          </cell>
          <cell r="W732" t="str">
            <v>NULL</v>
          </cell>
          <cell r="X732" t="str">
            <v>NULL</v>
          </cell>
          <cell r="Y732" t="str">
            <v>NULL</v>
          </cell>
          <cell r="Z732" t="str">
            <v>NULL</v>
          </cell>
          <cell r="AA732">
            <v>10038177</v>
          </cell>
          <cell r="AB732" t="str">
            <v>Independent School standard inspection</v>
          </cell>
          <cell r="AC732" t="str">
            <v>Independent Standard Inspection</v>
          </cell>
          <cell r="AD732">
            <v>43060</v>
          </cell>
          <cell r="AE732">
            <v>43062</v>
          </cell>
          <cell r="AF732">
            <v>43110</v>
          </cell>
          <cell r="AG732">
            <v>3</v>
          </cell>
          <cell r="AH732">
            <v>3</v>
          </cell>
          <cell r="AI732">
            <v>3</v>
          </cell>
          <cell r="AJ732">
            <v>3</v>
          </cell>
          <cell r="AK732">
            <v>3</v>
          </cell>
          <cell r="AL732" t="str">
            <v>NULL</v>
          </cell>
          <cell r="AM732" t="str">
            <v>NULL</v>
          </cell>
          <cell r="AN732" t="str">
            <v>Yes</v>
          </cell>
          <cell r="AO732" t="str">
            <v>ITS447226</v>
          </cell>
          <cell r="AP732" t="str">
            <v>Independent school standard inspection - first</v>
          </cell>
          <cell r="AQ732" t="str">
            <v>Independent Standard Inspection</v>
          </cell>
          <cell r="AR732">
            <v>41982</v>
          </cell>
          <cell r="AS732">
            <v>41984</v>
          </cell>
          <cell r="AT732">
            <v>42039</v>
          </cell>
          <cell r="AU732">
            <v>2</v>
          </cell>
          <cell r="AV732">
            <v>2</v>
          </cell>
          <cell r="AW732">
            <v>2</v>
          </cell>
          <cell r="AX732">
            <v>2</v>
          </cell>
          <cell r="AY732" t="str">
            <v>NULL</v>
          </cell>
          <cell r="AZ732">
            <v>9</v>
          </cell>
          <cell r="BA732">
            <v>9</v>
          </cell>
          <cell r="BB732" t="str">
            <v>NULL</v>
          </cell>
        </row>
        <row r="733">
          <cell r="D733">
            <v>133485</v>
          </cell>
          <cell r="E733">
            <v>8766000</v>
          </cell>
          <cell r="F733" t="str">
            <v>Halton School</v>
          </cell>
          <cell r="G733" t="str">
            <v>Other Independent Special School</v>
          </cell>
          <cell r="H733">
            <v>37195</v>
          </cell>
          <cell r="I733">
            <v>9</v>
          </cell>
          <cell r="J733" t="str">
            <v>North West</v>
          </cell>
          <cell r="K733" t="str">
            <v>North West</v>
          </cell>
          <cell r="L733" t="str">
            <v>Halton</v>
          </cell>
          <cell r="M733" t="str">
            <v>Halton</v>
          </cell>
          <cell r="N733" t="str">
            <v>WA7 2AN</v>
          </cell>
          <cell r="O733" t="str">
            <v>Not applicable</v>
          </cell>
          <cell r="P733">
            <v>7</v>
          </cell>
          <cell r="Q733">
            <v>14</v>
          </cell>
          <cell r="R733" t="str">
            <v>None</v>
          </cell>
          <cell r="S733" t="str">
            <v>Ofsted</v>
          </cell>
          <cell r="T733" t="str">
            <v>NULL</v>
          </cell>
          <cell r="U733" t="str">
            <v>NULL</v>
          </cell>
          <cell r="V733" t="str">
            <v>NULL</v>
          </cell>
          <cell r="W733" t="str">
            <v>NULL</v>
          </cell>
          <cell r="X733" t="str">
            <v>NULL</v>
          </cell>
          <cell r="Y733" t="str">
            <v>NULL</v>
          </cell>
          <cell r="Z733" t="str">
            <v>NULL</v>
          </cell>
          <cell r="AA733">
            <v>10009033</v>
          </cell>
          <cell r="AB733" t="str">
            <v>Independent School standard inspection</v>
          </cell>
          <cell r="AC733" t="str">
            <v>Independent Standard Inspection</v>
          </cell>
          <cell r="AD733">
            <v>42332</v>
          </cell>
          <cell r="AE733">
            <v>42334</v>
          </cell>
          <cell r="AF733">
            <v>42359</v>
          </cell>
          <cell r="AG733">
            <v>2</v>
          </cell>
          <cell r="AH733">
            <v>2</v>
          </cell>
          <cell r="AI733">
            <v>2</v>
          </cell>
          <cell r="AJ733">
            <v>2</v>
          </cell>
          <cell r="AK733">
            <v>1</v>
          </cell>
          <cell r="AL733" t="str">
            <v>NULL</v>
          </cell>
          <cell r="AM733" t="str">
            <v>NULL</v>
          </cell>
          <cell r="AN733" t="str">
            <v>Yes</v>
          </cell>
          <cell r="AO733" t="str">
            <v>ITS422753</v>
          </cell>
          <cell r="AP733" t="str">
            <v xml:space="preserve">Independent School standard inspection - integrated </v>
          </cell>
          <cell r="AQ733" t="str">
            <v>Independent Standard Inspection</v>
          </cell>
          <cell r="AR733">
            <v>41584</v>
          </cell>
          <cell r="AS733">
            <v>41586</v>
          </cell>
          <cell r="AT733">
            <v>41607</v>
          </cell>
          <cell r="AU733">
            <v>2</v>
          </cell>
          <cell r="AV733">
            <v>2</v>
          </cell>
          <cell r="AW733">
            <v>2</v>
          </cell>
          <cell r="AX733">
            <v>2</v>
          </cell>
          <cell r="AY733" t="str">
            <v>NULL</v>
          </cell>
          <cell r="AZ733" t="str">
            <v>NULL</v>
          </cell>
          <cell r="BA733" t="str">
            <v>NULL</v>
          </cell>
          <cell r="BB733" t="str">
            <v>NULL</v>
          </cell>
        </row>
        <row r="734">
          <cell r="D734">
            <v>141127</v>
          </cell>
          <cell r="E734">
            <v>8556033</v>
          </cell>
          <cell r="F734" t="str">
            <v>Hardwick House School</v>
          </cell>
          <cell r="G734" t="str">
            <v>Other Independent Special School</v>
          </cell>
          <cell r="H734">
            <v>41837</v>
          </cell>
          <cell r="I734">
            <v>25</v>
          </cell>
          <cell r="J734" t="str">
            <v>East Midlands</v>
          </cell>
          <cell r="K734" t="str">
            <v>East Midlands</v>
          </cell>
          <cell r="L734" t="str">
            <v>Leicestershire</v>
          </cell>
          <cell r="M734" t="str">
            <v>Loughborough</v>
          </cell>
          <cell r="N734" t="str">
            <v>LE11 3HU</v>
          </cell>
          <cell r="O734" t="str">
            <v>Not applicable</v>
          </cell>
          <cell r="P734">
            <v>7</v>
          </cell>
          <cell r="Q734">
            <v>19</v>
          </cell>
          <cell r="R734" t="str">
            <v>None</v>
          </cell>
          <cell r="S734" t="str">
            <v>Ofsted</v>
          </cell>
          <cell r="T734" t="str">
            <v>NULL</v>
          </cell>
          <cell r="U734" t="str">
            <v>NULL</v>
          </cell>
          <cell r="V734" t="str">
            <v>NULL</v>
          </cell>
          <cell r="W734" t="str">
            <v>NULL</v>
          </cell>
          <cell r="X734" t="str">
            <v>NULL</v>
          </cell>
          <cell r="Y734" t="str">
            <v>NULL</v>
          </cell>
          <cell r="Z734" t="str">
            <v>NULL</v>
          </cell>
          <cell r="AA734">
            <v>10043801</v>
          </cell>
          <cell r="AB734" t="str">
            <v>Independent School standard inspection</v>
          </cell>
          <cell r="AC734" t="str">
            <v>Independent Standard Inspection</v>
          </cell>
          <cell r="AD734">
            <v>43123</v>
          </cell>
          <cell r="AE734">
            <v>43125</v>
          </cell>
          <cell r="AF734">
            <v>43164</v>
          </cell>
          <cell r="AG734">
            <v>1</v>
          </cell>
          <cell r="AH734">
            <v>1</v>
          </cell>
          <cell r="AI734">
            <v>1</v>
          </cell>
          <cell r="AJ734">
            <v>1</v>
          </cell>
          <cell r="AK734">
            <v>1</v>
          </cell>
          <cell r="AL734" t="str">
            <v>NULL</v>
          </cell>
          <cell r="AM734">
            <v>1</v>
          </cell>
          <cell r="AN734" t="str">
            <v>Yes</v>
          </cell>
          <cell r="AO734" t="str">
            <v>ITS455281</v>
          </cell>
          <cell r="AP734" t="str">
            <v>Independent school standard inspection - first</v>
          </cell>
          <cell r="AQ734" t="str">
            <v>Independent Standard Inspection</v>
          </cell>
          <cell r="AR734">
            <v>42032</v>
          </cell>
          <cell r="AS734">
            <v>42034</v>
          </cell>
          <cell r="AT734">
            <v>42062</v>
          </cell>
          <cell r="AU734">
            <v>2</v>
          </cell>
          <cell r="AV734">
            <v>2</v>
          </cell>
          <cell r="AW734">
            <v>2</v>
          </cell>
          <cell r="AX734">
            <v>2</v>
          </cell>
          <cell r="AY734" t="str">
            <v>NULL</v>
          </cell>
          <cell r="AZ734">
            <v>9</v>
          </cell>
          <cell r="BA734">
            <v>9</v>
          </cell>
          <cell r="BB734" t="str">
            <v>NULL</v>
          </cell>
        </row>
        <row r="735">
          <cell r="D735">
            <v>135424</v>
          </cell>
          <cell r="E735">
            <v>8056002</v>
          </cell>
          <cell r="F735" t="str">
            <v>Cambian Hartlepool School</v>
          </cell>
          <cell r="G735" t="str">
            <v>Other Independent Special School</v>
          </cell>
          <cell r="H735">
            <v>39353</v>
          </cell>
          <cell r="I735">
            <v>16</v>
          </cell>
          <cell r="J735" t="str">
            <v>North East, Yorkshire and the Humber</v>
          </cell>
          <cell r="K735" t="str">
            <v>North East</v>
          </cell>
          <cell r="L735" t="str">
            <v>Hartlepool</v>
          </cell>
          <cell r="M735" t="str">
            <v>Hartlepool</v>
          </cell>
          <cell r="N735" t="str">
            <v>TS25 1NN</v>
          </cell>
          <cell r="O735" t="str">
            <v>Not applicable</v>
          </cell>
          <cell r="P735">
            <v>10</v>
          </cell>
          <cell r="Q735">
            <v>18</v>
          </cell>
          <cell r="R735" t="str">
            <v>None</v>
          </cell>
          <cell r="S735" t="str">
            <v>Ofsted</v>
          </cell>
          <cell r="T735" t="str">
            <v>NULL</v>
          </cell>
          <cell r="U735" t="str">
            <v>NULL</v>
          </cell>
          <cell r="V735" t="str">
            <v>NULL</v>
          </cell>
          <cell r="W735" t="str">
            <v>NULL</v>
          </cell>
          <cell r="X735" t="str">
            <v>NULL</v>
          </cell>
          <cell r="Y735" t="str">
            <v>NULL</v>
          </cell>
          <cell r="Z735" t="str">
            <v>NULL</v>
          </cell>
          <cell r="AA735">
            <v>10043656</v>
          </cell>
          <cell r="AB735" t="str">
            <v>Independent School standard inspection</v>
          </cell>
          <cell r="AC735" t="str">
            <v>Independent Standard Inspection</v>
          </cell>
          <cell r="AD735">
            <v>43137</v>
          </cell>
          <cell r="AE735">
            <v>43139</v>
          </cell>
          <cell r="AF735">
            <v>43165</v>
          </cell>
          <cell r="AG735">
            <v>2</v>
          </cell>
          <cell r="AH735">
            <v>2</v>
          </cell>
          <cell r="AI735">
            <v>2</v>
          </cell>
          <cell r="AJ735">
            <v>2</v>
          </cell>
          <cell r="AK735">
            <v>2</v>
          </cell>
          <cell r="AL735" t="str">
            <v>NULL</v>
          </cell>
          <cell r="AM735" t="str">
            <v>NULL</v>
          </cell>
          <cell r="AN735" t="str">
            <v>Yes</v>
          </cell>
          <cell r="AO735" t="str">
            <v>ITS454284</v>
          </cell>
          <cell r="AP735" t="str">
            <v>Independent School standard inspection</v>
          </cell>
          <cell r="AQ735" t="str">
            <v>Independent Standard Inspection</v>
          </cell>
          <cell r="AR735">
            <v>42024</v>
          </cell>
          <cell r="AS735">
            <v>42026</v>
          </cell>
          <cell r="AT735">
            <v>42069</v>
          </cell>
          <cell r="AU735">
            <v>2</v>
          </cell>
          <cell r="AV735">
            <v>2</v>
          </cell>
          <cell r="AW735">
            <v>2</v>
          </cell>
          <cell r="AX735">
            <v>2</v>
          </cell>
          <cell r="AY735" t="str">
            <v>NULL</v>
          </cell>
          <cell r="AZ735">
            <v>9</v>
          </cell>
          <cell r="BA735">
            <v>9</v>
          </cell>
          <cell r="BB735" t="str">
            <v>NULL</v>
          </cell>
        </row>
        <row r="736">
          <cell r="D736">
            <v>139807</v>
          </cell>
          <cell r="E736">
            <v>3906001</v>
          </cell>
          <cell r="F736" t="str">
            <v>Haskel School</v>
          </cell>
          <cell r="G736" t="str">
            <v>Other Independent Special School</v>
          </cell>
          <cell r="H736">
            <v>41439</v>
          </cell>
          <cell r="I736">
            <v>9</v>
          </cell>
          <cell r="J736" t="str">
            <v>North East, Yorkshire and the Humber</v>
          </cell>
          <cell r="K736" t="str">
            <v>North East</v>
          </cell>
          <cell r="L736" t="str">
            <v>Gateshead</v>
          </cell>
          <cell r="M736" t="str">
            <v>Gateshead</v>
          </cell>
          <cell r="N736" t="str">
            <v>NE8 4DR</v>
          </cell>
          <cell r="O736" t="str">
            <v>Not applicable</v>
          </cell>
          <cell r="P736">
            <v>5</v>
          </cell>
          <cell r="Q736">
            <v>19</v>
          </cell>
          <cell r="R736" t="str">
            <v>None</v>
          </cell>
          <cell r="S736" t="str">
            <v>Ofsted</v>
          </cell>
          <cell r="T736" t="str">
            <v>NULL</v>
          </cell>
          <cell r="U736" t="str">
            <v>NULL</v>
          </cell>
          <cell r="V736" t="str">
            <v>NULL</v>
          </cell>
          <cell r="W736" t="str">
            <v>NULL</v>
          </cell>
          <cell r="X736" t="str">
            <v>NULL</v>
          </cell>
          <cell r="Y736" t="str">
            <v>NULL</v>
          </cell>
          <cell r="Z736" t="str">
            <v>NULL</v>
          </cell>
          <cell r="AA736">
            <v>10040143</v>
          </cell>
          <cell r="AB736" t="str">
            <v>Independent School standard inspection</v>
          </cell>
          <cell r="AC736" t="str">
            <v>Independent Standard Inspection</v>
          </cell>
          <cell r="AD736">
            <v>43074</v>
          </cell>
          <cell r="AE736">
            <v>43076</v>
          </cell>
          <cell r="AF736">
            <v>43102</v>
          </cell>
          <cell r="AG736">
            <v>1</v>
          </cell>
          <cell r="AH736">
            <v>1</v>
          </cell>
          <cell r="AI736">
            <v>1</v>
          </cell>
          <cell r="AJ736">
            <v>1</v>
          </cell>
          <cell r="AK736">
            <v>1</v>
          </cell>
          <cell r="AL736" t="str">
            <v>NULL</v>
          </cell>
          <cell r="AM736">
            <v>1</v>
          </cell>
          <cell r="AN736" t="str">
            <v>Yes</v>
          </cell>
          <cell r="AO736" t="str">
            <v>ITS443011</v>
          </cell>
          <cell r="AP736" t="str">
            <v>Independent school standard inspection - first</v>
          </cell>
          <cell r="AQ736" t="str">
            <v>Independent Standard Inspection</v>
          </cell>
          <cell r="AR736">
            <v>41954</v>
          </cell>
          <cell r="AS736">
            <v>41956</v>
          </cell>
          <cell r="AT736">
            <v>41977</v>
          </cell>
          <cell r="AU736">
            <v>1</v>
          </cell>
          <cell r="AV736">
            <v>1</v>
          </cell>
          <cell r="AW736">
            <v>1</v>
          </cell>
          <cell r="AX736">
            <v>1</v>
          </cell>
          <cell r="AY736" t="str">
            <v>NULL</v>
          </cell>
          <cell r="AZ736">
            <v>9</v>
          </cell>
          <cell r="BA736">
            <v>9</v>
          </cell>
          <cell r="BB736" t="str">
            <v>NULL</v>
          </cell>
        </row>
        <row r="737">
          <cell r="D737">
            <v>131792</v>
          </cell>
          <cell r="E737">
            <v>8966028</v>
          </cell>
          <cell r="F737" t="str">
            <v>iMap Centre</v>
          </cell>
          <cell r="G737" t="str">
            <v>Other Independent Special School</v>
          </cell>
          <cell r="H737">
            <v>36243</v>
          </cell>
          <cell r="I737">
            <v>5</v>
          </cell>
          <cell r="J737" t="str">
            <v>North West</v>
          </cell>
          <cell r="K737" t="str">
            <v>North West</v>
          </cell>
          <cell r="L737" t="str">
            <v>Cheshire West and Chester</v>
          </cell>
          <cell r="M737" t="str">
            <v>Eddisbury</v>
          </cell>
          <cell r="N737" t="str">
            <v>CH3 7JA</v>
          </cell>
          <cell r="O737" t="str">
            <v>Has a sixth form</v>
          </cell>
          <cell r="P737">
            <v>11</v>
          </cell>
          <cell r="Q737">
            <v>19</v>
          </cell>
          <cell r="R737" t="str">
            <v>None</v>
          </cell>
          <cell r="S737" t="str">
            <v>Ofsted</v>
          </cell>
          <cell r="T737" t="str">
            <v>NULL</v>
          </cell>
          <cell r="U737" t="str">
            <v>NULL</v>
          </cell>
          <cell r="V737" t="str">
            <v>NULL</v>
          </cell>
          <cell r="W737" t="str">
            <v>NULL</v>
          </cell>
          <cell r="X737" t="str">
            <v>NULL</v>
          </cell>
          <cell r="Y737" t="str">
            <v>NULL</v>
          </cell>
          <cell r="Z737" t="str">
            <v>NULL</v>
          </cell>
          <cell r="AA737">
            <v>10006084</v>
          </cell>
          <cell r="AB737" t="str">
            <v>Independent School standard inspection</v>
          </cell>
          <cell r="AC737" t="str">
            <v>Independent Standard Inspection</v>
          </cell>
          <cell r="AD737">
            <v>42696</v>
          </cell>
          <cell r="AE737">
            <v>42698</v>
          </cell>
          <cell r="AF737">
            <v>42751</v>
          </cell>
          <cell r="AG737">
            <v>2</v>
          </cell>
          <cell r="AH737">
            <v>2</v>
          </cell>
          <cell r="AI737">
            <v>2</v>
          </cell>
          <cell r="AJ737">
            <v>2</v>
          </cell>
          <cell r="AK737">
            <v>2</v>
          </cell>
          <cell r="AL737" t="str">
            <v>NULL</v>
          </cell>
          <cell r="AM737">
            <v>2</v>
          </cell>
          <cell r="AN737" t="str">
            <v>Yes</v>
          </cell>
          <cell r="AO737" t="str">
            <v>ITS409868</v>
          </cell>
          <cell r="AP737" t="str">
            <v xml:space="preserve">Independent School standard inspection - integrated </v>
          </cell>
          <cell r="AQ737" t="str">
            <v>Independent Standard Inspection</v>
          </cell>
          <cell r="AR737">
            <v>41200</v>
          </cell>
          <cell r="AS737">
            <v>41201</v>
          </cell>
          <cell r="AT737">
            <v>41222</v>
          </cell>
          <cell r="AU737">
            <v>3</v>
          </cell>
          <cell r="AV737">
            <v>3</v>
          </cell>
          <cell r="AW737">
            <v>3</v>
          </cell>
          <cell r="AX737" t="str">
            <v>NULL</v>
          </cell>
          <cell r="AY737" t="str">
            <v>NULL</v>
          </cell>
          <cell r="AZ737">
            <v>8</v>
          </cell>
          <cell r="BA737" t="str">
            <v>NULL</v>
          </cell>
          <cell r="BB737" t="str">
            <v>NULL</v>
          </cell>
        </row>
        <row r="738">
          <cell r="D738">
            <v>135735</v>
          </cell>
          <cell r="E738">
            <v>9336000</v>
          </cell>
          <cell r="F738" t="str">
            <v>Inaura School</v>
          </cell>
          <cell r="G738" t="str">
            <v>Other Independent Special School</v>
          </cell>
          <cell r="H738">
            <v>39744</v>
          </cell>
          <cell r="I738">
            <v>25</v>
          </cell>
          <cell r="J738" t="str">
            <v>South West</v>
          </cell>
          <cell r="K738" t="str">
            <v>South West</v>
          </cell>
          <cell r="L738" t="str">
            <v>Somerset</v>
          </cell>
          <cell r="M738" t="str">
            <v>Taunton Deane</v>
          </cell>
          <cell r="N738" t="str">
            <v>TA7 0RB</v>
          </cell>
          <cell r="O738" t="str">
            <v>Has a sixth form</v>
          </cell>
          <cell r="P738">
            <v>8</v>
          </cell>
          <cell r="Q738">
            <v>18</v>
          </cell>
          <cell r="R738" t="str">
            <v>None</v>
          </cell>
          <cell r="S738" t="str">
            <v>Ofsted</v>
          </cell>
          <cell r="T738">
            <v>2</v>
          </cell>
          <cell r="U738">
            <v>10022242</v>
          </cell>
          <cell r="V738" t="str">
            <v>Independent school Progress Monitoring inspection</v>
          </cell>
          <cell r="W738">
            <v>42648</v>
          </cell>
          <cell r="X738">
            <v>42648</v>
          </cell>
          <cell r="Y738">
            <v>42704</v>
          </cell>
          <cell r="Z738" t="str">
            <v>Met all standards that were checked</v>
          </cell>
          <cell r="AA738">
            <v>10011269</v>
          </cell>
          <cell r="AB738" t="str">
            <v>Independent School standard inspection</v>
          </cell>
          <cell r="AC738" t="str">
            <v>Independent Standard Inspection</v>
          </cell>
          <cell r="AD738">
            <v>42395</v>
          </cell>
          <cell r="AE738">
            <v>42397</v>
          </cell>
          <cell r="AF738">
            <v>42436</v>
          </cell>
          <cell r="AG738">
            <v>4</v>
          </cell>
          <cell r="AH738">
            <v>4</v>
          </cell>
          <cell r="AI738">
            <v>4</v>
          </cell>
          <cell r="AJ738">
            <v>4</v>
          </cell>
          <cell r="AK738">
            <v>3</v>
          </cell>
          <cell r="AL738" t="str">
            <v>NULL</v>
          </cell>
          <cell r="AM738">
            <v>4</v>
          </cell>
          <cell r="AN738" t="str">
            <v>Yes</v>
          </cell>
          <cell r="AO738" t="str">
            <v>ITS408743</v>
          </cell>
          <cell r="AP738" t="str">
            <v>Independent School standard inspection</v>
          </cell>
          <cell r="AQ738" t="str">
            <v>Independent Standard Inspection</v>
          </cell>
          <cell r="AR738">
            <v>41380</v>
          </cell>
          <cell r="AS738">
            <v>41382</v>
          </cell>
          <cell r="AT738">
            <v>41402</v>
          </cell>
          <cell r="AU738">
            <v>3</v>
          </cell>
          <cell r="AV738">
            <v>3</v>
          </cell>
          <cell r="AW738">
            <v>3</v>
          </cell>
          <cell r="AX738">
            <v>3</v>
          </cell>
          <cell r="AY738" t="str">
            <v>NULL</v>
          </cell>
          <cell r="AZ738" t="str">
            <v>NULL</v>
          </cell>
          <cell r="BA738" t="str">
            <v>NULL</v>
          </cell>
          <cell r="BB738" t="str">
            <v>NULL</v>
          </cell>
        </row>
        <row r="739">
          <cell r="D739">
            <v>134415</v>
          </cell>
          <cell r="E739">
            <v>8676035</v>
          </cell>
          <cell r="F739" t="str">
            <v>Include - Thames Valley</v>
          </cell>
          <cell r="G739" t="str">
            <v>Other Independent Special School</v>
          </cell>
          <cell r="H739">
            <v>37862</v>
          </cell>
          <cell r="I739">
            <v>20</v>
          </cell>
          <cell r="J739" t="str">
            <v>South East</v>
          </cell>
          <cell r="K739" t="str">
            <v>South East</v>
          </cell>
          <cell r="L739" t="str">
            <v>Bracknell Forest</v>
          </cell>
          <cell r="M739" t="str">
            <v>Bracknell</v>
          </cell>
          <cell r="N739" t="str">
            <v>RG12 7WW</v>
          </cell>
          <cell r="O739" t="str">
            <v>Not applicable</v>
          </cell>
          <cell r="P739">
            <v>13</v>
          </cell>
          <cell r="Q739">
            <v>16</v>
          </cell>
          <cell r="R739" t="str">
            <v>None</v>
          </cell>
          <cell r="S739" t="str">
            <v>Ofsted</v>
          </cell>
          <cell r="T739">
            <v>1</v>
          </cell>
          <cell r="U739">
            <v>10008011</v>
          </cell>
          <cell r="V739" t="str">
            <v>Independent school Material Change inspection</v>
          </cell>
          <cell r="W739">
            <v>42325</v>
          </cell>
          <cell r="X739">
            <v>42325</v>
          </cell>
          <cell r="Y739" t="str">
            <v>NULL</v>
          </cell>
          <cell r="Z739" t="str">
            <v>Likely to meet relevant standards</v>
          </cell>
          <cell r="AA739" t="str">
            <v>ITS462878</v>
          </cell>
          <cell r="AB739" t="str">
            <v>Independent School standard inspection</v>
          </cell>
          <cell r="AC739" t="str">
            <v>Independent Standard Inspection</v>
          </cell>
          <cell r="AD739">
            <v>42045</v>
          </cell>
          <cell r="AE739">
            <v>42047</v>
          </cell>
          <cell r="AF739">
            <v>42076</v>
          </cell>
          <cell r="AG739">
            <v>2</v>
          </cell>
          <cell r="AH739">
            <v>2</v>
          </cell>
          <cell r="AI739">
            <v>2</v>
          </cell>
          <cell r="AJ739">
            <v>2</v>
          </cell>
          <cell r="AK739" t="str">
            <v>NULL</v>
          </cell>
          <cell r="AL739">
            <v>9</v>
          </cell>
          <cell r="AM739">
            <v>9</v>
          </cell>
          <cell r="AN739" t="str">
            <v>NULL</v>
          </cell>
          <cell r="AO739" t="str">
            <v>ITS393332</v>
          </cell>
          <cell r="AP739" t="str">
            <v>Independent School standard inspection</v>
          </cell>
          <cell r="AQ739" t="str">
            <v>Independent Standard Inspection</v>
          </cell>
          <cell r="AR739">
            <v>40969</v>
          </cell>
          <cell r="AS739">
            <v>40970</v>
          </cell>
          <cell r="AT739">
            <v>41241</v>
          </cell>
          <cell r="AU739">
            <v>3</v>
          </cell>
          <cell r="AV739">
            <v>3</v>
          </cell>
          <cell r="AW739">
            <v>3</v>
          </cell>
          <cell r="AX739" t="str">
            <v>NULL</v>
          </cell>
          <cell r="AY739" t="str">
            <v>NULL</v>
          </cell>
          <cell r="AZ739">
            <v>8</v>
          </cell>
          <cell r="BA739" t="str">
            <v>NULL</v>
          </cell>
          <cell r="BB739" t="str">
            <v>NULL</v>
          </cell>
        </row>
        <row r="740">
          <cell r="D740">
            <v>141207</v>
          </cell>
          <cell r="E740">
            <v>3526009</v>
          </cell>
          <cell r="F740" t="str">
            <v>IncludEd</v>
          </cell>
          <cell r="G740" t="str">
            <v>Other Independent Special School</v>
          </cell>
          <cell r="H740">
            <v>41869</v>
          </cell>
          <cell r="I740">
            <v>11</v>
          </cell>
          <cell r="J740" t="str">
            <v>North West</v>
          </cell>
          <cell r="K740" t="str">
            <v>North West</v>
          </cell>
          <cell r="L740" t="str">
            <v>Manchester</v>
          </cell>
          <cell r="M740" t="str">
            <v>Manchester, Gorton</v>
          </cell>
          <cell r="N740" t="str">
            <v>M16 8ER</v>
          </cell>
          <cell r="O740" t="str">
            <v>Not applicable</v>
          </cell>
          <cell r="P740">
            <v>11</v>
          </cell>
          <cell r="Q740">
            <v>16</v>
          </cell>
          <cell r="R740" t="str">
            <v>None</v>
          </cell>
          <cell r="S740" t="str">
            <v>Ofsted</v>
          </cell>
          <cell r="T740" t="str">
            <v>NULL</v>
          </cell>
          <cell r="U740" t="str">
            <v>NULL</v>
          </cell>
          <cell r="V740" t="str">
            <v>NULL</v>
          </cell>
          <cell r="W740" t="str">
            <v>NULL</v>
          </cell>
          <cell r="X740" t="str">
            <v>NULL</v>
          </cell>
          <cell r="Y740" t="str">
            <v>NULL</v>
          </cell>
          <cell r="Z740" t="str">
            <v>NULL</v>
          </cell>
          <cell r="AA740">
            <v>10034035</v>
          </cell>
          <cell r="AB740" t="str">
            <v>Independent School standard inspection</v>
          </cell>
          <cell r="AC740" t="str">
            <v>Independent Standard Inspection</v>
          </cell>
          <cell r="AD740">
            <v>42871</v>
          </cell>
          <cell r="AE740">
            <v>42873</v>
          </cell>
          <cell r="AF740">
            <v>42898</v>
          </cell>
          <cell r="AG740">
            <v>2</v>
          </cell>
          <cell r="AH740">
            <v>2</v>
          </cell>
          <cell r="AI740">
            <v>2</v>
          </cell>
          <cell r="AJ740">
            <v>2</v>
          </cell>
          <cell r="AK740">
            <v>2</v>
          </cell>
          <cell r="AL740" t="str">
            <v>NULL</v>
          </cell>
          <cell r="AM740" t="str">
            <v>NULL</v>
          </cell>
          <cell r="AN740" t="str">
            <v>Yes</v>
          </cell>
          <cell r="AO740" t="str">
            <v>ITS463023</v>
          </cell>
          <cell r="AP740" t="str">
            <v>Independent school standard inspection - first</v>
          </cell>
          <cell r="AQ740" t="str">
            <v>Independent Standard Inspection</v>
          </cell>
          <cell r="AR740">
            <v>42171</v>
          </cell>
          <cell r="AS740">
            <v>42173</v>
          </cell>
          <cell r="AT740">
            <v>42258</v>
          </cell>
          <cell r="AU740">
            <v>3</v>
          </cell>
          <cell r="AV740">
            <v>3</v>
          </cell>
          <cell r="AW740">
            <v>3</v>
          </cell>
          <cell r="AX740">
            <v>3</v>
          </cell>
          <cell r="AY740" t="str">
            <v>NULL</v>
          </cell>
          <cell r="AZ740">
            <v>9</v>
          </cell>
          <cell r="BA740">
            <v>9</v>
          </cell>
          <cell r="BB740" t="str">
            <v>NULL</v>
          </cell>
        </row>
        <row r="741">
          <cell r="D741">
            <v>130913</v>
          </cell>
          <cell r="E741">
            <v>3576056</v>
          </cell>
          <cell r="F741" t="str">
            <v>Lime Meadows</v>
          </cell>
          <cell r="G741" t="str">
            <v>Other Independent Special School</v>
          </cell>
          <cell r="H741">
            <v>38651</v>
          </cell>
          <cell r="I741">
            <v>4</v>
          </cell>
          <cell r="J741" t="str">
            <v>North West</v>
          </cell>
          <cell r="K741" t="str">
            <v>North West</v>
          </cell>
          <cell r="L741" t="str">
            <v>Tameside</v>
          </cell>
          <cell r="M741" t="str">
            <v>Preston</v>
          </cell>
          <cell r="N741" t="str">
            <v>PR2 2YQ</v>
          </cell>
          <cell r="O741" t="str">
            <v>Not applicable</v>
          </cell>
          <cell r="P741">
            <v>11</v>
          </cell>
          <cell r="Q741">
            <v>18</v>
          </cell>
          <cell r="R741" t="str">
            <v>None</v>
          </cell>
          <cell r="S741" t="str">
            <v>Ofsted</v>
          </cell>
          <cell r="T741" t="str">
            <v>NULL</v>
          </cell>
          <cell r="U741" t="str">
            <v>NULL</v>
          </cell>
          <cell r="V741" t="str">
            <v>NULL</v>
          </cell>
          <cell r="W741" t="str">
            <v>NULL</v>
          </cell>
          <cell r="X741" t="str">
            <v>NULL</v>
          </cell>
          <cell r="Y741" t="str">
            <v>NULL</v>
          </cell>
          <cell r="Z741" t="str">
            <v>NULL</v>
          </cell>
          <cell r="AA741">
            <v>10008892</v>
          </cell>
          <cell r="AB741" t="str">
            <v>Independent school standard inspection - aligned with CH</v>
          </cell>
          <cell r="AC741" t="str">
            <v>Independent Standard Inspection</v>
          </cell>
          <cell r="AD741">
            <v>42661</v>
          </cell>
          <cell r="AE741">
            <v>42662</v>
          </cell>
          <cell r="AF741">
            <v>42702</v>
          </cell>
          <cell r="AG741">
            <v>2</v>
          </cell>
          <cell r="AH741">
            <v>2</v>
          </cell>
          <cell r="AI741">
            <v>2</v>
          </cell>
          <cell r="AJ741">
            <v>2</v>
          </cell>
          <cell r="AK741">
            <v>2</v>
          </cell>
          <cell r="AL741" t="str">
            <v>NULL</v>
          </cell>
          <cell r="AM741" t="str">
            <v>NULL</v>
          </cell>
          <cell r="AN741" t="str">
            <v>Yes</v>
          </cell>
          <cell r="AO741" t="str">
            <v>ITS393327</v>
          </cell>
          <cell r="AP741" t="str">
            <v xml:space="preserve">Independent School standard inspection - integrated </v>
          </cell>
          <cell r="AQ741" t="str">
            <v>Independent Standard Inspection</v>
          </cell>
          <cell r="AR741">
            <v>41100</v>
          </cell>
          <cell r="AS741">
            <v>41101</v>
          </cell>
          <cell r="AT741">
            <v>41122</v>
          </cell>
          <cell r="AU741">
            <v>1</v>
          </cell>
          <cell r="AV741">
            <v>1</v>
          </cell>
          <cell r="AW741">
            <v>1</v>
          </cell>
          <cell r="AX741" t="str">
            <v>NULL</v>
          </cell>
          <cell r="AY741" t="str">
            <v>NULL</v>
          </cell>
          <cell r="AZ741">
            <v>8</v>
          </cell>
          <cell r="BA741" t="str">
            <v>NULL</v>
          </cell>
          <cell r="BB741" t="str">
            <v>NULL</v>
          </cell>
        </row>
        <row r="742">
          <cell r="D742">
            <v>137890</v>
          </cell>
          <cell r="E742">
            <v>3026003</v>
          </cell>
          <cell r="F742" t="str">
            <v>Limespring School</v>
          </cell>
          <cell r="G742" t="str">
            <v>Other Independent Special School</v>
          </cell>
          <cell r="H742">
            <v>40941</v>
          </cell>
          <cell r="I742">
            <v>17</v>
          </cell>
          <cell r="J742" t="str">
            <v>London</v>
          </cell>
          <cell r="K742" t="str">
            <v>London</v>
          </cell>
          <cell r="L742" t="str">
            <v>Barnet</v>
          </cell>
          <cell r="M742" t="str">
            <v>Finchley and Golders Green</v>
          </cell>
          <cell r="N742" t="str">
            <v>N2 9PJ</v>
          </cell>
          <cell r="O742" t="str">
            <v>Not applicable</v>
          </cell>
          <cell r="P742">
            <v>7</v>
          </cell>
          <cell r="Q742">
            <v>11</v>
          </cell>
          <cell r="R742" t="str">
            <v>None</v>
          </cell>
          <cell r="S742" t="str">
            <v>Ofsted</v>
          </cell>
          <cell r="T742" t="str">
            <v>NULL</v>
          </cell>
          <cell r="U742" t="str">
            <v>NULL</v>
          </cell>
          <cell r="V742" t="str">
            <v>NULL</v>
          </cell>
          <cell r="W742" t="str">
            <v>NULL</v>
          </cell>
          <cell r="X742" t="str">
            <v>NULL</v>
          </cell>
          <cell r="Y742" t="str">
            <v>NULL</v>
          </cell>
          <cell r="Z742" t="str">
            <v>NULL</v>
          </cell>
          <cell r="AA742">
            <v>10008526</v>
          </cell>
          <cell r="AB742" t="str">
            <v>Independent School standard inspection</v>
          </cell>
          <cell r="AC742" t="str">
            <v>Independent Standard Inspection</v>
          </cell>
          <cell r="AD742">
            <v>42998</v>
          </cell>
          <cell r="AE742">
            <v>43000</v>
          </cell>
          <cell r="AF742">
            <v>43052</v>
          </cell>
          <cell r="AG742">
            <v>3</v>
          </cell>
          <cell r="AH742">
            <v>3</v>
          </cell>
          <cell r="AI742">
            <v>3</v>
          </cell>
          <cell r="AJ742">
            <v>3</v>
          </cell>
          <cell r="AK742">
            <v>1</v>
          </cell>
          <cell r="AL742" t="str">
            <v>NULL</v>
          </cell>
          <cell r="AM742" t="str">
            <v>NULL</v>
          </cell>
          <cell r="AN742" t="str">
            <v>Yes</v>
          </cell>
          <cell r="AO742" t="str">
            <v>ITS408677</v>
          </cell>
          <cell r="AP742" t="str">
            <v>Independent school standard inspection - first</v>
          </cell>
          <cell r="AQ742" t="str">
            <v>Independent Standard Inspection</v>
          </cell>
          <cell r="AR742">
            <v>41311</v>
          </cell>
          <cell r="AS742">
            <v>41312</v>
          </cell>
          <cell r="AT742">
            <v>41333</v>
          </cell>
          <cell r="AU742">
            <v>2</v>
          </cell>
          <cell r="AV742">
            <v>2</v>
          </cell>
          <cell r="AW742">
            <v>2</v>
          </cell>
          <cell r="AX742">
            <v>2</v>
          </cell>
          <cell r="AY742" t="str">
            <v>NULL</v>
          </cell>
          <cell r="AZ742" t="str">
            <v>NULL</v>
          </cell>
          <cell r="BA742" t="str">
            <v>NULL</v>
          </cell>
          <cell r="BB742" t="str">
            <v>NULL</v>
          </cell>
        </row>
        <row r="743">
          <cell r="D743">
            <v>131810</v>
          </cell>
          <cell r="E743">
            <v>8866085</v>
          </cell>
          <cell r="F743" t="str">
            <v>Little Acorns School</v>
          </cell>
          <cell r="G743" t="str">
            <v>Other Independent Special School</v>
          </cell>
          <cell r="H743">
            <v>36284</v>
          </cell>
          <cell r="I743">
            <v>7</v>
          </cell>
          <cell r="J743" t="str">
            <v>South East</v>
          </cell>
          <cell r="K743" t="str">
            <v>South East</v>
          </cell>
          <cell r="L743" t="str">
            <v>Kent</v>
          </cell>
          <cell r="M743" t="str">
            <v>Ashford</v>
          </cell>
          <cell r="N743" t="str">
            <v>TN30 6SR</v>
          </cell>
          <cell r="O743" t="str">
            <v>Not applicable</v>
          </cell>
          <cell r="P743">
            <v>5</v>
          </cell>
          <cell r="Q743">
            <v>14</v>
          </cell>
          <cell r="R743" t="str">
            <v>None</v>
          </cell>
          <cell r="S743" t="str">
            <v>Ofsted</v>
          </cell>
          <cell r="T743">
            <v>4</v>
          </cell>
          <cell r="U743">
            <v>10040602</v>
          </cell>
          <cell r="V743" t="str">
            <v>Independent school Progress Monitoring inspection</v>
          </cell>
          <cell r="W743">
            <v>43020</v>
          </cell>
          <cell r="X743">
            <v>43020</v>
          </cell>
          <cell r="Y743">
            <v>43053</v>
          </cell>
          <cell r="Z743" t="str">
            <v>Met all standards that were checked</v>
          </cell>
          <cell r="AA743">
            <v>10012905</v>
          </cell>
          <cell r="AB743" t="str">
            <v>Independent school standard inspection - aligned with CH</v>
          </cell>
          <cell r="AC743" t="str">
            <v>Independent Standard Inspection</v>
          </cell>
          <cell r="AD743">
            <v>42682</v>
          </cell>
          <cell r="AE743">
            <v>42684</v>
          </cell>
          <cell r="AF743">
            <v>42740</v>
          </cell>
          <cell r="AG743">
            <v>4</v>
          </cell>
          <cell r="AH743">
            <v>3</v>
          </cell>
          <cell r="AI743">
            <v>3</v>
          </cell>
          <cell r="AJ743">
            <v>4</v>
          </cell>
          <cell r="AK743">
            <v>4</v>
          </cell>
          <cell r="AL743" t="str">
            <v>NULL</v>
          </cell>
          <cell r="AM743" t="str">
            <v>NULL</v>
          </cell>
          <cell r="AN743" t="str">
            <v>No</v>
          </cell>
          <cell r="AO743" t="str">
            <v>ITS420221</v>
          </cell>
          <cell r="AP743" t="str">
            <v xml:space="preserve">Independent School standard inspection - integrated </v>
          </cell>
          <cell r="AQ743" t="str">
            <v>Independent Standard Inspection</v>
          </cell>
          <cell r="AR743">
            <v>41408</v>
          </cell>
          <cell r="AS743">
            <v>41410</v>
          </cell>
          <cell r="AT743">
            <v>41431</v>
          </cell>
          <cell r="AU743">
            <v>2</v>
          </cell>
          <cell r="AV743">
            <v>2</v>
          </cell>
          <cell r="AW743">
            <v>2</v>
          </cell>
          <cell r="AX743">
            <v>2</v>
          </cell>
          <cell r="AY743" t="str">
            <v>NULL</v>
          </cell>
          <cell r="AZ743" t="str">
            <v>NULL</v>
          </cell>
          <cell r="BA743" t="str">
            <v>NULL</v>
          </cell>
          <cell r="BB743" t="str">
            <v>NULL</v>
          </cell>
        </row>
        <row r="744">
          <cell r="D744">
            <v>137098</v>
          </cell>
          <cell r="E744">
            <v>8606037</v>
          </cell>
          <cell r="F744" t="str">
            <v>Longdon Hall School</v>
          </cell>
          <cell r="G744" t="str">
            <v>Other Independent Special School</v>
          </cell>
          <cell r="H744">
            <v>40757</v>
          </cell>
          <cell r="I744">
            <v>66</v>
          </cell>
          <cell r="J744" t="str">
            <v>West Midlands</v>
          </cell>
          <cell r="K744" t="str">
            <v>West Midlands</v>
          </cell>
          <cell r="L744" t="str">
            <v>Staffordshire</v>
          </cell>
          <cell r="M744" t="str">
            <v>Lichfield</v>
          </cell>
          <cell r="N744" t="str">
            <v>WS15 4PT</v>
          </cell>
          <cell r="O744" t="str">
            <v>Not applicable</v>
          </cell>
          <cell r="P744">
            <v>7</v>
          </cell>
          <cell r="Q744">
            <v>18</v>
          </cell>
          <cell r="R744" t="str">
            <v>None</v>
          </cell>
          <cell r="S744" t="str">
            <v>Ofsted</v>
          </cell>
          <cell r="T744">
            <v>1</v>
          </cell>
          <cell r="U744" t="str">
            <v>ITS441338</v>
          </cell>
          <cell r="V744" t="str">
            <v xml:space="preserve">Independent School material change inspection - Integrated </v>
          </cell>
          <cell r="W744">
            <v>41831</v>
          </cell>
          <cell r="X744">
            <v>41831</v>
          </cell>
          <cell r="Y744" t="str">
            <v>NULL</v>
          </cell>
          <cell r="Z744" t="str">
            <v>NULL</v>
          </cell>
          <cell r="AA744" t="str">
            <v>ITS393267</v>
          </cell>
          <cell r="AB744" t="str">
            <v>Independent school standard inspection - first</v>
          </cell>
          <cell r="AC744" t="str">
            <v>Independent Standard Inspection</v>
          </cell>
          <cell r="AD744">
            <v>41044</v>
          </cell>
          <cell r="AE744">
            <v>41045</v>
          </cell>
          <cell r="AF744">
            <v>41075</v>
          </cell>
          <cell r="AG744">
            <v>1</v>
          </cell>
          <cell r="AH744">
            <v>1</v>
          </cell>
          <cell r="AI744">
            <v>1</v>
          </cell>
          <cell r="AJ744" t="str">
            <v>NULL</v>
          </cell>
          <cell r="AK744" t="str">
            <v>NULL</v>
          </cell>
          <cell r="AL744">
            <v>8</v>
          </cell>
          <cell r="AM744" t="str">
            <v>NULL</v>
          </cell>
          <cell r="AN744" t="str">
            <v>NULL</v>
          </cell>
          <cell r="AO744" t="str">
            <v>NULL</v>
          </cell>
          <cell r="AP744" t="str">
            <v>NULL</v>
          </cell>
          <cell r="AQ744" t="str">
            <v>NULL</v>
          </cell>
          <cell r="AR744" t="str">
            <v>NULL</v>
          </cell>
          <cell r="AS744" t="str">
            <v>NULL</v>
          </cell>
          <cell r="AT744" t="str">
            <v>NULL</v>
          </cell>
          <cell r="AU744" t="str">
            <v>NULL</v>
          </cell>
          <cell r="AV744" t="str">
            <v>NULL</v>
          </cell>
          <cell r="AW744" t="str">
            <v>NULL</v>
          </cell>
          <cell r="AX744" t="str">
            <v>NULL</v>
          </cell>
          <cell r="AY744" t="str">
            <v>NULL</v>
          </cell>
          <cell r="AZ744" t="str">
            <v>NULL</v>
          </cell>
          <cell r="BA744" t="str">
            <v>NULL</v>
          </cell>
          <cell r="BB744" t="str">
            <v>NULL</v>
          </cell>
        </row>
        <row r="745">
          <cell r="D745">
            <v>134395</v>
          </cell>
          <cell r="E745">
            <v>8306027</v>
          </cell>
          <cell r="F745" t="str">
            <v>New Direction School</v>
          </cell>
          <cell r="G745" t="str">
            <v>Other Independent Special School</v>
          </cell>
          <cell r="H745">
            <v>37862</v>
          </cell>
          <cell r="I745">
            <v>0</v>
          </cell>
          <cell r="J745" t="str">
            <v>East Midlands</v>
          </cell>
          <cell r="K745" t="str">
            <v>East Midlands</v>
          </cell>
          <cell r="L745" t="str">
            <v>Derbyshire</v>
          </cell>
          <cell r="M745" t="str">
            <v>Bolsover</v>
          </cell>
          <cell r="N745" t="str">
            <v>S43 4BX</v>
          </cell>
          <cell r="O745" t="str">
            <v>Not applicable</v>
          </cell>
          <cell r="P745">
            <v>11</v>
          </cell>
          <cell r="Q745">
            <v>16</v>
          </cell>
          <cell r="R745" t="str">
            <v>None</v>
          </cell>
          <cell r="S745" t="str">
            <v>Ofsted</v>
          </cell>
          <cell r="T745" t="str">
            <v>NULL</v>
          </cell>
          <cell r="U745" t="str">
            <v>NULL</v>
          </cell>
          <cell r="V745" t="str">
            <v>NULL</v>
          </cell>
          <cell r="W745" t="str">
            <v>NULL</v>
          </cell>
          <cell r="X745" t="str">
            <v>NULL</v>
          </cell>
          <cell r="Y745" t="str">
            <v>NULL</v>
          </cell>
          <cell r="Z745" t="str">
            <v>NULL</v>
          </cell>
          <cell r="AA745">
            <v>10006102</v>
          </cell>
          <cell r="AB745" t="str">
            <v>Independent School standard inspection</v>
          </cell>
          <cell r="AC745" t="str">
            <v>Independent Standard Inspection</v>
          </cell>
          <cell r="AD745">
            <v>42899</v>
          </cell>
          <cell r="AE745">
            <v>42900</v>
          </cell>
          <cell r="AF745">
            <v>42923</v>
          </cell>
          <cell r="AG745">
            <v>3</v>
          </cell>
          <cell r="AH745">
            <v>2</v>
          </cell>
          <cell r="AI745">
            <v>3</v>
          </cell>
          <cell r="AJ745">
            <v>3</v>
          </cell>
          <cell r="AK745">
            <v>2</v>
          </cell>
          <cell r="AL745" t="str">
            <v>NULL</v>
          </cell>
          <cell r="AM745" t="str">
            <v>NULL</v>
          </cell>
          <cell r="AN745" t="str">
            <v>Yes</v>
          </cell>
          <cell r="AO745" t="str">
            <v>ITS397673</v>
          </cell>
          <cell r="AP745" t="str">
            <v>Independent School standard inspection</v>
          </cell>
          <cell r="AQ745" t="str">
            <v>Independent Standard Inspection</v>
          </cell>
          <cell r="AR745">
            <v>41171</v>
          </cell>
          <cell r="AS745">
            <v>41172</v>
          </cell>
          <cell r="AT745">
            <v>41190</v>
          </cell>
          <cell r="AU745">
            <v>3</v>
          </cell>
          <cell r="AV745">
            <v>3</v>
          </cell>
          <cell r="AW745">
            <v>3</v>
          </cell>
          <cell r="AX745" t="str">
            <v>NULL</v>
          </cell>
          <cell r="AY745" t="str">
            <v>NULL</v>
          </cell>
          <cell r="AZ745">
            <v>8</v>
          </cell>
          <cell r="BA745" t="str">
            <v>NULL</v>
          </cell>
          <cell r="BB745" t="str">
            <v>NULL</v>
          </cell>
        </row>
        <row r="746">
          <cell r="D746">
            <v>137279</v>
          </cell>
          <cell r="E746">
            <v>8506089</v>
          </cell>
          <cell r="F746" t="str">
            <v>New Forest School</v>
          </cell>
          <cell r="G746" t="str">
            <v>Other Independent Special School</v>
          </cell>
          <cell r="H746">
            <v>40770</v>
          </cell>
          <cell r="I746">
            <v>29</v>
          </cell>
          <cell r="J746" t="str">
            <v>South East</v>
          </cell>
          <cell r="K746" t="str">
            <v>South East</v>
          </cell>
          <cell r="L746" t="str">
            <v>Hampshire</v>
          </cell>
          <cell r="M746" t="str">
            <v>New Forest East</v>
          </cell>
          <cell r="N746" t="str">
            <v>SO45 1FJ</v>
          </cell>
          <cell r="O746" t="str">
            <v>Not applicable</v>
          </cell>
          <cell r="P746">
            <v>8</v>
          </cell>
          <cell r="Q746">
            <v>16</v>
          </cell>
          <cell r="R746" t="str">
            <v>None</v>
          </cell>
          <cell r="S746" t="str">
            <v>Ofsted</v>
          </cell>
          <cell r="T746" t="str">
            <v>NULL</v>
          </cell>
          <cell r="U746" t="str">
            <v>NULL</v>
          </cell>
          <cell r="V746" t="str">
            <v>NULL</v>
          </cell>
          <cell r="W746" t="str">
            <v>NULL</v>
          </cell>
          <cell r="X746" t="str">
            <v>NULL</v>
          </cell>
          <cell r="Y746" t="str">
            <v>NULL</v>
          </cell>
          <cell r="Z746" t="str">
            <v>NULL</v>
          </cell>
          <cell r="AA746">
            <v>10008605</v>
          </cell>
          <cell r="AB746" t="str">
            <v>Independent School standard inspection</v>
          </cell>
          <cell r="AC746" t="str">
            <v>Independent Standard Inspection</v>
          </cell>
          <cell r="AD746">
            <v>43004</v>
          </cell>
          <cell r="AE746">
            <v>43006</v>
          </cell>
          <cell r="AF746">
            <v>43045</v>
          </cell>
          <cell r="AG746">
            <v>1</v>
          </cell>
          <cell r="AH746">
            <v>1</v>
          </cell>
          <cell r="AI746">
            <v>1</v>
          </cell>
          <cell r="AJ746">
            <v>1</v>
          </cell>
          <cell r="AK746">
            <v>1</v>
          </cell>
          <cell r="AL746" t="str">
            <v>NULL</v>
          </cell>
          <cell r="AM746" t="str">
            <v>NULL</v>
          </cell>
          <cell r="AN746" t="str">
            <v>Yes</v>
          </cell>
          <cell r="AO746" t="str">
            <v>ITS393270</v>
          </cell>
          <cell r="AP746" t="str">
            <v>Independent school standard inspection - first</v>
          </cell>
          <cell r="AQ746" t="str">
            <v>Independent Standard Inspection</v>
          </cell>
          <cell r="AR746">
            <v>41094</v>
          </cell>
          <cell r="AS746">
            <v>41095</v>
          </cell>
          <cell r="AT746">
            <v>41158</v>
          </cell>
          <cell r="AU746">
            <v>2</v>
          </cell>
          <cell r="AV746">
            <v>2</v>
          </cell>
          <cell r="AW746">
            <v>2</v>
          </cell>
          <cell r="AX746" t="str">
            <v>NULL</v>
          </cell>
          <cell r="AY746" t="str">
            <v>NULL</v>
          </cell>
          <cell r="AZ746">
            <v>8</v>
          </cell>
          <cell r="BA746" t="str">
            <v>NULL</v>
          </cell>
          <cell r="BB746" t="str">
            <v>NULL</v>
          </cell>
        </row>
        <row r="747">
          <cell r="D747">
            <v>131016</v>
          </cell>
          <cell r="E747">
            <v>9336195</v>
          </cell>
          <cell r="F747" t="str">
            <v>Newbury Manor School</v>
          </cell>
          <cell r="G747" t="str">
            <v>Other Independent Special School</v>
          </cell>
          <cell r="H747">
            <v>35311</v>
          </cell>
          <cell r="I747">
            <v>33</v>
          </cell>
          <cell r="J747" t="str">
            <v>South West</v>
          </cell>
          <cell r="K747" t="str">
            <v>South West</v>
          </cell>
          <cell r="L747" t="str">
            <v>Somerset</v>
          </cell>
          <cell r="M747" t="str">
            <v>Somerton and Frome</v>
          </cell>
          <cell r="N747" t="str">
            <v>BA11 3RG</v>
          </cell>
          <cell r="O747" t="str">
            <v>Has a sixth form</v>
          </cell>
          <cell r="P747">
            <v>6</v>
          </cell>
          <cell r="Q747">
            <v>19</v>
          </cell>
          <cell r="R747" t="str">
            <v>None</v>
          </cell>
          <cell r="S747" t="str">
            <v>Ofsted</v>
          </cell>
          <cell r="T747" t="str">
            <v>NULL</v>
          </cell>
          <cell r="U747" t="str">
            <v>NULL</v>
          </cell>
          <cell r="V747" t="str">
            <v>NULL</v>
          </cell>
          <cell r="W747" t="str">
            <v>NULL</v>
          </cell>
          <cell r="X747" t="str">
            <v>NULL</v>
          </cell>
          <cell r="Y747" t="str">
            <v>NULL</v>
          </cell>
          <cell r="Z747" t="str">
            <v>NULL</v>
          </cell>
          <cell r="AA747">
            <v>10006135</v>
          </cell>
          <cell r="AB747" t="str">
            <v>Independent School standard inspection</v>
          </cell>
          <cell r="AC747" t="str">
            <v>Independent Standard Inspection</v>
          </cell>
          <cell r="AD747">
            <v>42332</v>
          </cell>
          <cell r="AE747">
            <v>42334</v>
          </cell>
          <cell r="AF747">
            <v>42404</v>
          </cell>
          <cell r="AG747">
            <v>2</v>
          </cell>
          <cell r="AH747">
            <v>2</v>
          </cell>
          <cell r="AI747">
            <v>2</v>
          </cell>
          <cell r="AJ747">
            <v>2</v>
          </cell>
          <cell r="AK747">
            <v>2</v>
          </cell>
          <cell r="AL747" t="str">
            <v>NULL</v>
          </cell>
          <cell r="AM747">
            <v>1</v>
          </cell>
          <cell r="AN747" t="str">
            <v>Yes</v>
          </cell>
          <cell r="AO747" t="str">
            <v>ITS395242</v>
          </cell>
          <cell r="AP747" t="str">
            <v xml:space="preserve">Independent School standard inspection - integrated </v>
          </cell>
          <cell r="AQ747" t="str">
            <v>Independent Standard Inspection</v>
          </cell>
          <cell r="AR747">
            <v>41094</v>
          </cell>
          <cell r="AS747">
            <v>41095</v>
          </cell>
          <cell r="AT747">
            <v>41159</v>
          </cell>
          <cell r="AU747">
            <v>3</v>
          </cell>
          <cell r="AV747">
            <v>3</v>
          </cell>
          <cell r="AW747">
            <v>3</v>
          </cell>
          <cell r="AX747" t="str">
            <v>NULL</v>
          </cell>
          <cell r="AY747" t="str">
            <v>NULL</v>
          </cell>
          <cell r="AZ747">
            <v>8</v>
          </cell>
          <cell r="BA747" t="str">
            <v>NULL</v>
          </cell>
          <cell r="BB747" t="str">
            <v>NULL</v>
          </cell>
        </row>
        <row r="748">
          <cell r="D748">
            <v>141888</v>
          </cell>
          <cell r="E748">
            <v>3406003</v>
          </cell>
          <cell r="F748" t="str">
            <v>Newlands Hey</v>
          </cell>
          <cell r="G748" t="str">
            <v>Other Independent Special School</v>
          </cell>
          <cell r="H748">
            <v>42076</v>
          </cell>
          <cell r="I748">
            <v>5</v>
          </cell>
          <cell r="J748" t="str">
            <v>North West</v>
          </cell>
          <cell r="K748" t="str">
            <v>North West</v>
          </cell>
          <cell r="L748" t="str">
            <v>Knowsley</v>
          </cell>
          <cell r="M748" t="str">
            <v>Knowsley</v>
          </cell>
          <cell r="N748" t="str">
            <v>L36 5SE</v>
          </cell>
          <cell r="O748" t="str">
            <v>Not applicable</v>
          </cell>
          <cell r="P748">
            <v>8</v>
          </cell>
          <cell r="Q748">
            <v>19</v>
          </cell>
          <cell r="R748" t="str">
            <v>None</v>
          </cell>
          <cell r="S748" t="str">
            <v>Ofsted</v>
          </cell>
          <cell r="T748" t="str">
            <v>NULL</v>
          </cell>
          <cell r="U748" t="str">
            <v>NULL</v>
          </cell>
          <cell r="V748" t="str">
            <v>NULL</v>
          </cell>
          <cell r="W748" t="str">
            <v>NULL</v>
          </cell>
          <cell r="X748" t="str">
            <v>NULL</v>
          </cell>
          <cell r="Y748" t="str">
            <v>NULL</v>
          </cell>
          <cell r="Z748" t="str">
            <v>NULL</v>
          </cell>
          <cell r="AA748">
            <v>10008626</v>
          </cell>
          <cell r="AB748" t="str">
            <v>Independent school standard inspection - first</v>
          </cell>
          <cell r="AC748" t="str">
            <v>Independent Standard Inspection</v>
          </cell>
          <cell r="AD748">
            <v>42648</v>
          </cell>
          <cell r="AE748">
            <v>42650</v>
          </cell>
          <cell r="AF748">
            <v>42695</v>
          </cell>
          <cell r="AG748">
            <v>2</v>
          </cell>
          <cell r="AH748">
            <v>2</v>
          </cell>
          <cell r="AI748">
            <v>2</v>
          </cell>
          <cell r="AJ748">
            <v>2</v>
          </cell>
          <cell r="AK748">
            <v>2</v>
          </cell>
          <cell r="AL748" t="str">
            <v>NULL</v>
          </cell>
          <cell r="AM748" t="str">
            <v>NULL</v>
          </cell>
          <cell r="AN748" t="str">
            <v>Yes</v>
          </cell>
          <cell r="AO748" t="str">
            <v>NULL</v>
          </cell>
          <cell r="AP748" t="str">
            <v>NULL</v>
          </cell>
          <cell r="AQ748" t="str">
            <v>NULL</v>
          </cell>
          <cell r="AR748" t="str">
            <v>NULL</v>
          </cell>
          <cell r="AS748" t="str">
            <v>NULL</v>
          </cell>
          <cell r="AT748" t="str">
            <v>NULL</v>
          </cell>
          <cell r="AU748" t="str">
            <v>NULL</v>
          </cell>
          <cell r="AV748" t="str">
            <v>NULL</v>
          </cell>
          <cell r="AW748" t="str">
            <v>NULL</v>
          </cell>
          <cell r="AX748" t="str">
            <v>NULL</v>
          </cell>
          <cell r="AY748" t="str">
            <v>NULL</v>
          </cell>
          <cell r="AZ748" t="str">
            <v>NULL</v>
          </cell>
          <cell r="BA748" t="str">
            <v>NULL</v>
          </cell>
          <cell r="BB748" t="str">
            <v>NULL</v>
          </cell>
        </row>
        <row r="749">
          <cell r="D749">
            <v>135259</v>
          </cell>
          <cell r="E749">
            <v>9376105</v>
          </cell>
          <cell r="F749" t="str">
            <v>Valley House</v>
          </cell>
          <cell r="G749" t="str">
            <v>Other Independent Special School</v>
          </cell>
          <cell r="H749">
            <v>39204</v>
          </cell>
          <cell r="I749">
            <v>6</v>
          </cell>
          <cell r="J749" t="str">
            <v>West Midlands</v>
          </cell>
          <cell r="K749" t="str">
            <v>West Midlands</v>
          </cell>
          <cell r="L749" t="str">
            <v>Warwickshire</v>
          </cell>
          <cell r="M749" t="str">
            <v>North Warwickshire</v>
          </cell>
          <cell r="N749" t="str">
            <v>CV7 8DL</v>
          </cell>
          <cell r="O749" t="str">
            <v>Not applicable</v>
          </cell>
          <cell r="P749">
            <v>12</v>
          </cell>
          <cell r="Q749">
            <v>18</v>
          </cell>
          <cell r="R749" t="str">
            <v>None</v>
          </cell>
          <cell r="S749" t="str">
            <v>Ofsted</v>
          </cell>
          <cell r="T749" t="str">
            <v>NULL</v>
          </cell>
          <cell r="U749" t="str">
            <v>NULL</v>
          </cell>
          <cell r="V749" t="str">
            <v>NULL</v>
          </cell>
          <cell r="W749" t="str">
            <v>NULL</v>
          </cell>
          <cell r="X749" t="str">
            <v>NULL</v>
          </cell>
          <cell r="Y749" t="str">
            <v>NULL</v>
          </cell>
          <cell r="Z749" t="str">
            <v>NULL</v>
          </cell>
          <cell r="AA749">
            <v>10006087</v>
          </cell>
          <cell r="AB749" t="str">
            <v>Independent School standard inspection</v>
          </cell>
          <cell r="AC749" t="str">
            <v>Independent Standard Inspection</v>
          </cell>
          <cell r="AD749">
            <v>43011</v>
          </cell>
          <cell r="AE749">
            <v>43013</v>
          </cell>
          <cell r="AF749">
            <v>43052</v>
          </cell>
          <cell r="AG749">
            <v>2</v>
          </cell>
          <cell r="AH749">
            <v>2</v>
          </cell>
          <cell r="AI749">
            <v>2</v>
          </cell>
          <cell r="AJ749">
            <v>2</v>
          </cell>
          <cell r="AK749">
            <v>1</v>
          </cell>
          <cell r="AL749" t="str">
            <v>NULL</v>
          </cell>
          <cell r="AM749">
            <v>2</v>
          </cell>
          <cell r="AN749" t="str">
            <v>Yes</v>
          </cell>
          <cell r="AO749" t="str">
            <v>ITS397621</v>
          </cell>
          <cell r="AP749" t="str">
            <v xml:space="preserve">Independent School standard inspection - integrated </v>
          </cell>
          <cell r="AQ749" t="str">
            <v>Independent Standard Inspection</v>
          </cell>
          <cell r="AR749">
            <v>41220</v>
          </cell>
          <cell r="AS749">
            <v>41221</v>
          </cell>
          <cell r="AT749">
            <v>41243</v>
          </cell>
          <cell r="AU749">
            <v>3</v>
          </cell>
          <cell r="AV749">
            <v>3</v>
          </cell>
          <cell r="AW749">
            <v>3</v>
          </cell>
          <cell r="AX749" t="str">
            <v>NULL</v>
          </cell>
          <cell r="AY749" t="str">
            <v>NULL</v>
          </cell>
          <cell r="AZ749">
            <v>8</v>
          </cell>
          <cell r="BA749" t="str">
            <v>NULL</v>
          </cell>
          <cell r="BB749" t="str">
            <v>NULL</v>
          </cell>
        </row>
        <row r="750">
          <cell r="D750">
            <v>132743</v>
          </cell>
          <cell r="E750">
            <v>3306101</v>
          </cell>
          <cell r="F750" t="str">
            <v>Values Academy</v>
          </cell>
          <cell r="G750" t="str">
            <v>Other Independent Special School</v>
          </cell>
          <cell r="H750">
            <v>36811</v>
          </cell>
          <cell r="I750">
            <v>23</v>
          </cell>
          <cell r="J750" t="str">
            <v>West Midlands</v>
          </cell>
          <cell r="K750" t="str">
            <v>West Midlands</v>
          </cell>
          <cell r="L750" t="str">
            <v>Birmingham</v>
          </cell>
          <cell r="M750" t="str">
            <v>Birmingham, Ladywood</v>
          </cell>
          <cell r="N750" t="str">
            <v>B18 5PB</v>
          </cell>
          <cell r="O750" t="str">
            <v>Not applicable</v>
          </cell>
          <cell r="P750">
            <v>11</v>
          </cell>
          <cell r="Q750">
            <v>17</v>
          </cell>
          <cell r="R750" t="str">
            <v>None</v>
          </cell>
          <cell r="S750" t="str">
            <v>Ofsted</v>
          </cell>
          <cell r="T750" t="str">
            <v>NULL</v>
          </cell>
          <cell r="U750" t="str">
            <v>NULL</v>
          </cell>
          <cell r="V750" t="str">
            <v>NULL</v>
          </cell>
          <cell r="W750" t="str">
            <v>NULL</v>
          </cell>
          <cell r="X750" t="str">
            <v>NULL</v>
          </cell>
          <cell r="Y750" t="str">
            <v>NULL</v>
          </cell>
          <cell r="Z750" t="str">
            <v>NULL</v>
          </cell>
          <cell r="AA750">
            <v>10008601</v>
          </cell>
          <cell r="AB750" t="str">
            <v>Independent School standard inspection</v>
          </cell>
          <cell r="AC750" t="str">
            <v>Independent Standard Inspection</v>
          </cell>
          <cell r="AD750">
            <v>42494</v>
          </cell>
          <cell r="AE750">
            <v>42496</v>
          </cell>
          <cell r="AF750">
            <v>42542</v>
          </cell>
          <cell r="AG750">
            <v>2</v>
          </cell>
          <cell r="AH750">
            <v>2</v>
          </cell>
          <cell r="AI750">
            <v>2</v>
          </cell>
          <cell r="AJ750">
            <v>2</v>
          </cell>
          <cell r="AK750">
            <v>2</v>
          </cell>
          <cell r="AL750" t="str">
            <v>NULL</v>
          </cell>
          <cell r="AM750" t="str">
            <v>NULL</v>
          </cell>
          <cell r="AN750" t="str">
            <v>Yes</v>
          </cell>
          <cell r="AO750" t="str">
            <v>ITS397565</v>
          </cell>
          <cell r="AP750" t="str">
            <v>Independent School standard inspection</v>
          </cell>
          <cell r="AQ750" t="str">
            <v>Independent Standard Inspection</v>
          </cell>
          <cell r="AR750">
            <v>41074</v>
          </cell>
          <cell r="AS750">
            <v>41075</v>
          </cell>
          <cell r="AT750">
            <v>41092</v>
          </cell>
          <cell r="AU750">
            <v>2</v>
          </cell>
          <cell r="AV750">
            <v>2</v>
          </cell>
          <cell r="AW750">
            <v>2</v>
          </cell>
          <cell r="AX750" t="str">
            <v>NULL</v>
          </cell>
          <cell r="AY750" t="str">
            <v>NULL</v>
          </cell>
          <cell r="AZ750">
            <v>8</v>
          </cell>
          <cell r="BA750" t="str">
            <v>NULL</v>
          </cell>
          <cell r="BB750" t="str">
            <v>NULL</v>
          </cell>
        </row>
        <row r="751">
          <cell r="D751">
            <v>137597</v>
          </cell>
          <cell r="E751">
            <v>9376000</v>
          </cell>
          <cell r="F751" t="str">
            <v>Values Academy</v>
          </cell>
          <cell r="G751" t="str">
            <v>Other Independent Special School</v>
          </cell>
          <cell r="H751">
            <v>40841</v>
          </cell>
          <cell r="I751">
            <v>19</v>
          </cell>
          <cell r="J751" t="str">
            <v>West Midlands</v>
          </cell>
          <cell r="K751" t="str">
            <v>West Midlands</v>
          </cell>
          <cell r="L751" t="str">
            <v>Warwickshire</v>
          </cell>
          <cell r="M751" t="str">
            <v>Nuneaton</v>
          </cell>
          <cell r="N751" t="str">
            <v>CV10 8JX</v>
          </cell>
          <cell r="O751" t="str">
            <v>Not applicable</v>
          </cell>
          <cell r="P751">
            <v>11</v>
          </cell>
          <cell r="Q751">
            <v>18</v>
          </cell>
          <cell r="R751" t="str">
            <v>None</v>
          </cell>
          <cell r="S751" t="str">
            <v>Ofsted</v>
          </cell>
          <cell r="T751">
            <v>1</v>
          </cell>
          <cell r="U751">
            <v>10017930</v>
          </cell>
          <cell r="V751" t="str">
            <v>Independent school evaluation of school action plan</v>
          </cell>
          <cell r="W751">
            <v>42515</v>
          </cell>
          <cell r="X751">
            <v>42515</v>
          </cell>
          <cell r="Y751" t="str">
            <v>NULL</v>
          </cell>
          <cell r="Z751" t="str">
            <v>Action plan is acceptable</v>
          </cell>
          <cell r="AA751">
            <v>10006118</v>
          </cell>
          <cell r="AB751" t="str">
            <v>Independent School standard inspection</v>
          </cell>
          <cell r="AC751" t="str">
            <v>Independent Standard Inspection</v>
          </cell>
          <cell r="AD751">
            <v>42326</v>
          </cell>
          <cell r="AE751">
            <v>42328</v>
          </cell>
          <cell r="AF751">
            <v>42383</v>
          </cell>
          <cell r="AG751">
            <v>3</v>
          </cell>
          <cell r="AH751">
            <v>3</v>
          </cell>
          <cell r="AI751">
            <v>3</v>
          </cell>
          <cell r="AJ751">
            <v>3</v>
          </cell>
          <cell r="AK751">
            <v>2</v>
          </cell>
          <cell r="AL751" t="str">
            <v>NULL</v>
          </cell>
          <cell r="AM751">
            <v>3</v>
          </cell>
          <cell r="AN751" t="str">
            <v>Yes</v>
          </cell>
          <cell r="AO751" t="str">
            <v>ITS397693</v>
          </cell>
          <cell r="AP751" t="str">
            <v>Independent school standard inspection - first</v>
          </cell>
          <cell r="AQ751" t="str">
            <v>Independent Standard Inspection</v>
          </cell>
          <cell r="AR751">
            <v>41184</v>
          </cell>
          <cell r="AS751">
            <v>41185</v>
          </cell>
          <cell r="AT751">
            <v>41208</v>
          </cell>
          <cell r="AU751">
            <v>3</v>
          </cell>
          <cell r="AV751">
            <v>3</v>
          </cell>
          <cell r="AW751">
            <v>3</v>
          </cell>
          <cell r="AX751" t="str">
            <v>NULL</v>
          </cell>
          <cell r="AY751" t="str">
            <v>NULL</v>
          </cell>
          <cell r="AZ751">
            <v>8</v>
          </cell>
          <cell r="BA751" t="str">
            <v>NULL</v>
          </cell>
          <cell r="BB751" t="str">
            <v>NULL</v>
          </cell>
        </row>
        <row r="752">
          <cell r="D752">
            <v>115810</v>
          </cell>
          <cell r="E752">
            <v>9166073</v>
          </cell>
          <cell r="F752" t="str">
            <v>Al-Ashraf Secondary School for Girls</v>
          </cell>
          <cell r="G752" t="str">
            <v>Other Independent School</v>
          </cell>
          <cell r="H752">
            <v>34607</v>
          </cell>
          <cell r="I752">
            <v>70</v>
          </cell>
          <cell r="J752" t="str">
            <v>South West</v>
          </cell>
          <cell r="K752" t="str">
            <v>South West</v>
          </cell>
          <cell r="L752" t="str">
            <v>Gloucestershire</v>
          </cell>
          <cell r="M752" t="str">
            <v>Gloucester</v>
          </cell>
          <cell r="N752" t="str">
            <v>GL1 4AW</v>
          </cell>
          <cell r="O752" t="str">
            <v>Does not have a sixth form</v>
          </cell>
          <cell r="P752">
            <v>11</v>
          </cell>
          <cell r="Q752">
            <v>16</v>
          </cell>
          <cell r="R752" t="str">
            <v>None</v>
          </cell>
          <cell r="S752" t="str">
            <v>Ofsted</v>
          </cell>
          <cell r="T752" t="str">
            <v>NULL</v>
          </cell>
          <cell r="U752" t="str">
            <v>NULL</v>
          </cell>
          <cell r="V752" t="str">
            <v>NULL</v>
          </cell>
          <cell r="W752" t="str">
            <v>NULL</v>
          </cell>
          <cell r="X752" t="str">
            <v>NULL</v>
          </cell>
          <cell r="Y752" t="str">
            <v>NULL</v>
          </cell>
          <cell r="Z752" t="str">
            <v>NULL</v>
          </cell>
          <cell r="AA752">
            <v>10033886</v>
          </cell>
          <cell r="AB752" t="str">
            <v>Independent School standard inspection</v>
          </cell>
          <cell r="AC752" t="str">
            <v>Independent Standard Inspection</v>
          </cell>
          <cell r="AD752">
            <v>43053</v>
          </cell>
          <cell r="AE752">
            <v>43055</v>
          </cell>
          <cell r="AF752">
            <v>43109</v>
          </cell>
          <cell r="AG752">
            <v>3</v>
          </cell>
          <cell r="AH752">
            <v>3</v>
          </cell>
          <cell r="AI752">
            <v>3</v>
          </cell>
          <cell r="AJ752">
            <v>3</v>
          </cell>
          <cell r="AK752">
            <v>2</v>
          </cell>
          <cell r="AL752" t="str">
            <v>NULL</v>
          </cell>
          <cell r="AM752" t="str">
            <v>NULL</v>
          </cell>
          <cell r="AN752" t="str">
            <v>Yes</v>
          </cell>
          <cell r="AO752" t="str">
            <v>ITS441434</v>
          </cell>
          <cell r="AP752" t="str">
            <v>Independent School standard inspection</v>
          </cell>
          <cell r="AQ752" t="str">
            <v>Independent Standard Inspection</v>
          </cell>
          <cell r="AR752">
            <v>41709</v>
          </cell>
          <cell r="AS752">
            <v>41711</v>
          </cell>
          <cell r="AT752">
            <v>41731</v>
          </cell>
          <cell r="AU752">
            <v>2</v>
          </cell>
          <cell r="AV752">
            <v>2</v>
          </cell>
          <cell r="AW752">
            <v>2</v>
          </cell>
          <cell r="AX752">
            <v>2</v>
          </cell>
          <cell r="AY752" t="str">
            <v>NULL</v>
          </cell>
          <cell r="AZ752" t="str">
            <v>NULL</v>
          </cell>
          <cell r="BA752" t="str">
            <v>NULL</v>
          </cell>
          <cell r="BB752" t="str">
            <v>NULL</v>
          </cell>
        </row>
        <row r="753">
          <cell r="D753">
            <v>134034</v>
          </cell>
          <cell r="E753">
            <v>3306104</v>
          </cell>
          <cell r="F753" t="str">
            <v>Al-Burhan Grammar School</v>
          </cell>
          <cell r="G753" t="str">
            <v>Other Independent School</v>
          </cell>
          <cell r="H753">
            <v>37601</v>
          </cell>
          <cell r="I753">
            <v>108</v>
          </cell>
          <cell r="J753" t="str">
            <v>West Midlands</v>
          </cell>
          <cell r="K753" t="str">
            <v>West Midlands</v>
          </cell>
          <cell r="L753" t="str">
            <v>Birmingham</v>
          </cell>
          <cell r="M753" t="str">
            <v>Birmingham, Yardley</v>
          </cell>
          <cell r="N753" t="str">
            <v>B11 3DW</v>
          </cell>
          <cell r="O753" t="str">
            <v>Does not have a sixth form</v>
          </cell>
          <cell r="P753">
            <v>11</v>
          </cell>
          <cell r="Q753">
            <v>16</v>
          </cell>
          <cell r="R753" t="str">
            <v>None</v>
          </cell>
          <cell r="S753" t="str">
            <v>Ofsted</v>
          </cell>
          <cell r="T753">
            <v>3</v>
          </cell>
          <cell r="U753">
            <v>10025658</v>
          </cell>
          <cell r="V753" t="str">
            <v>Independent school Progress Monitoring inspection</v>
          </cell>
          <cell r="W753">
            <v>42685</v>
          </cell>
          <cell r="X753">
            <v>42685</v>
          </cell>
          <cell r="Y753">
            <v>42744</v>
          </cell>
          <cell r="Z753" t="str">
            <v>Met all standards that were checked</v>
          </cell>
          <cell r="AA753" t="str">
            <v>ITS447293</v>
          </cell>
          <cell r="AB753" t="str">
            <v>Independent School standard inspection</v>
          </cell>
          <cell r="AC753" t="str">
            <v>Independent Standard Inspection</v>
          </cell>
          <cell r="AD753">
            <v>41947</v>
          </cell>
          <cell r="AE753">
            <v>41949</v>
          </cell>
          <cell r="AF753">
            <v>41969</v>
          </cell>
          <cell r="AG753">
            <v>1</v>
          </cell>
          <cell r="AH753">
            <v>1</v>
          </cell>
          <cell r="AI753">
            <v>1</v>
          </cell>
          <cell r="AJ753">
            <v>2</v>
          </cell>
          <cell r="AK753" t="str">
            <v>NULL</v>
          </cell>
          <cell r="AL753">
            <v>9</v>
          </cell>
          <cell r="AM753">
            <v>9</v>
          </cell>
          <cell r="AN753" t="str">
            <v>NULL</v>
          </cell>
          <cell r="AO753" t="str">
            <v>ITS364279</v>
          </cell>
          <cell r="AP753" t="str">
            <v>Independent School standard inspection</v>
          </cell>
          <cell r="AQ753" t="str">
            <v>Independent Standard Inspection</v>
          </cell>
          <cell r="AR753">
            <v>40723</v>
          </cell>
          <cell r="AS753">
            <v>40724</v>
          </cell>
          <cell r="AT753">
            <v>40740</v>
          </cell>
          <cell r="AU753">
            <v>1</v>
          </cell>
          <cell r="AV753">
            <v>1</v>
          </cell>
          <cell r="AW753">
            <v>1</v>
          </cell>
          <cell r="AX753" t="str">
            <v>NULL</v>
          </cell>
          <cell r="AY753" t="str">
            <v>NULL</v>
          </cell>
          <cell r="AZ753">
            <v>8</v>
          </cell>
          <cell r="BA753" t="str">
            <v>NULL</v>
          </cell>
          <cell r="BB753" t="str">
            <v>NULL</v>
          </cell>
        </row>
        <row r="754">
          <cell r="D754">
            <v>133449</v>
          </cell>
          <cell r="E754">
            <v>2046410</v>
          </cell>
          <cell r="F754" t="str">
            <v>Al-Falah Primary School</v>
          </cell>
          <cell r="G754" t="str">
            <v>Other Independent School</v>
          </cell>
          <cell r="H754">
            <v>37181</v>
          </cell>
          <cell r="I754">
            <v>92</v>
          </cell>
          <cell r="J754" t="str">
            <v>London</v>
          </cell>
          <cell r="K754" t="str">
            <v>London</v>
          </cell>
          <cell r="L754" t="str">
            <v>Hackney</v>
          </cell>
          <cell r="M754" t="str">
            <v>Hackney North and Stoke Newington</v>
          </cell>
          <cell r="N754" t="str">
            <v>E5 8BY</v>
          </cell>
          <cell r="O754" t="str">
            <v>Does not have a sixth form</v>
          </cell>
          <cell r="P754">
            <v>5</v>
          </cell>
          <cell r="Q754">
            <v>11</v>
          </cell>
          <cell r="R754" t="str">
            <v>None</v>
          </cell>
          <cell r="S754" t="str">
            <v>Ofsted</v>
          </cell>
          <cell r="T754">
            <v>2</v>
          </cell>
          <cell r="U754">
            <v>10045463</v>
          </cell>
          <cell r="V754" t="str">
            <v>Independent school Progress Monitoring inspection</v>
          </cell>
          <cell r="W754">
            <v>43158</v>
          </cell>
          <cell r="X754">
            <v>43158</v>
          </cell>
          <cell r="Y754">
            <v>43188</v>
          </cell>
          <cell r="Z754" t="str">
            <v>Did not meet all standards that were checked</v>
          </cell>
          <cell r="AA754">
            <v>10034443</v>
          </cell>
          <cell r="AB754" t="str">
            <v>Independent School standard inspection</v>
          </cell>
          <cell r="AC754" t="str">
            <v>Independent Standard Inspection</v>
          </cell>
          <cell r="AD754">
            <v>42920</v>
          </cell>
          <cell r="AE754">
            <v>42922</v>
          </cell>
          <cell r="AF754">
            <v>43011</v>
          </cell>
          <cell r="AG754">
            <v>4</v>
          </cell>
          <cell r="AH754">
            <v>2</v>
          </cell>
          <cell r="AI754">
            <v>2</v>
          </cell>
          <cell r="AJ754">
            <v>4</v>
          </cell>
          <cell r="AK754">
            <v>4</v>
          </cell>
          <cell r="AL754" t="str">
            <v>NULL</v>
          </cell>
          <cell r="AM754" t="str">
            <v>NULL</v>
          </cell>
          <cell r="AN754" t="str">
            <v>No</v>
          </cell>
          <cell r="AO754" t="str">
            <v>ITS422751</v>
          </cell>
          <cell r="AP754" t="str">
            <v>Independent School standard inspection</v>
          </cell>
          <cell r="AQ754" t="str">
            <v>Independent Standard Inspection</v>
          </cell>
          <cell r="AR754">
            <v>41828</v>
          </cell>
          <cell r="AS754">
            <v>41830</v>
          </cell>
          <cell r="AT754">
            <v>41890</v>
          </cell>
          <cell r="AU754">
            <v>2</v>
          </cell>
          <cell r="AV754">
            <v>2</v>
          </cell>
          <cell r="AW754">
            <v>2</v>
          </cell>
          <cell r="AX754">
            <v>2</v>
          </cell>
          <cell r="AY754" t="str">
            <v>NULL</v>
          </cell>
          <cell r="AZ754" t="str">
            <v>NULL</v>
          </cell>
          <cell r="BA754" t="str">
            <v>NULL</v>
          </cell>
          <cell r="BB754" t="str">
            <v>NULL</v>
          </cell>
        </row>
        <row r="755">
          <cell r="D755">
            <v>131131</v>
          </cell>
          <cell r="E755">
            <v>3826019</v>
          </cell>
          <cell r="F755" t="str">
            <v>Al-Furqaan Preparatory School</v>
          </cell>
          <cell r="G755" t="str">
            <v>Other Independent School</v>
          </cell>
          <cell r="H755">
            <v>35404</v>
          </cell>
          <cell r="I755">
            <v>156</v>
          </cell>
          <cell r="J755" t="str">
            <v>North East, Yorkshire and the Humber</v>
          </cell>
          <cell r="K755" t="str">
            <v>Yorkshire and the Humber</v>
          </cell>
          <cell r="L755" t="str">
            <v>Kirklees</v>
          </cell>
          <cell r="M755" t="str">
            <v>Dewsbury</v>
          </cell>
          <cell r="N755" t="str">
            <v>WF13 2JR</v>
          </cell>
          <cell r="O755" t="str">
            <v>Does not have a sixth form</v>
          </cell>
          <cell r="P755">
            <v>3</v>
          </cell>
          <cell r="Q755">
            <v>11</v>
          </cell>
          <cell r="R755" t="str">
            <v>None</v>
          </cell>
          <cell r="S755" t="str">
            <v>Ofsted</v>
          </cell>
          <cell r="T755" t="str">
            <v>NULL</v>
          </cell>
          <cell r="U755" t="str">
            <v>NULL</v>
          </cell>
          <cell r="V755" t="str">
            <v>NULL</v>
          </cell>
          <cell r="W755" t="str">
            <v>NULL</v>
          </cell>
          <cell r="X755" t="str">
            <v>NULL</v>
          </cell>
          <cell r="Y755" t="str">
            <v>NULL</v>
          </cell>
          <cell r="Z755" t="str">
            <v>NULL</v>
          </cell>
          <cell r="AA755">
            <v>10007685</v>
          </cell>
          <cell r="AB755" t="str">
            <v>Independent School standard inspection</v>
          </cell>
          <cell r="AC755" t="str">
            <v>Independent Standard Inspection</v>
          </cell>
          <cell r="AD755">
            <v>42388</v>
          </cell>
          <cell r="AE755">
            <v>42390</v>
          </cell>
          <cell r="AF755">
            <v>42410</v>
          </cell>
          <cell r="AG755">
            <v>3</v>
          </cell>
          <cell r="AH755">
            <v>3</v>
          </cell>
          <cell r="AI755">
            <v>3</v>
          </cell>
          <cell r="AJ755">
            <v>3</v>
          </cell>
          <cell r="AK755">
            <v>2</v>
          </cell>
          <cell r="AL755">
            <v>2</v>
          </cell>
          <cell r="AM755" t="str">
            <v>NULL</v>
          </cell>
          <cell r="AN755" t="str">
            <v>Yes</v>
          </cell>
          <cell r="AO755" t="str">
            <v>ITS353897</v>
          </cell>
          <cell r="AP755" t="str">
            <v>Independent School standard inspection</v>
          </cell>
          <cell r="AQ755" t="str">
            <v>Independent Standard Inspection</v>
          </cell>
          <cell r="AR755">
            <v>40310</v>
          </cell>
          <cell r="AS755">
            <v>40311</v>
          </cell>
          <cell r="AT755">
            <v>40338</v>
          </cell>
          <cell r="AU755">
            <v>2</v>
          </cell>
          <cell r="AV755">
            <v>2</v>
          </cell>
          <cell r="AW755">
            <v>2</v>
          </cell>
          <cell r="AX755" t="str">
            <v>NULL</v>
          </cell>
          <cell r="AY755" t="str">
            <v>NULL</v>
          </cell>
          <cell r="AZ755">
            <v>2</v>
          </cell>
          <cell r="BA755" t="str">
            <v>NULL</v>
          </cell>
          <cell r="BB755" t="str">
            <v>NULL</v>
          </cell>
        </row>
        <row r="756">
          <cell r="D756">
            <v>131342</v>
          </cell>
          <cell r="E756">
            <v>2046400</v>
          </cell>
          <cell r="F756" t="str">
            <v>Beis Trana Girls' School</v>
          </cell>
          <cell r="G756" t="str">
            <v>Other Independent School</v>
          </cell>
          <cell r="H756">
            <v>35689</v>
          </cell>
          <cell r="I756">
            <v>281</v>
          </cell>
          <cell r="J756" t="str">
            <v>London</v>
          </cell>
          <cell r="K756" t="str">
            <v>London</v>
          </cell>
          <cell r="L756" t="str">
            <v>Hackney</v>
          </cell>
          <cell r="M756" t="str">
            <v>Hackney North and Stoke Newington</v>
          </cell>
          <cell r="N756" t="str">
            <v>E5 9DH</v>
          </cell>
          <cell r="O756" t="str">
            <v>Does not have a sixth form</v>
          </cell>
          <cell r="P756">
            <v>3</v>
          </cell>
          <cell r="Q756">
            <v>16</v>
          </cell>
          <cell r="R756" t="str">
            <v>None</v>
          </cell>
          <cell r="S756" t="str">
            <v>Ofsted</v>
          </cell>
          <cell r="T756">
            <v>2</v>
          </cell>
          <cell r="U756" t="str">
            <v>ITS463315</v>
          </cell>
          <cell r="V756" t="str">
            <v>Independent school Progress Monitoring inspection</v>
          </cell>
          <cell r="W756">
            <v>42080</v>
          </cell>
          <cell r="X756">
            <v>42080</v>
          </cell>
          <cell r="Y756">
            <v>42116</v>
          </cell>
          <cell r="Z756" t="str">
            <v>Standards met</v>
          </cell>
          <cell r="AA756" t="str">
            <v>ITS442962</v>
          </cell>
          <cell r="AB756" t="str">
            <v>Independent School standard inspection</v>
          </cell>
          <cell r="AC756" t="str">
            <v>Independent Standard Inspection</v>
          </cell>
          <cell r="AD756">
            <v>41815</v>
          </cell>
          <cell r="AE756">
            <v>41817</v>
          </cell>
          <cell r="AF756">
            <v>41937</v>
          </cell>
          <cell r="AG756">
            <v>4</v>
          </cell>
          <cell r="AH756">
            <v>4</v>
          </cell>
          <cell r="AI756">
            <v>3</v>
          </cell>
          <cell r="AJ756">
            <v>4</v>
          </cell>
          <cell r="AK756" t="str">
            <v>NULL</v>
          </cell>
          <cell r="AL756" t="str">
            <v>NULL</v>
          </cell>
          <cell r="AM756" t="str">
            <v>NULL</v>
          </cell>
          <cell r="AN756" t="str">
            <v>NULL</v>
          </cell>
          <cell r="AO756" t="str">
            <v>ITS364256</v>
          </cell>
          <cell r="AP756" t="str">
            <v>Independent School standard inspection</v>
          </cell>
          <cell r="AQ756" t="str">
            <v>Independent Standard Inspection</v>
          </cell>
          <cell r="AR756">
            <v>40554</v>
          </cell>
          <cell r="AS756">
            <v>40555</v>
          </cell>
          <cell r="AT756">
            <v>40738</v>
          </cell>
          <cell r="AU756">
            <v>3</v>
          </cell>
          <cell r="AV756">
            <v>2</v>
          </cell>
          <cell r="AW756">
            <v>3</v>
          </cell>
          <cell r="AX756" t="str">
            <v>NULL</v>
          </cell>
          <cell r="AY756" t="str">
            <v>NULL</v>
          </cell>
          <cell r="AZ756">
            <v>4</v>
          </cell>
          <cell r="BA756" t="str">
            <v>NULL</v>
          </cell>
          <cell r="BB756" t="str">
            <v>NULL</v>
          </cell>
        </row>
        <row r="757">
          <cell r="D757">
            <v>136817</v>
          </cell>
          <cell r="E757">
            <v>2046000</v>
          </cell>
          <cell r="F757" t="str">
            <v>Beis Yaakov Girls School</v>
          </cell>
          <cell r="G757" t="str">
            <v>Other Independent School</v>
          </cell>
          <cell r="H757">
            <v>40717</v>
          </cell>
          <cell r="I757">
            <v>85</v>
          </cell>
          <cell r="J757" t="str">
            <v>London</v>
          </cell>
          <cell r="K757" t="str">
            <v>London</v>
          </cell>
          <cell r="L757" t="str">
            <v>Hackney</v>
          </cell>
          <cell r="M757" t="str">
            <v>Hackney North and Stoke Newington</v>
          </cell>
          <cell r="N757" t="str">
            <v>N16 0QJ</v>
          </cell>
          <cell r="O757" t="str">
            <v>Does not have a sixth form</v>
          </cell>
          <cell r="P757">
            <v>3</v>
          </cell>
          <cell r="Q757">
            <v>8</v>
          </cell>
          <cell r="R757" t="str">
            <v>Charadi Jewish</v>
          </cell>
          <cell r="S757" t="str">
            <v>Ofsted</v>
          </cell>
          <cell r="T757">
            <v>1</v>
          </cell>
          <cell r="U757">
            <v>10048510</v>
          </cell>
          <cell r="V757" t="str">
            <v>Independent school Material Change inspection</v>
          </cell>
          <cell r="W757">
            <v>43171</v>
          </cell>
          <cell r="X757">
            <v>43171</v>
          </cell>
          <cell r="Y757" t="str">
            <v>NULL</v>
          </cell>
          <cell r="Z757" t="str">
            <v>Change implemented and meets relevant standards</v>
          </cell>
          <cell r="AA757">
            <v>10012790</v>
          </cell>
          <cell r="AB757" t="str">
            <v>Independent School standard inspection</v>
          </cell>
          <cell r="AC757" t="str">
            <v>Independent Standard Inspection</v>
          </cell>
          <cell r="AD757">
            <v>42850</v>
          </cell>
          <cell r="AE757">
            <v>42852</v>
          </cell>
          <cell r="AF757">
            <v>42878</v>
          </cell>
          <cell r="AG757">
            <v>2</v>
          </cell>
          <cell r="AH757">
            <v>2</v>
          </cell>
          <cell r="AI757">
            <v>2</v>
          </cell>
          <cell r="AJ757">
            <v>2</v>
          </cell>
          <cell r="AK757">
            <v>2</v>
          </cell>
          <cell r="AL757">
            <v>2</v>
          </cell>
          <cell r="AM757" t="str">
            <v>NULL</v>
          </cell>
          <cell r="AN757" t="str">
            <v>Yes</v>
          </cell>
          <cell r="AO757" t="str">
            <v>ITS393249</v>
          </cell>
          <cell r="AP757" t="str">
            <v>Independent School standard inspection</v>
          </cell>
          <cell r="AQ757" t="str">
            <v>Independent Standard Inspection</v>
          </cell>
          <cell r="AR757">
            <v>41030</v>
          </cell>
          <cell r="AS757">
            <v>41031</v>
          </cell>
          <cell r="AT757">
            <v>41054</v>
          </cell>
          <cell r="AU757">
            <v>2</v>
          </cell>
          <cell r="AV757">
            <v>2</v>
          </cell>
          <cell r="AW757">
            <v>2</v>
          </cell>
          <cell r="AX757" t="str">
            <v>NULL</v>
          </cell>
          <cell r="AY757" t="str">
            <v>NULL</v>
          </cell>
          <cell r="AZ757">
            <v>8</v>
          </cell>
          <cell r="BA757" t="str">
            <v>NULL</v>
          </cell>
          <cell r="BB757" t="str">
            <v>NULL</v>
          </cell>
        </row>
        <row r="758">
          <cell r="D758">
            <v>101484</v>
          </cell>
          <cell r="E758">
            <v>3036060</v>
          </cell>
          <cell r="F758" t="str">
            <v>Benedict House Preparatory School</v>
          </cell>
          <cell r="G758" t="str">
            <v>Other Independent School</v>
          </cell>
          <cell r="H758">
            <v>32509</v>
          </cell>
          <cell r="I758">
            <v>140</v>
          </cell>
          <cell r="J758" t="str">
            <v>London</v>
          </cell>
          <cell r="K758" t="str">
            <v>London</v>
          </cell>
          <cell r="L758" t="str">
            <v>Bexley</v>
          </cell>
          <cell r="M758" t="str">
            <v>Old Bexley and Sidcup</v>
          </cell>
          <cell r="N758" t="str">
            <v>DA15 7HD</v>
          </cell>
          <cell r="O758" t="str">
            <v>Does not have a sixth form</v>
          </cell>
          <cell r="P758">
            <v>2</v>
          </cell>
          <cell r="Q758">
            <v>11</v>
          </cell>
          <cell r="R758" t="str">
            <v>None</v>
          </cell>
          <cell r="S758" t="str">
            <v>Ofsted</v>
          </cell>
          <cell r="T758" t="str">
            <v>NULL</v>
          </cell>
          <cell r="U758" t="str">
            <v>NULL</v>
          </cell>
          <cell r="V758" t="str">
            <v>NULL</v>
          </cell>
          <cell r="W758" t="str">
            <v>NULL</v>
          </cell>
          <cell r="X758" t="str">
            <v>NULL</v>
          </cell>
          <cell r="Y758" t="str">
            <v>NULL</v>
          </cell>
          <cell r="Z758" t="str">
            <v>NULL</v>
          </cell>
          <cell r="AA758">
            <v>10008542</v>
          </cell>
          <cell r="AB758" t="str">
            <v>Independent School standard inspection</v>
          </cell>
          <cell r="AC758" t="str">
            <v>Independent Standard Inspection</v>
          </cell>
          <cell r="AD758">
            <v>43046</v>
          </cell>
          <cell r="AE758">
            <v>43048</v>
          </cell>
          <cell r="AF758">
            <v>43087</v>
          </cell>
          <cell r="AG758">
            <v>2</v>
          </cell>
          <cell r="AH758">
            <v>2</v>
          </cell>
          <cell r="AI758">
            <v>2</v>
          </cell>
          <cell r="AJ758">
            <v>2</v>
          </cell>
          <cell r="AK758">
            <v>2</v>
          </cell>
          <cell r="AL758">
            <v>2</v>
          </cell>
          <cell r="AM758" t="str">
            <v>NULL</v>
          </cell>
          <cell r="AN758" t="str">
            <v>Yes</v>
          </cell>
          <cell r="AO758" t="str">
            <v>ITS348777</v>
          </cell>
          <cell r="AP758" t="str">
            <v>S162a - LTI Inspection Historic</v>
          </cell>
          <cell r="AQ758" t="str">
            <v>Independent Standard Inspection</v>
          </cell>
          <cell r="AR758">
            <v>40358</v>
          </cell>
          <cell r="AS758">
            <v>40358</v>
          </cell>
          <cell r="AT758">
            <v>40372</v>
          </cell>
          <cell r="AU758">
            <v>2</v>
          </cell>
          <cell r="AV758">
            <v>2</v>
          </cell>
          <cell r="AW758">
            <v>2</v>
          </cell>
          <cell r="AX758" t="str">
            <v>NULL</v>
          </cell>
          <cell r="AY758" t="str">
            <v>NULL</v>
          </cell>
          <cell r="AZ758">
            <v>2</v>
          </cell>
          <cell r="BA758" t="str">
            <v>NULL</v>
          </cell>
          <cell r="BB758" t="str">
            <v>NULL</v>
          </cell>
        </row>
        <row r="759">
          <cell r="D759">
            <v>101388</v>
          </cell>
          <cell r="E759">
            <v>3026092</v>
          </cell>
          <cell r="F759" t="str">
            <v>Beth Jacob Grammar School for Girls</v>
          </cell>
          <cell r="G759" t="str">
            <v>Other Independent School</v>
          </cell>
          <cell r="H759">
            <v>29574</v>
          </cell>
          <cell r="I759">
            <v>246</v>
          </cell>
          <cell r="J759" t="str">
            <v>London</v>
          </cell>
          <cell r="K759" t="str">
            <v>London</v>
          </cell>
          <cell r="L759" t="str">
            <v>Barnet</v>
          </cell>
          <cell r="M759" t="str">
            <v>Hendon</v>
          </cell>
          <cell r="N759" t="str">
            <v>NW4 2AT</v>
          </cell>
          <cell r="O759" t="str">
            <v>Has a sixth form</v>
          </cell>
          <cell r="P759">
            <v>11</v>
          </cell>
          <cell r="Q759">
            <v>17</v>
          </cell>
          <cell r="R759" t="str">
            <v>None</v>
          </cell>
          <cell r="S759" t="str">
            <v>Ofsted</v>
          </cell>
          <cell r="T759">
            <v>3</v>
          </cell>
          <cell r="U759">
            <v>10044971</v>
          </cell>
          <cell r="V759" t="str">
            <v>Independent school evaluation of school action plan</v>
          </cell>
          <cell r="W759">
            <v>43089</v>
          </cell>
          <cell r="X759">
            <v>43089</v>
          </cell>
          <cell r="Y759" t="str">
            <v>NULL</v>
          </cell>
          <cell r="Z759" t="str">
            <v>Action plan is acceptable with modifications</v>
          </cell>
          <cell r="AA759">
            <v>10020771</v>
          </cell>
          <cell r="AB759" t="str">
            <v>Independent School standard inspection</v>
          </cell>
          <cell r="AC759" t="str">
            <v>Independent Standard Inspection</v>
          </cell>
          <cell r="AD759">
            <v>42676</v>
          </cell>
          <cell r="AE759">
            <v>42678</v>
          </cell>
          <cell r="AF759">
            <v>42787</v>
          </cell>
          <cell r="AG759">
            <v>4</v>
          </cell>
          <cell r="AH759">
            <v>3</v>
          </cell>
          <cell r="AI759">
            <v>3</v>
          </cell>
          <cell r="AJ759">
            <v>4</v>
          </cell>
          <cell r="AK759">
            <v>4</v>
          </cell>
          <cell r="AL759" t="str">
            <v>NULL</v>
          </cell>
          <cell r="AM759" t="str">
            <v>NULL</v>
          </cell>
          <cell r="AN759" t="str">
            <v>No</v>
          </cell>
          <cell r="AO759" t="str">
            <v>ITS397657</v>
          </cell>
          <cell r="AP759" t="str">
            <v>Independent School standard inspection</v>
          </cell>
          <cell r="AQ759" t="str">
            <v>Independent Standard Inspection</v>
          </cell>
          <cell r="AR759">
            <v>41205</v>
          </cell>
          <cell r="AS759">
            <v>41206</v>
          </cell>
          <cell r="AT759">
            <v>41233</v>
          </cell>
          <cell r="AU759">
            <v>1</v>
          </cell>
          <cell r="AV759">
            <v>1</v>
          </cell>
          <cell r="AW759">
            <v>2</v>
          </cell>
          <cell r="AX759" t="str">
            <v>NULL</v>
          </cell>
          <cell r="AY759" t="str">
            <v>NULL</v>
          </cell>
          <cell r="AZ759">
            <v>8</v>
          </cell>
          <cell r="BA759" t="str">
            <v>NULL</v>
          </cell>
          <cell r="BB759" t="str">
            <v>NULL</v>
          </cell>
        </row>
        <row r="760">
          <cell r="D760">
            <v>138564</v>
          </cell>
          <cell r="E760">
            <v>2116003</v>
          </cell>
          <cell r="F760" t="str">
            <v>Buttercup Primary School</v>
          </cell>
          <cell r="G760" t="str">
            <v>Other Independent School</v>
          </cell>
          <cell r="H760">
            <v>41131</v>
          </cell>
          <cell r="I760">
            <v>137</v>
          </cell>
          <cell r="J760" t="str">
            <v>London</v>
          </cell>
          <cell r="K760" t="str">
            <v>London</v>
          </cell>
          <cell r="L760" t="str">
            <v>Tower Hamlets</v>
          </cell>
          <cell r="M760" t="str">
            <v>Bethnal Green and Bow</v>
          </cell>
          <cell r="N760" t="str">
            <v>E1 2LX</v>
          </cell>
          <cell r="O760" t="str">
            <v>Does not have a sixth form</v>
          </cell>
          <cell r="P760">
            <v>3</v>
          </cell>
          <cell r="Q760">
            <v>11</v>
          </cell>
          <cell r="R760" t="str">
            <v>None</v>
          </cell>
          <cell r="S760" t="str">
            <v>Ofsted</v>
          </cell>
          <cell r="T760">
            <v>1</v>
          </cell>
          <cell r="U760">
            <v>10044744</v>
          </cell>
          <cell r="V760" t="str">
            <v>Independent school evaluation of school action plan</v>
          </cell>
          <cell r="W760">
            <v>43081</v>
          </cell>
          <cell r="X760">
            <v>43081</v>
          </cell>
          <cell r="Y760" t="str">
            <v>NULL</v>
          </cell>
          <cell r="Z760" t="str">
            <v>Action plan is not acceptable</v>
          </cell>
          <cell r="AA760">
            <v>10034697</v>
          </cell>
          <cell r="AB760" t="str">
            <v>Independent School standard inspection</v>
          </cell>
          <cell r="AC760" t="str">
            <v>Independent Standard Inspection</v>
          </cell>
          <cell r="AD760">
            <v>42920</v>
          </cell>
          <cell r="AE760">
            <v>42922</v>
          </cell>
          <cell r="AF760">
            <v>43025</v>
          </cell>
          <cell r="AG760">
            <v>4</v>
          </cell>
          <cell r="AH760">
            <v>3</v>
          </cell>
          <cell r="AI760">
            <v>3</v>
          </cell>
          <cell r="AJ760">
            <v>4</v>
          </cell>
          <cell r="AK760">
            <v>4</v>
          </cell>
          <cell r="AL760">
            <v>4</v>
          </cell>
          <cell r="AM760" t="str">
            <v>NULL</v>
          </cell>
          <cell r="AN760" t="str">
            <v>No</v>
          </cell>
          <cell r="AO760" t="str">
            <v>ITS455380</v>
          </cell>
          <cell r="AP760" t="str">
            <v>Independent School standard inspection</v>
          </cell>
          <cell r="AQ760" t="str">
            <v>Independent Standard Inspection</v>
          </cell>
          <cell r="AR760">
            <v>41975</v>
          </cell>
          <cell r="AS760">
            <v>41977</v>
          </cell>
          <cell r="AT760">
            <v>42031</v>
          </cell>
          <cell r="AU760">
            <v>3</v>
          </cell>
          <cell r="AV760">
            <v>3</v>
          </cell>
          <cell r="AW760">
            <v>3</v>
          </cell>
          <cell r="AX760">
            <v>3</v>
          </cell>
          <cell r="AY760" t="str">
            <v>NULL</v>
          </cell>
          <cell r="AZ760">
            <v>3</v>
          </cell>
          <cell r="BA760">
            <v>9</v>
          </cell>
          <cell r="BB760" t="str">
            <v>NULL</v>
          </cell>
        </row>
        <row r="761">
          <cell r="D761">
            <v>132776</v>
          </cell>
          <cell r="E761">
            <v>3066094</v>
          </cell>
          <cell r="F761" t="str">
            <v>CACFO Uk Education Centre</v>
          </cell>
          <cell r="G761" t="str">
            <v>Other Independent School</v>
          </cell>
          <cell r="H761">
            <v>36845</v>
          </cell>
          <cell r="I761">
            <v>14</v>
          </cell>
          <cell r="J761" t="str">
            <v>London</v>
          </cell>
          <cell r="K761" t="str">
            <v>London</v>
          </cell>
          <cell r="L761" t="str">
            <v>Croydon</v>
          </cell>
          <cell r="M761" t="str">
            <v>Croydon North</v>
          </cell>
          <cell r="N761" t="str">
            <v>CR7 8HQ</v>
          </cell>
          <cell r="O761" t="str">
            <v>Does not have a sixth form</v>
          </cell>
          <cell r="P761">
            <v>11</v>
          </cell>
          <cell r="Q761">
            <v>16</v>
          </cell>
          <cell r="R761" t="str">
            <v>None</v>
          </cell>
          <cell r="S761" t="str">
            <v>Ofsted</v>
          </cell>
          <cell r="T761">
            <v>1</v>
          </cell>
          <cell r="U761">
            <v>10046862</v>
          </cell>
          <cell r="V761" t="str">
            <v>Independent school evaluation of school action plan</v>
          </cell>
          <cell r="W761">
            <v>43126</v>
          </cell>
          <cell r="X761">
            <v>43126</v>
          </cell>
          <cell r="Y761" t="str">
            <v>NULL</v>
          </cell>
          <cell r="Z761" t="str">
            <v>Action plan is not acceptable</v>
          </cell>
          <cell r="AA761">
            <v>10020768</v>
          </cell>
          <cell r="AB761" t="str">
            <v>Independent School standard inspection</v>
          </cell>
          <cell r="AC761" t="str">
            <v>Independent Standard Inspection</v>
          </cell>
          <cell r="AD761">
            <v>42913</v>
          </cell>
          <cell r="AE761">
            <v>42915</v>
          </cell>
          <cell r="AF761">
            <v>43052</v>
          </cell>
          <cell r="AG761">
            <v>4</v>
          </cell>
          <cell r="AH761">
            <v>3</v>
          </cell>
          <cell r="AI761">
            <v>3</v>
          </cell>
          <cell r="AJ761">
            <v>4</v>
          </cell>
          <cell r="AK761">
            <v>4</v>
          </cell>
          <cell r="AL761" t="str">
            <v>NULL</v>
          </cell>
          <cell r="AM761" t="str">
            <v>NULL</v>
          </cell>
          <cell r="AN761" t="str">
            <v>No</v>
          </cell>
          <cell r="AO761" t="str">
            <v>ITS422746</v>
          </cell>
          <cell r="AP761" t="str">
            <v>Independent School standard inspection</v>
          </cell>
          <cell r="AQ761" t="str">
            <v>Independent Standard Inspection</v>
          </cell>
          <cell r="AR761">
            <v>41569</v>
          </cell>
          <cell r="AS761">
            <v>41571</v>
          </cell>
          <cell r="AT761">
            <v>41592</v>
          </cell>
          <cell r="AU761">
            <v>2</v>
          </cell>
          <cell r="AV761">
            <v>2</v>
          </cell>
          <cell r="AW761">
            <v>2</v>
          </cell>
          <cell r="AX761">
            <v>2</v>
          </cell>
          <cell r="AY761" t="str">
            <v>NULL</v>
          </cell>
          <cell r="AZ761" t="str">
            <v>NULL</v>
          </cell>
          <cell r="BA761" t="str">
            <v>NULL</v>
          </cell>
          <cell r="BB761" t="str">
            <v>NULL</v>
          </cell>
        </row>
        <row r="762">
          <cell r="D762">
            <v>139997</v>
          </cell>
          <cell r="E762">
            <v>9316014</v>
          </cell>
          <cell r="F762" t="str">
            <v>Carfax College</v>
          </cell>
          <cell r="G762" t="str">
            <v>Other Independent School</v>
          </cell>
          <cell r="H762">
            <v>41491</v>
          </cell>
          <cell r="I762">
            <v>24</v>
          </cell>
          <cell r="J762" t="str">
            <v>South East</v>
          </cell>
          <cell r="K762" t="str">
            <v>South East</v>
          </cell>
          <cell r="L762" t="str">
            <v>Oxfordshire</v>
          </cell>
          <cell r="M762" t="str">
            <v>Oxford West and Abingdon</v>
          </cell>
          <cell r="N762" t="str">
            <v>OX1 2EP</v>
          </cell>
          <cell r="O762" t="str">
            <v>Has a sixth form</v>
          </cell>
          <cell r="P762">
            <v>11</v>
          </cell>
          <cell r="Q762">
            <v>21</v>
          </cell>
          <cell r="R762" t="str">
            <v>None</v>
          </cell>
          <cell r="S762" t="str">
            <v>Ofsted</v>
          </cell>
          <cell r="T762" t="str">
            <v>NULL</v>
          </cell>
          <cell r="U762" t="str">
            <v>NULL</v>
          </cell>
          <cell r="V762" t="str">
            <v>NULL</v>
          </cell>
          <cell r="W762" t="str">
            <v>NULL</v>
          </cell>
          <cell r="X762" t="str">
            <v>NULL</v>
          </cell>
          <cell r="Y762" t="str">
            <v>NULL</v>
          </cell>
          <cell r="Z762" t="str">
            <v>NULL</v>
          </cell>
          <cell r="AA762" t="str">
            <v>ITS443023</v>
          </cell>
          <cell r="AB762" t="str">
            <v>Independent school standard inspection - first</v>
          </cell>
          <cell r="AC762" t="str">
            <v>Independent Standard Inspection</v>
          </cell>
          <cell r="AD762">
            <v>41800</v>
          </cell>
          <cell r="AE762">
            <v>41802</v>
          </cell>
          <cell r="AF762">
            <v>41821</v>
          </cell>
          <cell r="AG762">
            <v>2</v>
          </cell>
          <cell r="AH762">
            <v>2</v>
          </cell>
          <cell r="AI762">
            <v>2</v>
          </cell>
          <cell r="AJ762">
            <v>2</v>
          </cell>
          <cell r="AK762" t="str">
            <v>NULL</v>
          </cell>
          <cell r="AL762" t="str">
            <v>NULL</v>
          </cell>
          <cell r="AM762" t="str">
            <v>NULL</v>
          </cell>
          <cell r="AN762" t="str">
            <v>NULL</v>
          </cell>
          <cell r="AO762" t="str">
            <v>NULL</v>
          </cell>
          <cell r="AP762" t="str">
            <v>NULL</v>
          </cell>
          <cell r="AQ762" t="str">
            <v>NULL</v>
          </cell>
          <cell r="AR762" t="str">
            <v>NULL</v>
          </cell>
          <cell r="AS762" t="str">
            <v>NULL</v>
          </cell>
          <cell r="AT762" t="str">
            <v>NULL</v>
          </cell>
          <cell r="AU762" t="str">
            <v>NULL</v>
          </cell>
          <cell r="AV762" t="str">
            <v>NULL</v>
          </cell>
          <cell r="AW762" t="str">
            <v>NULL</v>
          </cell>
          <cell r="AX762" t="str">
            <v>NULL</v>
          </cell>
          <cell r="AY762" t="str">
            <v>NULL</v>
          </cell>
          <cell r="AZ762" t="str">
            <v>NULL</v>
          </cell>
          <cell r="BA762" t="str">
            <v>NULL</v>
          </cell>
          <cell r="BB762" t="str">
            <v>NULL</v>
          </cell>
        </row>
        <row r="763">
          <cell r="D763">
            <v>132774</v>
          </cell>
          <cell r="E763">
            <v>8016021</v>
          </cell>
          <cell r="F763" t="str">
            <v>Carmel Christian School</v>
          </cell>
          <cell r="G763" t="str">
            <v>Other Independent School</v>
          </cell>
          <cell r="H763">
            <v>36838</v>
          </cell>
          <cell r="I763">
            <v>61</v>
          </cell>
          <cell r="J763" t="str">
            <v>South West</v>
          </cell>
          <cell r="K763" t="str">
            <v>South West</v>
          </cell>
          <cell r="L763" t="str">
            <v>Bristol</v>
          </cell>
          <cell r="M763" t="str">
            <v>Bristol East</v>
          </cell>
          <cell r="N763" t="str">
            <v>BS4 5NL</v>
          </cell>
          <cell r="O763" t="str">
            <v>Has a sixth form</v>
          </cell>
          <cell r="P763">
            <v>3</v>
          </cell>
          <cell r="Q763">
            <v>18</v>
          </cell>
          <cell r="R763" t="str">
            <v>None</v>
          </cell>
          <cell r="S763" t="str">
            <v>Ofsted</v>
          </cell>
          <cell r="T763">
            <v>4</v>
          </cell>
          <cell r="U763">
            <v>10047173</v>
          </cell>
          <cell r="V763" t="str">
            <v>Independent school Material Change inspection</v>
          </cell>
          <cell r="W763">
            <v>43140</v>
          </cell>
          <cell r="X763">
            <v>43140</v>
          </cell>
          <cell r="Y763">
            <v>43171</v>
          </cell>
          <cell r="Z763" t="str">
            <v>Likely to meet relevant standards</v>
          </cell>
          <cell r="AA763">
            <v>10020750</v>
          </cell>
          <cell r="AB763" t="str">
            <v>Independent School standard inspection</v>
          </cell>
          <cell r="AC763" t="str">
            <v>Independent Standard Inspection</v>
          </cell>
          <cell r="AD763">
            <v>42661</v>
          </cell>
          <cell r="AE763">
            <v>42663</v>
          </cell>
          <cell r="AF763">
            <v>42696</v>
          </cell>
          <cell r="AG763">
            <v>3</v>
          </cell>
          <cell r="AH763">
            <v>3</v>
          </cell>
          <cell r="AI763">
            <v>3</v>
          </cell>
          <cell r="AJ763">
            <v>3</v>
          </cell>
          <cell r="AK763">
            <v>2</v>
          </cell>
          <cell r="AL763">
            <v>2</v>
          </cell>
          <cell r="AM763" t="str">
            <v>NULL</v>
          </cell>
          <cell r="AN763" t="str">
            <v>Yes</v>
          </cell>
          <cell r="AO763" t="str">
            <v>ITS408725</v>
          </cell>
          <cell r="AP763" t="str">
            <v>Independent School standard inspection</v>
          </cell>
          <cell r="AQ763" t="str">
            <v>Independent Standard Inspection</v>
          </cell>
          <cell r="AR763">
            <v>41226</v>
          </cell>
          <cell r="AS763">
            <v>41227</v>
          </cell>
          <cell r="AT763">
            <v>41248</v>
          </cell>
          <cell r="AU763">
            <v>2</v>
          </cell>
          <cell r="AV763">
            <v>2</v>
          </cell>
          <cell r="AW763">
            <v>2</v>
          </cell>
          <cell r="AX763" t="str">
            <v>NULL</v>
          </cell>
          <cell r="AY763" t="str">
            <v>NULL</v>
          </cell>
          <cell r="AZ763">
            <v>8</v>
          </cell>
          <cell r="BA763" t="str">
            <v>NULL</v>
          </cell>
          <cell r="BB763" t="str">
            <v>NULL</v>
          </cell>
        </row>
        <row r="764">
          <cell r="D764">
            <v>137275</v>
          </cell>
          <cell r="E764">
            <v>3556059</v>
          </cell>
          <cell r="F764" t="str">
            <v>Edstart</v>
          </cell>
          <cell r="G764" t="str">
            <v>Other Independent School</v>
          </cell>
          <cell r="H764">
            <v>40765</v>
          </cell>
          <cell r="I764">
            <v>0</v>
          </cell>
          <cell r="J764" t="str">
            <v>North West</v>
          </cell>
          <cell r="K764" t="str">
            <v>North West</v>
          </cell>
          <cell r="L764" t="str">
            <v>Salford</v>
          </cell>
          <cell r="M764" t="str">
            <v>Salford and Eccles</v>
          </cell>
          <cell r="N764" t="str">
            <v>M6 6DW</v>
          </cell>
          <cell r="O764" t="str">
            <v>Does not have a sixth form</v>
          </cell>
          <cell r="P764">
            <v>13</v>
          </cell>
          <cell r="Q764">
            <v>16</v>
          </cell>
          <cell r="R764" t="str">
            <v>None</v>
          </cell>
          <cell r="S764" t="str">
            <v>Ofsted</v>
          </cell>
          <cell r="T764" t="str">
            <v>NULL</v>
          </cell>
          <cell r="U764" t="str">
            <v>NULL</v>
          </cell>
          <cell r="V764" t="str">
            <v>NULL</v>
          </cell>
          <cell r="W764" t="str">
            <v>NULL</v>
          </cell>
          <cell r="X764" t="str">
            <v>NULL</v>
          </cell>
          <cell r="Y764" t="str">
            <v>NULL</v>
          </cell>
          <cell r="Z764" t="str">
            <v>NULL</v>
          </cell>
          <cell r="AA764">
            <v>10006128</v>
          </cell>
          <cell r="AB764" t="str">
            <v>Independent School standard inspection</v>
          </cell>
          <cell r="AC764" t="str">
            <v>Independent Standard Inspection</v>
          </cell>
          <cell r="AD764">
            <v>42437</v>
          </cell>
          <cell r="AE764">
            <v>42438</v>
          </cell>
          <cell r="AF764">
            <v>42461</v>
          </cell>
          <cell r="AG764">
            <v>2</v>
          </cell>
          <cell r="AH764">
            <v>2</v>
          </cell>
          <cell r="AI764">
            <v>2</v>
          </cell>
          <cell r="AJ764">
            <v>2</v>
          </cell>
          <cell r="AK764">
            <v>2</v>
          </cell>
          <cell r="AL764" t="str">
            <v>NULL</v>
          </cell>
          <cell r="AM764" t="str">
            <v>NULL</v>
          </cell>
          <cell r="AN764" t="str">
            <v>Yes</v>
          </cell>
          <cell r="AO764" t="str">
            <v>ITS393268</v>
          </cell>
          <cell r="AP764" t="str">
            <v>Independent school standard inspection - first</v>
          </cell>
          <cell r="AQ764" t="str">
            <v>Independent Standard Inspection</v>
          </cell>
          <cell r="AR764">
            <v>41093</v>
          </cell>
          <cell r="AS764">
            <v>41094</v>
          </cell>
          <cell r="AT764">
            <v>41115</v>
          </cell>
          <cell r="AU764">
            <v>3</v>
          </cell>
          <cell r="AV764">
            <v>3</v>
          </cell>
          <cell r="AW764">
            <v>3</v>
          </cell>
          <cell r="AX764" t="str">
            <v>NULL</v>
          </cell>
          <cell r="AY764" t="str">
            <v>NULL</v>
          </cell>
          <cell r="AZ764">
            <v>8</v>
          </cell>
          <cell r="BA764" t="str">
            <v>NULL</v>
          </cell>
          <cell r="BB764" t="str">
            <v>NULL</v>
          </cell>
        </row>
        <row r="765">
          <cell r="D765">
            <v>131351</v>
          </cell>
          <cell r="E765">
            <v>3146070</v>
          </cell>
          <cell r="F765" t="str">
            <v>Educare Small School</v>
          </cell>
          <cell r="G765" t="str">
            <v>Other Independent School</v>
          </cell>
          <cell r="H765">
            <v>35695</v>
          </cell>
          <cell r="I765">
            <v>38</v>
          </cell>
          <cell r="J765" t="str">
            <v>London</v>
          </cell>
          <cell r="K765" t="str">
            <v>London</v>
          </cell>
          <cell r="L765" t="str">
            <v>Kingston upon Thames</v>
          </cell>
          <cell r="M765" t="str">
            <v>Richmond Park</v>
          </cell>
          <cell r="N765" t="str">
            <v>KT2 6DZ</v>
          </cell>
          <cell r="O765" t="str">
            <v>Does not have a sixth form</v>
          </cell>
          <cell r="P765">
            <v>3</v>
          </cell>
          <cell r="Q765">
            <v>11</v>
          </cell>
          <cell r="R765" t="str">
            <v>None</v>
          </cell>
          <cell r="S765" t="str">
            <v>Ofsted</v>
          </cell>
          <cell r="T765" t="str">
            <v>NULL</v>
          </cell>
          <cell r="U765" t="str">
            <v>NULL</v>
          </cell>
          <cell r="V765" t="str">
            <v>NULL</v>
          </cell>
          <cell r="W765" t="str">
            <v>NULL</v>
          </cell>
          <cell r="X765" t="str">
            <v>NULL</v>
          </cell>
          <cell r="Y765" t="str">
            <v>NULL</v>
          </cell>
          <cell r="Z765" t="str">
            <v>NULL</v>
          </cell>
          <cell r="AA765">
            <v>10012830</v>
          </cell>
          <cell r="AB765" t="str">
            <v>Independent School standard inspection</v>
          </cell>
          <cell r="AC765" t="str">
            <v>Independent Standard Inspection</v>
          </cell>
          <cell r="AD765">
            <v>43025</v>
          </cell>
          <cell r="AE765">
            <v>43027</v>
          </cell>
          <cell r="AF765">
            <v>43054</v>
          </cell>
          <cell r="AG765">
            <v>2</v>
          </cell>
          <cell r="AH765">
            <v>2</v>
          </cell>
          <cell r="AI765">
            <v>2</v>
          </cell>
          <cell r="AJ765">
            <v>2</v>
          </cell>
          <cell r="AK765">
            <v>2</v>
          </cell>
          <cell r="AL765">
            <v>2</v>
          </cell>
          <cell r="AM765" t="str">
            <v>NULL</v>
          </cell>
          <cell r="AN765" t="str">
            <v>Yes</v>
          </cell>
          <cell r="AO765" t="str">
            <v>ITS420203</v>
          </cell>
          <cell r="AP765" t="str">
            <v>Independent School standard inspection</v>
          </cell>
          <cell r="AQ765" t="str">
            <v>Independent Standard Inspection</v>
          </cell>
          <cell r="AR765">
            <v>41443</v>
          </cell>
          <cell r="AS765">
            <v>41445</v>
          </cell>
          <cell r="AT765">
            <v>41465</v>
          </cell>
          <cell r="AU765">
            <v>2</v>
          </cell>
          <cell r="AV765">
            <v>2</v>
          </cell>
          <cell r="AW765">
            <v>2</v>
          </cell>
          <cell r="AX765">
            <v>2</v>
          </cell>
          <cell r="AY765" t="str">
            <v>NULL</v>
          </cell>
          <cell r="AZ765" t="str">
            <v>NULL</v>
          </cell>
          <cell r="BA765" t="str">
            <v>NULL</v>
          </cell>
          <cell r="BB765" t="str">
            <v>NULL</v>
          </cell>
        </row>
        <row r="766">
          <cell r="D766">
            <v>135072</v>
          </cell>
          <cell r="E766">
            <v>3026118</v>
          </cell>
          <cell r="F766" t="str">
            <v>Ellern Mede School</v>
          </cell>
          <cell r="G766" t="str">
            <v>Other Independent School</v>
          </cell>
          <cell r="H766">
            <v>38481</v>
          </cell>
          <cell r="I766">
            <v>25</v>
          </cell>
          <cell r="J766" t="str">
            <v>London</v>
          </cell>
          <cell r="K766" t="str">
            <v>London</v>
          </cell>
          <cell r="L766" t="str">
            <v>Barnet</v>
          </cell>
          <cell r="M766" t="str">
            <v>Hendon</v>
          </cell>
          <cell r="N766" t="str">
            <v>NW7 4HX</v>
          </cell>
          <cell r="O766" t="str">
            <v>Has a sixth form</v>
          </cell>
          <cell r="P766">
            <v>11</v>
          </cell>
          <cell r="Q766">
            <v>18</v>
          </cell>
          <cell r="R766" t="str">
            <v>None</v>
          </cell>
          <cell r="S766" t="str">
            <v>Ofsted</v>
          </cell>
          <cell r="T766" t="str">
            <v>NULL</v>
          </cell>
          <cell r="U766" t="str">
            <v>NULL</v>
          </cell>
          <cell r="V766" t="str">
            <v>NULL</v>
          </cell>
          <cell r="W766" t="str">
            <v>NULL</v>
          </cell>
          <cell r="X766" t="str">
            <v>NULL</v>
          </cell>
          <cell r="Y766" t="str">
            <v>NULL</v>
          </cell>
          <cell r="Z766" t="str">
            <v>NULL</v>
          </cell>
          <cell r="AA766">
            <v>10038171</v>
          </cell>
          <cell r="AB766" t="str">
            <v>Independent School standard inspection</v>
          </cell>
          <cell r="AC766" t="str">
            <v>Independent Standard Inspection</v>
          </cell>
          <cell r="AD766">
            <v>43123</v>
          </cell>
          <cell r="AE766">
            <v>43125</v>
          </cell>
          <cell r="AF766">
            <v>43164</v>
          </cell>
          <cell r="AG766">
            <v>1</v>
          </cell>
          <cell r="AH766">
            <v>1</v>
          </cell>
          <cell r="AI766">
            <v>1</v>
          </cell>
          <cell r="AJ766">
            <v>1</v>
          </cell>
          <cell r="AK766">
            <v>1</v>
          </cell>
          <cell r="AL766" t="str">
            <v>NULL</v>
          </cell>
          <cell r="AM766">
            <v>1</v>
          </cell>
          <cell r="AN766" t="str">
            <v>Yes</v>
          </cell>
          <cell r="AO766" t="str">
            <v>ITS443481</v>
          </cell>
          <cell r="AP766" t="str">
            <v>Independent School standard inspection</v>
          </cell>
          <cell r="AQ766" t="str">
            <v>Independent Standard Inspection</v>
          </cell>
          <cell r="AR766">
            <v>41920</v>
          </cell>
          <cell r="AS766">
            <v>41922</v>
          </cell>
          <cell r="AT766">
            <v>41958</v>
          </cell>
          <cell r="AU766">
            <v>1</v>
          </cell>
          <cell r="AV766">
            <v>1</v>
          </cell>
          <cell r="AW766">
            <v>1</v>
          </cell>
          <cell r="AX766">
            <v>1</v>
          </cell>
          <cell r="AY766" t="str">
            <v>NULL</v>
          </cell>
          <cell r="AZ766">
            <v>9</v>
          </cell>
          <cell r="BA766">
            <v>1</v>
          </cell>
          <cell r="BB766" t="str">
            <v>NULL</v>
          </cell>
        </row>
        <row r="767">
          <cell r="D767">
            <v>119005</v>
          </cell>
          <cell r="E767">
            <v>8866057</v>
          </cell>
          <cell r="F767" t="str">
            <v>Elliott Park School</v>
          </cell>
          <cell r="G767" t="str">
            <v>Other Independent School</v>
          </cell>
          <cell r="H767">
            <v>31316</v>
          </cell>
          <cell r="I767">
            <v>65</v>
          </cell>
          <cell r="J767" t="str">
            <v>South East</v>
          </cell>
          <cell r="K767" t="str">
            <v>South East</v>
          </cell>
          <cell r="L767" t="str">
            <v>Kent</v>
          </cell>
          <cell r="M767" t="str">
            <v>Sittingbourne and Sheppey</v>
          </cell>
          <cell r="N767" t="str">
            <v>ME12 2DP</v>
          </cell>
          <cell r="O767" t="str">
            <v>Does not have a sixth form</v>
          </cell>
          <cell r="P767">
            <v>3</v>
          </cell>
          <cell r="Q767">
            <v>11</v>
          </cell>
          <cell r="R767" t="str">
            <v>None</v>
          </cell>
          <cell r="S767" t="str">
            <v>Ofsted</v>
          </cell>
          <cell r="T767" t="str">
            <v>NULL</v>
          </cell>
          <cell r="U767" t="str">
            <v>NULL</v>
          </cell>
          <cell r="V767" t="str">
            <v>NULL</v>
          </cell>
          <cell r="W767" t="str">
            <v>NULL</v>
          </cell>
          <cell r="X767" t="str">
            <v>NULL</v>
          </cell>
          <cell r="Y767" t="str">
            <v>NULL</v>
          </cell>
          <cell r="Z767" t="str">
            <v>NULL</v>
          </cell>
          <cell r="AA767">
            <v>10020908</v>
          </cell>
          <cell r="AB767" t="str">
            <v>Independent School standard inspection</v>
          </cell>
          <cell r="AC767" t="str">
            <v>Independent Standard Inspection</v>
          </cell>
          <cell r="AD767">
            <v>43046</v>
          </cell>
          <cell r="AE767">
            <v>43048</v>
          </cell>
          <cell r="AF767">
            <v>43069</v>
          </cell>
          <cell r="AG767">
            <v>3</v>
          </cell>
          <cell r="AH767">
            <v>3</v>
          </cell>
          <cell r="AI767">
            <v>3</v>
          </cell>
          <cell r="AJ767">
            <v>3</v>
          </cell>
          <cell r="AK767">
            <v>2</v>
          </cell>
          <cell r="AL767">
            <v>3</v>
          </cell>
          <cell r="AM767" t="str">
            <v>NULL</v>
          </cell>
          <cell r="AN767" t="str">
            <v>Yes</v>
          </cell>
          <cell r="AO767" t="str">
            <v>ITS397665</v>
          </cell>
          <cell r="AP767" t="str">
            <v>Independent School standard inspection</v>
          </cell>
          <cell r="AQ767" t="str">
            <v>Independent Standard Inspection</v>
          </cell>
          <cell r="AR767">
            <v>41226</v>
          </cell>
          <cell r="AS767">
            <v>41227</v>
          </cell>
          <cell r="AT767">
            <v>41248</v>
          </cell>
          <cell r="AU767">
            <v>2</v>
          </cell>
          <cell r="AV767">
            <v>2</v>
          </cell>
          <cell r="AW767">
            <v>2</v>
          </cell>
          <cell r="AX767" t="str">
            <v>NULL</v>
          </cell>
          <cell r="AY767" t="str">
            <v>NULL</v>
          </cell>
          <cell r="AZ767">
            <v>8</v>
          </cell>
          <cell r="BA767" t="str">
            <v>NULL</v>
          </cell>
          <cell r="BB767" t="str">
            <v>NULL</v>
          </cell>
        </row>
        <row r="768">
          <cell r="D768">
            <v>136425</v>
          </cell>
          <cell r="E768">
            <v>8926074</v>
          </cell>
          <cell r="F768" t="str">
            <v>Green Crescent Primary School</v>
          </cell>
          <cell r="G768" t="str">
            <v>Other Independent School</v>
          </cell>
          <cell r="H768">
            <v>40556</v>
          </cell>
          <cell r="I768">
            <v>60</v>
          </cell>
          <cell r="J768" t="str">
            <v>East Midlands</v>
          </cell>
          <cell r="K768" t="str">
            <v>East Midlands</v>
          </cell>
          <cell r="L768" t="str">
            <v>Nottingham</v>
          </cell>
          <cell r="M768" t="str">
            <v>Nottingham North</v>
          </cell>
          <cell r="N768" t="str">
            <v>NG6 0DG</v>
          </cell>
          <cell r="O768" t="str">
            <v>Does not have a sixth form</v>
          </cell>
          <cell r="P768">
            <v>4</v>
          </cell>
          <cell r="Q768">
            <v>11</v>
          </cell>
          <cell r="R768" t="str">
            <v>None</v>
          </cell>
          <cell r="S768" t="str">
            <v>Ofsted</v>
          </cell>
          <cell r="T768" t="str">
            <v>NULL</v>
          </cell>
          <cell r="U768" t="str">
            <v>NULL</v>
          </cell>
          <cell r="V768" t="str">
            <v>NULL</v>
          </cell>
          <cell r="W768" t="str">
            <v>NULL</v>
          </cell>
          <cell r="X768" t="str">
            <v>NULL</v>
          </cell>
          <cell r="Y768" t="str">
            <v>NULL</v>
          </cell>
          <cell r="Z768" t="str">
            <v>NULL</v>
          </cell>
          <cell r="AA768" t="str">
            <v>ITS454301</v>
          </cell>
          <cell r="AB768" t="str">
            <v>Independent School standard inspection</v>
          </cell>
          <cell r="AC768" t="str">
            <v>Independent Standard Inspection</v>
          </cell>
          <cell r="AD768">
            <v>42031</v>
          </cell>
          <cell r="AE768">
            <v>42033</v>
          </cell>
          <cell r="AF768">
            <v>42067</v>
          </cell>
          <cell r="AG768">
            <v>2</v>
          </cell>
          <cell r="AH768">
            <v>2</v>
          </cell>
          <cell r="AI768">
            <v>2</v>
          </cell>
          <cell r="AJ768">
            <v>2</v>
          </cell>
          <cell r="AK768" t="str">
            <v>NULL</v>
          </cell>
          <cell r="AL768">
            <v>2</v>
          </cell>
          <cell r="AM768">
            <v>9</v>
          </cell>
          <cell r="AN768" t="str">
            <v>NULL</v>
          </cell>
          <cell r="AO768" t="str">
            <v>ITS385142</v>
          </cell>
          <cell r="AP768" t="str">
            <v>Independent School standard inspection</v>
          </cell>
          <cell r="AQ768" t="str">
            <v>Independent Standard Inspection</v>
          </cell>
          <cell r="AR768">
            <v>40870</v>
          </cell>
          <cell r="AS768">
            <v>40871</v>
          </cell>
          <cell r="AT768">
            <v>40893</v>
          </cell>
          <cell r="AU768">
            <v>3</v>
          </cell>
          <cell r="AV768">
            <v>3</v>
          </cell>
          <cell r="AW768">
            <v>3</v>
          </cell>
          <cell r="AX768" t="str">
            <v>NULL</v>
          </cell>
          <cell r="AY768" t="str">
            <v>NULL</v>
          </cell>
          <cell r="AZ768">
            <v>2</v>
          </cell>
          <cell r="BA768" t="str">
            <v>NULL</v>
          </cell>
          <cell r="BB768" t="str">
            <v>NULL</v>
          </cell>
        </row>
        <row r="769">
          <cell r="D769">
            <v>131198</v>
          </cell>
          <cell r="E769">
            <v>2116386</v>
          </cell>
          <cell r="F769" t="str">
            <v>Green Gables Montessori Primary School</v>
          </cell>
          <cell r="G769" t="str">
            <v>Other Independent School</v>
          </cell>
          <cell r="H769">
            <v>35236</v>
          </cell>
          <cell r="I769">
            <v>81</v>
          </cell>
          <cell r="J769" t="str">
            <v>London</v>
          </cell>
          <cell r="K769" t="str">
            <v>London</v>
          </cell>
          <cell r="L769" t="str">
            <v>Tower Hamlets</v>
          </cell>
          <cell r="M769" t="str">
            <v>Poplar and Limehouse</v>
          </cell>
          <cell r="N769" t="str">
            <v>E1W 2RG</v>
          </cell>
          <cell r="O769" t="str">
            <v>Does not have a sixth form</v>
          </cell>
          <cell r="P769">
            <v>2</v>
          </cell>
          <cell r="Q769">
            <v>11</v>
          </cell>
          <cell r="R769" t="str">
            <v>None</v>
          </cell>
          <cell r="S769" t="str">
            <v>Ofsted</v>
          </cell>
          <cell r="T769" t="str">
            <v>NULL</v>
          </cell>
          <cell r="U769" t="str">
            <v>NULL</v>
          </cell>
          <cell r="V769" t="str">
            <v>NULL</v>
          </cell>
          <cell r="W769" t="str">
            <v>NULL</v>
          </cell>
          <cell r="X769" t="str">
            <v>NULL</v>
          </cell>
          <cell r="Y769" t="str">
            <v>NULL</v>
          </cell>
          <cell r="Z769" t="str">
            <v>NULL</v>
          </cell>
          <cell r="AA769">
            <v>10012780</v>
          </cell>
          <cell r="AB769" t="str">
            <v>Independent School standard inspection</v>
          </cell>
          <cell r="AC769" t="str">
            <v>Independent Standard Inspection</v>
          </cell>
          <cell r="AD769">
            <v>43137</v>
          </cell>
          <cell r="AE769">
            <v>43139</v>
          </cell>
          <cell r="AF769">
            <v>43166</v>
          </cell>
          <cell r="AG769">
            <v>2</v>
          </cell>
          <cell r="AH769">
            <v>2</v>
          </cell>
          <cell r="AI769">
            <v>2</v>
          </cell>
          <cell r="AJ769">
            <v>2</v>
          </cell>
          <cell r="AK769">
            <v>2</v>
          </cell>
          <cell r="AL769">
            <v>2</v>
          </cell>
          <cell r="AM769" t="str">
            <v>NULL</v>
          </cell>
          <cell r="AN769" t="str">
            <v>Yes</v>
          </cell>
          <cell r="AO769" t="str">
            <v>ITS420183</v>
          </cell>
          <cell r="AP769" t="str">
            <v>Independent School standard inspection</v>
          </cell>
          <cell r="AQ769" t="str">
            <v>Independent Standard Inspection</v>
          </cell>
          <cell r="AR769">
            <v>41394</v>
          </cell>
          <cell r="AS769">
            <v>41396</v>
          </cell>
          <cell r="AT769">
            <v>41417</v>
          </cell>
          <cell r="AU769">
            <v>2</v>
          </cell>
          <cell r="AV769">
            <v>2</v>
          </cell>
          <cell r="AW769">
            <v>2</v>
          </cell>
          <cell r="AX769">
            <v>2</v>
          </cell>
          <cell r="AY769" t="str">
            <v>NULL</v>
          </cell>
          <cell r="AZ769" t="str">
            <v>NULL</v>
          </cell>
          <cell r="BA769" t="str">
            <v>NULL</v>
          </cell>
          <cell r="BB769" t="str">
            <v>NULL</v>
          </cell>
        </row>
        <row r="770">
          <cell r="D770">
            <v>135688</v>
          </cell>
          <cell r="E770">
            <v>3306205</v>
          </cell>
          <cell r="F770" t="str">
            <v>Green Heath School</v>
          </cell>
          <cell r="G770" t="str">
            <v>Other Independent School</v>
          </cell>
          <cell r="H770">
            <v>39701</v>
          </cell>
          <cell r="I770">
            <v>18</v>
          </cell>
          <cell r="J770" t="str">
            <v>West Midlands</v>
          </cell>
          <cell r="K770" t="str">
            <v>West Midlands</v>
          </cell>
          <cell r="L770" t="str">
            <v>Birmingham</v>
          </cell>
          <cell r="M770" t="str">
            <v>Birmingham, Ladywood</v>
          </cell>
          <cell r="N770" t="str">
            <v>B10 0NR</v>
          </cell>
          <cell r="O770" t="str">
            <v>Has a sixth form</v>
          </cell>
          <cell r="P770">
            <v>11</v>
          </cell>
          <cell r="Q770">
            <v>19</v>
          </cell>
          <cell r="R770" t="str">
            <v>None</v>
          </cell>
          <cell r="S770" t="str">
            <v>Ofsted</v>
          </cell>
          <cell r="T770" t="str">
            <v>NULL</v>
          </cell>
          <cell r="U770" t="str">
            <v>NULL</v>
          </cell>
          <cell r="V770" t="str">
            <v>NULL</v>
          </cell>
          <cell r="W770" t="str">
            <v>NULL</v>
          </cell>
          <cell r="X770" t="str">
            <v>NULL</v>
          </cell>
          <cell r="Y770" t="str">
            <v>NULL</v>
          </cell>
          <cell r="Z770" t="str">
            <v>NULL</v>
          </cell>
          <cell r="AA770">
            <v>10006060</v>
          </cell>
          <cell r="AB770" t="str">
            <v>Independent School standard inspection</v>
          </cell>
          <cell r="AC770" t="str">
            <v>Independent Standard Inspection</v>
          </cell>
          <cell r="AD770">
            <v>42871</v>
          </cell>
          <cell r="AE770">
            <v>42873</v>
          </cell>
          <cell r="AF770">
            <v>42913</v>
          </cell>
          <cell r="AG770">
            <v>2</v>
          </cell>
          <cell r="AH770">
            <v>2</v>
          </cell>
          <cell r="AI770">
            <v>2</v>
          </cell>
          <cell r="AJ770">
            <v>2</v>
          </cell>
          <cell r="AK770">
            <v>2</v>
          </cell>
          <cell r="AL770" t="str">
            <v>NULL</v>
          </cell>
          <cell r="AM770" t="str">
            <v>NULL</v>
          </cell>
          <cell r="AN770" t="str">
            <v>Yes</v>
          </cell>
          <cell r="AO770" t="str">
            <v>ITS397617</v>
          </cell>
          <cell r="AP770" t="str">
            <v>Independent School standard inspection</v>
          </cell>
          <cell r="AQ770" t="str">
            <v>Independent Standard Inspection</v>
          </cell>
          <cell r="AR770">
            <v>41172</v>
          </cell>
          <cell r="AS770">
            <v>41173</v>
          </cell>
          <cell r="AT770">
            <v>41191</v>
          </cell>
          <cell r="AU770">
            <v>2</v>
          </cell>
          <cell r="AV770">
            <v>2</v>
          </cell>
          <cell r="AW770">
            <v>2</v>
          </cell>
          <cell r="AX770" t="str">
            <v>NULL</v>
          </cell>
          <cell r="AY770" t="str">
            <v>NULL</v>
          </cell>
          <cell r="AZ770">
            <v>8</v>
          </cell>
          <cell r="BA770" t="str">
            <v>NULL</v>
          </cell>
          <cell r="BB770" t="str">
            <v>NULL</v>
          </cell>
        </row>
        <row r="771">
          <cell r="D771">
            <v>135998</v>
          </cell>
          <cell r="E771">
            <v>3596011</v>
          </cell>
          <cell r="F771" t="str">
            <v>Green Meadow Independent Primary School</v>
          </cell>
          <cell r="G771" t="str">
            <v>Other Independent School</v>
          </cell>
          <cell r="H771">
            <v>40081</v>
          </cell>
          <cell r="I771">
            <v>28</v>
          </cell>
          <cell r="J771" t="str">
            <v>North West</v>
          </cell>
          <cell r="K771" t="str">
            <v>North West</v>
          </cell>
          <cell r="L771" t="str">
            <v>Wigan</v>
          </cell>
          <cell r="M771" t="str">
            <v>Leigh</v>
          </cell>
          <cell r="N771" t="str">
            <v>WA3 2RD</v>
          </cell>
          <cell r="O771" t="str">
            <v>Does not have a sixth form</v>
          </cell>
          <cell r="P771">
            <v>4</v>
          </cell>
          <cell r="Q771">
            <v>11</v>
          </cell>
          <cell r="R771" t="str">
            <v>None</v>
          </cell>
          <cell r="S771" t="str">
            <v>Ofsted</v>
          </cell>
          <cell r="T771" t="str">
            <v>NULL</v>
          </cell>
          <cell r="U771" t="str">
            <v>NULL</v>
          </cell>
          <cell r="V771" t="str">
            <v>NULL</v>
          </cell>
          <cell r="W771" t="str">
            <v>NULL</v>
          </cell>
          <cell r="X771" t="str">
            <v>NULL</v>
          </cell>
          <cell r="Y771" t="str">
            <v>NULL</v>
          </cell>
          <cell r="Z771" t="str">
            <v>NULL</v>
          </cell>
          <cell r="AA771">
            <v>10026013</v>
          </cell>
          <cell r="AB771" t="str">
            <v>Independent School standard inspection</v>
          </cell>
          <cell r="AC771" t="str">
            <v>Independent Standard Inspection</v>
          </cell>
          <cell r="AD771">
            <v>42815</v>
          </cell>
          <cell r="AE771">
            <v>42817</v>
          </cell>
          <cell r="AF771">
            <v>42850</v>
          </cell>
          <cell r="AG771">
            <v>2</v>
          </cell>
          <cell r="AH771">
            <v>2</v>
          </cell>
          <cell r="AI771">
            <v>2</v>
          </cell>
          <cell r="AJ771">
            <v>2</v>
          </cell>
          <cell r="AK771">
            <v>1</v>
          </cell>
          <cell r="AL771">
            <v>2</v>
          </cell>
          <cell r="AM771" t="str">
            <v>NULL</v>
          </cell>
          <cell r="AN771" t="str">
            <v>Yes</v>
          </cell>
          <cell r="AO771" t="str">
            <v>ITS422816</v>
          </cell>
          <cell r="AP771" t="str">
            <v>Independent School standard inspection</v>
          </cell>
          <cell r="AQ771" t="str">
            <v>Independent Standard Inspection</v>
          </cell>
          <cell r="AR771">
            <v>41696</v>
          </cell>
          <cell r="AS771">
            <v>41698</v>
          </cell>
          <cell r="AT771">
            <v>41719</v>
          </cell>
          <cell r="AU771">
            <v>1</v>
          </cell>
          <cell r="AV771">
            <v>1</v>
          </cell>
          <cell r="AW771">
            <v>1</v>
          </cell>
          <cell r="AX771">
            <v>1</v>
          </cell>
          <cell r="AY771" t="str">
            <v>NULL</v>
          </cell>
          <cell r="AZ771" t="str">
            <v>NULL</v>
          </cell>
          <cell r="BA771" t="str">
            <v>NULL</v>
          </cell>
          <cell r="BB771" t="str">
            <v>NULL</v>
          </cell>
        </row>
        <row r="772">
          <cell r="D772">
            <v>101575</v>
          </cell>
          <cell r="E772">
            <v>3046069</v>
          </cell>
          <cell r="F772" t="str">
            <v>Islamia School for Girls'</v>
          </cell>
          <cell r="G772" t="str">
            <v>Other Independent School</v>
          </cell>
          <cell r="H772">
            <v>32793</v>
          </cell>
          <cell r="I772">
            <v>153</v>
          </cell>
          <cell r="J772" t="str">
            <v>London</v>
          </cell>
          <cell r="K772" t="str">
            <v>London</v>
          </cell>
          <cell r="L772" t="str">
            <v>Brent</v>
          </cell>
          <cell r="M772" t="str">
            <v>Hampstead and Kilburn</v>
          </cell>
          <cell r="N772" t="str">
            <v>NW6 6PE</v>
          </cell>
          <cell r="O772" t="str">
            <v>Does not have a sixth form</v>
          </cell>
          <cell r="P772">
            <v>11</v>
          </cell>
          <cell r="Q772">
            <v>16</v>
          </cell>
          <cell r="R772" t="str">
            <v>Islam</v>
          </cell>
          <cell r="S772" t="str">
            <v>Ofsted</v>
          </cell>
          <cell r="T772" t="str">
            <v>NULL</v>
          </cell>
          <cell r="U772" t="str">
            <v>NULL</v>
          </cell>
          <cell r="V772" t="str">
            <v>NULL</v>
          </cell>
          <cell r="W772" t="str">
            <v>NULL</v>
          </cell>
          <cell r="X772" t="str">
            <v>NULL</v>
          </cell>
          <cell r="Y772" t="str">
            <v>NULL</v>
          </cell>
          <cell r="Z772" t="str">
            <v>NULL</v>
          </cell>
          <cell r="AA772">
            <v>10026716</v>
          </cell>
          <cell r="AB772" t="str">
            <v>Independent School standard inspection</v>
          </cell>
          <cell r="AC772" t="str">
            <v>Independent Standard Inspection</v>
          </cell>
          <cell r="AD772">
            <v>42787</v>
          </cell>
          <cell r="AE772">
            <v>42789</v>
          </cell>
          <cell r="AF772">
            <v>42850</v>
          </cell>
          <cell r="AG772">
            <v>1</v>
          </cell>
          <cell r="AH772">
            <v>1</v>
          </cell>
          <cell r="AI772">
            <v>1</v>
          </cell>
          <cell r="AJ772">
            <v>1</v>
          </cell>
          <cell r="AK772">
            <v>1</v>
          </cell>
          <cell r="AL772" t="str">
            <v>NULL</v>
          </cell>
          <cell r="AM772" t="str">
            <v>NULL</v>
          </cell>
          <cell r="AN772" t="str">
            <v>Yes</v>
          </cell>
          <cell r="AO772" t="str">
            <v>ITS443492</v>
          </cell>
          <cell r="AP772" t="str">
            <v>Independent School standard inspection</v>
          </cell>
          <cell r="AQ772" t="str">
            <v>Independent Standard Inspection</v>
          </cell>
          <cell r="AR772">
            <v>41808</v>
          </cell>
          <cell r="AS772">
            <v>41810</v>
          </cell>
          <cell r="AT772">
            <v>41829</v>
          </cell>
          <cell r="AU772">
            <v>1</v>
          </cell>
          <cell r="AV772">
            <v>1</v>
          </cell>
          <cell r="AW772">
            <v>1</v>
          </cell>
          <cell r="AX772">
            <v>1</v>
          </cell>
          <cell r="AY772" t="str">
            <v>NULL</v>
          </cell>
          <cell r="AZ772" t="str">
            <v>NULL</v>
          </cell>
          <cell r="BA772" t="str">
            <v>NULL</v>
          </cell>
          <cell r="BB772" t="str">
            <v>NULL</v>
          </cell>
        </row>
        <row r="773">
          <cell r="D773">
            <v>134422</v>
          </cell>
          <cell r="E773">
            <v>3366024</v>
          </cell>
          <cell r="F773" t="str">
            <v xml:space="preserve">Islamic Preparatory School Wolverhampton </v>
          </cell>
          <cell r="G773" t="str">
            <v>Other Independent School</v>
          </cell>
          <cell r="H773">
            <v>37862</v>
          </cell>
          <cell r="I773">
            <v>46</v>
          </cell>
          <cell r="J773" t="str">
            <v>West Midlands</v>
          </cell>
          <cell r="K773" t="str">
            <v>West Midlands</v>
          </cell>
          <cell r="L773" t="str">
            <v>Wolverhampton</v>
          </cell>
          <cell r="M773" t="str">
            <v>Wolverhampton South West</v>
          </cell>
          <cell r="N773" t="str">
            <v>WV1 4RA</v>
          </cell>
          <cell r="O773" t="str">
            <v>Does not have a sixth form</v>
          </cell>
          <cell r="P773">
            <v>4</v>
          </cell>
          <cell r="Q773">
            <v>13</v>
          </cell>
          <cell r="R773" t="str">
            <v>Muslim</v>
          </cell>
          <cell r="S773" t="str">
            <v>Ofsted</v>
          </cell>
          <cell r="T773">
            <v>1</v>
          </cell>
          <cell r="U773">
            <v>10044779</v>
          </cell>
          <cell r="V773" t="str">
            <v>Independent school evaluation of school action plan</v>
          </cell>
          <cell r="W773">
            <v>43112</v>
          </cell>
          <cell r="X773">
            <v>43112</v>
          </cell>
          <cell r="Y773" t="str">
            <v>NULL</v>
          </cell>
          <cell r="Z773" t="str">
            <v>Action plan is acceptable with modifications</v>
          </cell>
          <cell r="AA773">
            <v>10025695</v>
          </cell>
          <cell r="AB773" t="str">
            <v>Independent School standard inspection</v>
          </cell>
          <cell r="AC773" t="str">
            <v>Independent Standard Inspection</v>
          </cell>
          <cell r="AD773">
            <v>42871</v>
          </cell>
          <cell r="AE773">
            <v>42873</v>
          </cell>
          <cell r="AF773">
            <v>42923</v>
          </cell>
          <cell r="AG773">
            <v>4</v>
          </cell>
          <cell r="AH773">
            <v>3</v>
          </cell>
          <cell r="AI773">
            <v>3</v>
          </cell>
          <cell r="AJ773">
            <v>4</v>
          </cell>
          <cell r="AK773">
            <v>3</v>
          </cell>
          <cell r="AL773">
            <v>3</v>
          </cell>
          <cell r="AM773" t="str">
            <v>NULL</v>
          </cell>
          <cell r="AN773" t="str">
            <v>No</v>
          </cell>
          <cell r="AO773">
            <v>10007529</v>
          </cell>
          <cell r="AP773" t="str">
            <v>Independent School standard inspection</v>
          </cell>
          <cell r="AQ773" t="str">
            <v>Independent Standard Inspection</v>
          </cell>
          <cell r="AR773">
            <v>42283</v>
          </cell>
          <cell r="AS773">
            <v>42285</v>
          </cell>
          <cell r="AT773">
            <v>42327</v>
          </cell>
          <cell r="AU773">
            <v>3</v>
          </cell>
          <cell r="AV773">
            <v>3</v>
          </cell>
          <cell r="AW773">
            <v>3</v>
          </cell>
          <cell r="AX773">
            <v>3</v>
          </cell>
          <cell r="AY773">
            <v>3</v>
          </cell>
          <cell r="AZ773">
            <v>3</v>
          </cell>
          <cell r="BA773" t="str">
            <v>NULL</v>
          </cell>
          <cell r="BB773" t="str">
            <v>Yes</v>
          </cell>
        </row>
        <row r="774">
          <cell r="D774">
            <v>134084</v>
          </cell>
          <cell r="E774">
            <v>3096087</v>
          </cell>
          <cell r="F774" t="str">
            <v>Islamic Shakhsiyah Foundation</v>
          </cell>
          <cell r="G774" t="str">
            <v>Other Independent School</v>
          </cell>
          <cell r="H774">
            <v>37641</v>
          </cell>
          <cell r="I774">
            <v>107</v>
          </cell>
          <cell r="J774" t="str">
            <v>London</v>
          </cell>
          <cell r="K774" t="str">
            <v>London</v>
          </cell>
          <cell r="L774" t="str">
            <v>Haringey</v>
          </cell>
          <cell r="M774" t="str">
            <v>Tottenham</v>
          </cell>
          <cell r="N774" t="str">
            <v>N15 5RG</v>
          </cell>
          <cell r="O774" t="str">
            <v>Does not have a sixth form</v>
          </cell>
          <cell r="P774">
            <v>3</v>
          </cell>
          <cell r="Q774">
            <v>11</v>
          </cell>
          <cell r="R774" t="str">
            <v>None</v>
          </cell>
          <cell r="S774" t="str">
            <v>Ofsted</v>
          </cell>
          <cell r="T774" t="str">
            <v>NULL</v>
          </cell>
          <cell r="U774" t="str">
            <v>NULL</v>
          </cell>
          <cell r="V774" t="str">
            <v>NULL</v>
          </cell>
          <cell r="W774" t="str">
            <v>NULL</v>
          </cell>
          <cell r="X774" t="str">
            <v>NULL</v>
          </cell>
          <cell r="Y774" t="str">
            <v>NULL</v>
          </cell>
          <cell r="Z774" t="str">
            <v>NULL</v>
          </cell>
          <cell r="AA774" t="str">
            <v>ITS464982</v>
          </cell>
          <cell r="AB774" t="str">
            <v>Independent School standard inspection</v>
          </cell>
          <cell r="AC774" t="str">
            <v>Independent Standard Inspection</v>
          </cell>
          <cell r="AD774">
            <v>42171</v>
          </cell>
          <cell r="AE774">
            <v>42173</v>
          </cell>
          <cell r="AF774">
            <v>42255</v>
          </cell>
          <cell r="AG774">
            <v>3</v>
          </cell>
          <cell r="AH774">
            <v>3</v>
          </cell>
          <cell r="AI774">
            <v>3</v>
          </cell>
          <cell r="AJ774">
            <v>2</v>
          </cell>
          <cell r="AK774" t="str">
            <v>NULL</v>
          </cell>
          <cell r="AL774">
            <v>3</v>
          </cell>
          <cell r="AM774">
            <v>9</v>
          </cell>
          <cell r="AN774" t="str">
            <v>NULL</v>
          </cell>
          <cell r="AO774" t="str">
            <v>ITS451141</v>
          </cell>
          <cell r="AP774" t="str">
            <v>Independent School standard inspection</v>
          </cell>
          <cell r="AQ774" t="str">
            <v>Independent Standard Inspection</v>
          </cell>
          <cell r="AR774">
            <v>41912</v>
          </cell>
          <cell r="AS774">
            <v>41914</v>
          </cell>
          <cell r="AT774">
            <v>42026</v>
          </cell>
          <cell r="AU774">
            <v>4</v>
          </cell>
          <cell r="AV774">
            <v>4</v>
          </cell>
          <cell r="AW774">
            <v>4</v>
          </cell>
          <cell r="AX774">
            <v>4</v>
          </cell>
          <cell r="AY774" t="str">
            <v>NULL</v>
          </cell>
          <cell r="AZ774">
            <v>4</v>
          </cell>
          <cell r="BA774">
            <v>9</v>
          </cell>
          <cell r="BB774" t="str">
            <v>NULL</v>
          </cell>
        </row>
        <row r="775">
          <cell r="D775">
            <v>134085</v>
          </cell>
          <cell r="E775">
            <v>8716003</v>
          </cell>
          <cell r="F775" t="str">
            <v>Islamic Shakhsiyah Foundation</v>
          </cell>
          <cell r="G775" t="str">
            <v>Other Independent School</v>
          </cell>
          <cell r="H775">
            <v>37641</v>
          </cell>
          <cell r="I775">
            <v>86</v>
          </cell>
          <cell r="J775" t="str">
            <v>South East</v>
          </cell>
          <cell r="K775" t="str">
            <v>South East</v>
          </cell>
          <cell r="L775" t="str">
            <v>Slough</v>
          </cell>
          <cell r="M775" t="str">
            <v>Slough</v>
          </cell>
          <cell r="N775" t="str">
            <v>SL1 2SR</v>
          </cell>
          <cell r="O775" t="str">
            <v>Does not have a sixth form</v>
          </cell>
          <cell r="P775">
            <v>3</v>
          </cell>
          <cell r="Q775">
            <v>11</v>
          </cell>
          <cell r="R775" t="str">
            <v>None</v>
          </cell>
          <cell r="S775" t="str">
            <v>Ofsted</v>
          </cell>
          <cell r="T775" t="str">
            <v>NULL</v>
          </cell>
          <cell r="U775" t="str">
            <v>NULL</v>
          </cell>
          <cell r="V775" t="str">
            <v>NULL</v>
          </cell>
          <cell r="W775" t="str">
            <v>NULL</v>
          </cell>
          <cell r="X775" t="str">
            <v>NULL</v>
          </cell>
          <cell r="Y775" t="str">
            <v>NULL</v>
          </cell>
          <cell r="Z775" t="str">
            <v>NULL</v>
          </cell>
          <cell r="AA775">
            <v>10039160</v>
          </cell>
          <cell r="AB775" t="str">
            <v>Independent School standard inspection</v>
          </cell>
          <cell r="AC775" t="str">
            <v>Independent Standard Inspection</v>
          </cell>
          <cell r="AD775">
            <v>43018</v>
          </cell>
          <cell r="AE775">
            <v>43020</v>
          </cell>
          <cell r="AF775">
            <v>43045</v>
          </cell>
          <cell r="AG775">
            <v>2</v>
          </cell>
          <cell r="AH775">
            <v>2</v>
          </cell>
          <cell r="AI775">
            <v>2</v>
          </cell>
          <cell r="AJ775">
            <v>1</v>
          </cell>
          <cell r="AK775">
            <v>1</v>
          </cell>
          <cell r="AL775">
            <v>1</v>
          </cell>
          <cell r="AM775" t="str">
            <v>NULL</v>
          </cell>
          <cell r="AN775" t="str">
            <v>Yes</v>
          </cell>
          <cell r="AO775">
            <v>10006763</v>
          </cell>
          <cell r="AP775" t="str">
            <v>Independent School standard inspection</v>
          </cell>
          <cell r="AQ775" t="str">
            <v>Independent Standard Inspection</v>
          </cell>
          <cell r="AR775">
            <v>42311</v>
          </cell>
          <cell r="AS775">
            <v>42313</v>
          </cell>
          <cell r="AT775">
            <v>42339</v>
          </cell>
          <cell r="AU775">
            <v>3</v>
          </cell>
          <cell r="AV775">
            <v>3</v>
          </cell>
          <cell r="AW775">
            <v>3</v>
          </cell>
          <cell r="AX775">
            <v>2</v>
          </cell>
          <cell r="AY775">
            <v>2</v>
          </cell>
          <cell r="AZ775">
            <v>2</v>
          </cell>
          <cell r="BA775" t="str">
            <v>NULL</v>
          </cell>
          <cell r="BB775" t="str">
            <v>Yes</v>
          </cell>
        </row>
        <row r="776">
          <cell r="D776">
            <v>100376</v>
          </cell>
          <cell r="E776">
            <v>2056387</v>
          </cell>
          <cell r="F776" t="str">
            <v>Le Herisson School</v>
          </cell>
          <cell r="G776" t="str">
            <v>Other Independent School</v>
          </cell>
          <cell r="H776">
            <v>34263</v>
          </cell>
          <cell r="I776">
            <v>70</v>
          </cell>
          <cell r="J776" t="str">
            <v>London</v>
          </cell>
          <cell r="K776" t="str">
            <v>London</v>
          </cell>
          <cell r="L776" t="str">
            <v>Hammersmith and Fulham</v>
          </cell>
          <cell r="M776" t="str">
            <v>Hammersmith</v>
          </cell>
          <cell r="N776" t="str">
            <v>W6 9JT</v>
          </cell>
          <cell r="O776" t="str">
            <v>Does not have a sixth form</v>
          </cell>
          <cell r="P776">
            <v>2</v>
          </cell>
          <cell r="Q776">
            <v>6</v>
          </cell>
          <cell r="R776" t="str">
            <v>None</v>
          </cell>
          <cell r="S776" t="str">
            <v>Ofsted</v>
          </cell>
          <cell r="T776">
            <v>1</v>
          </cell>
          <cell r="U776">
            <v>10044923</v>
          </cell>
          <cell r="V776" t="str">
            <v>Independent school evaluation of school action plan</v>
          </cell>
          <cell r="W776">
            <v>43090</v>
          </cell>
          <cell r="X776">
            <v>43090</v>
          </cell>
          <cell r="Y776" t="str">
            <v>NULL</v>
          </cell>
          <cell r="Z776" t="str">
            <v>Action plan is acceptable</v>
          </cell>
          <cell r="AA776">
            <v>10037572</v>
          </cell>
          <cell r="AB776" t="str">
            <v>Independent School standard inspection</v>
          </cell>
          <cell r="AC776" t="str">
            <v>Independent Standard Inspection</v>
          </cell>
          <cell r="AD776">
            <v>42920</v>
          </cell>
          <cell r="AE776">
            <v>42922</v>
          </cell>
          <cell r="AF776">
            <v>43010</v>
          </cell>
          <cell r="AG776">
            <v>4</v>
          </cell>
          <cell r="AH776">
            <v>3</v>
          </cell>
          <cell r="AI776">
            <v>3</v>
          </cell>
          <cell r="AJ776">
            <v>4</v>
          </cell>
          <cell r="AK776">
            <v>4</v>
          </cell>
          <cell r="AL776">
            <v>4</v>
          </cell>
          <cell r="AM776" t="str">
            <v>NULL</v>
          </cell>
          <cell r="AN776" t="str">
            <v>No</v>
          </cell>
          <cell r="AO776" t="str">
            <v>ITS443485</v>
          </cell>
          <cell r="AP776" t="str">
            <v>Independent School standard inspection</v>
          </cell>
          <cell r="AQ776" t="str">
            <v>Independent Standard Inspection</v>
          </cell>
          <cell r="AR776">
            <v>41905</v>
          </cell>
          <cell r="AS776">
            <v>41907</v>
          </cell>
          <cell r="AT776">
            <v>41949</v>
          </cell>
          <cell r="AU776">
            <v>2</v>
          </cell>
          <cell r="AV776">
            <v>2</v>
          </cell>
          <cell r="AW776">
            <v>2</v>
          </cell>
          <cell r="AX776">
            <v>2</v>
          </cell>
          <cell r="AY776" t="str">
            <v>NULL</v>
          </cell>
          <cell r="AZ776" t="str">
            <v>NULL</v>
          </cell>
          <cell r="BA776" t="str">
            <v>NULL</v>
          </cell>
          <cell r="BB776" t="str">
            <v>NULL</v>
          </cell>
        </row>
        <row r="777">
          <cell r="D777">
            <v>140038</v>
          </cell>
          <cell r="E777">
            <v>3836001</v>
          </cell>
          <cell r="F777" t="str">
            <v>Leeds Christian School of Excellence</v>
          </cell>
          <cell r="G777" t="str">
            <v>Other Independent School</v>
          </cell>
          <cell r="H777">
            <v>41505</v>
          </cell>
          <cell r="I777">
            <v>5</v>
          </cell>
          <cell r="J777" t="str">
            <v>North East, Yorkshire and the Humber</v>
          </cell>
          <cell r="K777" t="str">
            <v>Yorkshire and the Humber</v>
          </cell>
          <cell r="L777" t="str">
            <v>Leeds</v>
          </cell>
          <cell r="M777" t="str">
            <v>Leeds East</v>
          </cell>
          <cell r="N777" t="str">
            <v>LS8 4EX</v>
          </cell>
          <cell r="O777" t="str">
            <v>Does not have a sixth form</v>
          </cell>
          <cell r="P777">
            <v>6</v>
          </cell>
          <cell r="Q777">
            <v>11</v>
          </cell>
          <cell r="R777" t="str">
            <v>Christian</v>
          </cell>
          <cell r="S777" t="str">
            <v>Ofsted</v>
          </cell>
          <cell r="T777" t="str">
            <v>NULL</v>
          </cell>
          <cell r="U777" t="str">
            <v>NULL</v>
          </cell>
          <cell r="V777" t="str">
            <v>NULL</v>
          </cell>
          <cell r="W777" t="str">
            <v>NULL</v>
          </cell>
          <cell r="X777" t="str">
            <v>NULL</v>
          </cell>
          <cell r="Y777" t="str">
            <v>NULL</v>
          </cell>
          <cell r="Z777" t="str">
            <v>NULL</v>
          </cell>
          <cell r="AA777">
            <v>10033924</v>
          </cell>
          <cell r="AB777" t="str">
            <v>Independent School standard inspection</v>
          </cell>
          <cell r="AC777" t="str">
            <v>Independent Standard Inspection</v>
          </cell>
          <cell r="AD777">
            <v>42899</v>
          </cell>
          <cell r="AE777">
            <v>42901</v>
          </cell>
          <cell r="AF777">
            <v>42948</v>
          </cell>
          <cell r="AG777">
            <v>3</v>
          </cell>
          <cell r="AH777">
            <v>2</v>
          </cell>
          <cell r="AI777">
            <v>2</v>
          </cell>
          <cell r="AJ777">
            <v>3</v>
          </cell>
          <cell r="AK777">
            <v>2</v>
          </cell>
          <cell r="AL777" t="str">
            <v>NULL</v>
          </cell>
          <cell r="AM777" t="str">
            <v>NULL</v>
          </cell>
          <cell r="AN777" t="str">
            <v>Yes</v>
          </cell>
          <cell r="AO777" t="str">
            <v>ITS443026</v>
          </cell>
          <cell r="AP777" t="str">
            <v>Independent school standard inspection - first</v>
          </cell>
          <cell r="AQ777" t="str">
            <v>Independent Standard Inspection</v>
          </cell>
          <cell r="AR777">
            <v>41814</v>
          </cell>
          <cell r="AS777">
            <v>41816</v>
          </cell>
          <cell r="AT777">
            <v>41838</v>
          </cell>
          <cell r="AU777">
            <v>2</v>
          </cell>
          <cell r="AV777">
            <v>2</v>
          </cell>
          <cell r="AW777">
            <v>2</v>
          </cell>
          <cell r="AX777">
            <v>2</v>
          </cell>
          <cell r="AY777" t="str">
            <v>NULL</v>
          </cell>
          <cell r="AZ777" t="str">
            <v>NULL</v>
          </cell>
          <cell r="BA777" t="str">
            <v>NULL</v>
          </cell>
          <cell r="BB777" t="str">
            <v>NULL</v>
          </cell>
        </row>
        <row r="778">
          <cell r="D778">
            <v>108110</v>
          </cell>
          <cell r="E778">
            <v>3836099</v>
          </cell>
          <cell r="F778" t="str">
            <v>Leeds Menorah School</v>
          </cell>
          <cell r="G778" t="str">
            <v>Other Independent School</v>
          </cell>
          <cell r="H778">
            <v>28724</v>
          </cell>
          <cell r="I778">
            <v>27</v>
          </cell>
          <cell r="J778" t="str">
            <v>North East, Yorkshire and the Humber</v>
          </cell>
          <cell r="K778" t="str">
            <v>Yorkshire and the Humber</v>
          </cell>
          <cell r="L778" t="str">
            <v>Leeds</v>
          </cell>
          <cell r="M778" t="str">
            <v>Leeds North East</v>
          </cell>
          <cell r="N778" t="str">
            <v>LS17 6HQ</v>
          </cell>
          <cell r="O778" t="str">
            <v>Does not have a sixth form</v>
          </cell>
          <cell r="P778">
            <v>3</v>
          </cell>
          <cell r="Q778">
            <v>16</v>
          </cell>
          <cell r="R778" t="str">
            <v>None</v>
          </cell>
          <cell r="S778" t="str">
            <v>Ofsted</v>
          </cell>
          <cell r="T778" t="str">
            <v>NULL</v>
          </cell>
          <cell r="U778" t="str">
            <v>NULL</v>
          </cell>
          <cell r="V778" t="str">
            <v>NULL</v>
          </cell>
          <cell r="W778" t="str">
            <v>NULL</v>
          </cell>
          <cell r="X778" t="str">
            <v>NULL</v>
          </cell>
          <cell r="Y778" t="str">
            <v>NULL</v>
          </cell>
          <cell r="Z778" t="str">
            <v>NULL</v>
          </cell>
          <cell r="AA778">
            <v>10012883</v>
          </cell>
          <cell r="AB778" t="str">
            <v>Independent School standard inspection</v>
          </cell>
          <cell r="AC778" t="str">
            <v>Independent Standard Inspection</v>
          </cell>
          <cell r="AD778">
            <v>42570</v>
          </cell>
          <cell r="AE778">
            <v>42572</v>
          </cell>
          <cell r="AF778">
            <v>42634</v>
          </cell>
          <cell r="AG778">
            <v>2</v>
          </cell>
          <cell r="AH778">
            <v>2</v>
          </cell>
          <cell r="AI778">
            <v>2</v>
          </cell>
          <cell r="AJ778">
            <v>2</v>
          </cell>
          <cell r="AK778">
            <v>1</v>
          </cell>
          <cell r="AL778">
            <v>2</v>
          </cell>
          <cell r="AM778" t="str">
            <v>NULL</v>
          </cell>
          <cell r="AN778" t="str">
            <v>Yes</v>
          </cell>
          <cell r="AO778" t="str">
            <v>ITS420192</v>
          </cell>
          <cell r="AP778" t="str">
            <v>Independent School standard inspection</v>
          </cell>
          <cell r="AQ778" t="str">
            <v>Independent Standard Inspection</v>
          </cell>
          <cell r="AR778">
            <v>41387</v>
          </cell>
          <cell r="AS778">
            <v>41389</v>
          </cell>
          <cell r="AT778">
            <v>41411</v>
          </cell>
          <cell r="AU778">
            <v>2</v>
          </cell>
          <cell r="AV778">
            <v>2</v>
          </cell>
          <cell r="AW778">
            <v>2</v>
          </cell>
          <cell r="AX778">
            <v>2</v>
          </cell>
          <cell r="AY778" t="str">
            <v>NULL</v>
          </cell>
          <cell r="AZ778" t="str">
            <v>NULL</v>
          </cell>
          <cell r="BA778" t="str">
            <v>NULL</v>
          </cell>
          <cell r="BB778" t="str">
            <v>NULL</v>
          </cell>
        </row>
        <row r="779">
          <cell r="D779">
            <v>132781</v>
          </cell>
          <cell r="E779">
            <v>8566014</v>
          </cell>
          <cell r="F779" t="str">
            <v>Leicester Community Academy</v>
          </cell>
          <cell r="G779" t="str">
            <v>Other Independent School</v>
          </cell>
          <cell r="H779">
            <v>42598</v>
          </cell>
          <cell r="I779">
            <v>122</v>
          </cell>
          <cell r="J779" t="str">
            <v>East Midlands</v>
          </cell>
          <cell r="K779" t="str">
            <v>East Midlands</v>
          </cell>
          <cell r="L779" t="str">
            <v>Leicester</v>
          </cell>
          <cell r="M779" t="str">
            <v>Leicester East</v>
          </cell>
          <cell r="N779" t="str">
            <v>LE5 0JA</v>
          </cell>
          <cell r="O779" t="str">
            <v>Does not have a sixth form</v>
          </cell>
          <cell r="P779">
            <v>5</v>
          </cell>
          <cell r="Q779">
            <v>16</v>
          </cell>
          <cell r="R779" t="str">
            <v>Islam</v>
          </cell>
          <cell r="S779" t="str">
            <v>Ofsted</v>
          </cell>
          <cell r="T779">
            <v>3</v>
          </cell>
          <cell r="U779" t="str">
            <v>ITS456377</v>
          </cell>
          <cell r="V779" t="str">
            <v>Possible unregistered independent school</v>
          </cell>
          <cell r="W779">
            <v>42012</v>
          </cell>
          <cell r="X779">
            <v>42012</v>
          </cell>
          <cell r="Y779" t="str">
            <v>NULL</v>
          </cell>
          <cell r="Z779" t="str">
            <v>Not applicable</v>
          </cell>
          <cell r="AA779" t="str">
            <v>ITS444500</v>
          </cell>
          <cell r="AB779" t="str">
            <v>Independent School standard inspection</v>
          </cell>
          <cell r="AC779" t="str">
            <v>Independent Standard Inspection</v>
          </cell>
          <cell r="AD779">
            <v>41772</v>
          </cell>
          <cell r="AE779">
            <v>41773</v>
          </cell>
          <cell r="AF779">
            <v>41878</v>
          </cell>
          <cell r="AG779">
            <v>4</v>
          </cell>
          <cell r="AH779">
            <v>4</v>
          </cell>
          <cell r="AI779">
            <v>4</v>
          </cell>
          <cell r="AJ779">
            <v>4</v>
          </cell>
          <cell r="AK779" t="str">
            <v>NULL</v>
          </cell>
          <cell r="AL779" t="str">
            <v>NULL</v>
          </cell>
          <cell r="AM779" t="str">
            <v>NULL</v>
          </cell>
          <cell r="AN779" t="str">
            <v>NULL</v>
          </cell>
          <cell r="AO779" t="str">
            <v>ITS364270</v>
          </cell>
          <cell r="AP779" t="str">
            <v>S162a - LTI Inspection Historic</v>
          </cell>
          <cell r="AQ779" t="str">
            <v>Independent Standard Inspection</v>
          </cell>
          <cell r="AR779">
            <v>40674</v>
          </cell>
          <cell r="AS779">
            <v>40674</v>
          </cell>
          <cell r="AT779">
            <v>40719</v>
          </cell>
          <cell r="AU779">
            <v>2</v>
          </cell>
          <cell r="AV779">
            <v>2</v>
          </cell>
          <cell r="AW779">
            <v>2</v>
          </cell>
          <cell r="AX779" t="str">
            <v>NULL</v>
          </cell>
          <cell r="AY779" t="str">
            <v>NULL</v>
          </cell>
          <cell r="AZ779">
            <v>8</v>
          </cell>
          <cell r="BA779" t="str">
            <v>NULL</v>
          </cell>
          <cell r="BB779" t="str">
            <v>NULL</v>
          </cell>
        </row>
        <row r="780">
          <cell r="D780">
            <v>105999</v>
          </cell>
          <cell r="E780">
            <v>3556020</v>
          </cell>
          <cell r="F780" t="str">
            <v>Mechinoh School</v>
          </cell>
          <cell r="G780" t="str">
            <v>Other Independent School</v>
          </cell>
          <cell r="H780">
            <v>31058</v>
          </cell>
          <cell r="I780">
            <v>57</v>
          </cell>
          <cell r="J780" t="str">
            <v>North West</v>
          </cell>
          <cell r="K780" t="str">
            <v>North West</v>
          </cell>
          <cell r="L780" t="str">
            <v>Salford</v>
          </cell>
          <cell r="M780" t="str">
            <v>Blackley and Broughton</v>
          </cell>
          <cell r="N780" t="str">
            <v>M7 4HY</v>
          </cell>
          <cell r="O780" t="str">
            <v>Does not have a sixth form</v>
          </cell>
          <cell r="P780">
            <v>11</v>
          </cell>
          <cell r="Q780">
            <v>16</v>
          </cell>
          <cell r="R780" t="str">
            <v>None</v>
          </cell>
          <cell r="S780" t="str">
            <v>Ofsted</v>
          </cell>
          <cell r="T780">
            <v>1</v>
          </cell>
          <cell r="U780">
            <v>10048456</v>
          </cell>
          <cell r="V780" t="str">
            <v>Independent school evaluation of school action plan</v>
          </cell>
          <cell r="W780">
            <v>43167</v>
          </cell>
          <cell r="X780">
            <v>43167</v>
          </cell>
          <cell r="Y780" t="str">
            <v>NULL</v>
          </cell>
          <cell r="Z780" t="str">
            <v>Action plan is not acceptable</v>
          </cell>
          <cell r="AA780">
            <v>10021800</v>
          </cell>
          <cell r="AB780" t="str">
            <v>Independent School standard inspection</v>
          </cell>
          <cell r="AC780" t="str">
            <v>Independent Standard Inspection</v>
          </cell>
          <cell r="AD780">
            <v>42822</v>
          </cell>
          <cell r="AE780">
            <v>42824</v>
          </cell>
          <cell r="AF780">
            <v>42864</v>
          </cell>
          <cell r="AG780">
            <v>4</v>
          </cell>
          <cell r="AH780">
            <v>2</v>
          </cell>
          <cell r="AI780">
            <v>2</v>
          </cell>
          <cell r="AJ780">
            <v>4</v>
          </cell>
          <cell r="AK780">
            <v>3</v>
          </cell>
          <cell r="AL780" t="str">
            <v>NULL</v>
          </cell>
          <cell r="AM780" t="str">
            <v>NULL</v>
          </cell>
          <cell r="AN780" t="str">
            <v>Yes</v>
          </cell>
          <cell r="AO780" t="str">
            <v>ITS444495</v>
          </cell>
          <cell r="AP780" t="str">
            <v>Independent School standard inspection</v>
          </cell>
          <cell r="AQ780" t="str">
            <v>Independent Standard Inspection</v>
          </cell>
          <cell r="AR780">
            <v>41968</v>
          </cell>
          <cell r="AS780">
            <v>41970</v>
          </cell>
          <cell r="AT780">
            <v>42016</v>
          </cell>
          <cell r="AU780">
            <v>4</v>
          </cell>
          <cell r="AV780">
            <v>3</v>
          </cell>
          <cell r="AW780">
            <v>3</v>
          </cell>
          <cell r="AX780">
            <v>4</v>
          </cell>
          <cell r="AY780" t="str">
            <v>NULL</v>
          </cell>
          <cell r="AZ780">
            <v>9</v>
          </cell>
          <cell r="BA780">
            <v>9</v>
          </cell>
          <cell r="BB780" t="str">
            <v>NULL</v>
          </cell>
        </row>
        <row r="781">
          <cell r="D781">
            <v>114660</v>
          </cell>
          <cell r="E781">
            <v>8456007</v>
          </cell>
          <cell r="F781" t="str">
            <v>Owlswick School</v>
          </cell>
          <cell r="G781" t="str">
            <v>Other Independent Special School</v>
          </cell>
          <cell r="H781">
            <v>30015</v>
          </cell>
          <cell r="I781">
            <v>9</v>
          </cell>
          <cell r="J781" t="str">
            <v>South East</v>
          </cell>
          <cell r="K781" t="str">
            <v>South East</v>
          </cell>
          <cell r="L781" t="str">
            <v>East Sussex</v>
          </cell>
          <cell r="M781" t="str">
            <v>Lewes</v>
          </cell>
          <cell r="N781" t="str">
            <v>BN7 3NF</v>
          </cell>
          <cell r="O781" t="str">
            <v>Not applicable</v>
          </cell>
          <cell r="P781">
            <v>10</v>
          </cell>
          <cell r="Q781">
            <v>19</v>
          </cell>
          <cell r="R781" t="str">
            <v>Christian</v>
          </cell>
          <cell r="S781" t="str">
            <v>Ofsted</v>
          </cell>
          <cell r="T781" t="str">
            <v>NULL</v>
          </cell>
          <cell r="U781" t="str">
            <v>NULL</v>
          </cell>
          <cell r="V781" t="str">
            <v>NULL</v>
          </cell>
          <cell r="W781" t="str">
            <v>NULL</v>
          </cell>
          <cell r="X781" t="str">
            <v>NULL</v>
          </cell>
          <cell r="Y781" t="str">
            <v>NULL</v>
          </cell>
          <cell r="Z781" t="str">
            <v>NULL</v>
          </cell>
          <cell r="AA781">
            <v>10008896</v>
          </cell>
          <cell r="AB781" t="str">
            <v>Independent School standard inspection</v>
          </cell>
          <cell r="AC781" t="str">
            <v>Independent Standard Inspection</v>
          </cell>
          <cell r="AD781">
            <v>42395</v>
          </cell>
          <cell r="AE781">
            <v>42397</v>
          </cell>
          <cell r="AF781">
            <v>42425</v>
          </cell>
          <cell r="AG781">
            <v>2</v>
          </cell>
          <cell r="AH781">
            <v>2</v>
          </cell>
          <cell r="AI781">
            <v>2</v>
          </cell>
          <cell r="AJ781">
            <v>2</v>
          </cell>
          <cell r="AK781">
            <v>1</v>
          </cell>
          <cell r="AL781" t="str">
            <v>NULL</v>
          </cell>
          <cell r="AM781">
            <v>2</v>
          </cell>
          <cell r="AN781" t="str">
            <v>Yes</v>
          </cell>
          <cell r="AO781" t="str">
            <v>ITS393308</v>
          </cell>
          <cell r="AP781" t="str">
            <v xml:space="preserve">Independent School standard inspection - integrated </v>
          </cell>
          <cell r="AQ781" t="str">
            <v>Independent Standard Inspection</v>
          </cell>
          <cell r="AR781">
            <v>41074</v>
          </cell>
          <cell r="AS781">
            <v>41075</v>
          </cell>
          <cell r="AT781">
            <v>41114</v>
          </cell>
          <cell r="AU781">
            <v>2</v>
          </cell>
          <cell r="AV781">
            <v>2</v>
          </cell>
          <cell r="AW781">
            <v>2</v>
          </cell>
          <cell r="AX781" t="str">
            <v>NULL</v>
          </cell>
          <cell r="AY781" t="str">
            <v>NULL</v>
          </cell>
          <cell r="AZ781">
            <v>8</v>
          </cell>
          <cell r="BA781" t="str">
            <v>NULL</v>
          </cell>
          <cell r="BB781" t="str">
            <v>NULL</v>
          </cell>
        </row>
        <row r="782">
          <cell r="D782">
            <v>136245</v>
          </cell>
          <cell r="E782">
            <v>8606443</v>
          </cell>
          <cell r="F782" t="str">
            <v>P.A.C.E Alternative Education Ltd</v>
          </cell>
          <cell r="G782" t="str">
            <v>Other Independent Special School</v>
          </cell>
          <cell r="H782">
            <v>40459</v>
          </cell>
          <cell r="I782">
            <v>23</v>
          </cell>
          <cell r="J782" t="str">
            <v>West Midlands</v>
          </cell>
          <cell r="K782" t="str">
            <v>West Midlands</v>
          </cell>
          <cell r="L782" t="str">
            <v>Staffordshire</v>
          </cell>
          <cell r="M782" t="str">
            <v>Newcastle-under-Lyme</v>
          </cell>
          <cell r="N782" t="str">
            <v>ST5 0LS</v>
          </cell>
          <cell r="O782" t="str">
            <v>Not applicable</v>
          </cell>
          <cell r="P782">
            <v>13</v>
          </cell>
          <cell r="Q782">
            <v>16</v>
          </cell>
          <cell r="R782" t="str">
            <v>None</v>
          </cell>
          <cell r="S782" t="str">
            <v>Ofsted</v>
          </cell>
          <cell r="T782" t="str">
            <v>NULL</v>
          </cell>
          <cell r="U782" t="str">
            <v>NULL</v>
          </cell>
          <cell r="V782" t="str">
            <v>NULL</v>
          </cell>
          <cell r="W782" t="str">
            <v>NULL</v>
          </cell>
          <cell r="X782" t="str">
            <v>NULL</v>
          </cell>
          <cell r="Y782" t="str">
            <v>NULL</v>
          </cell>
          <cell r="Z782" t="str">
            <v>NULL</v>
          </cell>
          <cell r="AA782" t="str">
            <v>ITS454293</v>
          </cell>
          <cell r="AB782" t="str">
            <v>Independent School standard inspection</v>
          </cell>
          <cell r="AC782" t="str">
            <v>Independent Standard Inspection</v>
          </cell>
          <cell r="AD782">
            <v>42066</v>
          </cell>
          <cell r="AE782">
            <v>42068</v>
          </cell>
          <cell r="AF782">
            <v>42090</v>
          </cell>
          <cell r="AG782">
            <v>2</v>
          </cell>
          <cell r="AH782">
            <v>2</v>
          </cell>
          <cell r="AI782">
            <v>2</v>
          </cell>
          <cell r="AJ782">
            <v>2</v>
          </cell>
          <cell r="AK782" t="str">
            <v>NULL</v>
          </cell>
          <cell r="AL782">
            <v>9</v>
          </cell>
          <cell r="AM782">
            <v>9</v>
          </cell>
          <cell r="AN782" t="str">
            <v>NULL</v>
          </cell>
          <cell r="AO782" t="str">
            <v>ITS385129</v>
          </cell>
          <cell r="AP782" t="str">
            <v>Independent School standard inspection</v>
          </cell>
          <cell r="AQ782" t="str">
            <v>Independent Standard Inspection</v>
          </cell>
          <cell r="AR782">
            <v>40863</v>
          </cell>
          <cell r="AS782">
            <v>40864</v>
          </cell>
          <cell r="AT782">
            <v>40886</v>
          </cell>
          <cell r="AU782">
            <v>2</v>
          </cell>
          <cell r="AV782">
            <v>2</v>
          </cell>
          <cell r="AW782">
            <v>2</v>
          </cell>
          <cell r="AX782" t="str">
            <v>NULL</v>
          </cell>
          <cell r="AY782" t="str">
            <v>NULL</v>
          </cell>
          <cell r="AZ782">
            <v>8</v>
          </cell>
          <cell r="BA782" t="str">
            <v>NULL</v>
          </cell>
          <cell r="BB782" t="str">
            <v>NULL</v>
          </cell>
        </row>
        <row r="783">
          <cell r="D783">
            <v>135407</v>
          </cell>
          <cell r="E783">
            <v>9366590</v>
          </cell>
          <cell r="F783" t="str">
            <v>Papillon House</v>
          </cell>
          <cell r="G783" t="str">
            <v>Other Independent Special School</v>
          </cell>
          <cell r="H783">
            <v>39335</v>
          </cell>
          <cell r="I783">
            <v>43</v>
          </cell>
          <cell r="J783" t="str">
            <v>South East</v>
          </cell>
          <cell r="K783" t="str">
            <v>South East</v>
          </cell>
          <cell r="L783" t="str">
            <v>Surrey</v>
          </cell>
          <cell r="M783" t="str">
            <v>Reigate</v>
          </cell>
          <cell r="N783" t="str">
            <v>KT20 7PA</v>
          </cell>
          <cell r="O783" t="str">
            <v>Not applicable</v>
          </cell>
          <cell r="P783">
            <v>5</v>
          </cell>
          <cell r="Q783">
            <v>19</v>
          </cell>
          <cell r="R783" t="str">
            <v>None</v>
          </cell>
          <cell r="S783" t="str">
            <v>Ofsted</v>
          </cell>
          <cell r="T783" t="str">
            <v>NULL</v>
          </cell>
          <cell r="U783" t="str">
            <v>NULL</v>
          </cell>
          <cell r="V783" t="str">
            <v>NULL</v>
          </cell>
          <cell r="W783" t="str">
            <v>NULL</v>
          </cell>
          <cell r="X783" t="str">
            <v>NULL</v>
          </cell>
          <cell r="Y783" t="str">
            <v>NULL</v>
          </cell>
          <cell r="Z783" t="str">
            <v>NULL</v>
          </cell>
          <cell r="AA783" t="str">
            <v>ITS462882</v>
          </cell>
          <cell r="AB783" t="str">
            <v>Independent School standard inspection</v>
          </cell>
          <cell r="AC783" t="str">
            <v>Independent Standard Inspection</v>
          </cell>
          <cell r="AD783">
            <v>42136</v>
          </cell>
          <cell r="AE783">
            <v>42138</v>
          </cell>
          <cell r="AF783">
            <v>42174</v>
          </cell>
          <cell r="AG783">
            <v>2</v>
          </cell>
          <cell r="AH783">
            <v>2</v>
          </cell>
          <cell r="AI783">
            <v>2</v>
          </cell>
          <cell r="AJ783">
            <v>2</v>
          </cell>
          <cell r="AK783" t="str">
            <v>NULL</v>
          </cell>
          <cell r="AL783">
            <v>9</v>
          </cell>
          <cell r="AM783">
            <v>2</v>
          </cell>
          <cell r="AN783" t="str">
            <v>NULL</v>
          </cell>
          <cell r="AO783" t="str">
            <v>ITS386865</v>
          </cell>
          <cell r="AP783" t="str">
            <v>Independent School standard inspection</v>
          </cell>
          <cell r="AQ783" t="str">
            <v>Independent Standard Inspection</v>
          </cell>
          <cell r="AR783">
            <v>40933</v>
          </cell>
          <cell r="AS783">
            <v>40934</v>
          </cell>
          <cell r="AT783">
            <v>41236</v>
          </cell>
          <cell r="AU783">
            <v>2</v>
          </cell>
          <cell r="AV783">
            <v>2</v>
          </cell>
          <cell r="AW783">
            <v>2</v>
          </cell>
          <cell r="AX783" t="str">
            <v>NULL</v>
          </cell>
          <cell r="AY783" t="str">
            <v>NULL</v>
          </cell>
          <cell r="AZ783">
            <v>8</v>
          </cell>
          <cell r="BA783" t="str">
            <v>NULL</v>
          </cell>
          <cell r="BB783" t="str">
            <v>NULL</v>
          </cell>
        </row>
        <row r="784">
          <cell r="D784">
            <v>138386</v>
          </cell>
          <cell r="E784">
            <v>3036000</v>
          </cell>
          <cell r="F784" t="str">
            <v>Park View Academy</v>
          </cell>
          <cell r="G784" t="str">
            <v>Other Independent Special School</v>
          </cell>
          <cell r="H784">
            <v>41103</v>
          </cell>
          <cell r="I784">
            <v>24</v>
          </cell>
          <cell r="J784" t="str">
            <v>London</v>
          </cell>
          <cell r="K784" t="str">
            <v>London</v>
          </cell>
          <cell r="L784" t="str">
            <v>Bexley</v>
          </cell>
          <cell r="M784" t="str">
            <v>Bexleyheath and Crayford</v>
          </cell>
          <cell r="N784" t="str">
            <v>DA16 1SR</v>
          </cell>
          <cell r="O784" t="str">
            <v>Not applicable</v>
          </cell>
          <cell r="P784">
            <v>7</v>
          </cell>
          <cell r="Q784">
            <v>19</v>
          </cell>
          <cell r="R784" t="str">
            <v>None</v>
          </cell>
          <cell r="S784" t="str">
            <v>Ofsted</v>
          </cell>
          <cell r="T784">
            <v>1</v>
          </cell>
          <cell r="U784">
            <v>10049085</v>
          </cell>
          <cell r="V784" t="str">
            <v>Independent school Material Change inspection</v>
          </cell>
          <cell r="W784">
            <v>43171</v>
          </cell>
          <cell r="X784">
            <v>43171</v>
          </cell>
          <cell r="Y784" t="str">
            <v>NULL</v>
          </cell>
          <cell r="Z784" t="str">
            <v>Likely to meet relevant standards</v>
          </cell>
          <cell r="AA784">
            <v>10012787</v>
          </cell>
          <cell r="AB784" t="str">
            <v>Independent School standard inspection</v>
          </cell>
          <cell r="AC784" t="str">
            <v>Independent Standard Inspection</v>
          </cell>
          <cell r="AD784">
            <v>42795</v>
          </cell>
          <cell r="AE784">
            <v>42797</v>
          </cell>
          <cell r="AF784">
            <v>42817</v>
          </cell>
          <cell r="AG784">
            <v>3</v>
          </cell>
          <cell r="AH784">
            <v>3</v>
          </cell>
          <cell r="AI784">
            <v>3</v>
          </cell>
          <cell r="AJ784">
            <v>3</v>
          </cell>
          <cell r="AK784">
            <v>3</v>
          </cell>
          <cell r="AL784" t="str">
            <v>NULL</v>
          </cell>
          <cell r="AM784" t="str">
            <v>NULL</v>
          </cell>
          <cell r="AN784" t="str">
            <v>Yes</v>
          </cell>
          <cell r="AO784" t="str">
            <v>ITS420251</v>
          </cell>
          <cell r="AP784" t="str">
            <v>Independent school standard inspection - first</v>
          </cell>
          <cell r="AQ784" t="str">
            <v>Independent Standard Inspection</v>
          </cell>
          <cell r="AR784">
            <v>41430</v>
          </cell>
          <cell r="AS784">
            <v>41432</v>
          </cell>
          <cell r="AT784">
            <v>41453</v>
          </cell>
          <cell r="AU784">
            <v>4</v>
          </cell>
          <cell r="AV784">
            <v>4</v>
          </cell>
          <cell r="AW784">
            <v>3</v>
          </cell>
          <cell r="AX784">
            <v>4</v>
          </cell>
          <cell r="AY784" t="str">
            <v>NULL</v>
          </cell>
          <cell r="AZ784" t="str">
            <v>NULL</v>
          </cell>
          <cell r="BA784" t="str">
            <v>NULL</v>
          </cell>
          <cell r="BB784" t="str">
            <v>NULL</v>
          </cell>
        </row>
        <row r="785">
          <cell r="D785">
            <v>139706</v>
          </cell>
          <cell r="E785">
            <v>3306014</v>
          </cell>
          <cell r="F785" t="str">
            <v>R.Y.A.N Education Academy</v>
          </cell>
          <cell r="G785" t="str">
            <v>Other Independent Special School</v>
          </cell>
          <cell r="H785">
            <v>41411</v>
          </cell>
          <cell r="I785">
            <v>12</v>
          </cell>
          <cell r="J785" t="str">
            <v>West Midlands</v>
          </cell>
          <cell r="K785" t="str">
            <v>West Midlands</v>
          </cell>
          <cell r="L785" t="str">
            <v>Birmingham</v>
          </cell>
          <cell r="M785" t="str">
            <v>Birmingham, Hall Green</v>
          </cell>
          <cell r="N785" t="str">
            <v>B11 1LF</v>
          </cell>
          <cell r="O785" t="str">
            <v>Not applicable</v>
          </cell>
          <cell r="P785">
            <v>13</v>
          </cell>
          <cell r="Q785">
            <v>17</v>
          </cell>
          <cell r="R785" t="str">
            <v>Does not apply</v>
          </cell>
          <cell r="S785" t="str">
            <v>Ofsted</v>
          </cell>
          <cell r="T785" t="str">
            <v>NULL</v>
          </cell>
          <cell r="U785" t="str">
            <v>NULL</v>
          </cell>
          <cell r="V785" t="str">
            <v>NULL</v>
          </cell>
          <cell r="W785" t="str">
            <v>NULL</v>
          </cell>
          <cell r="X785" t="str">
            <v>NULL</v>
          </cell>
          <cell r="Y785" t="str">
            <v>NULL</v>
          </cell>
          <cell r="Z785" t="str">
            <v>NULL</v>
          </cell>
          <cell r="AA785">
            <v>10033573</v>
          </cell>
          <cell r="AB785" t="str">
            <v>Independent School standard inspection</v>
          </cell>
          <cell r="AC785" t="str">
            <v>Independent Standard Inspection</v>
          </cell>
          <cell r="AD785">
            <v>42892</v>
          </cell>
          <cell r="AE785">
            <v>42894</v>
          </cell>
          <cell r="AF785">
            <v>42914</v>
          </cell>
          <cell r="AG785">
            <v>2</v>
          </cell>
          <cell r="AH785">
            <v>2</v>
          </cell>
          <cell r="AI785">
            <v>2</v>
          </cell>
          <cell r="AJ785">
            <v>2</v>
          </cell>
          <cell r="AK785">
            <v>2</v>
          </cell>
          <cell r="AL785" t="str">
            <v>NULL</v>
          </cell>
          <cell r="AM785" t="str">
            <v>NULL</v>
          </cell>
          <cell r="AN785" t="str">
            <v>Yes</v>
          </cell>
          <cell r="AO785" t="str">
            <v>ITS443002</v>
          </cell>
          <cell r="AP785" t="str">
            <v>Independent school standard inspection - first</v>
          </cell>
          <cell r="AQ785" t="str">
            <v>Independent Standard Inspection</v>
          </cell>
          <cell r="AR785">
            <v>41772</v>
          </cell>
          <cell r="AS785">
            <v>41773</v>
          </cell>
          <cell r="AT785">
            <v>41799</v>
          </cell>
          <cell r="AU785">
            <v>2</v>
          </cell>
          <cell r="AV785">
            <v>2</v>
          </cell>
          <cell r="AW785">
            <v>2</v>
          </cell>
          <cell r="AX785">
            <v>2</v>
          </cell>
          <cell r="AY785" t="str">
            <v>NULL</v>
          </cell>
          <cell r="AZ785" t="str">
            <v>NULL</v>
          </cell>
          <cell r="BA785" t="str">
            <v>NULL</v>
          </cell>
          <cell r="BB785" t="str">
            <v>NULL</v>
          </cell>
        </row>
        <row r="786">
          <cell r="D786">
            <v>117646</v>
          </cell>
          <cell r="E786">
            <v>9196215</v>
          </cell>
          <cell r="F786" t="str">
            <v>Radlett Lodge School</v>
          </cell>
          <cell r="G786" t="str">
            <v>Other Independent Special School</v>
          </cell>
          <cell r="H786">
            <v>27302</v>
          </cell>
          <cell r="I786">
            <v>54</v>
          </cell>
          <cell r="J786" t="str">
            <v>East of England</v>
          </cell>
          <cell r="K786" t="str">
            <v>East of England</v>
          </cell>
          <cell r="L786" t="str">
            <v>Hertfordshire</v>
          </cell>
          <cell r="M786" t="str">
            <v>St Albans</v>
          </cell>
          <cell r="N786" t="str">
            <v>WD7 9HW</v>
          </cell>
          <cell r="O786" t="str">
            <v>Not applicable</v>
          </cell>
          <cell r="P786">
            <v>4</v>
          </cell>
          <cell r="Q786">
            <v>19</v>
          </cell>
          <cell r="R786" t="str">
            <v>None</v>
          </cell>
          <cell r="S786" t="str">
            <v>Ofsted</v>
          </cell>
          <cell r="T786" t="str">
            <v>NULL</v>
          </cell>
          <cell r="U786" t="str">
            <v>NULL</v>
          </cell>
          <cell r="V786" t="str">
            <v>NULL</v>
          </cell>
          <cell r="W786" t="str">
            <v>NULL</v>
          </cell>
          <cell r="X786" t="str">
            <v>NULL</v>
          </cell>
          <cell r="Y786" t="str">
            <v>NULL</v>
          </cell>
          <cell r="Z786" t="str">
            <v>NULL</v>
          </cell>
          <cell r="AA786">
            <v>10008866</v>
          </cell>
          <cell r="AB786" t="str">
            <v>Independent School standard inspection</v>
          </cell>
          <cell r="AC786" t="str">
            <v>Independent Standard Inspection</v>
          </cell>
          <cell r="AD786">
            <v>42759</v>
          </cell>
          <cell r="AE786">
            <v>42761</v>
          </cell>
          <cell r="AF786">
            <v>42814</v>
          </cell>
          <cell r="AG786">
            <v>1</v>
          </cell>
          <cell r="AH786">
            <v>1</v>
          </cell>
          <cell r="AI786">
            <v>1</v>
          </cell>
          <cell r="AJ786">
            <v>1</v>
          </cell>
          <cell r="AK786">
            <v>1</v>
          </cell>
          <cell r="AL786" t="str">
            <v>NULL</v>
          </cell>
          <cell r="AM786">
            <v>1</v>
          </cell>
          <cell r="AN786" t="str">
            <v>Yes</v>
          </cell>
          <cell r="AO786" t="str">
            <v>ITS397761</v>
          </cell>
          <cell r="AP786" t="str">
            <v xml:space="preserve">Independent School standard inspection - integrated </v>
          </cell>
          <cell r="AQ786" t="str">
            <v>Independent Standard Inspection</v>
          </cell>
          <cell r="AR786">
            <v>41339</v>
          </cell>
          <cell r="AS786">
            <v>41341</v>
          </cell>
          <cell r="AT786">
            <v>41376</v>
          </cell>
          <cell r="AU786">
            <v>1</v>
          </cell>
          <cell r="AV786">
            <v>1</v>
          </cell>
          <cell r="AW786">
            <v>1</v>
          </cell>
          <cell r="AX786">
            <v>1</v>
          </cell>
          <cell r="AY786" t="str">
            <v>NULL</v>
          </cell>
          <cell r="AZ786" t="str">
            <v>NULL</v>
          </cell>
          <cell r="BA786" t="str">
            <v>NULL</v>
          </cell>
          <cell r="BB786" t="str">
            <v>NULL</v>
          </cell>
        </row>
        <row r="787">
          <cell r="D787">
            <v>134145</v>
          </cell>
          <cell r="E787">
            <v>2126405</v>
          </cell>
          <cell r="F787" t="str">
            <v>Park House School</v>
          </cell>
          <cell r="G787" t="str">
            <v>Other Independent Special School</v>
          </cell>
          <cell r="H787">
            <v>37683</v>
          </cell>
          <cell r="I787">
            <v>71</v>
          </cell>
          <cell r="J787" t="str">
            <v>London</v>
          </cell>
          <cell r="K787" t="str">
            <v>London</v>
          </cell>
          <cell r="L787" t="str">
            <v>Wandsworth</v>
          </cell>
          <cell r="M787" t="str">
            <v>Battersea</v>
          </cell>
          <cell r="N787" t="str">
            <v>SW18 2SL</v>
          </cell>
          <cell r="O787" t="str">
            <v>Not applicable</v>
          </cell>
          <cell r="P787">
            <v>4</v>
          </cell>
          <cell r="Q787">
            <v>13</v>
          </cell>
          <cell r="R787" t="str">
            <v>None</v>
          </cell>
          <cell r="S787" t="str">
            <v>Ofsted</v>
          </cell>
          <cell r="T787" t="str">
            <v>NULL</v>
          </cell>
          <cell r="U787" t="str">
            <v>NULL</v>
          </cell>
          <cell r="V787" t="str">
            <v>NULL</v>
          </cell>
          <cell r="W787" t="str">
            <v>NULL</v>
          </cell>
          <cell r="X787" t="str">
            <v>NULL</v>
          </cell>
          <cell r="Y787" t="str">
            <v>NULL</v>
          </cell>
          <cell r="Z787" t="str">
            <v>NULL</v>
          </cell>
          <cell r="AA787">
            <v>10012791</v>
          </cell>
          <cell r="AB787" t="str">
            <v>Independent School standard inspection</v>
          </cell>
          <cell r="AC787" t="str">
            <v>Independent Standard Inspection</v>
          </cell>
          <cell r="AD787">
            <v>42542</v>
          </cell>
          <cell r="AE787">
            <v>42544</v>
          </cell>
          <cell r="AF787">
            <v>42566</v>
          </cell>
          <cell r="AG787">
            <v>2</v>
          </cell>
          <cell r="AH787">
            <v>2</v>
          </cell>
          <cell r="AI787">
            <v>2</v>
          </cell>
          <cell r="AJ787">
            <v>2</v>
          </cell>
          <cell r="AK787">
            <v>1</v>
          </cell>
          <cell r="AL787">
            <v>2</v>
          </cell>
          <cell r="AM787">
            <v>2</v>
          </cell>
          <cell r="AN787" t="str">
            <v>Yes</v>
          </cell>
          <cell r="AO787" t="str">
            <v>ITS422759</v>
          </cell>
          <cell r="AP787" t="str">
            <v>Independent School standard inspection</v>
          </cell>
          <cell r="AQ787" t="str">
            <v>Independent Standard Inspection</v>
          </cell>
          <cell r="AR787">
            <v>41465</v>
          </cell>
          <cell r="AS787">
            <v>41467</v>
          </cell>
          <cell r="AT787">
            <v>41522</v>
          </cell>
          <cell r="AU787">
            <v>2</v>
          </cell>
          <cell r="AV787">
            <v>2</v>
          </cell>
          <cell r="AW787">
            <v>2</v>
          </cell>
          <cell r="AX787">
            <v>2</v>
          </cell>
          <cell r="AY787" t="str">
            <v>NULL</v>
          </cell>
          <cell r="AZ787" t="str">
            <v>NULL</v>
          </cell>
          <cell r="BA787" t="str">
            <v>NULL</v>
          </cell>
          <cell r="BB787" t="str">
            <v>NULL</v>
          </cell>
        </row>
        <row r="788">
          <cell r="D788">
            <v>106150</v>
          </cell>
          <cell r="E788">
            <v>3566008</v>
          </cell>
          <cell r="F788" t="str">
            <v>Ramillies Hall School</v>
          </cell>
          <cell r="G788" t="str">
            <v>Other Independent Special School</v>
          </cell>
          <cell r="H788">
            <v>12055</v>
          </cell>
          <cell r="I788">
            <v>57</v>
          </cell>
          <cell r="J788" t="str">
            <v>North West</v>
          </cell>
          <cell r="K788" t="str">
            <v>North West</v>
          </cell>
          <cell r="L788" t="str">
            <v>Stockport</v>
          </cell>
          <cell r="M788" t="str">
            <v>Cheadle</v>
          </cell>
          <cell r="N788" t="str">
            <v>SK8 7AJ</v>
          </cell>
          <cell r="O788" t="str">
            <v>Does not have a sixth form</v>
          </cell>
          <cell r="P788">
            <v>5</v>
          </cell>
          <cell r="Q788">
            <v>16</v>
          </cell>
          <cell r="R788" t="str">
            <v>None</v>
          </cell>
          <cell r="S788" t="str">
            <v>Ofsted</v>
          </cell>
          <cell r="T788">
            <v>2</v>
          </cell>
          <cell r="U788">
            <v>10034806</v>
          </cell>
          <cell r="V788" t="str">
            <v>Independent school Progress Monitoring inspection</v>
          </cell>
          <cell r="W788">
            <v>42894</v>
          </cell>
          <cell r="X788">
            <v>42894</v>
          </cell>
          <cell r="Y788">
            <v>42912</v>
          </cell>
          <cell r="Z788" t="str">
            <v>Met all standards that were checked</v>
          </cell>
          <cell r="AA788">
            <v>10017450</v>
          </cell>
          <cell r="AB788" t="str">
            <v>Independent School standard inspection</v>
          </cell>
          <cell r="AC788" t="str">
            <v>Independent Standard Inspection</v>
          </cell>
          <cell r="AD788">
            <v>42626</v>
          </cell>
          <cell r="AE788">
            <v>42628</v>
          </cell>
          <cell r="AF788">
            <v>42654</v>
          </cell>
          <cell r="AG788">
            <v>4</v>
          </cell>
          <cell r="AH788">
            <v>4</v>
          </cell>
          <cell r="AI788">
            <v>3</v>
          </cell>
          <cell r="AJ788">
            <v>4</v>
          </cell>
          <cell r="AK788">
            <v>2</v>
          </cell>
          <cell r="AL788" t="str">
            <v>NULL</v>
          </cell>
          <cell r="AM788" t="str">
            <v>NULL</v>
          </cell>
          <cell r="AN788" t="str">
            <v>Yes</v>
          </cell>
          <cell r="AO788" t="str">
            <v>NULL</v>
          </cell>
          <cell r="AP788" t="str">
            <v>NULL</v>
          </cell>
          <cell r="AQ788" t="str">
            <v>NULL</v>
          </cell>
          <cell r="AR788" t="str">
            <v>NULL</v>
          </cell>
          <cell r="AS788" t="str">
            <v>NULL</v>
          </cell>
          <cell r="AT788" t="str">
            <v>NULL</v>
          </cell>
          <cell r="AU788" t="str">
            <v>NULL</v>
          </cell>
          <cell r="AV788" t="str">
            <v>NULL</v>
          </cell>
          <cell r="AW788" t="str">
            <v>NULL</v>
          </cell>
          <cell r="AX788" t="str">
            <v>NULL</v>
          </cell>
          <cell r="AY788" t="str">
            <v>NULL</v>
          </cell>
          <cell r="AZ788" t="str">
            <v>NULL</v>
          </cell>
          <cell r="BA788" t="str">
            <v>NULL</v>
          </cell>
          <cell r="BB788" t="str">
            <v>NULL</v>
          </cell>
        </row>
        <row r="789">
          <cell r="D789">
            <v>133439</v>
          </cell>
          <cell r="E789">
            <v>2046409</v>
          </cell>
          <cell r="F789" t="str">
            <v>Side By Side School</v>
          </cell>
          <cell r="G789" t="str">
            <v>Other Independent Special School</v>
          </cell>
          <cell r="H789">
            <v>37159</v>
          </cell>
          <cell r="I789">
            <v>97</v>
          </cell>
          <cell r="J789" t="str">
            <v>London</v>
          </cell>
          <cell r="K789" t="str">
            <v>London</v>
          </cell>
          <cell r="L789" t="str">
            <v>Hackney</v>
          </cell>
          <cell r="M789" t="str">
            <v>Hackney North and Stoke Newington</v>
          </cell>
          <cell r="N789" t="str">
            <v>E5 9HH</v>
          </cell>
          <cell r="O789" t="str">
            <v>Not applicable</v>
          </cell>
          <cell r="P789">
            <v>2</v>
          </cell>
          <cell r="Q789">
            <v>19</v>
          </cell>
          <cell r="R789" t="str">
            <v>None</v>
          </cell>
          <cell r="S789" t="str">
            <v>Ofsted</v>
          </cell>
          <cell r="T789" t="str">
            <v>NULL</v>
          </cell>
          <cell r="U789" t="str">
            <v>NULL</v>
          </cell>
          <cell r="V789" t="str">
            <v>NULL</v>
          </cell>
          <cell r="W789" t="str">
            <v>NULL</v>
          </cell>
          <cell r="X789" t="str">
            <v>NULL</v>
          </cell>
          <cell r="Y789" t="str">
            <v>NULL</v>
          </cell>
          <cell r="Z789" t="str">
            <v>NULL</v>
          </cell>
          <cell r="AA789">
            <v>10038165</v>
          </cell>
          <cell r="AB789" t="str">
            <v>Independent School standard inspection</v>
          </cell>
          <cell r="AC789" t="str">
            <v>Independent Standard Inspection</v>
          </cell>
          <cell r="AD789">
            <v>43165</v>
          </cell>
          <cell r="AE789">
            <v>43167</v>
          </cell>
          <cell r="AF789">
            <v>43185</v>
          </cell>
          <cell r="AG789">
            <v>2</v>
          </cell>
          <cell r="AH789">
            <v>2</v>
          </cell>
          <cell r="AI789">
            <v>2</v>
          </cell>
          <cell r="AJ789">
            <v>2</v>
          </cell>
          <cell r="AK789">
            <v>2</v>
          </cell>
          <cell r="AL789">
            <v>2</v>
          </cell>
          <cell r="AM789" t="str">
            <v>NULL</v>
          </cell>
          <cell r="AN789" t="str">
            <v>Yes</v>
          </cell>
          <cell r="AO789" t="str">
            <v>ITS454266</v>
          </cell>
          <cell r="AP789" t="str">
            <v>Independent School standard inspection</v>
          </cell>
          <cell r="AQ789" t="str">
            <v>Independent Standard Inspection</v>
          </cell>
          <cell r="AR789">
            <v>41982</v>
          </cell>
          <cell r="AS789">
            <v>41984</v>
          </cell>
          <cell r="AT789">
            <v>42038</v>
          </cell>
          <cell r="AU789">
            <v>2</v>
          </cell>
          <cell r="AV789">
            <v>2</v>
          </cell>
          <cell r="AW789">
            <v>2</v>
          </cell>
          <cell r="AX789">
            <v>2</v>
          </cell>
          <cell r="AY789" t="str">
            <v>NULL</v>
          </cell>
          <cell r="AZ789">
            <v>2</v>
          </cell>
          <cell r="BA789">
            <v>9</v>
          </cell>
          <cell r="BB789" t="str">
            <v>NULL</v>
          </cell>
        </row>
        <row r="790">
          <cell r="D790">
            <v>138971</v>
          </cell>
          <cell r="E790">
            <v>3306013</v>
          </cell>
          <cell r="F790" t="str">
            <v>Silver Birch</v>
          </cell>
          <cell r="G790" t="str">
            <v>Other Independent Special School</v>
          </cell>
          <cell r="H790">
            <v>41221</v>
          </cell>
          <cell r="I790">
            <v>24</v>
          </cell>
          <cell r="J790" t="str">
            <v>West Midlands</v>
          </cell>
          <cell r="K790" t="str">
            <v>West Midlands</v>
          </cell>
          <cell r="L790" t="str">
            <v>Birmingham</v>
          </cell>
          <cell r="M790" t="str">
            <v>Birmingham, Hodge Hill</v>
          </cell>
          <cell r="N790" t="str">
            <v>B34 7RD</v>
          </cell>
          <cell r="O790" t="str">
            <v>Not applicable</v>
          </cell>
          <cell r="P790">
            <v>14</v>
          </cell>
          <cell r="Q790">
            <v>16</v>
          </cell>
          <cell r="R790" t="str">
            <v>None</v>
          </cell>
          <cell r="S790" t="str">
            <v>Ofsted</v>
          </cell>
          <cell r="T790" t="str">
            <v>NULL</v>
          </cell>
          <cell r="U790" t="str">
            <v>NULL</v>
          </cell>
          <cell r="V790" t="str">
            <v>NULL</v>
          </cell>
          <cell r="W790" t="str">
            <v>NULL</v>
          </cell>
          <cell r="X790" t="str">
            <v>NULL</v>
          </cell>
          <cell r="Y790" t="str">
            <v>NULL</v>
          </cell>
          <cell r="Z790" t="str">
            <v>NULL</v>
          </cell>
          <cell r="AA790">
            <v>10012895</v>
          </cell>
          <cell r="AB790" t="str">
            <v>Independent School standard inspection</v>
          </cell>
          <cell r="AC790" t="str">
            <v>Independent Standard Inspection</v>
          </cell>
          <cell r="AD790">
            <v>42487</v>
          </cell>
          <cell r="AE790">
            <v>42489</v>
          </cell>
          <cell r="AF790">
            <v>42516</v>
          </cell>
          <cell r="AG790">
            <v>2</v>
          </cell>
          <cell r="AH790">
            <v>2</v>
          </cell>
          <cell r="AI790">
            <v>2</v>
          </cell>
          <cell r="AJ790">
            <v>2</v>
          </cell>
          <cell r="AK790">
            <v>2</v>
          </cell>
          <cell r="AL790" t="str">
            <v>NULL</v>
          </cell>
          <cell r="AM790" t="str">
            <v>NULL</v>
          </cell>
          <cell r="AN790" t="str">
            <v>Yes</v>
          </cell>
          <cell r="AO790" t="str">
            <v>ITS422842</v>
          </cell>
          <cell r="AP790" t="str">
            <v>Independent school standard inspection - first</v>
          </cell>
          <cell r="AQ790" t="str">
            <v>Independent Standard Inspection</v>
          </cell>
          <cell r="AR790">
            <v>41584</v>
          </cell>
          <cell r="AS790">
            <v>41586</v>
          </cell>
          <cell r="AT790">
            <v>41606</v>
          </cell>
          <cell r="AU790">
            <v>3</v>
          </cell>
          <cell r="AV790">
            <v>3</v>
          </cell>
          <cell r="AW790">
            <v>3</v>
          </cell>
          <cell r="AX790">
            <v>3</v>
          </cell>
          <cell r="AY790" t="str">
            <v>NULL</v>
          </cell>
          <cell r="AZ790" t="str">
            <v>NULL</v>
          </cell>
          <cell r="BA790" t="str">
            <v>NULL</v>
          </cell>
          <cell r="BB790" t="str">
            <v>NULL</v>
          </cell>
        </row>
        <row r="791">
          <cell r="D791">
            <v>135217</v>
          </cell>
          <cell r="E791">
            <v>8556026</v>
          </cell>
          <cell r="F791" t="str">
            <v>Sketchley School</v>
          </cell>
          <cell r="G791" t="str">
            <v>Other Independent Special School</v>
          </cell>
          <cell r="H791">
            <v>39176</v>
          </cell>
          <cell r="I791">
            <v>55</v>
          </cell>
          <cell r="J791" t="str">
            <v>East Midlands</v>
          </cell>
          <cell r="K791" t="str">
            <v>East Midlands</v>
          </cell>
          <cell r="L791" t="str">
            <v>Leicestershire</v>
          </cell>
          <cell r="M791" t="str">
            <v>Bosworth</v>
          </cell>
          <cell r="N791" t="str">
            <v>LE10 3HT</v>
          </cell>
          <cell r="O791" t="str">
            <v>Not applicable</v>
          </cell>
          <cell r="P791">
            <v>8</v>
          </cell>
          <cell r="Q791">
            <v>19</v>
          </cell>
          <cell r="R791" t="str">
            <v>None</v>
          </cell>
          <cell r="S791" t="str">
            <v>Ofsted</v>
          </cell>
          <cell r="T791" t="str">
            <v>NULL</v>
          </cell>
          <cell r="U791" t="str">
            <v>NULL</v>
          </cell>
          <cell r="V791" t="str">
            <v>NULL</v>
          </cell>
          <cell r="W791" t="str">
            <v>NULL</v>
          </cell>
          <cell r="X791" t="str">
            <v>NULL</v>
          </cell>
          <cell r="Y791" t="str">
            <v>NULL</v>
          </cell>
          <cell r="Z791" t="str">
            <v>NULL</v>
          </cell>
          <cell r="AA791">
            <v>10012936</v>
          </cell>
          <cell r="AB791" t="str">
            <v>Independent School standard inspection</v>
          </cell>
          <cell r="AC791" t="str">
            <v>Independent Standard Inspection</v>
          </cell>
          <cell r="AD791">
            <v>42500</v>
          </cell>
          <cell r="AE791">
            <v>42502</v>
          </cell>
          <cell r="AF791">
            <v>42563</v>
          </cell>
          <cell r="AG791">
            <v>1</v>
          </cell>
          <cell r="AH791">
            <v>1</v>
          </cell>
          <cell r="AI791">
            <v>1</v>
          </cell>
          <cell r="AJ791">
            <v>1</v>
          </cell>
          <cell r="AK791">
            <v>1</v>
          </cell>
          <cell r="AL791" t="str">
            <v>NULL</v>
          </cell>
          <cell r="AM791">
            <v>1</v>
          </cell>
          <cell r="AN791" t="str">
            <v>Yes</v>
          </cell>
          <cell r="AO791" t="str">
            <v>ITS422787</v>
          </cell>
          <cell r="AP791" t="str">
            <v>Independent School standard inspection</v>
          </cell>
          <cell r="AQ791" t="str">
            <v>Independent Standard Inspection</v>
          </cell>
          <cell r="AR791">
            <v>41409</v>
          </cell>
          <cell r="AS791">
            <v>41411</v>
          </cell>
          <cell r="AT791">
            <v>41438</v>
          </cell>
          <cell r="AU791">
            <v>1</v>
          </cell>
          <cell r="AV791">
            <v>1</v>
          </cell>
          <cell r="AW791">
            <v>1</v>
          </cell>
          <cell r="AX791">
            <v>1</v>
          </cell>
          <cell r="AY791" t="str">
            <v>NULL</v>
          </cell>
          <cell r="AZ791" t="str">
            <v>NULL</v>
          </cell>
          <cell r="BA791" t="str">
            <v>NULL</v>
          </cell>
          <cell r="BB791" t="str">
            <v>NULL</v>
          </cell>
        </row>
        <row r="792">
          <cell r="D792">
            <v>135018</v>
          </cell>
          <cell r="E792">
            <v>8866103</v>
          </cell>
          <cell r="F792" t="str">
            <v>Small Haven School</v>
          </cell>
          <cell r="G792" t="str">
            <v>Other Independent Special School</v>
          </cell>
          <cell r="H792">
            <v>38453</v>
          </cell>
          <cell r="I792">
            <v>21</v>
          </cell>
          <cell r="J792" t="str">
            <v>South East</v>
          </cell>
          <cell r="K792" t="str">
            <v>South East</v>
          </cell>
          <cell r="L792" t="str">
            <v>Kent</v>
          </cell>
          <cell r="M792" t="str">
            <v>South Thanet</v>
          </cell>
          <cell r="N792" t="str">
            <v>CT12 6PT</v>
          </cell>
          <cell r="O792" t="str">
            <v>Not applicable</v>
          </cell>
          <cell r="P792">
            <v>6</v>
          </cell>
          <cell r="Q792">
            <v>17</v>
          </cell>
          <cell r="R792" t="str">
            <v>None</v>
          </cell>
          <cell r="S792" t="str">
            <v>Ofsted</v>
          </cell>
          <cell r="T792" t="str">
            <v>NULL</v>
          </cell>
          <cell r="U792" t="str">
            <v>NULL</v>
          </cell>
          <cell r="V792" t="str">
            <v>NULL</v>
          </cell>
          <cell r="W792" t="str">
            <v>NULL</v>
          </cell>
          <cell r="X792" t="str">
            <v>NULL</v>
          </cell>
          <cell r="Y792" t="str">
            <v>NULL</v>
          </cell>
          <cell r="Z792" t="str">
            <v>NULL</v>
          </cell>
          <cell r="AA792">
            <v>10008607</v>
          </cell>
          <cell r="AB792" t="str">
            <v>Independent School standard inspection</v>
          </cell>
          <cell r="AC792" t="str">
            <v>Independent Standard Inspection</v>
          </cell>
          <cell r="AD792">
            <v>43046</v>
          </cell>
          <cell r="AE792">
            <v>43048</v>
          </cell>
          <cell r="AF792">
            <v>43073</v>
          </cell>
          <cell r="AG792">
            <v>2</v>
          </cell>
          <cell r="AH792">
            <v>2</v>
          </cell>
          <cell r="AI792">
            <v>2</v>
          </cell>
          <cell r="AJ792">
            <v>2</v>
          </cell>
          <cell r="AK792">
            <v>2</v>
          </cell>
          <cell r="AL792" t="str">
            <v>NULL</v>
          </cell>
          <cell r="AM792" t="str">
            <v>NULL</v>
          </cell>
          <cell r="AN792" t="str">
            <v>Yes</v>
          </cell>
          <cell r="AO792" t="str">
            <v>ITS393319</v>
          </cell>
          <cell r="AP792" t="str">
            <v>Independent School standard inspection</v>
          </cell>
          <cell r="AQ792" t="str">
            <v>Independent Standard Inspection</v>
          </cell>
          <cell r="AR792">
            <v>41093</v>
          </cell>
          <cell r="AS792">
            <v>41094</v>
          </cell>
          <cell r="AT792">
            <v>41116</v>
          </cell>
          <cell r="AU792">
            <v>2</v>
          </cell>
          <cell r="AV792">
            <v>2</v>
          </cell>
          <cell r="AW792">
            <v>2</v>
          </cell>
          <cell r="AX792" t="str">
            <v>NULL</v>
          </cell>
          <cell r="AY792" t="str">
            <v>NULL</v>
          </cell>
          <cell r="AZ792">
            <v>8</v>
          </cell>
          <cell r="BA792" t="str">
            <v>NULL</v>
          </cell>
          <cell r="BB792" t="str">
            <v>NULL</v>
          </cell>
        </row>
        <row r="793">
          <cell r="D793">
            <v>136003</v>
          </cell>
          <cell r="E793">
            <v>8886111</v>
          </cell>
          <cell r="F793" t="str">
            <v>Aurora Brambles School</v>
          </cell>
          <cell r="G793" t="str">
            <v>Other Independent Special School</v>
          </cell>
          <cell r="H793">
            <v>40086</v>
          </cell>
          <cell r="I793">
            <v>53</v>
          </cell>
          <cell r="J793" t="str">
            <v>North West</v>
          </cell>
          <cell r="K793" t="str">
            <v>North West</v>
          </cell>
          <cell r="L793" t="str">
            <v>Lancashire</v>
          </cell>
          <cell r="M793" t="str">
            <v>South Ribble</v>
          </cell>
          <cell r="N793" t="str">
            <v>PR26 7TB</v>
          </cell>
          <cell r="O793" t="str">
            <v>Not applicable</v>
          </cell>
          <cell r="P793">
            <v>9</v>
          </cell>
          <cell r="Q793">
            <v>16</v>
          </cell>
          <cell r="R793" t="str">
            <v>None</v>
          </cell>
          <cell r="S793" t="str">
            <v>Ofsted</v>
          </cell>
          <cell r="T793" t="str">
            <v>NULL</v>
          </cell>
          <cell r="U793" t="str">
            <v>NULL</v>
          </cell>
          <cell r="V793" t="str">
            <v>NULL</v>
          </cell>
          <cell r="W793" t="str">
            <v>NULL</v>
          </cell>
          <cell r="X793" t="str">
            <v>NULL</v>
          </cell>
          <cell r="Y793" t="str">
            <v>NULL</v>
          </cell>
          <cell r="Z793" t="str">
            <v>NULL</v>
          </cell>
          <cell r="AA793">
            <v>10026014</v>
          </cell>
          <cell r="AB793" t="str">
            <v>Independent School standard inspection</v>
          </cell>
          <cell r="AC793" t="str">
            <v>Independent Standard Inspection</v>
          </cell>
          <cell r="AD793">
            <v>42990</v>
          </cell>
          <cell r="AE793">
            <v>42992</v>
          </cell>
          <cell r="AF793">
            <v>43027</v>
          </cell>
          <cell r="AG793">
            <v>1</v>
          </cell>
          <cell r="AH793">
            <v>1</v>
          </cell>
          <cell r="AI793">
            <v>1</v>
          </cell>
          <cell r="AJ793">
            <v>1</v>
          </cell>
          <cell r="AK793">
            <v>1</v>
          </cell>
          <cell r="AL793" t="str">
            <v>NULL</v>
          </cell>
          <cell r="AM793" t="str">
            <v>NULL</v>
          </cell>
          <cell r="AN793" t="str">
            <v>Yes</v>
          </cell>
          <cell r="AO793" t="str">
            <v>ITS422819</v>
          </cell>
          <cell r="AP793" t="str">
            <v>Independent School standard inspection</v>
          </cell>
          <cell r="AQ793" t="str">
            <v>Independent Standard Inspection</v>
          </cell>
          <cell r="AR793">
            <v>41667</v>
          </cell>
          <cell r="AS793">
            <v>41669</v>
          </cell>
          <cell r="AT793">
            <v>41697</v>
          </cell>
          <cell r="AU793">
            <v>1</v>
          </cell>
          <cell r="AV793">
            <v>1</v>
          </cell>
          <cell r="AW793">
            <v>1</v>
          </cell>
          <cell r="AX793">
            <v>1</v>
          </cell>
          <cell r="AY793" t="str">
            <v>NULL</v>
          </cell>
          <cell r="AZ793" t="str">
            <v>NULL</v>
          </cell>
          <cell r="BA793" t="str">
            <v>NULL</v>
          </cell>
          <cell r="BB793" t="str">
            <v>NULL</v>
          </cell>
        </row>
        <row r="794">
          <cell r="D794">
            <v>131662</v>
          </cell>
          <cell r="E794">
            <v>2126001</v>
          </cell>
          <cell r="F794" t="str">
            <v>The Chelsea Group of Children</v>
          </cell>
          <cell r="G794" t="str">
            <v>Other Independent Special School</v>
          </cell>
          <cell r="H794">
            <v>36060</v>
          </cell>
          <cell r="I794">
            <v>46</v>
          </cell>
          <cell r="J794" t="str">
            <v>London</v>
          </cell>
          <cell r="K794" t="str">
            <v>London</v>
          </cell>
          <cell r="L794" t="str">
            <v>Wandsworth</v>
          </cell>
          <cell r="M794" t="str">
            <v>Tooting</v>
          </cell>
          <cell r="N794" t="str">
            <v>SW18 3QG</v>
          </cell>
          <cell r="O794" t="str">
            <v>Not applicable</v>
          </cell>
          <cell r="P794">
            <v>4</v>
          </cell>
          <cell r="Q794">
            <v>11</v>
          </cell>
          <cell r="R794" t="str">
            <v>None</v>
          </cell>
          <cell r="S794" t="str">
            <v>Ofsted</v>
          </cell>
          <cell r="T794">
            <v>1</v>
          </cell>
          <cell r="U794">
            <v>10034215</v>
          </cell>
          <cell r="V794" t="str">
            <v>Independent school Material Change inspection</v>
          </cell>
          <cell r="W794">
            <v>42860</v>
          </cell>
          <cell r="X794">
            <v>42860</v>
          </cell>
          <cell r="Y794" t="str">
            <v>NULL</v>
          </cell>
          <cell r="Z794" t="str">
            <v>Change implemented and meets relevant standards</v>
          </cell>
          <cell r="AA794">
            <v>10008522</v>
          </cell>
          <cell r="AB794" t="str">
            <v>Independent School standard inspection</v>
          </cell>
          <cell r="AC794" t="str">
            <v>Independent Standard Inspection</v>
          </cell>
          <cell r="AD794">
            <v>42389</v>
          </cell>
          <cell r="AE794">
            <v>42391</v>
          </cell>
          <cell r="AF794">
            <v>42440</v>
          </cell>
          <cell r="AG794">
            <v>2</v>
          </cell>
          <cell r="AH794">
            <v>2</v>
          </cell>
          <cell r="AI794">
            <v>2</v>
          </cell>
          <cell r="AJ794">
            <v>2</v>
          </cell>
          <cell r="AK794">
            <v>2</v>
          </cell>
          <cell r="AL794">
            <v>2</v>
          </cell>
          <cell r="AM794" t="str">
            <v>NULL</v>
          </cell>
          <cell r="AN794" t="str">
            <v>Yes</v>
          </cell>
          <cell r="AO794" t="str">
            <v>ITS408722</v>
          </cell>
          <cell r="AP794" t="str">
            <v>Independent School standard inspection</v>
          </cell>
          <cell r="AQ794" t="str">
            <v>Independent Standard Inspection</v>
          </cell>
          <cell r="AR794">
            <v>41248</v>
          </cell>
          <cell r="AS794">
            <v>41249</v>
          </cell>
          <cell r="AT794">
            <v>41284</v>
          </cell>
          <cell r="AU794">
            <v>1</v>
          </cell>
          <cell r="AV794">
            <v>1</v>
          </cell>
          <cell r="AW794">
            <v>1</v>
          </cell>
          <cell r="AX794" t="str">
            <v>NULL</v>
          </cell>
          <cell r="AY794" t="str">
            <v>NULL</v>
          </cell>
          <cell r="AZ794">
            <v>8</v>
          </cell>
          <cell r="BA794" t="str">
            <v>NULL</v>
          </cell>
          <cell r="BB794" t="str">
            <v>NULL</v>
          </cell>
        </row>
        <row r="795">
          <cell r="D795">
            <v>136025</v>
          </cell>
          <cell r="E795">
            <v>8856038</v>
          </cell>
          <cell r="F795" t="str">
            <v>The Corner House School (Chs)</v>
          </cell>
          <cell r="G795" t="str">
            <v>Other Independent Special School</v>
          </cell>
          <cell r="H795">
            <v>40141</v>
          </cell>
          <cell r="I795">
            <v>4</v>
          </cell>
          <cell r="J795" t="str">
            <v>West Midlands</v>
          </cell>
          <cell r="K795" t="str">
            <v>West Midlands</v>
          </cell>
          <cell r="L795" t="str">
            <v>Worcestershire</v>
          </cell>
          <cell r="M795" t="str">
            <v>Redditch</v>
          </cell>
          <cell r="N795" t="str">
            <v>B98 9BD</v>
          </cell>
          <cell r="O795" t="str">
            <v>Not applicable</v>
          </cell>
          <cell r="P795">
            <v>9</v>
          </cell>
          <cell r="Q795">
            <v>19</v>
          </cell>
          <cell r="R795" t="str">
            <v>None</v>
          </cell>
          <cell r="S795" t="str">
            <v>Ofsted</v>
          </cell>
          <cell r="T795">
            <v>1</v>
          </cell>
          <cell r="U795">
            <v>10035571</v>
          </cell>
          <cell r="V795" t="str">
            <v>Independent school Material Change inspection</v>
          </cell>
          <cell r="W795">
            <v>42877</v>
          </cell>
          <cell r="X795">
            <v>42877</v>
          </cell>
          <cell r="Y795" t="str">
            <v>NULL</v>
          </cell>
          <cell r="Z795" t="str">
            <v>Change implemented and meets relevant standards</v>
          </cell>
          <cell r="AA795" t="str">
            <v>ITS446283</v>
          </cell>
          <cell r="AB795" t="str">
            <v>Independent school standard inspection - aligned with CH</v>
          </cell>
          <cell r="AC795" t="str">
            <v>Independent Standard Inspection</v>
          </cell>
          <cell r="AD795">
            <v>41927</v>
          </cell>
          <cell r="AE795">
            <v>41928</v>
          </cell>
          <cell r="AF795">
            <v>41955</v>
          </cell>
          <cell r="AG795">
            <v>2</v>
          </cell>
          <cell r="AH795">
            <v>2</v>
          </cell>
          <cell r="AI795">
            <v>2</v>
          </cell>
          <cell r="AJ795">
            <v>2</v>
          </cell>
          <cell r="AK795" t="str">
            <v>NULL</v>
          </cell>
          <cell r="AL795">
            <v>9</v>
          </cell>
          <cell r="AM795">
            <v>9</v>
          </cell>
          <cell r="AN795" t="str">
            <v>NULL</v>
          </cell>
          <cell r="AO795" t="str">
            <v>ITS365615</v>
          </cell>
          <cell r="AP795" t="str">
            <v xml:space="preserve">Independent School standard inspection - integrated </v>
          </cell>
          <cell r="AQ795" t="str">
            <v>Independent Standard Inspection</v>
          </cell>
          <cell r="AR795">
            <v>40589</v>
          </cell>
          <cell r="AS795">
            <v>40590</v>
          </cell>
          <cell r="AT795">
            <v>40778</v>
          </cell>
          <cell r="AU795">
            <v>2</v>
          </cell>
          <cell r="AV795">
            <v>2</v>
          </cell>
          <cell r="AW795">
            <v>2</v>
          </cell>
          <cell r="AX795" t="str">
            <v>NULL</v>
          </cell>
          <cell r="AY795" t="str">
            <v>NULL</v>
          </cell>
          <cell r="AZ795">
            <v>8</v>
          </cell>
          <cell r="BA795" t="str">
            <v>NULL</v>
          </cell>
          <cell r="BB795" t="str">
            <v>NULL</v>
          </cell>
        </row>
        <row r="796">
          <cell r="D796">
            <v>133298</v>
          </cell>
          <cell r="E796">
            <v>8866089</v>
          </cell>
          <cell r="F796" t="str">
            <v>The Davenport School</v>
          </cell>
          <cell r="G796" t="str">
            <v>Other Independent Special School</v>
          </cell>
          <cell r="H796">
            <v>36984</v>
          </cell>
          <cell r="I796">
            <v>16</v>
          </cell>
          <cell r="J796" t="str">
            <v>South East</v>
          </cell>
          <cell r="K796" t="str">
            <v>South East</v>
          </cell>
          <cell r="L796" t="str">
            <v>Kent</v>
          </cell>
          <cell r="M796" t="str">
            <v>South Thanet</v>
          </cell>
          <cell r="N796" t="str">
            <v>CT13 0NY</v>
          </cell>
          <cell r="O796" t="str">
            <v>Not applicable</v>
          </cell>
          <cell r="P796">
            <v>7</v>
          </cell>
          <cell r="Q796">
            <v>12</v>
          </cell>
          <cell r="R796" t="str">
            <v>None</v>
          </cell>
          <cell r="S796" t="str">
            <v>Ofsted</v>
          </cell>
          <cell r="T796">
            <v>2</v>
          </cell>
          <cell r="U796">
            <v>10052080</v>
          </cell>
          <cell r="V796" t="str">
            <v>Independent school evaluation of school action plan</v>
          </cell>
          <cell r="W796">
            <v>43185</v>
          </cell>
          <cell r="X796">
            <v>43185</v>
          </cell>
          <cell r="Y796" t="str">
            <v>NULL</v>
          </cell>
          <cell r="Z796" t="str">
            <v>Action plan is acceptable with modifications</v>
          </cell>
          <cell r="AA796">
            <v>10012926</v>
          </cell>
          <cell r="AB796" t="str">
            <v>Independent School standard inspection</v>
          </cell>
          <cell r="AC796" t="str">
            <v>Independent Standard Inspection</v>
          </cell>
          <cell r="AD796">
            <v>42766</v>
          </cell>
          <cell r="AE796">
            <v>42768</v>
          </cell>
          <cell r="AF796">
            <v>42797</v>
          </cell>
          <cell r="AG796">
            <v>3</v>
          </cell>
          <cell r="AH796">
            <v>3</v>
          </cell>
          <cell r="AI796">
            <v>3</v>
          </cell>
          <cell r="AJ796">
            <v>3</v>
          </cell>
          <cell r="AK796">
            <v>3</v>
          </cell>
          <cell r="AL796" t="str">
            <v>NULL</v>
          </cell>
          <cell r="AM796" t="str">
            <v>NULL</v>
          </cell>
          <cell r="AN796" t="str">
            <v>Yes</v>
          </cell>
          <cell r="AO796" t="str">
            <v>ITS420213</v>
          </cell>
          <cell r="AP796" t="str">
            <v>Independent School standard inspection</v>
          </cell>
          <cell r="AQ796" t="str">
            <v>Independent Standard Inspection</v>
          </cell>
          <cell r="AR796">
            <v>41408</v>
          </cell>
          <cell r="AS796">
            <v>41410</v>
          </cell>
          <cell r="AT796">
            <v>41432</v>
          </cell>
          <cell r="AU796">
            <v>2</v>
          </cell>
          <cell r="AV796">
            <v>2</v>
          </cell>
          <cell r="AW796">
            <v>2</v>
          </cell>
          <cell r="AX796">
            <v>3</v>
          </cell>
          <cell r="AY796" t="str">
            <v>NULL</v>
          </cell>
          <cell r="AZ796" t="str">
            <v>NULL</v>
          </cell>
          <cell r="BA796" t="str">
            <v>NULL</v>
          </cell>
          <cell r="BB796" t="str">
            <v>NULL</v>
          </cell>
        </row>
        <row r="797">
          <cell r="D797">
            <v>135428</v>
          </cell>
          <cell r="E797">
            <v>8556122</v>
          </cell>
          <cell r="F797" t="str">
            <v>The Oaks</v>
          </cell>
          <cell r="G797" t="str">
            <v>Other Independent Special School</v>
          </cell>
          <cell r="H797">
            <v>39357</v>
          </cell>
          <cell r="I797">
            <v>0</v>
          </cell>
          <cell r="J797" t="str">
            <v>East Midlands</v>
          </cell>
          <cell r="K797" t="str">
            <v>East Midlands</v>
          </cell>
          <cell r="L797" t="str">
            <v>Leicestershire</v>
          </cell>
          <cell r="M797" t="str">
            <v>Bosworth</v>
          </cell>
          <cell r="N797" t="str">
            <v>LE9 7QJ</v>
          </cell>
          <cell r="O797" t="str">
            <v>Not applicable</v>
          </cell>
          <cell r="P797">
            <v>8</v>
          </cell>
          <cell r="Q797">
            <v>16</v>
          </cell>
          <cell r="R797" t="str">
            <v>None</v>
          </cell>
          <cell r="S797" t="str">
            <v>Ofsted</v>
          </cell>
          <cell r="T797" t="str">
            <v>NULL</v>
          </cell>
          <cell r="U797" t="str">
            <v>NULL</v>
          </cell>
          <cell r="V797" t="str">
            <v>NULL</v>
          </cell>
          <cell r="W797" t="str">
            <v>NULL</v>
          </cell>
          <cell r="X797" t="str">
            <v>NULL</v>
          </cell>
          <cell r="Y797" t="str">
            <v>NULL</v>
          </cell>
          <cell r="Z797" t="str">
            <v>NULL</v>
          </cell>
          <cell r="AA797" t="str">
            <v>ITS462937</v>
          </cell>
          <cell r="AB797" t="str">
            <v>Independent school standard inspection - aligned with CH</v>
          </cell>
          <cell r="AC797" t="str">
            <v>Independent Standard Inspection</v>
          </cell>
          <cell r="AD797">
            <v>42164</v>
          </cell>
          <cell r="AE797">
            <v>42165</v>
          </cell>
          <cell r="AF797">
            <v>42194</v>
          </cell>
          <cell r="AG797">
            <v>2</v>
          </cell>
          <cell r="AH797">
            <v>2</v>
          </cell>
          <cell r="AI797">
            <v>2</v>
          </cell>
          <cell r="AJ797">
            <v>2</v>
          </cell>
          <cell r="AK797" t="str">
            <v>NULL</v>
          </cell>
          <cell r="AL797">
            <v>9</v>
          </cell>
          <cell r="AM797">
            <v>9</v>
          </cell>
          <cell r="AN797" t="str">
            <v>NULL</v>
          </cell>
          <cell r="AO797" t="str">
            <v>ITS386904</v>
          </cell>
          <cell r="AP797" t="str">
            <v>Independent School standard inspection</v>
          </cell>
          <cell r="AQ797" t="str">
            <v>Independent Standard Inspection</v>
          </cell>
          <cell r="AR797">
            <v>40925</v>
          </cell>
          <cell r="AS797">
            <v>40926</v>
          </cell>
          <cell r="AT797">
            <v>40948</v>
          </cell>
          <cell r="AU797">
            <v>2</v>
          </cell>
          <cell r="AV797">
            <v>2</v>
          </cell>
          <cell r="AW797">
            <v>2</v>
          </cell>
          <cell r="AX797" t="str">
            <v>NULL</v>
          </cell>
          <cell r="AY797" t="str">
            <v>NULL</v>
          </cell>
          <cell r="AZ797">
            <v>8</v>
          </cell>
          <cell r="BA797" t="str">
            <v>NULL</v>
          </cell>
          <cell r="BB797" t="str">
            <v>NULL</v>
          </cell>
        </row>
        <row r="798">
          <cell r="D798">
            <v>131422</v>
          </cell>
          <cell r="E798">
            <v>8866076</v>
          </cell>
          <cell r="F798" t="str">
            <v>The Old Priory School</v>
          </cell>
          <cell r="G798" t="str">
            <v>Other Independent Special School</v>
          </cell>
          <cell r="H798">
            <v>35751</v>
          </cell>
          <cell r="I798">
            <v>20</v>
          </cell>
          <cell r="J798" t="str">
            <v>South East</v>
          </cell>
          <cell r="K798" t="str">
            <v>South East</v>
          </cell>
          <cell r="L798" t="str">
            <v>Kent</v>
          </cell>
          <cell r="M798" t="str">
            <v>South Thanet</v>
          </cell>
          <cell r="N798" t="str">
            <v>CT11 9PG</v>
          </cell>
          <cell r="O798" t="str">
            <v>Not applicable</v>
          </cell>
          <cell r="P798">
            <v>11</v>
          </cell>
          <cell r="Q798">
            <v>17</v>
          </cell>
          <cell r="R798" t="str">
            <v>None</v>
          </cell>
          <cell r="S798" t="str">
            <v>Ofsted</v>
          </cell>
          <cell r="T798" t="str">
            <v>NULL</v>
          </cell>
          <cell r="U798" t="str">
            <v>NULL</v>
          </cell>
          <cell r="V798" t="str">
            <v>NULL</v>
          </cell>
          <cell r="W798" t="str">
            <v>NULL</v>
          </cell>
          <cell r="X798" t="str">
            <v>NULL</v>
          </cell>
          <cell r="Y798" t="str">
            <v>NULL</v>
          </cell>
          <cell r="Z798" t="str">
            <v>NULL</v>
          </cell>
          <cell r="AA798" t="str">
            <v>ITS462876</v>
          </cell>
          <cell r="AB798" t="str">
            <v>Independent School standard inspection</v>
          </cell>
          <cell r="AC798" t="str">
            <v>Independent Standard Inspection</v>
          </cell>
          <cell r="AD798">
            <v>42178</v>
          </cell>
          <cell r="AE798">
            <v>42180</v>
          </cell>
          <cell r="AF798">
            <v>42205</v>
          </cell>
          <cell r="AG798">
            <v>2</v>
          </cell>
          <cell r="AH798">
            <v>2</v>
          </cell>
          <cell r="AI798">
            <v>2</v>
          </cell>
          <cell r="AJ798">
            <v>2</v>
          </cell>
          <cell r="AK798" t="str">
            <v>NULL</v>
          </cell>
          <cell r="AL798">
            <v>9</v>
          </cell>
          <cell r="AM798">
            <v>9</v>
          </cell>
          <cell r="AN798" t="str">
            <v>NULL</v>
          </cell>
          <cell r="AO798" t="str">
            <v>ITS386905</v>
          </cell>
          <cell r="AP798" t="str">
            <v>Independent School standard inspection</v>
          </cell>
          <cell r="AQ798" t="str">
            <v>Independent Standard Inspection</v>
          </cell>
          <cell r="AR798">
            <v>40940</v>
          </cell>
          <cell r="AS798">
            <v>40941</v>
          </cell>
          <cell r="AT798">
            <v>41236</v>
          </cell>
          <cell r="AU798">
            <v>2</v>
          </cell>
          <cell r="AV798">
            <v>2</v>
          </cell>
          <cell r="AW798">
            <v>2</v>
          </cell>
          <cell r="AX798" t="str">
            <v>NULL</v>
          </cell>
          <cell r="AY798" t="str">
            <v>NULL</v>
          </cell>
          <cell r="AZ798">
            <v>8</v>
          </cell>
          <cell r="BA798" t="str">
            <v>NULL</v>
          </cell>
          <cell r="BB798" t="str">
            <v>NULL</v>
          </cell>
        </row>
        <row r="799">
          <cell r="D799">
            <v>133651</v>
          </cell>
          <cell r="E799">
            <v>8736032</v>
          </cell>
          <cell r="F799" t="str">
            <v>The Old School House</v>
          </cell>
          <cell r="G799" t="str">
            <v>Other Independent Special School</v>
          </cell>
          <cell r="H799">
            <v>37349</v>
          </cell>
          <cell r="I799">
            <v>2</v>
          </cell>
          <cell r="J799" t="str">
            <v>East of England</v>
          </cell>
          <cell r="K799" t="str">
            <v>East of England</v>
          </cell>
          <cell r="L799" t="str">
            <v>Cambridgeshire</v>
          </cell>
          <cell r="M799" t="str">
            <v>North East Cambridgeshire</v>
          </cell>
          <cell r="N799" t="str">
            <v>PE14 0HA</v>
          </cell>
          <cell r="O799" t="str">
            <v>Not applicable</v>
          </cell>
          <cell r="P799">
            <v>7</v>
          </cell>
          <cell r="Q799">
            <v>16</v>
          </cell>
          <cell r="R799" t="str">
            <v>None</v>
          </cell>
          <cell r="S799" t="str">
            <v>Ofsted</v>
          </cell>
          <cell r="T799" t="str">
            <v>NULL</v>
          </cell>
          <cell r="U799" t="str">
            <v>NULL</v>
          </cell>
          <cell r="V799" t="str">
            <v>NULL</v>
          </cell>
          <cell r="W799" t="str">
            <v>NULL</v>
          </cell>
          <cell r="X799" t="str">
            <v>NULL</v>
          </cell>
          <cell r="Y799" t="str">
            <v>NULL</v>
          </cell>
          <cell r="Z799" t="str">
            <v>NULL</v>
          </cell>
          <cell r="AA799">
            <v>10038904</v>
          </cell>
          <cell r="AB799" t="str">
            <v>Independent school standard inspection - aligned with CH</v>
          </cell>
          <cell r="AC799" t="str">
            <v>Independent Standard Inspection</v>
          </cell>
          <cell r="AD799">
            <v>42997</v>
          </cell>
          <cell r="AE799">
            <v>42998</v>
          </cell>
          <cell r="AF799">
            <v>43027</v>
          </cell>
          <cell r="AG799">
            <v>2</v>
          </cell>
          <cell r="AH799">
            <v>2</v>
          </cell>
          <cell r="AI799">
            <v>2</v>
          </cell>
          <cell r="AJ799">
            <v>2</v>
          </cell>
          <cell r="AK799">
            <v>2</v>
          </cell>
          <cell r="AL799" t="str">
            <v>NULL</v>
          </cell>
          <cell r="AM799" t="str">
            <v>NULL</v>
          </cell>
          <cell r="AN799" t="str">
            <v>Yes</v>
          </cell>
          <cell r="AO799" t="str">
            <v>ITS446392</v>
          </cell>
          <cell r="AP799" t="str">
            <v>Independent school standard inspection - aligned with CH</v>
          </cell>
          <cell r="AQ799" t="str">
            <v>Independent Standard Inspection</v>
          </cell>
          <cell r="AR799">
            <v>41975</v>
          </cell>
          <cell r="AS799">
            <v>41976</v>
          </cell>
          <cell r="AT799">
            <v>42023</v>
          </cell>
          <cell r="AU799">
            <v>2</v>
          </cell>
          <cell r="AV799">
            <v>2</v>
          </cell>
          <cell r="AW799">
            <v>2</v>
          </cell>
          <cell r="AX799">
            <v>2</v>
          </cell>
          <cell r="AY799" t="str">
            <v>NULL</v>
          </cell>
          <cell r="AZ799">
            <v>9</v>
          </cell>
          <cell r="BA799">
            <v>2</v>
          </cell>
          <cell r="BB799" t="str">
            <v>NULL</v>
          </cell>
        </row>
        <row r="800">
          <cell r="D800">
            <v>131462</v>
          </cell>
          <cell r="E800">
            <v>8256031</v>
          </cell>
          <cell r="F800" t="str">
            <v>The Pace Centre</v>
          </cell>
          <cell r="G800" t="str">
            <v>Other Independent Special School</v>
          </cell>
          <cell r="H800">
            <v>35822</v>
          </cell>
          <cell r="I800">
            <v>40</v>
          </cell>
          <cell r="J800" t="str">
            <v>South East</v>
          </cell>
          <cell r="K800" t="str">
            <v>South East</v>
          </cell>
          <cell r="L800" t="str">
            <v>Buckinghamshire</v>
          </cell>
          <cell r="M800" t="str">
            <v>Aylesbury</v>
          </cell>
          <cell r="N800" t="str">
            <v>HP19 9JL</v>
          </cell>
          <cell r="O800" t="str">
            <v>Not applicable</v>
          </cell>
          <cell r="P800">
            <v>3</v>
          </cell>
          <cell r="Q800">
            <v>16</v>
          </cell>
          <cell r="R800" t="str">
            <v>None</v>
          </cell>
          <cell r="S800" t="str">
            <v>Ofsted</v>
          </cell>
          <cell r="T800" t="str">
            <v>NULL</v>
          </cell>
          <cell r="U800" t="str">
            <v>NULL</v>
          </cell>
          <cell r="V800" t="str">
            <v>NULL</v>
          </cell>
          <cell r="W800" t="str">
            <v>NULL</v>
          </cell>
          <cell r="X800" t="str">
            <v>NULL</v>
          </cell>
          <cell r="Y800" t="str">
            <v>NULL</v>
          </cell>
          <cell r="Z800" t="str">
            <v>NULL</v>
          </cell>
          <cell r="AA800">
            <v>10006066</v>
          </cell>
          <cell r="AB800" t="str">
            <v>Independent School standard inspection</v>
          </cell>
          <cell r="AC800" t="str">
            <v>Independent Standard Inspection</v>
          </cell>
          <cell r="AD800">
            <v>42703</v>
          </cell>
          <cell r="AE800">
            <v>42705</v>
          </cell>
          <cell r="AF800">
            <v>42752</v>
          </cell>
          <cell r="AG800">
            <v>1</v>
          </cell>
          <cell r="AH800">
            <v>1</v>
          </cell>
          <cell r="AI800">
            <v>1</v>
          </cell>
          <cell r="AJ800">
            <v>1</v>
          </cell>
          <cell r="AK800">
            <v>1</v>
          </cell>
          <cell r="AL800" t="str">
            <v>NULL</v>
          </cell>
          <cell r="AM800" t="str">
            <v>NULL</v>
          </cell>
          <cell r="AN800" t="str">
            <v>Yes</v>
          </cell>
          <cell r="AO800" t="str">
            <v>ITS397590</v>
          </cell>
          <cell r="AP800" t="str">
            <v>Independent School standard inspection</v>
          </cell>
          <cell r="AQ800" t="str">
            <v>Independent Standard Inspection</v>
          </cell>
          <cell r="AR800">
            <v>41199</v>
          </cell>
          <cell r="AS800">
            <v>41200</v>
          </cell>
          <cell r="AT800">
            <v>41227</v>
          </cell>
          <cell r="AU800">
            <v>1</v>
          </cell>
          <cell r="AV800">
            <v>1</v>
          </cell>
          <cell r="AW800">
            <v>1</v>
          </cell>
          <cell r="AX800" t="str">
            <v>NULL</v>
          </cell>
          <cell r="AY800" t="str">
            <v>NULL</v>
          </cell>
          <cell r="AZ800">
            <v>8</v>
          </cell>
          <cell r="BA800" t="str">
            <v>NULL</v>
          </cell>
          <cell r="BB800" t="str">
            <v>NULL</v>
          </cell>
        </row>
        <row r="801">
          <cell r="D801">
            <v>138880</v>
          </cell>
          <cell r="E801">
            <v>9266009</v>
          </cell>
          <cell r="F801" t="str">
            <v>Turnstone House School</v>
          </cell>
          <cell r="G801" t="str">
            <v>Other Independent Special School</v>
          </cell>
          <cell r="H801">
            <v>41204</v>
          </cell>
          <cell r="I801">
            <v>8</v>
          </cell>
          <cell r="J801" t="str">
            <v>East of England</v>
          </cell>
          <cell r="K801" t="str">
            <v>East of England</v>
          </cell>
          <cell r="L801" t="str">
            <v>Norfolk</v>
          </cell>
          <cell r="M801" t="str">
            <v>South Norfolk</v>
          </cell>
          <cell r="N801" t="str">
            <v>NR35 2HP</v>
          </cell>
          <cell r="O801" t="str">
            <v>Not applicable</v>
          </cell>
          <cell r="P801">
            <v>8</v>
          </cell>
          <cell r="Q801">
            <v>19</v>
          </cell>
          <cell r="R801" t="str">
            <v>None</v>
          </cell>
          <cell r="S801" t="str">
            <v>Ofsted</v>
          </cell>
          <cell r="T801" t="str">
            <v>NULL</v>
          </cell>
          <cell r="U801" t="str">
            <v>NULL</v>
          </cell>
          <cell r="V801" t="str">
            <v>NULL</v>
          </cell>
          <cell r="W801" t="str">
            <v>NULL</v>
          </cell>
          <cell r="X801" t="str">
            <v>NULL</v>
          </cell>
          <cell r="Y801" t="str">
            <v>NULL</v>
          </cell>
          <cell r="Z801" t="str">
            <v>NULL</v>
          </cell>
          <cell r="AA801">
            <v>10020822</v>
          </cell>
          <cell r="AB801" t="str">
            <v>Independent school standard inspection - aligned with CH</v>
          </cell>
          <cell r="AC801" t="str">
            <v>Independent Standard Inspection</v>
          </cell>
          <cell r="AD801">
            <v>42871</v>
          </cell>
          <cell r="AE801">
            <v>42873</v>
          </cell>
          <cell r="AF801">
            <v>42920</v>
          </cell>
          <cell r="AG801">
            <v>1</v>
          </cell>
          <cell r="AH801">
            <v>1</v>
          </cell>
          <cell r="AI801">
            <v>1</v>
          </cell>
          <cell r="AJ801">
            <v>1</v>
          </cell>
          <cell r="AK801">
            <v>1</v>
          </cell>
          <cell r="AL801" t="str">
            <v>NULL</v>
          </cell>
          <cell r="AM801">
            <v>1</v>
          </cell>
          <cell r="AN801" t="str">
            <v>Yes</v>
          </cell>
          <cell r="AO801" t="str">
            <v>ITS422837</v>
          </cell>
          <cell r="AP801" t="str">
            <v>Independent school standard inspection - first</v>
          </cell>
          <cell r="AQ801" t="str">
            <v>Independent Standard Inspection</v>
          </cell>
          <cell r="AR801">
            <v>41534</v>
          </cell>
          <cell r="AS801">
            <v>41535</v>
          </cell>
          <cell r="AT801">
            <v>41556</v>
          </cell>
          <cell r="AU801">
            <v>3</v>
          </cell>
          <cell r="AV801">
            <v>2</v>
          </cell>
          <cell r="AW801">
            <v>2</v>
          </cell>
          <cell r="AX801">
            <v>3</v>
          </cell>
          <cell r="AY801" t="str">
            <v>NULL</v>
          </cell>
          <cell r="AZ801" t="str">
            <v>NULL</v>
          </cell>
          <cell r="BA801" t="str">
            <v>NULL</v>
          </cell>
          <cell r="BB801" t="str">
            <v>NULL</v>
          </cell>
        </row>
        <row r="802">
          <cell r="D802">
            <v>139901</v>
          </cell>
          <cell r="E802">
            <v>3806008</v>
          </cell>
          <cell r="F802" t="str">
            <v>Ummid Independent School</v>
          </cell>
          <cell r="G802" t="str">
            <v>Other Independent Special School</v>
          </cell>
          <cell r="H802">
            <v>41470</v>
          </cell>
          <cell r="I802">
            <v>0</v>
          </cell>
          <cell r="J802" t="str">
            <v>North East, Yorkshire and the Humber</v>
          </cell>
          <cell r="K802" t="str">
            <v>Yorkshire and the Humber</v>
          </cell>
          <cell r="L802" t="str">
            <v>Bradford</v>
          </cell>
          <cell r="M802" t="str">
            <v>Bradford South</v>
          </cell>
          <cell r="N802" t="str">
            <v>BD7 3EX</v>
          </cell>
          <cell r="O802" t="str">
            <v>Not applicable</v>
          </cell>
          <cell r="P802">
            <v>11</v>
          </cell>
          <cell r="Q802">
            <v>19</v>
          </cell>
          <cell r="R802" t="str">
            <v>None</v>
          </cell>
          <cell r="S802" t="str">
            <v>Ofsted</v>
          </cell>
          <cell r="T802" t="str">
            <v>NULL</v>
          </cell>
          <cell r="U802" t="str">
            <v>NULL</v>
          </cell>
          <cell r="V802" t="str">
            <v>NULL</v>
          </cell>
          <cell r="W802" t="str">
            <v>NULL</v>
          </cell>
          <cell r="X802" t="str">
            <v>NULL</v>
          </cell>
          <cell r="Y802" t="str">
            <v>NULL</v>
          </cell>
          <cell r="Z802" t="str">
            <v>NULL</v>
          </cell>
          <cell r="AA802">
            <v>10033922</v>
          </cell>
          <cell r="AB802" t="str">
            <v>Independent School standard inspection</v>
          </cell>
          <cell r="AC802" t="str">
            <v>Independent Standard Inspection</v>
          </cell>
          <cell r="AD802">
            <v>42864</v>
          </cell>
          <cell r="AE802">
            <v>42866</v>
          </cell>
          <cell r="AF802">
            <v>43011</v>
          </cell>
          <cell r="AG802">
            <v>4</v>
          </cell>
          <cell r="AH802">
            <v>4</v>
          </cell>
          <cell r="AI802">
            <v>4</v>
          </cell>
          <cell r="AJ802">
            <v>4</v>
          </cell>
          <cell r="AK802">
            <v>4</v>
          </cell>
          <cell r="AL802" t="str">
            <v>NULL</v>
          </cell>
          <cell r="AM802" t="str">
            <v>NULL</v>
          </cell>
          <cell r="AN802" t="str">
            <v>No</v>
          </cell>
          <cell r="AO802" t="str">
            <v>ITS443017</v>
          </cell>
          <cell r="AP802" t="str">
            <v>Independent school standard inspection - first</v>
          </cell>
          <cell r="AQ802" t="str">
            <v>Independent Standard Inspection</v>
          </cell>
          <cell r="AR802">
            <v>41772</v>
          </cell>
          <cell r="AS802">
            <v>41774</v>
          </cell>
          <cell r="AT802">
            <v>41799</v>
          </cell>
          <cell r="AU802">
            <v>3</v>
          </cell>
          <cell r="AV802">
            <v>3</v>
          </cell>
          <cell r="AW802">
            <v>3</v>
          </cell>
          <cell r="AX802">
            <v>3</v>
          </cell>
          <cell r="AY802" t="str">
            <v>NULL</v>
          </cell>
          <cell r="AZ802" t="str">
            <v>NULL</v>
          </cell>
          <cell r="BA802" t="str">
            <v>NULL</v>
          </cell>
          <cell r="BB802" t="str">
            <v>NULL</v>
          </cell>
        </row>
        <row r="803">
          <cell r="D803">
            <v>112461</v>
          </cell>
          <cell r="E803">
            <v>9096044</v>
          </cell>
          <cell r="F803" t="str">
            <v>Underley Garden School</v>
          </cell>
          <cell r="G803" t="str">
            <v>Other Independent Special School</v>
          </cell>
          <cell r="H803">
            <v>32960</v>
          </cell>
          <cell r="I803">
            <v>45</v>
          </cell>
          <cell r="J803" t="str">
            <v>North West</v>
          </cell>
          <cell r="K803" t="str">
            <v>North West</v>
          </cell>
          <cell r="L803" t="str">
            <v>Cumbria</v>
          </cell>
          <cell r="M803" t="str">
            <v>Westmorland and Lonsdale</v>
          </cell>
          <cell r="N803" t="str">
            <v>LA6 2DZ</v>
          </cell>
          <cell r="O803" t="str">
            <v>Has a sixth form</v>
          </cell>
          <cell r="P803">
            <v>5</v>
          </cell>
          <cell r="Q803">
            <v>19</v>
          </cell>
          <cell r="R803" t="str">
            <v>None</v>
          </cell>
          <cell r="S803" t="str">
            <v>Ofsted</v>
          </cell>
          <cell r="T803" t="str">
            <v>NULL</v>
          </cell>
          <cell r="U803" t="str">
            <v>NULL</v>
          </cell>
          <cell r="V803" t="str">
            <v>NULL</v>
          </cell>
          <cell r="W803" t="str">
            <v>NULL</v>
          </cell>
          <cell r="X803" t="str">
            <v>NULL</v>
          </cell>
          <cell r="Y803" t="str">
            <v>NULL</v>
          </cell>
          <cell r="Z803" t="str">
            <v>NULL</v>
          </cell>
          <cell r="AA803">
            <v>10008938</v>
          </cell>
          <cell r="AB803" t="str">
            <v>Independent School standard inspection</v>
          </cell>
          <cell r="AC803" t="str">
            <v>Independent Standard Inspection</v>
          </cell>
          <cell r="AD803">
            <v>43109</v>
          </cell>
          <cell r="AE803">
            <v>43111</v>
          </cell>
          <cell r="AF803">
            <v>43146</v>
          </cell>
          <cell r="AG803">
            <v>1</v>
          </cell>
          <cell r="AH803">
            <v>1</v>
          </cell>
          <cell r="AI803">
            <v>1</v>
          </cell>
          <cell r="AJ803">
            <v>1</v>
          </cell>
          <cell r="AK803">
            <v>1</v>
          </cell>
          <cell r="AL803" t="str">
            <v>NULL</v>
          </cell>
          <cell r="AM803">
            <v>1</v>
          </cell>
          <cell r="AN803" t="str">
            <v>Yes</v>
          </cell>
          <cell r="AO803" t="str">
            <v>ITS393350</v>
          </cell>
          <cell r="AP803" t="str">
            <v xml:space="preserve">Independent School standard inspection - integrated </v>
          </cell>
          <cell r="AQ803" t="str">
            <v>Independent Standard Inspection</v>
          </cell>
          <cell r="AR803">
            <v>41093</v>
          </cell>
          <cell r="AS803">
            <v>41094</v>
          </cell>
          <cell r="AT803">
            <v>41162</v>
          </cell>
          <cell r="AU803">
            <v>2</v>
          </cell>
          <cell r="AV803">
            <v>2</v>
          </cell>
          <cell r="AW803">
            <v>2</v>
          </cell>
          <cell r="AX803" t="str">
            <v>NULL</v>
          </cell>
          <cell r="AY803" t="str">
            <v>NULL</v>
          </cell>
          <cell r="AZ803">
            <v>8</v>
          </cell>
          <cell r="BA803" t="str">
            <v>NULL</v>
          </cell>
          <cell r="BB803" t="str">
            <v>NULL</v>
          </cell>
        </row>
        <row r="804">
          <cell r="D804">
            <v>136373</v>
          </cell>
          <cell r="E804">
            <v>8256043</v>
          </cell>
          <cell r="F804" t="str">
            <v>Unity College</v>
          </cell>
          <cell r="G804" t="str">
            <v>Other Independent Special School</v>
          </cell>
          <cell r="H804">
            <v>40533</v>
          </cell>
          <cell r="I804">
            <v>10</v>
          </cell>
          <cell r="J804" t="str">
            <v>South East</v>
          </cell>
          <cell r="K804" t="str">
            <v>South East</v>
          </cell>
          <cell r="L804" t="str">
            <v>Buckinghamshire</v>
          </cell>
          <cell r="M804" t="str">
            <v>Wycombe</v>
          </cell>
          <cell r="N804" t="str">
            <v>HP12 3AE</v>
          </cell>
          <cell r="O804" t="str">
            <v>Not applicable</v>
          </cell>
          <cell r="P804">
            <v>11</v>
          </cell>
          <cell r="Q804">
            <v>17</v>
          </cell>
          <cell r="R804" t="str">
            <v>None</v>
          </cell>
          <cell r="S804" t="str">
            <v>Ofsted</v>
          </cell>
          <cell r="T804" t="str">
            <v>NULL</v>
          </cell>
          <cell r="U804" t="str">
            <v>NULL</v>
          </cell>
          <cell r="V804" t="str">
            <v>NULL</v>
          </cell>
          <cell r="W804" t="str">
            <v>NULL</v>
          </cell>
          <cell r="X804" t="str">
            <v>NULL</v>
          </cell>
          <cell r="Y804" t="str">
            <v>NULL</v>
          </cell>
          <cell r="Z804" t="str">
            <v>NULL</v>
          </cell>
          <cell r="AA804">
            <v>10035875</v>
          </cell>
          <cell r="AB804" t="str">
            <v>Independent School standard inspection</v>
          </cell>
          <cell r="AC804" t="str">
            <v>Independent Standard Inspection</v>
          </cell>
          <cell r="AD804">
            <v>43004</v>
          </cell>
          <cell r="AE804">
            <v>43006</v>
          </cell>
          <cell r="AF804">
            <v>43038</v>
          </cell>
          <cell r="AG804">
            <v>2</v>
          </cell>
          <cell r="AH804">
            <v>2</v>
          </cell>
          <cell r="AI804">
            <v>2</v>
          </cell>
          <cell r="AJ804">
            <v>1</v>
          </cell>
          <cell r="AK804">
            <v>1</v>
          </cell>
          <cell r="AL804" t="str">
            <v>NULL</v>
          </cell>
          <cell r="AM804" t="str">
            <v>NULL</v>
          </cell>
          <cell r="AN804" t="str">
            <v>Yes</v>
          </cell>
          <cell r="AO804" t="str">
            <v>ITS454300</v>
          </cell>
          <cell r="AP804" t="str">
            <v>Independent School standard inspection</v>
          </cell>
          <cell r="AQ804" t="str">
            <v>Independent Standard Inspection</v>
          </cell>
          <cell r="AR804">
            <v>42038</v>
          </cell>
          <cell r="AS804">
            <v>42040</v>
          </cell>
          <cell r="AT804">
            <v>42074</v>
          </cell>
          <cell r="AU804">
            <v>2</v>
          </cell>
          <cell r="AV804">
            <v>2</v>
          </cell>
          <cell r="AW804">
            <v>2</v>
          </cell>
          <cell r="AX804">
            <v>2</v>
          </cell>
          <cell r="AY804" t="str">
            <v>NULL</v>
          </cell>
          <cell r="AZ804">
            <v>9</v>
          </cell>
          <cell r="BA804">
            <v>9</v>
          </cell>
          <cell r="BB804" t="str">
            <v>NULL</v>
          </cell>
        </row>
        <row r="805">
          <cell r="D805">
            <v>136092</v>
          </cell>
          <cell r="E805">
            <v>2036040</v>
          </cell>
          <cell r="F805" t="str">
            <v>Wize Up</v>
          </cell>
          <cell r="G805" t="str">
            <v>Other Independent Special School</v>
          </cell>
          <cell r="H805">
            <v>40259</v>
          </cell>
          <cell r="I805">
            <v>26</v>
          </cell>
          <cell r="J805" t="str">
            <v>London</v>
          </cell>
          <cell r="K805" t="str">
            <v>London</v>
          </cell>
          <cell r="L805" t="str">
            <v>Greenwich</v>
          </cell>
          <cell r="M805" t="str">
            <v>Eltham</v>
          </cell>
          <cell r="N805" t="str">
            <v>SE9 6DN</v>
          </cell>
          <cell r="O805" t="str">
            <v>Not applicable</v>
          </cell>
          <cell r="P805">
            <v>11</v>
          </cell>
          <cell r="Q805">
            <v>16</v>
          </cell>
          <cell r="R805" t="str">
            <v>None</v>
          </cell>
          <cell r="S805" t="str">
            <v>Ofsted</v>
          </cell>
          <cell r="T805" t="str">
            <v>NULL</v>
          </cell>
          <cell r="U805" t="str">
            <v>NULL</v>
          </cell>
          <cell r="V805" t="str">
            <v>NULL</v>
          </cell>
          <cell r="W805" t="str">
            <v>NULL</v>
          </cell>
          <cell r="X805" t="str">
            <v>NULL</v>
          </cell>
          <cell r="Y805" t="str">
            <v>NULL</v>
          </cell>
          <cell r="Z805" t="str">
            <v>NULL</v>
          </cell>
          <cell r="AA805">
            <v>10035808</v>
          </cell>
          <cell r="AB805" t="str">
            <v>Independent School standard inspection</v>
          </cell>
          <cell r="AC805" t="str">
            <v>Independent Standard Inspection</v>
          </cell>
          <cell r="AD805">
            <v>43025</v>
          </cell>
          <cell r="AE805">
            <v>43027</v>
          </cell>
          <cell r="AF805">
            <v>43063</v>
          </cell>
          <cell r="AG805">
            <v>2</v>
          </cell>
          <cell r="AH805">
            <v>2</v>
          </cell>
          <cell r="AI805">
            <v>2</v>
          </cell>
          <cell r="AJ805">
            <v>2</v>
          </cell>
          <cell r="AK805">
            <v>2</v>
          </cell>
          <cell r="AL805" t="str">
            <v>NULL</v>
          </cell>
          <cell r="AM805" t="str">
            <v>NULL</v>
          </cell>
          <cell r="AN805" t="str">
            <v>Yes</v>
          </cell>
          <cell r="AO805" t="str">
            <v>ITS442999</v>
          </cell>
          <cell r="AP805" t="str">
            <v>Independent School standard inspection</v>
          </cell>
          <cell r="AQ805" t="str">
            <v>Independent Standard Inspection</v>
          </cell>
          <cell r="AR805">
            <v>41709</v>
          </cell>
          <cell r="AS805">
            <v>41711</v>
          </cell>
          <cell r="AT805">
            <v>41731</v>
          </cell>
          <cell r="AU805">
            <v>3</v>
          </cell>
          <cell r="AV805">
            <v>3</v>
          </cell>
          <cell r="AW805">
            <v>3</v>
          </cell>
          <cell r="AX805">
            <v>3</v>
          </cell>
          <cell r="AY805" t="str">
            <v>NULL</v>
          </cell>
          <cell r="AZ805" t="str">
            <v>NULL</v>
          </cell>
          <cell r="BA805" t="str">
            <v>NULL</v>
          </cell>
          <cell r="BB805" t="str">
            <v>NULL</v>
          </cell>
        </row>
        <row r="806">
          <cell r="D806">
            <v>115425</v>
          </cell>
          <cell r="E806">
            <v>8816031</v>
          </cell>
          <cell r="F806" t="str">
            <v>Woodcroft School</v>
          </cell>
          <cell r="G806" t="str">
            <v>Other Independent Special School</v>
          </cell>
          <cell r="H806">
            <v>23743</v>
          </cell>
          <cell r="I806">
            <v>41</v>
          </cell>
          <cell r="J806" t="str">
            <v>East of England</v>
          </cell>
          <cell r="K806" t="str">
            <v>East of England</v>
          </cell>
          <cell r="L806" t="str">
            <v>Essex</v>
          </cell>
          <cell r="M806" t="str">
            <v>Epping Forest</v>
          </cell>
          <cell r="N806" t="str">
            <v>IG10 1SQ</v>
          </cell>
          <cell r="O806" t="str">
            <v>Not applicable</v>
          </cell>
          <cell r="P806">
            <v>4</v>
          </cell>
          <cell r="Q806">
            <v>13</v>
          </cell>
          <cell r="R806" t="str">
            <v>None</v>
          </cell>
          <cell r="S806" t="str">
            <v>Ofsted</v>
          </cell>
          <cell r="T806" t="str">
            <v>NULL</v>
          </cell>
          <cell r="U806" t="str">
            <v>NULL</v>
          </cell>
          <cell r="V806" t="str">
            <v>NULL</v>
          </cell>
          <cell r="W806" t="str">
            <v>NULL</v>
          </cell>
          <cell r="X806" t="str">
            <v>NULL</v>
          </cell>
          <cell r="Y806" t="str">
            <v>NULL</v>
          </cell>
          <cell r="Z806" t="str">
            <v>NULL</v>
          </cell>
          <cell r="AA806">
            <v>10006009</v>
          </cell>
          <cell r="AB806" t="str">
            <v>Independent School standard inspection</v>
          </cell>
          <cell r="AC806" t="str">
            <v>Independent Standard Inspection</v>
          </cell>
          <cell r="AD806">
            <v>42543</v>
          </cell>
          <cell r="AE806">
            <v>42545</v>
          </cell>
          <cell r="AF806">
            <v>42570</v>
          </cell>
          <cell r="AG806">
            <v>2</v>
          </cell>
          <cell r="AH806">
            <v>2</v>
          </cell>
          <cell r="AI806">
            <v>2</v>
          </cell>
          <cell r="AJ806">
            <v>2</v>
          </cell>
          <cell r="AK806">
            <v>2</v>
          </cell>
          <cell r="AL806" t="str">
            <v>NULL</v>
          </cell>
          <cell r="AM806" t="str">
            <v>NULL</v>
          </cell>
          <cell r="AN806" t="str">
            <v>Yes</v>
          </cell>
          <cell r="AO806" t="str">
            <v>ITS388419</v>
          </cell>
          <cell r="AP806" t="str">
            <v>Independent School standard inspection</v>
          </cell>
          <cell r="AQ806" t="str">
            <v>Independent Standard Inspection</v>
          </cell>
          <cell r="AR806">
            <v>40988</v>
          </cell>
          <cell r="AS806">
            <v>40989</v>
          </cell>
          <cell r="AT806">
            <v>41024</v>
          </cell>
          <cell r="AU806">
            <v>2</v>
          </cell>
          <cell r="AV806">
            <v>2</v>
          </cell>
          <cell r="AW806">
            <v>2</v>
          </cell>
          <cell r="AX806" t="str">
            <v>NULL</v>
          </cell>
          <cell r="AY806" t="str">
            <v>NULL</v>
          </cell>
          <cell r="AZ806">
            <v>8</v>
          </cell>
          <cell r="BA806" t="str">
            <v>NULL</v>
          </cell>
          <cell r="BB806" t="str">
            <v>NULL</v>
          </cell>
        </row>
        <row r="807">
          <cell r="D807">
            <v>140486</v>
          </cell>
          <cell r="E807">
            <v>3516003</v>
          </cell>
          <cell r="F807" t="str">
            <v>Woodlands School</v>
          </cell>
          <cell r="G807" t="str">
            <v>Other Independent Special School</v>
          </cell>
          <cell r="H807">
            <v>41614</v>
          </cell>
          <cell r="I807">
            <v>8</v>
          </cell>
          <cell r="J807" t="str">
            <v>North West</v>
          </cell>
          <cell r="K807" t="str">
            <v>North West</v>
          </cell>
          <cell r="L807" t="str">
            <v>Bury</v>
          </cell>
          <cell r="M807" t="str">
            <v>Rossendale and Darwen</v>
          </cell>
          <cell r="N807" t="str">
            <v>BL0 0QL</v>
          </cell>
          <cell r="O807" t="str">
            <v>Not applicable</v>
          </cell>
          <cell r="P807">
            <v>6</v>
          </cell>
          <cell r="Q807">
            <v>14</v>
          </cell>
          <cell r="R807" t="str">
            <v>None</v>
          </cell>
          <cell r="S807" t="str">
            <v>Ofsted</v>
          </cell>
          <cell r="T807" t="str">
            <v>NULL</v>
          </cell>
          <cell r="U807" t="str">
            <v>NULL</v>
          </cell>
          <cell r="V807" t="str">
            <v>NULL</v>
          </cell>
          <cell r="W807" t="str">
            <v>NULL</v>
          </cell>
          <cell r="X807" t="str">
            <v>NULL</v>
          </cell>
          <cell r="Y807" t="str">
            <v>NULL</v>
          </cell>
          <cell r="Z807" t="str">
            <v>NULL</v>
          </cell>
          <cell r="AA807">
            <v>10038936</v>
          </cell>
          <cell r="AB807" t="str">
            <v>Independent School standard inspection</v>
          </cell>
          <cell r="AC807" t="str">
            <v>Independent Standard Inspection</v>
          </cell>
          <cell r="AD807">
            <v>43053</v>
          </cell>
          <cell r="AE807">
            <v>43055</v>
          </cell>
          <cell r="AF807">
            <v>43077</v>
          </cell>
          <cell r="AG807">
            <v>2</v>
          </cell>
          <cell r="AH807">
            <v>2</v>
          </cell>
          <cell r="AI807">
            <v>2</v>
          </cell>
          <cell r="AJ807">
            <v>2</v>
          </cell>
          <cell r="AK807">
            <v>2</v>
          </cell>
          <cell r="AL807" t="str">
            <v>NULL</v>
          </cell>
          <cell r="AM807" t="str">
            <v>NULL</v>
          </cell>
          <cell r="AN807" t="str">
            <v>Yes</v>
          </cell>
          <cell r="AO807" t="str">
            <v>ITS447290</v>
          </cell>
          <cell r="AP807" t="str">
            <v>Independent school standard inspection - aligned with CH - first</v>
          </cell>
          <cell r="AQ807" t="str">
            <v>Independent Standard Inspection</v>
          </cell>
          <cell r="AR807">
            <v>41961</v>
          </cell>
          <cell r="AS807">
            <v>41963</v>
          </cell>
          <cell r="AT807">
            <v>42017</v>
          </cell>
          <cell r="AU807">
            <v>2</v>
          </cell>
          <cell r="AV807">
            <v>2</v>
          </cell>
          <cell r="AW807">
            <v>2</v>
          </cell>
          <cell r="AX807">
            <v>2</v>
          </cell>
          <cell r="AY807" t="str">
            <v>NULL</v>
          </cell>
          <cell r="AZ807">
            <v>9</v>
          </cell>
          <cell r="BA807">
            <v>9</v>
          </cell>
          <cell r="BB807" t="str">
            <v>NULL</v>
          </cell>
        </row>
        <row r="808">
          <cell r="D808">
            <v>139734</v>
          </cell>
          <cell r="E808">
            <v>8556032</v>
          </cell>
          <cell r="F808" t="str">
            <v>Woodside Lodge Outdoor Learning Centre</v>
          </cell>
          <cell r="G808" t="str">
            <v>Other Independent Special School</v>
          </cell>
          <cell r="H808">
            <v>41408</v>
          </cell>
          <cell r="I808">
            <v>23</v>
          </cell>
          <cell r="J808" t="str">
            <v>East Midlands</v>
          </cell>
          <cell r="K808" t="str">
            <v>East Midlands</v>
          </cell>
          <cell r="L808" t="str">
            <v>Leicestershire</v>
          </cell>
          <cell r="M808" t="str">
            <v>Loughborough</v>
          </cell>
          <cell r="N808" t="str">
            <v>LE12 8DB</v>
          </cell>
          <cell r="O808" t="str">
            <v>Not applicable</v>
          </cell>
          <cell r="P808">
            <v>5</v>
          </cell>
          <cell r="Q808">
            <v>19</v>
          </cell>
          <cell r="R808" t="str">
            <v>None</v>
          </cell>
          <cell r="S808" t="str">
            <v>Ofsted</v>
          </cell>
          <cell r="T808" t="str">
            <v>NULL</v>
          </cell>
          <cell r="U808" t="str">
            <v>NULL</v>
          </cell>
          <cell r="V808" t="str">
            <v>NULL</v>
          </cell>
          <cell r="W808" t="str">
            <v>NULL</v>
          </cell>
          <cell r="X808" t="str">
            <v>NULL</v>
          </cell>
          <cell r="Y808" t="str">
            <v>NULL</v>
          </cell>
          <cell r="Z808" t="str">
            <v>NULL</v>
          </cell>
          <cell r="AA808">
            <v>10026054</v>
          </cell>
          <cell r="AB808" t="str">
            <v>Independent School standard inspection</v>
          </cell>
          <cell r="AC808" t="str">
            <v>Independent Standard Inspection</v>
          </cell>
          <cell r="AD808">
            <v>42990</v>
          </cell>
          <cell r="AE808">
            <v>42992</v>
          </cell>
          <cell r="AF808">
            <v>43026</v>
          </cell>
          <cell r="AG808">
            <v>1</v>
          </cell>
          <cell r="AH808">
            <v>1</v>
          </cell>
          <cell r="AI808">
            <v>1</v>
          </cell>
          <cell r="AJ808">
            <v>1</v>
          </cell>
          <cell r="AK808">
            <v>1</v>
          </cell>
          <cell r="AL808" t="str">
            <v>NULL</v>
          </cell>
          <cell r="AM808" t="str">
            <v>NULL</v>
          </cell>
          <cell r="AN808" t="str">
            <v>Yes</v>
          </cell>
          <cell r="AO808" t="str">
            <v>ITS443006</v>
          </cell>
          <cell r="AP808" t="str">
            <v>Independent school standard inspection - first</v>
          </cell>
          <cell r="AQ808" t="str">
            <v>Independent Standard Inspection</v>
          </cell>
          <cell r="AR808">
            <v>41682</v>
          </cell>
          <cell r="AS808">
            <v>41683</v>
          </cell>
          <cell r="AT808">
            <v>41703</v>
          </cell>
          <cell r="AU808">
            <v>2</v>
          </cell>
          <cell r="AV808">
            <v>2</v>
          </cell>
          <cell r="AW808">
            <v>2</v>
          </cell>
          <cell r="AX808">
            <v>2</v>
          </cell>
          <cell r="AY808" t="str">
            <v>NULL</v>
          </cell>
          <cell r="AZ808" t="str">
            <v>NULL</v>
          </cell>
          <cell r="BA808" t="str">
            <v>NULL</v>
          </cell>
          <cell r="BB808" t="str">
            <v>NULL</v>
          </cell>
        </row>
        <row r="809">
          <cell r="D809">
            <v>139017</v>
          </cell>
          <cell r="E809">
            <v>3506002</v>
          </cell>
          <cell r="F809" t="str">
            <v>Al-Huda Primary School</v>
          </cell>
          <cell r="G809" t="str">
            <v>Other Independent School</v>
          </cell>
          <cell r="H809">
            <v>41232</v>
          </cell>
          <cell r="I809">
            <v>135</v>
          </cell>
          <cell r="J809" t="str">
            <v>North West</v>
          </cell>
          <cell r="K809" t="str">
            <v>North West</v>
          </cell>
          <cell r="L809" t="str">
            <v>Bolton</v>
          </cell>
          <cell r="M809" t="str">
            <v>Bolton North East</v>
          </cell>
          <cell r="N809" t="str">
            <v>BL1 3EH</v>
          </cell>
          <cell r="O809" t="str">
            <v>Does not have a sixth form</v>
          </cell>
          <cell r="P809">
            <v>5</v>
          </cell>
          <cell r="Q809">
            <v>11</v>
          </cell>
          <cell r="R809" t="str">
            <v>None</v>
          </cell>
          <cell r="S809" t="str">
            <v>Ofsted</v>
          </cell>
          <cell r="T809" t="str">
            <v>NULL</v>
          </cell>
          <cell r="U809" t="str">
            <v>NULL</v>
          </cell>
          <cell r="V809" t="str">
            <v>NULL</v>
          </cell>
          <cell r="W809" t="str">
            <v>NULL</v>
          </cell>
          <cell r="X809" t="str">
            <v>NULL</v>
          </cell>
          <cell r="Y809" t="str">
            <v>NULL</v>
          </cell>
          <cell r="Z809" t="str">
            <v>NULL</v>
          </cell>
          <cell r="AA809">
            <v>10020751</v>
          </cell>
          <cell r="AB809" t="str">
            <v>Independent School standard inspection</v>
          </cell>
          <cell r="AC809" t="str">
            <v>Independent Standard Inspection</v>
          </cell>
          <cell r="AD809">
            <v>42633</v>
          </cell>
          <cell r="AE809">
            <v>42635</v>
          </cell>
          <cell r="AF809">
            <v>42656</v>
          </cell>
          <cell r="AG809">
            <v>2</v>
          </cell>
          <cell r="AH809">
            <v>2</v>
          </cell>
          <cell r="AI809">
            <v>2</v>
          </cell>
          <cell r="AJ809">
            <v>2</v>
          </cell>
          <cell r="AK809">
            <v>1</v>
          </cell>
          <cell r="AL809">
            <v>2</v>
          </cell>
          <cell r="AM809" t="str">
            <v>NULL</v>
          </cell>
          <cell r="AN809" t="str">
            <v>Yes</v>
          </cell>
          <cell r="AO809" t="str">
            <v>ITS422844</v>
          </cell>
          <cell r="AP809" t="str">
            <v>Independent school standard inspection - first</v>
          </cell>
          <cell r="AQ809" t="str">
            <v>Independent Standard Inspection</v>
          </cell>
          <cell r="AR809">
            <v>41597</v>
          </cell>
          <cell r="AS809">
            <v>41599</v>
          </cell>
          <cell r="AT809">
            <v>41620</v>
          </cell>
          <cell r="AU809">
            <v>2</v>
          </cell>
          <cell r="AV809">
            <v>2</v>
          </cell>
          <cell r="AW809">
            <v>2</v>
          </cell>
          <cell r="AX809">
            <v>2</v>
          </cell>
          <cell r="AY809" t="str">
            <v>NULL</v>
          </cell>
          <cell r="AZ809" t="str">
            <v>NULL</v>
          </cell>
          <cell r="BA809" t="str">
            <v>NULL</v>
          </cell>
          <cell r="BB809" t="str">
            <v>NULL</v>
          </cell>
        </row>
        <row r="810">
          <cell r="D810">
            <v>136823</v>
          </cell>
          <cell r="E810">
            <v>8566006</v>
          </cell>
          <cell r="F810" t="str">
            <v>Al-Ihsaan Community College</v>
          </cell>
          <cell r="G810" t="str">
            <v>Other Independent School</v>
          </cell>
          <cell r="H810">
            <v>40721</v>
          </cell>
          <cell r="I810">
            <v>43</v>
          </cell>
          <cell r="J810" t="str">
            <v>East Midlands</v>
          </cell>
          <cell r="K810" t="str">
            <v>East Midlands</v>
          </cell>
          <cell r="L810" t="str">
            <v>Leicester</v>
          </cell>
          <cell r="M810" t="str">
            <v>Leicester South</v>
          </cell>
          <cell r="N810" t="str">
            <v>LE1 2HX</v>
          </cell>
          <cell r="O810" t="str">
            <v>Does not have a sixth form</v>
          </cell>
          <cell r="P810">
            <v>11</v>
          </cell>
          <cell r="Q810">
            <v>16</v>
          </cell>
          <cell r="R810" t="str">
            <v>None</v>
          </cell>
          <cell r="S810" t="str">
            <v>Ofsted</v>
          </cell>
          <cell r="T810">
            <v>1</v>
          </cell>
          <cell r="U810">
            <v>10045495</v>
          </cell>
          <cell r="V810" t="str">
            <v>Independent school evaluation of school action plan</v>
          </cell>
          <cell r="W810">
            <v>43136</v>
          </cell>
          <cell r="X810">
            <v>43136</v>
          </cell>
          <cell r="Y810" t="str">
            <v>NULL</v>
          </cell>
          <cell r="Z810" t="str">
            <v>Action plan is not acceptable</v>
          </cell>
          <cell r="AA810">
            <v>10012981</v>
          </cell>
          <cell r="AB810" t="str">
            <v>Independent School standard inspection</v>
          </cell>
          <cell r="AC810" t="str">
            <v>Independent Standard Inspection</v>
          </cell>
          <cell r="AD810">
            <v>43011</v>
          </cell>
          <cell r="AE810">
            <v>43013</v>
          </cell>
          <cell r="AF810">
            <v>43042</v>
          </cell>
          <cell r="AG810">
            <v>3</v>
          </cell>
          <cell r="AH810">
            <v>3</v>
          </cell>
          <cell r="AI810">
            <v>3</v>
          </cell>
          <cell r="AJ810">
            <v>3</v>
          </cell>
          <cell r="AK810">
            <v>3</v>
          </cell>
          <cell r="AL810" t="str">
            <v>NULL</v>
          </cell>
          <cell r="AM810" t="str">
            <v>NULL</v>
          </cell>
          <cell r="AN810" t="str">
            <v>Yes</v>
          </cell>
          <cell r="AO810" t="str">
            <v>ITS393252</v>
          </cell>
          <cell r="AP810" t="str">
            <v>Independent school standard inspection - first</v>
          </cell>
          <cell r="AQ810" t="str">
            <v>Independent Standard Inspection</v>
          </cell>
          <cell r="AR810">
            <v>41080</v>
          </cell>
          <cell r="AS810">
            <v>41081</v>
          </cell>
          <cell r="AT810">
            <v>41100</v>
          </cell>
          <cell r="AU810">
            <v>3</v>
          </cell>
          <cell r="AV810">
            <v>3</v>
          </cell>
          <cell r="AW810">
            <v>3</v>
          </cell>
          <cell r="AX810" t="str">
            <v>NULL</v>
          </cell>
          <cell r="AY810" t="str">
            <v>NULL</v>
          </cell>
          <cell r="AZ810">
            <v>8</v>
          </cell>
          <cell r="BA810" t="str">
            <v>NULL</v>
          </cell>
          <cell r="BB810" t="str">
            <v>NULL</v>
          </cell>
        </row>
        <row r="811">
          <cell r="D811">
            <v>136098</v>
          </cell>
          <cell r="E811">
            <v>8886042</v>
          </cell>
          <cell r="F811" t="str">
            <v>Al-Ikhlaas Primary School</v>
          </cell>
          <cell r="G811" t="str">
            <v>Other Independent School</v>
          </cell>
          <cell r="H811">
            <v>40283</v>
          </cell>
          <cell r="I811">
            <v>162</v>
          </cell>
          <cell r="J811" t="str">
            <v>North West</v>
          </cell>
          <cell r="K811" t="str">
            <v>North West</v>
          </cell>
          <cell r="L811" t="str">
            <v>Lancashire</v>
          </cell>
          <cell r="M811" t="str">
            <v>Pendle</v>
          </cell>
          <cell r="N811" t="str">
            <v>BB9 7TN</v>
          </cell>
          <cell r="O811" t="str">
            <v>Does not have a sixth form</v>
          </cell>
          <cell r="P811">
            <v>3</v>
          </cell>
          <cell r="Q811">
            <v>11</v>
          </cell>
          <cell r="R811" t="str">
            <v>Islam</v>
          </cell>
          <cell r="S811" t="str">
            <v>Ofsted</v>
          </cell>
          <cell r="T811" t="str">
            <v>NULL</v>
          </cell>
          <cell r="U811" t="str">
            <v>NULL</v>
          </cell>
          <cell r="V811" t="str">
            <v>NULL</v>
          </cell>
          <cell r="W811" t="str">
            <v>NULL</v>
          </cell>
          <cell r="X811" t="str">
            <v>NULL</v>
          </cell>
          <cell r="Y811" t="str">
            <v>NULL</v>
          </cell>
          <cell r="Z811" t="str">
            <v>NULL</v>
          </cell>
          <cell r="AA811">
            <v>10034030</v>
          </cell>
          <cell r="AB811" t="str">
            <v>Independent School standard inspection</v>
          </cell>
          <cell r="AC811" t="str">
            <v>Independent Standard Inspection</v>
          </cell>
          <cell r="AD811">
            <v>42927</v>
          </cell>
          <cell r="AE811">
            <v>42929</v>
          </cell>
          <cell r="AF811">
            <v>43000</v>
          </cell>
          <cell r="AG811">
            <v>1</v>
          </cell>
          <cell r="AH811">
            <v>1</v>
          </cell>
          <cell r="AI811">
            <v>1</v>
          </cell>
          <cell r="AJ811">
            <v>1</v>
          </cell>
          <cell r="AK811">
            <v>1</v>
          </cell>
          <cell r="AL811">
            <v>1</v>
          </cell>
          <cell r="AM811" t="str">
            <v>NULL</v>
          </cell>
          <cell r="AN811" t="str">
            <v>Yes</v>
          </cell>
          <cell r="AO811" t="str">
            <v>ITS364338</v>
          </cell>
          <cell r="AP811" t="str">
            <v>Independent School standard inspection</v>
          </cell>
          <cell r="AQ811" t="str">
            <v>Independent Standard Inspection</v>
          </cell>
          <cell r="AR811">
            <v>40567</v>
          </cell>
          <cell r="AS811">
            <v>40568</v>
          </cell>
          <cell r="AT811">
            <v>40589</v>
          </cell>
          <cell r="AU811">
            <v>2</v>
          </cell>
          <cell r="AV811">
            <v>2</v>
          </cell>
          <cell r="AW811">
            <v>2</v>
          </cell>
          <cell r="AX811" t="str">
            <v>NULL</v>
          </cell>
          <cell r="AY811" t="str">
            <v>NULL</v>
          </cell>
          <cell r="AZ811">
            <v>3</v>
          </cell>
          <cell r="BA811" t="str">
            <v>NULL</v>
          </cell>
          <cell r="BB811" t="str">
            <v>NULL</v>
          </cell>
        </row>
        <row r="812">
          <cell r="D812">
            <v>135390</v>
          </cell>
          <cell r="E812">
            <v>8566020</v>
          </cell>
          <cell r="F812" t="str">
            <v>Al-Islamia Institute for Education</v>
          </cell>
          <cell r="G812" t="str">
            <v>Other Independent School</v>
          </cell>
          <cell r="H812">
            <v>39326</v>
          </cell>
          <cell r="I812">
            <v>119</v>
          </cell>
          <cell r="J812" t="str">
            <v>East Midlands</v>
          </cell>
          <cell r="K812" t="str">
            <v>East Midlands</v>
          </cell>
          <cell r="L812" t="str">
            <v>Leicester</v>
          </cell>
          <cell r="M812" t="str">
            <v>Leicester South</v>
          </cell>
          <cell r="N812" t="str">
            <v>LE2 0SA</v>
          </cell>
          <cell r="O812" t="str">
            <v>Does not have a sixth form</v>
          </cell>
          <cell r="P812">
            <v>2</v>
          </cell>
          <cell r="Q812">
            <v>11</v>
          </cell>
          <cell r="R812" t="str">
            <v>None</v>
          </cell>
          <cell r="S812" t="str">
            <v>Ofsted</v>
          </cell>
          <cell r="T812" t="str">
            <v>NULL</v>
          </cell>
          <cell r="U812" t="str">
            <v>NULL</v>
          </cell>
          <cell r="V812" t="str">
            <v>NULL</v>
          </cell>
          <cell r="W812" t="str">
            <v>NULL</v>
          </cell>
          <cell r="X812" t="str">
            <v>NULL</v>
          </cell>
          <cell r="Y812" t="str">
            <v>NULL</v>
          </cell>
          <cell r="Z812" t="str">
            <v>NULL</v>
          </cell>
          <cell r="AA812">
            <v>10007686</v>
          </cell>
          <cell r="AB812" t="str">
            <v>Independent School standard inspection</v>
          </cell>
          <cell r="AC812" t="str">
            <v>Independent Standard Inspection</v>
          </cell>
          <cell r="AD812">
            <v>42402</v>
          </cell>
          <cell r="AE812">
            <v>42404</v>
          </cell>
          <cell r="AF812">
            <v>42431</v>
          </cell>
          <cell r="AG812">
            <v>2</v>
          </cell>
          <cell r="AH812">
            <v>2</v>
          </cell>
          <cell r="AI812">
            <v>2</v>
          </cell>
          <cell r="AJ812">
            <v>2</v>
          </cell>
          <cell r="AK812">
            <v>1</v>
          </cell>
          <cell r="AL812" t="str">
            <v>NULL</v>
          </cell>
          <cell r="AM812" t="str">
            <v>NULL</v>
          </cell>
          <cell r="AN812" t="str">
            <v>Yes</v>
          </cell>
          <cell r="AO812" t="str">
            <v>ITS385126</v>
          </cell>
          <cell r="AP812" t="str">
            <v>Independent School standard inspection</v>
          </cell>
          <cell r="AQ812" t="str">
            <v>Independent Standard Inspection</v>
          </cell>
          <cell r="AR812">
            <v>40820</v>
          </cell>
          <cell r="AS812">
            <v>40821</v>
          </cell>
          <cell r="AT812">
            <v>40847</v>
          </cell>
          <cell r="AU812">
            <v>2</v>
          </cell>
          <cell r="AV812">
            <v>2</v>
          </cell>
          <cell r="AW812">
            <v>2</v>
          </cell>
          <cell r="AX812" t="str">
            <v>NULL</v>
          </cell>
          <cell r="AY812" t="str">
            <v>NULL</v>
          </cell>
          <cell r="AZ812">
            <v>2</v>
          </cell>
          <cell r="BA812" t="str">
            <v>NULL</v>
          </cell>
          <cell r="BB812" t="str">
            <v>NULL</v>
          </cell>
        </row>
        <row r="813">
          <cell r="D813">
            <v>136019</v>
          </cell>
          <cell r="E813">
            <v>8656043</v>
          </cell>
          <cell r="F813" t="str">
            <v>On Track Education Centre Westbury</v>
          </cell>
          <cell r="G813" t="str">
            <v>Other Independent Special School</v>
          </cell>
          <cell r="H813">
            <v>40115</v>
          </cell>
          <cell r="I813">
            <v>24</v>
          </cell>
          <cell r="J813" t="str">
            <v>South West</v>
          </cell>
          <cell r="K813" t="str">
            <v>South West</v>
          </cell>
          <cell r="L813" t="str">
            <v>Wiltshire</v>
          </cell>
          <cell r="M813" t="str">
            <v>South West Wiltshire</v>
          </cell>
          <cell r="N813" t="str">
            <v>BA13 4JY</v>
          </cell>
          <cell r="O813" t="str">
            <v>Has a sixth form</v>
          </cell>
          <cell r="P813">
            <v>11</v>
          </cell>
          <cell r="Q813">
            <v>18</v>
          </cell>
          <cell r="R813" t="str">
            <v>None</v>
          </cell>
          <cell r="S813" t="str">
            <v>Ofsted</v>
          </cell>
          <cell r="T813" t="str">
            <v>NULL</v>
          </cell>
          <cell r="U813" t="str">
            <v>NULL</v>
          </cell>
          <cell r="V813" t="str">
            <v>NULL</v>
          </cell>
          <cell r="W813" t="str">
            <v>NULL</v>
          </cell>
          <cell r="X813" t="str">
            <v>NULL</v>
          </cell>
          <cell r="Y813" t="str">
            <v>NULL</v>
          </cell>
          <cell r="Z813" t="str">
            <v>NULL</v>
          </cell>
          <cell r="AA813">
            <v>10033893</v>
          </cell>
          <cell r="AB813" t="str">
            <v>Independent School standard inspection</v>
          </cell>
          <cell r="AC813" t="str">
            <v>Independent Standard Inspection</v>
          </cell>
          <cell r="AD813">
            <v>42900</v>
          </cell>
          <cell r="AE813">
            <v>42902</v>
          </cell>
          <cell r="AF813">
            <v>42929</v>
          </cell>
          <cell r="AG813">
            <v>2</v>
          </cell>
          <cell r="AH813">
            <v>2</v>
          </cell>
          <cell r="AI813">
            <v>2</v>
          </cell>
          <cell r="AJ813">
            <v>2</v>
          </cell>
          <cell r="AK813">
            <v>2</v>
          </cell>
          <cell r="AL813" t="str">
            <v>NULL</v>
          </cell>
          <cell r="AM813" t="str">
            <v>NULL</v>
          </cell>
          <cell r="AN813" t="str">
            <v>Yes</v>
          </cell>
          <cell r="AO813" t="str">
            <v>ITS422822</v>
          </cell>
          <cell r="AP813" t="str">
            <v>Independent School standard inspection</v>
          </cell>
          <cell r="AQ813" t="str">
            <v>Independent Standard Inspection</v>
          </cell>
          <cell r="AR813">
            <v>41709</v>
          </cell>
          <cell r="AS813">
            <v>41711</v>
          </cell>
          <cell r="AT813">
            <v>41731</v>
          </cell>
          <cell r="AU813">
            <v>2</v>
          </cell>
          <cell r="AV813">
            <v>2</v>
          </cell>
          <cell r="AW813">
            <v>2</v>
          </cell>
          <cell r="AX813">
            <v>2</v>
          </cell>
          <cell r="AY813" t="str">
            <v>NULL</v>
          </cell>
          <cell r="AZ813" t="str">
            <v>NULL</v>
          </cell>
          <cell r="BA813" t="str">
            <v>NULL</v>
          </cell>
          <cell r="BB813" t="str">
            <v>NULL</v>
          </cell>
        </row>
        <row r="814">
          <cell r="D814">
            <v>133570</v>
          </cell>
          <cell r="E814">
            <v>8736041</v>
          </cell>
          <cell r="F814" t="str">
            <v>On Track Education Centre Wisbech</v>
          </cell>
          <cell r="G814" t="str">
            <v>Other Independent Special School</v>
          </cell>
          <cell r="H814">
            <v>38930</v>
          </cell>
          <cell r="I814">
            <v>15</v>
          </cell>
          <cell r="J814" t="str">
            <v>East of England</v>
          </cell>
          <cell r="K814" t="str">
            <v>East of England</v>
          </cell>
          <cell r="L814" t="str">
            <v>Cambridgeshire</v>
          </cell>
          <cell r="M814" t="str">
            <v>North East Cambridgeshire</v>
          </cell>
          <cell r="N814" t="str">
            <v>PE13 2RJ</v>
          </cell>
          <cell r="O814" t="str">
            <v>Has a sixth form</v>
          </cell>
          <cell r="P814">
            <v>11</v>
          </cell>
          <cell r="Q814">
            <v>18</v>
          </cell>
          <cell r="R814" t="str">
            <v>None</v>
          </cell>
          <cell r="S814" t="str">
            <v>Ofsted</v>
          </cell>
          <cell r="T814">
            <v>3</v>
          </cell>
          <cell r="U814">
            <v>10048704</v>
          </cell>
          <cell r="V814" t="str">
            <v>Independent school Progress Monitoring inspection</v>
          </cell>
          <cell r="W814">
            <v>43175</v>
          </cell>
          <cell r="X814">
            <v>43175</v>
          </cell>
          <cell r="Y814" t="str">
            <v>NULL</v>
          </cell>
          <cell r="Z814" t="str">
            <v>Did not meet all standards that were checked</v>
          </cell>
          <cell r="AA814">
            <v>10006070</v>
          </cell>
          <cell r="AB814" t="str">
            <v>Independent School standard inspection</v>
          </cell>
          <cell r="AC814" t="str">
            <v>Independent Standard Inspection</v>
          </cell>
          <cell r="AD814">
            <v>42766</v>
          </cell>
          <cell r="AE814">
            <v>42768</v>
          </cell>
          <cell r="AF814">
            <v>42808</v>
          </cell>
          <cell r="AG814">
            <v>3</v>
          </cell>
          <cell r="AH814">
            <v>3</v>
          </cell>
          <cell r="AI814">
            <v>3</v>
          </cell>
          <cell r="AJ814">
            <v>3</v>
          </cell>
          <cell r="AK814">
            <v>3</v>
          </cell>
          <cell r="AL814" t="str">
            <v>NULL</v>
          </cell>
          <cell r="AM814" t="str">
            <v>NULL</v>
          </cell>
          <cell r="AN814" t="str">
            <v>Yes</v>
          </cell>
          <cell r="AO814" t="str">
            <v>ITS408726</v>
          </cell>
          <cell r="AP814" t="str">
            <v>Independent School standard inspection</v>
          </cell>
          <cell r="AQ814" t="str">
            <v>Independent Standard Inspection</v>
          </cell>
          <cell r="AR814">
            <v>41221</v>
          </cell>
          <cell r="AS814">
            <v>41222</v>
          </cell>
          <cell r="AT814">
            <v>41247</v>
          </cell>
          <cell r="AU814">
            <v>2</v>
          </cell>
          <cell r="AV814">
            <v>2</v>
          </cell>
          <cell r="AW814">
            <v>2</v>
          </cell>
          <cell r="AX814" t="str">
            <v>NULL</v>
          </cell>
          <cell r="AY814" t="str">
            <v>NULL</v>
          </cell>
          <cell r="AZ814">
            <v>8</v>
          </cell>
          <cell r="BA814" t="str">
            <v>NULL</v>
          </cell>
          <cell r="BB814" t="str">
            <v>NULL</v>
          </cell>
        </row>
        <row r="815">
          <cell r="D815">
            <v>136260</v>
          </cell>
          <cell r="E815">
            <v>8856039</v>
          </cell>
          <cell r="F815" t="str">
            <v>Our Place</v>
          </cell>
          <cell r="G815" t="str">
            <v>Other Independent Special School</v>
          </cell>
          <cell r="H815">
            <v>40507</v>
          </cell>
          <cell r="I815">
            <v>6</v>
          </cell>
          <cell r="J815" t="str">
            <v>West Midlands</v>
          </cell>
          <cell r="K815" t="str">
            <v>West Midlands</v>
          </cell>
          <cell r="L815" t="str">
            <v>Worcestershire</v>
          </cell>
          <cell r="M815" t="str">
            <v>West Worcestershire</v>
          </cell>
          <cell r="N815" t="str">
            <v>WR6 5JE</v>
          </cell>
          <cell r="O815" t="str">
            <v>Has a sixth form</v>
          </cell>
          <cell r="P815">
            <v>9</v>
          </cell>
          <cell r="Q815">
            <v>18</v>
          </cell>
          <cell r="R815" t="str">
            <v>None</v>
          </cell>
          <cell r="S815" t="str">
            <v>Ofsted</v>
          </cell>
          <cell r="T815" t="str">
            <v>NULL</v>
          </cell>
          <cell r="U815" t="str">
            <v>NULL</v>
          </cell>
          <cell r="V815" t="str">
            <v>NULL</v>
          </cell>
          <cell r="W815" t="str">
            <v>NULL</v>
          </cell>
          <cell r="X815" t="str">
            <v>NULL</v>
          </cell>
          <cell r="Y815" t="str">
            <v>NULL</v>
          </cell>
          <cell r="Z815" t="str">
            <v>NULL</v>
          </cell>
          <cell r="AA815" t="str">
            <v>ITS446256</v>
          </cell>
          <cell r="AB815" t="str">
            <v>Independent school standard inspection - aligned with CH</v>
          </cell>
          <cell r="AC815" t="str">
            <v>Independent Standard Inspection</v>
          </cell>
          <cell r="AD815">
            <v>41913</v>
          </cell>
          <cell r="AE815">
            <v>41915</v>
          </cell>
          <cell r="AF815">
            <v>41953</v>
          </cell>
          <cell r="AG815">
            <v>3</v>
          </cell>
          <cell r="AH815">
            <v>3</v>
          </cell>
          <cell r="AI815">
            <v>3</v>
          </cell>
          <cell r="AJ815">
            <v>3</v>
          </cell>
          <cell r="AK815" t="str">
            <v>NULL</v>
          </cell>
          <cell r="AL815">
            <v>9</v>
          </cell>
          <cell r="AM815">
            <v>3</v>
          </cell>
          <cell r="AN815" t="str">
            <v>NULL</v>
          </cell>
          <cell r="AO815" t="str">
            <v>ITS385195</v>
          </cell>
          <cell r="AP815" t="str">
            <v xml:space="preserve">Independent School standard inspection - integrated </v>
          </cell>
          <cell r="AQ815" t="str">
            <v>Independent Standard Inspection</v>
          </cell>
          <cell r="AR815">
            <v>40827</v>
          </cell>
          <cell r="AS815">
            <v>40828</v>
          </cell>
          <cell r="AT815">
            <v>40844</v>
          </cell>
          <cell r="AU815">
            <v>3</v>
          </cell>
          <cell r="AV815">
            <v>3</v>
          </cell>
          <cell r="AW815">
            <v>3</v>
          </cell>
          <cell r="AX815" t="str">
            <v>NULL</v>
          </cell>
          <cell r="AY815" t="str">
            <v>NULL</v>
          </cell>
          <cell r="AZ815">
            <v>8</v>
          </cell>
          <cell r="BA815" t="str">
            <v>NULL</v>
          </cell>
          <cell r="BB815" t="str">
            <v>NULL</v>
          </cell>
        </row>
        <row r="816">
          <cell r="D816">
            <v>123621</v>
          </cell>
          <cell r="E816">
            <v>8946003</v>
          </cell>
          <cell r="F816" t="str">
            <v>Overley Hall School</v>
          </cell>
          <cell r="G816" t="str">
            <v>Other Independent Special School</v>
          </cell>
          <cell r="H816">
            <v>29598</v>
          </cell>
          <cell r="I816">
            <v>20</v>
          </cell>
          <cell r="J816" t="str">
            <v>West Midlands</v>
          </cell>
          <cell r="K816" t="str">
            <v>West Midlands</v>
          </cell>
          <cell r="L816" t="str">
            <v>Telford and Wrekin</v>
          </cell>
          <cell r="M816" t="str">
            <v>The Wrekin</v>
          </cell>
          <cell r="N816" t="str">
            <v>TF6 5HE</v>
          </cell>
          <cell r="O816" t="str">
            <v>Has a sixth form</v>
          </cell>
          <cell r="P816">
            <v>8</v>
          </cell>
          <cell r="Q816">
            <v>19</v>
          </cell>
          <cell r="R816" t="str">
            <v>None</v>
          </cell>
          <cell r="S816" t="str">
            <v>Ofsted</v>
          </cell>
          <cell r="T816" t="str">
            <v>NULL</v>
          </cell>
          <cell r="U816" t="str">
            <v>NULL</v>
          </cell>
          <cell r="V816" t="str">
            <v>NULL</v>
          </cell>
          <cell r="W816" t="str">
            <v>NULL</v>
          </cell>
          <cell r="X816" t="str">
            <v>NULL</v>
          </cell>
          <cell r="Y816" t="str">
            <v>NULL</v>
          </cell>
          <cell r="Z816" t="str">
            <v>NULL</v>
          </cell>
          <cell r="AA816">
            <v>10006120</v>
          </cell>
          <cell r="AB816" t="str">
            <v>Independent school standard inspection - aligned with CH</v>
          </cell>
          <cell r="AC816" t="str">
            <v>Independent Standard Inspection</v>
          </cell>
          <cell r="AD816">
            <v>42340</v>
          </cell>
          <cell r="AE816">
            <v>42342</v>
          </cell>
          <cell r="AF816">
            <v>42390</v>
          </cell>
          <cell r="AG816">
            <v>1</v>
          </cell>
          <cell r="AH816">
            <v>1</v>
          </cell>
          <cell r="AI816">
            <v>1</v>
          </cell>
          <cell r="AJ816">
            <v>1</v>
          </cell>
          <cell r="AK816">
            <v>1</v>
          </cell>
          <cell r="AL816" t="str">
            <v>NULL</v>
          </cell>
          <cell r="AM816">
            <v>1</v>
          </cell>
          <cell r="AN816" t="str">
            <v>Yes</v>
          </cell>
          <cell r="AO816" t="str">
            <v>ITS393334</v>
          </cell>
          <cell r="AP816" t="str">
            <v xml:space="preserve">Independent School standard inspection - integrated </v>
          </cell>
          <cell r="AQ816" t="str">
            <v>Independent Standard Inspection</v>
          </cell>
          <cell r="AR816">
            <v>41080</v>
          </cell>
          <cell r="AS816">
            <v>41081</v>
          </cell>
          <cell r="AT816">
            <v>41103</v>
          </cell>
          <cell r="AU816">
            <v>3</v>
          </cell>
          <cell r="AV816">
            <v>3</v>
          </cell>
          <cell r="AW816">
            <v>3</v>
          </cell>
          <cell r="AX816" t="str">
            <v>NULL</v>
          </cell>
          <cell r="AY816" t="str">
            <v>NULL</v>
          </cell>
          <cell r="AZ816">
            <v>8</v>
          </cell>
          <cell r="BA816" t="str">
            <v>NULL</v>
          </cell>
          <cell r="BB816" t="str">
            <v>NULL</v>
          </cell>
        </row>
        <row r="817">
          <cell r="D817">
            <v>131138</v>
          </cell>
          <cell r="E817">
            <v>8886030</v>
          </cell>
          <cell r="F817" t="str">
            <v>Progress School</v>
          </cell>
          <cell r="G817" t="str">
            <v>Other Independent Special School</v>
          </cell>
          <cell r="H817">
            <v>35415</v>
          </cell>
          <cell r="I817">
            <v>5</v>
          </cell>
          <cell r="J817" t="str">
            <v>North West</v>
          </cell>
          <cell r="K817" t="str">
            <v>North West</v>
          </cell>
          <cell r="L817" t="str">
            <v>Lancashire</v>
          </cell>
          <cell r="M817" t="str">
            <v>Chorley</v>
          </cell>
          <cell r="N817" t="str">
            <v>PR5 6AQ</v>
          </cell>
          <cell r="O817" t="str">
            <v>Has a sixth form</v>
          </cell>
          <cell r="P817">
            <v>7</v>
          </cell>
          <cell r="Q817">
            <v>19</v>
          </cell>
          <cell r="R817" t="str">
            <v>None</v>
          </cell>
          <cell r="S817" t="str">
            <v>Ofsted</v>
          </cell>
          <cell r="T817" t="str">
            <v>NULL</v>
          </cell>
          <cell r="U817" t="str">
            <v>NULL</v>
          </cell>
          <cell r="V817" t="str">
            <v>NULL</v>
          </cell>
          <cell r="W817" t="str">
            <v>NULL</v>
          </cell>
          <cell r="X817" t="str">
            <v>NULL</v>
          </cell>
          <cell r="Y817" t="str">
            <v>NULL</v>
          </cell>
          <cell r="Z817" t="str">
            <v>NULL</v>
          </cell>
          <cell r="AA817">
            <v>10012964</v>
          </cell>
          <cell r="AB817" t="str">
            <v>Independent School standard inspection</v>
          </cell>
          <cell r="AC817" t="str">
            <v>Independent Standard Inspection</v>
          </cell>
          <cell r="AD817">
            <v>42850</v>
          </cell>
          <cell r="AE817">
            <v>42852</v>
          </cell>
          <cell r="AF817">
            <v>42873</v>
          </cell>
          <cell r="AG817">
            <v>2</v>
          </cell>
          <cell r="AH817">
            <v>2</v>
          </cell>
          <cell r="AI817">
            <v>2</v>
          </cell>
          <cell r="AJ817">
            <v>1</v>
          </cell>
          <cell r="AK817">
            <v>2</v>
          </cell>
          <cell r="AL817" t="str">
            <v>NULL</v>
          </cell>
          <cell r="AM817">
            <v>2</v>
          </cell>
          <cell r="AN817" t="str">
            <v>Yes</v>
          </cell>
          <cell r="AO817" t="str">
            <v>ITS420179</v>
          </cell>
          <cell r="AP817" t="str">
            <v>Independent School standard inspection</v>
          </cell>
          <cell r="AQ817" t="str">
            <v>Independent Standard Inspection</v>
          </cell>
          <cell r="AR817">
            <v>41395</v>
          </cell>
          <cell r="AS817">
            <v>41396</v>
          </cell>
          <cell r="AT817">
            <v>41418</v>
          </cell>
          <cell r="AU817">
            <v>1</v>
          </cell>
          <cell r="AV817">
            <v>1</v>
          </cell>
          <cell r="AW817">
            <v>1</v>
          </cell>
          <cell r="AX817">
            <v>1</v>
          </cell>
          <cell r="AY817" t="str">
            <v>NULL</v>
          </cell>
          <cell r="AZ817" t="str">
            <v>NULL</v>
          </cell>
          <cell r="BA817" t="str">
            <v>NULL</v>
          </cell>
          <cell r="BB817" t="str">
            <v>NULL</v>
          </cell>
        </row>
        <row r="818">
          <cell r="D818">
            <v>113950</v>
          </cell>
          <cell r="E818">
            <v>8356016</v>
          </cell>
          <cell r="F818" t="str">
            <v>Purbeck View School</v>
          </cell>
          <cell r="G818" t="str">
            <v>Other Independent Special School</v>
          </cell>
          <cell r="H818">
            <v>34534</v>
          </cell>
          <cell r="I818">
            <v>43</v>
          </cell>
          <cell r="J818" t="str">
            <v>South West</v>
          </cell>
          <cell r="K818" t="str">
            <v>South West</v>
          </cell>
          <cell r="L818" t="str">
            <v>Dorset</v>
          </cell>
          <cell r="M818" t="str">
            <v>South Dorset</v>
          </cell>
          <cell r="N818" t="str">
            <v>BH19 1PR</v>
          </cell>
          <cell r="O818" t="str">
            <v>Not applicable</v>
          </cell>
          <cell r="P818">
            <v>7</v>
          </cell>
          <cell r="Q818">
            <v>19</v>
          </cell>
          <cell r="R818" t="str">
            <v>None</v>
          </cell>
          <cell r="S818" t="str">
            <v>Ofsted</v>
          </cell>
          <cell r="T818">
            <v>1</v>
          </cell>
          <cell r="U818">
            <v>10044100</v>
          </cell>
          <cell r="V818" t="str">
            <v>Independent school evaluation of school action plan</v>
          </cell>
          <cell r="W818">
            <v>43055</v>
          </cell>
          <cell r="X818">
            <v>43055</v>
          </cell>
          <cell r="Y818" t="str">
            <v>NULL</v>
          </cell>
          <cell r="Z818" t="str">
            <v>Action plan is not acceptable</v>
          </cell>
          <cell r="AA818">
            <v>10026039</v>
          </cell>
          <cell r="AB818" t="str">
            <v>Independent School standard inspection</v>
          </cell>
          <cell r="AC818" t="str">
            <v>Independent Standard Inspection</v>
          </cell>
          <cell r="AD818">
            <v>42913</v>
          </cell>
          <cell r="AE818">
            <v>42915</v>
          </cell>
          <cell r="AF818">
            <v>42948</v>
          </cell>
          <cell r="AG818">
            <v>4</v>
          </cell>
          <cell r="AH818">
            <v>2</v>
          </cell>
          <cell r="AI818">
            <v>2</v>
          </cell>
          <cell r="AJ818">
            <v>4</v>
          </cell>
          <cell r="AK818">
            <v>4</v>
          </cell>
          <cell r="AL818" t="str">
            <v>NULL</v>
          </cell>
          <cell r="AM818">
            <v>4</v>
          </cell>
          <cell r="AN818" t="str">
            <v>No</v>
          </cell>
          <cell r="AO818" t="str">
            <v>ITS422705</v>
          </cell>
          <cell r="AP818" t="str">
            <v xml:space="preserve">Independent School standard inspection - integrated </v>
          </cell>
          <cell r="AQ818" t="str">
            <v>Independent Standard Inspection</v>
          </cell>
          <cell r="AR818">
            <v>41590</v>
          </cell>
          <cell r="AS818">
            <v>41592</v>
          </cell>
          <cell r="AT818">
            <v>41612</v>
          </cell>
          <cell r="AU818">
            <v>2</v>
          </cell>
          <cell r="AV818">
            <v>1</v>
          </cell>
          <cell r="AW818">
            <v>1</v>
          </cell>
          <cell r="AX818">
            <v>2</v>
          </cell>
          <cell r="AY818" t="str">
            <v>NULL</v>
          </cell>
          <cell r="AZ818" t="str">
            <v>NULL</v>
          </cell>
          <cell r="BA818" t="str">
            <v>NULL</v>
          </cell>
          <cell r="BB818" t="str">
            <v>NULL</v>
          </cell>
        </row>
        <row r="819">
          <cell r="D819">
            <v>131353</v>
          </cell>
          <cell r="E819">
            <v>8846011</v>
          </cell>
          <cell r="F819" t="str">
            <v>Queenswood School</v>
          </cell>
          <cell r="G819" t="str">
            <v>Other Independent Special School</v>
          </cell>
          <cell r="H819">
            <v>35695</v>
          </cell>
          <cell r="I819">
            <v>46</v>
          </cell>
          <cell r="J819" t="str">
            <v>West Midlands</v>
          </cell>
          <cell r="K819" t="str">
            <v>West Midlands</v>
          </cell>
          <cell r="L819" t="str">
            <v>Herefordshire</v>
          </cell>
          <cell r="M819" t="str">
            <v>North Herefordshire</v>
          </cell>
          <cell r="N819" t="str">
            <v>HR8 2PZ</v>
          </cell>
          <cell r="O819" t="str">
            <v>Has a sixth form</v>
          </cell>
          <cell r="P819">
            <v>11</v>
          </cell>
          <cell r="Q819">
            <v>19</v>
          </cell>
          <cell r="R819" t="str">
            <v>None</v>
          </cell>
          <cell r="S819" t="str">
            <v>Ofsted</v>
          </cell>
          <cell r="T819">
            <v>2</v>
          </cell>
          <cell r="U819">
            <v>10026128</v>
          </cell>
          <cell r="V819" t="str">
            <v>Independent school emergency inspection</v>
          </cell>
          <cell r="W819">
            <v>42753</v>
          </cell>
          <cell r="X819">
            <v>42753</v>
          </cell>
          <cell r="Y819" t="str">
            <v>NULL</v>
          </cell>
          <cell r="Z819" t="str">
            <v>Met all standards that were checked</v>
          </cell>
          <cell r="AA819" t="str">
            <v>ITS462920</v>
          </cell>
          <cell r="AB819" t="str">
            <v>Independent School standard inspection</v>
          </cell>
          <cell r="AC819" t="str">
            <v>Independent Standard Inspection</v>
          </cell>
          <cell r="AD819">
            <v>42185</v>
          </cell>
          <cell r="AE819">
            <v>42187</v>
          </cell>
          <cell r="AF819">
            <v>42258</v>
          </cell>
          <cell r="AG819">
            <v>2</v>
          </cell>
          <cell r="AH819">
            <v>2</v>
          </cell>
          <cell r="AI819">
            <v>2</v>
          </cell>
          <cell r="AJ819">
            <v>2</v>
          </cell>
          <cell r="AK819" t="str">
            <v>NULL</v>
          </cell>
          <cell r="AL819">
            <v>9</v>
          </cell>
          <cell r="AM819">
            <v>2</v>
          </cell>
          <cell r="AN819" t="str">
            <v>NULL</v>
          </cell>
          <cell r="AO819" t="str">
            <v>ITS385160</v>
          </cell>
          <cell r="AP819" t="str">
            <v>Independent School standard inspection</v>
          </cell>
          <cell r="AQ819" t="str">
            <v>Independent Standard Inspection</v>
          </cell>
          <cell r="AR819">
            <v>40947</v>
          </cell>
          <cell r="AS819">
            <v>40948</v>
          </cell>
          <cell r="AT819">
            <v>40975</v>
          </cell>
          <cell r="AU819">
            <v>2</v>
          </cell>
          <cell r="AV819">
            <v>2</v>
          </cell>
          <cell r="AW819">
            <v>2</v>
          </cell>
          <cell r="AX819" t="str">
            <v>NULL</v>
          </cell>
          <cell r="AY819" t="str">
            <v>NULL</v>
          </cell>
          <cell r="AZ819">
            <v>8</v>
          </cell>
          <cell r="BA819" t="str">
            <v>NULL</v>
          </cell>
          <cell r="BB819" t="str">
            <v>NULL</v>
          </cell>
        </row>
        <row r="820">
          <cell r="D820">
            <v>139603</v>
          </cell>
          <cell r="E820">
            <v>8916023</v>
          </cell>
          <cell r="F820" t="str">
            <v>R.E.A.L Independent Schools</v>
          </cell>
          <cell r="G820" t="str">
            <v>Other Independent Special School</v>
          </cell>
          <cell r="H820">
            <v>41393</v>
          </cell>
          <cell r="I820">
            <v>48</v>
          </cell>
          <cell r="J820" t="str">
            <v>East Midlands</v>
          </cell>
          <cell r="K820" t="str">
            <v>East Midlands</v>
          </cell>
          <cell r="L820" t="str">
            <v>Nottinghamshire</v>
          </cell>
          <cell r="M820" t="str">
            <v>Sherwood</v>
          </cell>
          <cell r="N820" t="str">
            <v>NG21 0PN</v>
          </cell>
          <cell r="O820" t="str">
            <v>Not applicable</v>
          </cell>
          <cell r="P820">
            <v>7</v>
          </cell>
          <cell r="Q820">
            <v>19</v>
          </cell>
          <cell r="R820" t="str">
            <v>None</v>
          </cell>
          <cell r="S820" t="str">
            <v>Ofsted</v>
          </cell>
          <cell r="T820" t="str">
            <v>NULL</v>
          </cell>
          <cell r="U820" t="str">
            <v>NULL</v>
          </cell>
          <cell r="V820" t="str">
            <v>NULL</v>
          </cell>
          <cell r="W820" t="str">
            <v>NULL</v>
          </cell>
          <cell r="X820" t="str">
            <v>NULL</v>
          </cell>
          <cell r="Y820" t="str">
            <v>NULL</v>
          </cell>
          <cell r="Z820" t="str">
            <v>NULL</v>
          </cell>
          <cell r="AA820">
            <v>10026053</v>
          </cell>
          <cell r="AB820" t="str">
            <v>Independent School standard inspection</v>
          </cell>
          <cell r="AC820" t="str">
            <v>Independent Standard Inspection</v>
          </cell>
          <cell r="AD820">
            <v>42927</v>
          </cell>
          <cell r="AE820">
            <v>42929</v>
          </cell>
          <cell r="AF820">
            <v>42989</v>
          </cell>
          <cell r="AG820">
            <v>2</v>
          </cell>
          <cell r="AH820">
            <v>2</v>
          </cell>
          <cell r="AI820">
            <v>2</v>
          </cell>
          <cell r="AJ820">
            <v>1</v>
          </cell>
          <cell r="AK820">
            <v>1</v>
          </cell>
          <cell r="AL820" t="str">
            <v>NULL</v>
          </cell>
          <cell r="AM820">
            <v>2</v>
          </cell>
          <cell r="AN820" t="str">
            <v>Yes</v>
          </cell>
          <cell r="AO820" t="str">
            <v>ITS439268</v>
          </cell>
          <cell r="AP820" t="str">
            <v>Independent school standard inspection - first</v>
          </cell>
          <cell r="AQ820" t="str">
            <v>Independent Standard Inspection</v>
          </cell>
          <cell r="AR820">
            <v>41667</v>
          </cell>
          <cell r="AS820">
            <v>41669</v>
          </cell>
          <cell r="AT820">
            <v>41695</v>
          </cell>
          <cell r="AU820">
            <v>2</v>
          </cell>
          <cell r="AV820">
            <v>2</v>
          </cell>
          <cell r="AW820">
            <v>2</v>
          </cell>
          <cell r="AX820">
            <v>2</v>
          </cell>
          <cell r="AY820" t="str">
            <v>NULL</v>
          </cell>
          <cell r="AZ820" t="str">
            <v>NULL</v>
          </cell>
          <cell r="BA820" t="str">
            <v>NULL</v>
          </cell>
          <cell r="BB820" t="str">
            <v>NULL</v>
          </cell>
        </row>
        <row r="821">
          <cell r="D821">
            <v>113952</v>
          </cell>
          <cell r="E821">
            <v>8356004</v>
          </cell>
          <cell r="F821" t="str">
            <v>Sheiling School</v>
          </cell>
          <cell r="G821" t="str">
            <v>Other Independent Special School</v>
          </cell>
          <cell r="H821">
            <v>21234</v>
          </cell>
          <cell r="I821">
            <v>32</v>
          </cell>
          <cell r="J821" t="str">
            <v>South West</v>
          </cell>
          <cell r="K821" t="str">
            <v>South West</v>
          </cell>
          <cell r="L821" t="str">
            <v>Dorset</v>
          </cell>
          <cell r="M821" t="str">
            <v>Christchurch</v>
          </cell>
          <cell r="N821" t="str">
            <v>BH24 2EB</v>
          </cell>
          <cell r="O821" t="str">
            <v>Has a sixth form</v>
          </cell>
          <cell r="P821">
            <v>5</v>
          </cell>
          <cell r="Q821">
            <v>19</v>
          </cell>
          <cell r="R821" t="str">
            <v>None</v>
          </cell>
          <cell r="S821" t="str">
            <v>Ofsted</v>
          </cell>
          <cell r="T821" t="str">
            <v>NULL</v>
          </cell>
          <cell r="U821" t="str">
            <v>NULL</v>
          </cell>
          <cell r="V821" t="str">
            <v>NULL</v>
          </cell>
          <cell r="W821" t="str">
            <v>NULL</v>
          </cell>
          <cell r="X821" t="str">
            <v>NULL</v>
          </cell>
          <cell r="Y821" t="str">
            <v>NULL</v>
          </cell>
          <cell r="Z821" t="str">
            <v>NULL</v>
          </cell>
          <cell r="AA821">
            <v>10035560</v>
          </cell>
          <cell r="AB821" t="str">
            <v>Independent school standard inspection - aligned with CH</v>
          </cell>
          <cell r="AC821" t="str">
            <v>Independent Standard Inspection</v>
          </cell>
          <cell r="AD821">
            <v>43067</v>
          </cell>
          <cell r="AE821">
            <v>43069</v>
          </cell>
          <cell r="AF821">
            <v>43117</v>
          </cell>
          <cell r="AG821">
            <v>2</v>
          </cell>
          <cell r="AH821">
            <v>2</v>
          </cell>
          <cell r="AI821">
            <v>2</v>
          </cell>
          <cell r="AJ821">
            <v>2</v>
          </cell>
          <cell r="AK821">
            <v>2</v>
          </cell>
          <cell r="AL821" t="str">
            <v>NULL</v>
          </cell>
          <cell r="AM821">
            <v>2</v>
          </cell>
          <cell r="AN821" t="str">
            <v>Yes</v>
          </cell>
          <cell r="AO821" t="str">
            <v>ITS446381</v>
          </cell>
          <cell r="AP821" t="str">
            <v>Independent School standard inspection</v>
          </cell>
          <cell r="AQ821" t="str">
            <v>Independent Standard Inspection</v>
          </cell>
          <cell r="AR821">
            <v>41968</v>
          </cell>
          <cell r="AS821">
            <v>41970</v>
          </cell>
          <cell r="AT821">
            <v>41997</v>
          </cell>
          <cell r="AU821">
            <v>2</v>
          </cell>
          <cell r="AV821">
            <v>2</v>
          </cell>
          <cell r="AW821">
            <v>2</v>
          </cell>
          <cell r="AX821">
            <v>2</v>
          </cell>
          <cell r="AY821" t="str">
            <v>NULL</v>
          </cell>
          <cell r="AZ821">
            <v>9</v>
          </cell>
          <cell r="BA821">
            <v>2</v>
          </cell>
          <cell r="BB821" t="str">
            <v>NULL</v>
          </cell>
        </row>
        <row r="822">
          <cell r="D822">
            <v>109353</v>
          </cell>
          <cell r="E822">
            <v>8036000</v>
          </cell>
          <cell r="F822" t="str">
            <v>Sheiling School (Thornbury)</v>
          </cell>
          <cell r="G822" t="str">
            <v>Other Independent Special School</v>
          </cell>
          <cell r="H822">
            <v>21249</v>
          </cell>
          <cell r="I822">
            <v>31</v>
          </cell>
          <cell r="J822" t="str">
            <v>South West</v>
          </cell>
          <cell r="K822" t="str">
            <v>South West</v>
          </cell>
          <cell r="L822" t="str">
            <v>South Gloucestershire</v>
          </cell>
          <cell r="M822" t="str">
            <v>Thornbury and Yate</v>
          </cell>
          <cell r="N822" t="str">
            <v>BS35 1HP</v>
          </cell>
          <cell r="O822" t="str">
            <v>Has a sixth form</v>
          </cell>
          <cell r="P822">
            <v>6</v>
          </cell>
          <cell r="Q822">
            <v>19</v>
          </cell>
          <cell r="R822" t="str">
            <v>None</v>
          </cell>
          <cell r="S822" t="str">
            <v>Ofsted</v>
          </cell>
          <cell r="T822" t="str">
            <v>NULL</v>
          </cell>
          <cell r="U822" t="str">
            <v>NULL</v>
          </cell>
          <cell r="V822" t="str">
            <v>NULL</v>
          </cell>
          <cell r="W822" t="str">
            <v>NULL</v>
          </cell>
          <cell r="X822" t="str">
            <v>NULL</v>
          </cell>
          <cell r="Y822" t="str">
            <v>NULL</v>
          </cell>
          <cell r="Z822" t="str">
            <v>NULL</v>
          </cell>
          <cell r="AA822">
            <v>10026035</v>
          </cell>
          <cell r="AB822" t="str">
            <v>Independent School standard inspection</v>
          </cell>
          <cell r="AC822" t="str">
            <v>Independent Standard Inspection</v>
          </cell>
          <cell r="AD822">
            <v>42906</v>
          </cell>
          <cell r="AE822">
            <v>42908</v>
          </cell>
          <cell r="AF822">
            <v>42933</v>
          </cell>
          <cell r="AG822">
            <v>2</v>
          </cell>
          <cell r="AH822">
            <v>2</v>
          </cell>
          <cell r="AI822">
            <v>2</v>
          </cell>
          <cell r="AJ822">
            <v>2</v>
          </cell>
          <cell r="AK822">
            <v>2</v>
          </cell>
          <cell r="AL822" t="str">
            <v>NULL</v>
          </cell>
          <cell r="AM822">
            <v>2</v>
          </cell>
          <cell r="AN822" t="str">
            <v>Yes</v>
          </cell>
          <cell r="AO822" t="str">
            <v>ITS422700</v>
          </cell>
          <cell r="AP822" t="str">
            <v xml:space="preserve">Independent School standard inspection - integrated </v>
          </cell>
          <cell r="AQ822" t="str">
            <v>Independent Standard Inspection</v>
          </cell>
          <cell r="AR822">
            <v>41611</v>
          </cell>
          <cell r="AS822">
            <v>41613</v>
          </cell>
          <cell r="AT822">
            <v>41648</v>
          </cell>
          <cell r="AU822">
            <v>2</v>
          </cell>
          <cell r="AV822">
            <v>2</v>
          </cell>
          <cell r="AW822">
            <v>2</v>
          </cell>
          <cell r="AX822">
            <v>2</v>
          </cell>
          <cell r="AY822" t="str">
            <v>NULL</v>
          </cell>
          <cell r="AZ822" t="str">
            <v>NULL</v>
          </cell>
          <cell r="BA822" t="str">
            <v>NULL</v>
          </cell>
          <cell r="BB822" t="str">
            <v>NULL</v>
          </cell>
        </row>
        <row r="823">
          <cell r="D823">
            <v>135380</v>
          </cell>
          <cell r="E823">
            <v>8736044</v>
          </cell>
          <cell r="F823" t="str">
            <v>Shelldene House School</v>
          </cell>
          <cell r="G823" t="str">
            <v>Other Independent Special School</v>
          </cell>
          <cell r="H823">
            <v>39310</v>
          </cell>
          <cell r="I823">
            <v>5</v>
          </cell>
          <cell r="J823" t="str">
            <v>East of England</v>
          </cell>
          <cell r="K823" t="str">
            <v>East of England</v>
          </cell>
          <cell r="L823" t="str">
            <v>Cambridgeshire</v>
          </cell>
          <cell r="M823" t="str">
            <v>North East Cambridgeshire</v>
          </cell>
          <cell r="N823" t="str">
            <v>PE14 0HJ</v>
          </cell>
          <cell r="O823" t="str">
            <v>Not applicable</v>
          </cell>
          <cell r="P823">
            <v>12</v>
          </cell>
          <cell r="Q823">
            <v>19</v>
          </cell>
          <cell r="R823" t="str">
            <v>None</v>
          </cell>
          <cell r="S823" t="str">
            <v>Ofsted</v>
          </cell>
          <cell r="T823" t="str">
            <v>NULL</v>
          </cell>
          <cell r="U823" t="str">
            <v>NULL</v>
          </cell>
          <cell r="V823" t="str">
            <v>NULL</v>
          </cell>
          <cell r="W823" t="str">
            <v>NULL</v>
          </cell>
          <cell r="X823" t="str">
            <v>NULL</v>
          </cell>
          <cell r="Y823" t="str">
            <v>NULL</v>
          </cell>
          <cell r="Z823" t="str">
            <v>NULL</v>
          </cell>
          <cell r="AA823" t="str">
            <v>ITS462934</v>
          </cell>
          <cell r="AB823" t="str">
            <v>Independent School standard inspection</v>
          </cell>
          <cell r="AC823" t="str">
            <v>Independent Standard Inspection</v>
          </cell>
          <cell r="AD823">
            <v>42115</v>
          </cell>
          <cell r="AE823">
            <v>42117</v>
          </cell>
          <cell r="AF823">
            <v>42158</v>
          </cell>
          <cell r="AG823">
            <v>2</v>
          </cell>
          <cell r="AH823">
            <v>2</v>
          </cell>
          <cell r="AI823">
            <v>2</v>
          </cell>
          <cell r="AJ823">
            <v>2</v>
          </cell>
          <cell r="AK823" t="str">
            <v>NULL</v>
          </cell>
          <cell r="AL823">
            <v>9</v>
          </cell>
          <cell r="AM823">
            <v>9</v>
          </cell>
          <cell r="AN823" t="str">
            <v>NULL</v>
          </cell>
          <cell r="AO823" t="str">
            <v>ITS385182</v>
          </cell>
          <cell r="AP823" t="str">
            <v>Independent School standard inspection</v>
          </cell>
          <cell r="AQ823" t="str">
            <v>Independent Standard Inspection</v>
          </cell>
          <cell r="AR823">
            <v>40975</v>
          </cell>
          <cell r="AS823">
            <v>40976</v>
          </cell>
          <cell r="AT823">
            <v>41001</v>
          </cell>
          <cell r="AU823">
            <v>2</v>
          </cell>
          <cell r="AV823">
            <v>2</v>
          </cell>
          <cell r="AW823">
            <v>2</v>
          </cell>
          <cell r="AX823" t="str">
            <v>NULL</v>
          </cell>
          <cell r="AY823" t="str">
            <v>NULL</v>
          </cell>
          <cell r="AZ823">
            <v>8</v>
          </cell>
          <cell r="BA823" t="str">
            <v>NULL</v>
          </cell>
          <cell r="BB823" t="str">
            <v>NULL</v>
          </cell>
        </row>
        <row r="824">
          <cell r="D824">
            <v>121246</v>
          </cell>
          <cell r="E824">
            <v>9266133</v>
          </cell>
          <cell r="F824" t="str">
            <v>Sheridan House School</v>
          </cell>
          <cell r="G824" t="str">
            <v>Other Independent Special School</v>
          </cell>
          <cell r="H824">
            <v>30630</v>
          </cell>
          <cell r="I824">
            <v>61</v>
          </cell>
          <cell r="J824" t="str">
            <v>East of England</v>
          </cell>
          <cell r="K824" t="str">
            <v>East of England</v>
          </cell>
          <cell r="L824" t="str">
            <v>Norfolk</v>
          </cell>
          <cell r="M824" t="str">
            <v>South West Norfolk</v>
          </cell>
          <cell r="N824" t="str">
            <v>IP26 5LQ</v>
          </cell>
          <cell r="O824" t="str">
            <v>Has a sixth form</v>
          </cell>
          <cell r="P824">
            <v>8</v>
          </cell>
          <cell r="Q824">
            <v>19</v>
          </cell>
          <cell r="R824" t="str">
            <v>None</v>
          </cell>
          <cell r="S824" t="str">
            <v>Ofsted</v>
          </cell>
          <cell r="T824">
            <v>1</v>
          </cell>
          <cell r="U824">
            <v>10039918</v>
          </cell>
          <cell r="V824" t="str">
            <v>Independent school Material Change inspection</v>
          </cell>
          <cell r="W824">
            <v>42997</v>
          </cell>
          <cell r="X824">
            <v>42997</v>
          </cell>
          <cell r="Y824">
            <v>43052</v>
          </cell>
          <cell r="Z824" t="str">
            <v>Likely to meet relevant standards</v>
          </cell>
          <cell r="AA824">
            <v>10006048</v>
          </cell>
          <cell r="AB824" t="str">
            <v>Independent School standard inspection</v>
          </cell>
          <cell r="AC824" t="str">
            <v>Independent Standard Inspection</v>
          </cell>
          <cell r="AD824">
            <v>42514</v>
          </cell>
          <cell r="AE824">
            <v>42516</v>
          </cell>
          <cell r="AF824">
            <v>42550</v>
          </cell>
          <cell r="AG824">
            <v>2</v>
          </cell>
          <cell r="AH824">
            <v>2</v>
          </cell>
          <cell r="AI824">
            <v>2</v>
          </cell>
          <cell r="AJ824">
            <v>2</v>
          </cell>
          <cell r="AK824">
            <v>2</v>
          </cell>
          <cell r="AL824" t="str">
            <v>NULL</v>
          </cell>
          <cell r="AM824" t="str">
            <v>NULL</v>
          </cell>
          <cell r="AN824" t="str">
            <v>Yes</v>
          </cell>
          <cell r="AO824" t="str">
            <v>ITS397762</v>
          </cell>
          <cell r="AP824" t="str">
            <v>Independent School standard inspection</v>
          </cell>
          <cell r="AQ824" t="str">
            <v>Independent Standard Inspection</v>
          </cell>
          <cell r="AR824">
            <v>41241</v>
          </cell>
          <cell r="AS824">
            <v>41242</v>
          </cell>
          <cell r="AT824">
            <v>41262</v>
          </cell>
          <cell r="AU824">
            <v>2</v>
          </cell>
          <cell r="AV824">
            <v>2</v>
          </cell>
          <cell r="AW824">
            <v>2</v>
          </cell>
          <cell r="AX824" t="str">
            <v>NULL</v>
          </cell>
          <cell r="AY824" t="str">
            <v>NULL</v>
          </cell>
          <cell r="AZ824">
            <v>8</v>
          </cell>
          <cell r="BA824" t="str">
            <v>NULL</v>
          </cell>
          <cell r="BB824" t="str">
            <v>NULL</v>
          </cell>
        </row>
        <row r="825">
          <cell r="D825">
            <v>135027</v>
          </cell>
          <cell r="E825">
            <v>3526062</v>
          </cell>
          <cell r="F825" t="str">
            <v>Manchester Jewish School for Special Education</v>
          </cell>
          <cell r="G825" t="str">
            <v>Other Independent Special School</v>
          </cell>
          <cell r="H825">
            <v>38460</v>
          </cell>
          <cell r="I825">
            <v>18</v>
          </cell>
          <cell r="J825" t="str">
            <v>North West</v>
          </cell>
          <cell r="K825" t="str">
            <v>North West</v>
          </cell>
          <cell r="L825" t="str">
            <v>Manchester</v>
          </cell>
          <cell r="M825" t="str">
            <v>Blackley and Broughton</v>
          </cell>
          <cell r="N825" t="str">
            <v>M7 4QY</v>
          </cell>
          <cell r="O825" t="str">
            <v>Not applicable</v>
          </cell>
          <cell r="P825">
            <v>4</v>
          </cell>
          <cell r="Q825">
            <v>19</v>
          </cell>
          <cell r="R825" t="str">
            <v>None</v>
          </cell>
          <cell r="S825" t="str">
            <v>Ofsted</v>
          </cell>
          <cell r="T825">
            <v>3</v>
          </cell>
          <cell r="U825">
            <v>10044535</v>
          </cell>
          <cell r="V825" t="str">
            <v>Independent school evaluation of school action plan</v>
          </cell>
          <cell r="W825">
            <v>43075</v>
          </cell>
          <cell r="X825">
            <v>43075</v>
          </cell>
          <cell r="Y825" t="str">
            <v>NULL</v>
          </cell>
          <cell r="Z825" t="str">
            <v>Action plan is acceptable</v>
          </cell>
          <cell r="AA825">
            <v>10006316</v>
          </cell>
          <cell r="AB825" t="str">
            <v>Independent School standard inspection</v>
          </cell>
          <cell r="AC825" t="str">
            <v>Independent Standard Inspection</v>
          </cell>
          <cell r="AD825">
            <v>42682</v>
          </cell>
          <cell r="AE825">
            <v>42684</v>
          </cell>
          <cell r="AF825">
            <v>42725</v>
          </cell>
          <cell r="AG825">
            <v>4</v>
          </cell>
          <cell r="AH825">
            <v>4</v>
          </cell>
          <cell r="AI825">
            <v>4</v>
          </cell>
          <cell r="AJ825">
            <v>4</v>
          </cell>
          <cell r="AK825">
            <v>3</v>
          </cell>
          <cell r="AL825" t="str">
            <v>NULL</v>
          </cell>
          <cell r="AM825">
            <v>4</v>
          </cell>
          <cell r="AN825" t="str">
            <v>No</v>
          </cell>
          <cell r="AO825" t="str">
            <v>ITS393288</v>
          </cell>
          <cell r="AP825" t="str">
            <v>Independent School standard inspection</v>
          </cell>
          <cell r="AQ825" t="str">
            <v>Independent Standard Inspection</v>
          </cell>
          <cell r="AR825">
            <v>41030</v>
          </cell>
          <cell r="AS825">
            <v>41031</v>
          </cell>
          <cell r="AT825">
            <v>41053</v>
          </cell>
          <cell r="AU825">
            <v>2</v>
          </cell>
          <cell r="AV825">
            <v>2</v>
          </cell>
          <cell r="AW825">
            <v>2</v>
          </cell>
          <cell r="AX825" t="str">
            <v>NULL</v>
          </cell>
          <cell r="AY825" t="str">
            <v>NULL</v>
          </cell>
          <cell r="AZ825">
            <v>8</v>
          </cell>
          <cell r="BA825" t="str">
            <v>NULL</v>
          </cell>
          <cell r="BB825" t="str">
            <v>NULL</v>
          </cell>
        </row>
        <row r="826">
          <cell r="D826">
            <v>131531</v>
          </cell>
          <cell r="E826">
            <v>8506085</v>
          </cell>
          <cell r="F826" t="str">
            <v>Tadley Court School</v>
          </cell>
          <cell r="G826" t="str">
            <v>Other Independent Special School</v>
          </cell>
          <cell r="H826">
            <v>38813</v>
          </cell>
          <cell r="I826">
            <v>41</v>
          </cell>
          <cell r="J826" t="str">
            <v>South East</v>
          </cell>
          <cell r="K826" t="str">
            <v>South East</v>
          </cell>
          <cell r="L826" t="str">
            <v>Hampshire</v>
          </cell>
          <cell r="M826" t="str">
            <v>North West Hampshire</v>
          </cell>
          <cell r="N826" t="str">
            <v>RG26 3TB</v>
          </cell>
          <cell r="O826" t="str">
            <v>Has a sixth form</v>
          </cell>
          <cell r="P826">
            <v>5</v>
          </cell>
          <cell r="Q826">
            <v>19</v>
          </cell>
          <cell r="R826" t="str">
            <v>None</v>
          </cell>
          <cell r="S826" t="str">
            <v>Ofsted</v>
          </cell>
          <cell r="T826" t="str">
            <v>NULL</v>
          </cell>
          <cell r="U826" t="str">
            <v>NULL</v>
          </cell>
          <cell r="V826" t="str">
            <v>NULL</v>
          </cell>
          <cell r="W826" t="str">
            <v>NULL</v>
          </cell>
          <cell r="X826" t="str">
            <v>NULL</v>
          </cell>
          <cell r="Y826" t="str">
            <v>NULL</v>
          </cell>
          <cell r="Z826" t="str">
            <v>NULL</v>
          </cell>
          <cell r="AA826">
            <v>10025981</v>
          </cell>
          <cell r="AB826" t="str">
            <v>Independent School standard inspection</v>
          </cell>
          <cell r="AC826" t="str">
            <v>Independent Standard Inspection</v>
          </cell>
          <cell r="AD826">
            <v>43053</v>
          </cell>
          <cell r="AE826">
            <v>43055</v>
          </cell>
          <cell r="AF826">
            <v>43075</v>
          </cell>
          <cell r="AG826">
            <v>2</v>
          </cell>
          <cell r="AH826">
            <v>2</v>
          </cell>
          <cell r="AI826">
            <v>2</v>
          </cell>
          <cell r="AJ826">
            <v>2</v>
          </cell>
          <cell r="AK826">
            <v>1</v>
          </cell>
          <cell r="AL826" t="str">
            <v>NULL</v>
          </cell>
          <cell r="AM826">
            <v>1</v>
          </cell>
          <cell r="AN826" t="str">
            <v>Yes</v>
          </cell>
          <cell r="AO826" t="str">
            <v>ITS422725</v>
          </cell>
          <cell r="AP826" t="str">
            <v xml:space="preserve">Independent School standard inspection - integrated </v>
          </cell>
          <cell r="AQ826" t="str">
            <v>Independent Standard Inspection</v>
          </cell>
          <cell r="AR826">
            <v>41583</v>
          </cell>
          <cell r="AS826">
            <v>41585</v>
          </cell>
          <cell r="AT826">
            <v>41628</v>
          </cell>
          <cell r="AU826">
            <v>4</v>
          </cell>
          <cell r="AV826">
            <v>2</v>
          </cell>
          <cell r="AW826">
            <v>2</v>
          </cell>
          <cell r="AX826">
            <v>4</v>
          </cell>
          <cell r="AY826" t="str">
            <v>NULL</v>
          </cell>
          <cell r="AZ826" t="str">
            <v>NULL</v>
          </cell>
          <cell r="BA826" t="str">
            <v>NULL</v>
          </cell>
          <cell r="BB826" t="str">
            <v>NULL</v>
          </cell>
        </row>
        <row r="827">
          <cell r="D827">
            <v>135837</v>
          </cell>
          <cell r="E827">
            <v>8816060</v>
          </cell>
          <cell r="F827" t="str">
            <v>Teaseldown School</v>
          </cell>
          <cell r="G827" t="str">
            <v>Other Independent Special School</v>
          </cell>
          <cell r="H827">
            <v>39919</v>
          </cell>
          <cell r="I827">
            <v>23</v>
          </cell>
          <cell r="J827" t="str">
            <v>East of England</v>
          </cell>
          <cell r="K827" t="str">
            <v>East of England</v>
          </cell>
          <cell r="L827" t="str">
            <v>Essex</v>
          </cell>
          <cell r="M827" t="str">
            <v>Braintree</v>
          </cell>
          <cell r="N827" t="str">
            <v>CO9 3PX</v>
          </cell>
          <cell r="O827" t="str">
            <v>Not applicable</v>
          </cell>
          <cell r="P827">
            <v>11</v>
          </cell>
          <cell r="Q827">
            <v>19</v>
          </cell>
          <cell r="R827" t="str">
            <v>None</v>
          </cell>
          <cell r="S827" t="str">
            <v>Ofsted</v>
          </cell>
          <cell r="T827" t="str">
            <v>NULL</v>
          </cell>
          <cell r="U827" t="str">
            <v>NULL</v>
          </cell>
          <cell r="V827" t="str">
            <v>NULL</v>
          </cell>
          <cell r="W827" t="str">
            <v>NULL</v>
          </cell>
          <cell r="X827" t="str">
            <v>NULL</v>
          </cell>
          <cell r="Y827" t="str">
            <v>NULL</v>
          </cell>
          <cell r="Z827" t="str">
            <v>NULL</v>
          </cell>
          <cell r="AA827">
            <v>10020918</v>
          </cell>
          <cell r="AB827" t="str">
            <v>Independent School standard inspection</v>
          </cell>
          <cell r="AC827" t="str">
            <v>Independent Standard Inspection</v>
          </cell>
          <cell r="AD827">
            <v>42864</v>
          </cell>
          <cell r="AE827">
            <v>42866</v>
          </cell>
          <cell r="AF827">
            <v>42906</v>
          </cell>
          <cell r="AG827">
            <v>2</v>
          </cell>
          <cell r="AH827">
            <v>2</v>
          </cell>
          <cell r="AI827">
            <v>2</v>
          </cell>
          <cell r="AJ827">
            <v>2</v>
          </cell>
          <cell r="AK827">
            <v>2</v>
          </cell>
          <cell r="AL827" t="str">
            <v>NULL</v>
          </cell>
          <cell r="AM827" t="str">
            <v>NULL</v>
          </cell>
          <cell r="AN827" t="str">
            <v>Yes</v>
          </cell>
          <cell r="AO827" t="str">
            <v>ITS422798</v>
          </cell>
          <cell r="AP827" t="str">
            <v>Independent School standard inspection</v>
          </cell>
          <cell r="AQ827" t="str">
            <v>Independent Standard Inspection</v>
          </cell>
          <cell r="AR827">
            <v>41583</v>
          </cell>
          <cell r="AS827">
            <v>41585</v>
          </cell>
          <cell r="AT827">
            <v>41604</v>
          </cell>
          <cell r="AU827">
            <v>2</v>
          </cell>
          <cell r="AV827">
            <v>2</v>
          </cell>
          <cell r="AW827">
            <v>2</v>
          </cell>
          <cell r="AX827">
            <v>2</v>
          </cell>
          <cell r="AY827" t="str">
            <v>NULL</v>
          </cell>
          <cell r="AZ827" t="str">
            <v>NULL</v>
          </cell>
          <cell r="BA827" t="str">
            <v>NULL</v>
          </cell>
          <cell r="BB827" t="str">
            <v>NULL</v>
          </cell>
        </row>
        <row r="828">
          <cell r="D828">
            <v>131504</v>
          </cell>
          <cell r="E828">
            <v>9386265</v>
          </cell>
          <cell r="F828" t="str">
            <v>The Amicus School</v>
          </cell>
          <cell r="G828" t="str">
            <v>Other Independent Special School</v>
          </cell>
          <cell r="H828">
            <v>38805</v>
          </cell>
          <cell r="I828">
            <v>7</v>
          </cell>
          <cell r="J828" t="str">
            <v>South East</v>
          </cell>
          <cell r="K828" t="str">
            <v>South East</v>
          </cell>
          <cell r="L828" t="str">
            <v>West Sussex</v>
          </cell>
          <cell r="M828" t="str">
            <v>Arundel and South Downs</v>
          </cell>
          <cell r="N828" t="str">
            <v>BN18 0SX</v>
          </cell>
          <cell r="O828" t="str">
            <v>Not applicable</v>
          </cell>
          <cell r="P828">
            <v>5</v>
          </cell>
          <cell r="Q828">
            <v>16</v>
          </cell>
          <cell r="R828" t="str">
            <v>None</v>
          </cell>
          <cell r="S828" t="str">
            <v>Ofsted</v>
          </cell>
          <cell r="T828">
            <v>2</v>
          </cell>
          <cell r="U828">
            <v>10007849</v>
          </cell>
          <cell r="V828" t="str">
            <v>Independent school Material Change inspection</v>
          </cell>
          <cell r="W828">
            <v>42270</v>
          </cell>
          <cell r="X828">
            <v>42270</v>
          </cell>
          <cell r="Y828" t="str">
            <v>NULL</v>
          </cell>
          <cell r="Z828" t="str">
            <v>Unlikely to meet relevant standards</v>
          </cell>
          <cell r="AA828" t="str">
            <v>ITS397759</v>
          </cell>
          <cell r="AB828" t="str">
            <v>Independent School standard inspection</v>
          </cell>
          <cell r="AC828" t="str">
            <v>Independent Standard Inspection</v>
          </cell>
          <cell r="AD828">
            <v>41332</v>
          </cell>
          <cell r="AE828">
            <v>41333</v>
          </cell>
          <cell r="AF828">
            <v>41354</v>
          </cell>
          <cell r="AG828">
            <v>3</v>
          </cell>
          <cell r="AH828">
            <v>3</v>
          </cell>
          <cell r="AI828">
            <v>3</v>
          </cell>
          <cell r="AJ828">
            <v>3</v>
          </cell>
          <cell r="AK828" t="str">
            <v>NULL</v>
          </cell>
          <cell r="AL828" t="str">
            <v>NULL</v>
          </cell>
          <cell r="AM828" t="str">
            <v>NULL</v>
          </cell>
          <cell r="AN828" t="str">
            <v>NULL</v>
          </cell>
          <cell r="AO828" t="str">
            <v>ITS341963</v>
          </cell>
          <cell r="AP828" t="str">
            <v xml:space="preserve">Independent School standard inspection - integrated </v>
          </cell>
          <cell r="AQ828" t="str">
            <v>Independent Standard Inspection</v>
          </cell>
          <cell r="AR828">
            <v>40142</v>
          </cell>
          <cell r="AS828">
            <v>40143</v>
          </cell>
          <cell r="AT828">
            <v>40185</v>
          </cell>
          <cell r="AU828">
            <v>2</v>
          </cell>
          <cell r="AV828">
            <v>2</v>
          </cell>
          <cell r="AW828">
            <v>2</v>
          </cell>
          <cell r="AX828" t="str">
            <v>NULL</v>
          </cell>
          <cell r="AY828" t="str">
            <v>NULL</v>
          </cell>
          <cell r="AZ828">
            <v>8</v>
          </cell>
          <cell r="BA828" t="str">
            <v>NULL</v>
          </cell>
          <cell r="BB828" t="str">
            <v>NULL</v>
          </cell>
        </row>
        <row r="829">
          <cell r="D829">
            <v>131327</v>
          </cell>
          <cell r="E829">
            <v>8306033</v>
          </cell>
          <cell r="F829" t="str">
            <v>The Linnet Independent Learning Centre</v>
          </cell>
          <cell r="G829" t="str">
            <v>Other Independent Special School</v>
          </cell>
          <cell r="H829">
            <v>38770</v>
          </cell>
          <cell r="I829">
            <v>14</v>
          </cell>
          <cell r="J829" t="str">
            <v>East Midlands</v>
          </cell>
          <cell r="K829" t="str">
            <v>East Midlands</v>
          </cell>
          <cell r="L829" t="str">
            <v>Derbyshire</v>
          </cell>
          <cell r="M829" t="str">
            <v>South Derbyshire</v>
          </cell>
          <cell r="N829" t="str">
            <v>DE11 9JE</v>
          </cell>
          <cell r="O829" t="str">
            <v>Not applicable</v>
          </cell>
          <cell r="P829">
            <v>3</v>
          </cell>
          <cell r="Q829">
            <v>16</v>
          </cell>
          <cell r="R829" t="str">
            <v>None</v>
          </cell>
          <cell r="S829" t="str">
            <v>Ofsted</v>
          </cell>
          <cell r="T829" t="str">
            <v>NULL</v>
          </cell>
          <cell r="U829" t="str">
            <v>NULL</v>
          </cell>
          <cell r="V829" t="str">
            <v>NULL</v>
          </cell>
          <cell r="W829" t="str">
            <v>NULL</v>
          </cell>
          <cell r="X829" t="str">
            <v>NULL</v>
          </cell>
          <cell r="Y829" t="str">
            <v>NULL</v>
          </cell>
          <cell r="Z829" t="str">
            <v>NULL</v>
          </cell>
          <cell r="AA829">
            <v>10008603</v>
          </cell>
          <cell r="AB829" t="str">
            <v>Independent School standard inspection</v>
          </cell>
          <cell r="AC829" t="str">
            <v>Independent Standard Inspection</v>
          </cell>
          <cell r="AD829">
            <v>42507</v>
          </cell>
          <cell r="AE829">
            <v>42509</v>
          </cell>
          <cell r="AF829">
            <v>42559</v>
          </cell>
          <cell r="AG829">
            <v>1</v>
          </cell>
          <cell r="AH829">
            <v>1</v>
          </cell>
          <cell r="AI829">
            <v>1</v>
          </cell>
          <cell r="AJ829">
            <v>1</v>
          </cell>
          <cell r="AK829">
            <v>1</v>
          </cell>
          <cell r="AL829" t="str">
            <v>NULL</v>
          </cell>
          <cell r="AM829" t="str">
            <v>NULL</v>
          </cell>
          <cell r="AN829" t="str">
            <v>Yes</v>
          </cell>
          <cell r="AO829" t="str">
            <v>ITS397561</v>
          </cell>
          <cell r="AP829" t="str">
            <v>Independent School standard inspection</v>
          </cell>
          <cell r="AQ829" t="str">
            <v>Independent Standard Inspection</v>
          </cell>
          <cell r="AR829">
            <v>41079</v>
          </cell>
          <cell r="AS829">
            <v>41080</v>
          </cell>
          <cell r="AT829">
            <v>41103</v>
          </cell>
          <cell r="AU829">
            <v>2</v>
          </cell>
          <cell r="AV829">
            <v>2</v>
          </cell>
          <cell r="AW829">
            <v>2</v>
          </cell>
          <cell r="AX829" t="str">
            <v>NULL</v>
          </cell>
          <cell r="AY829" t="str">
            <v>NULL</v>
          </cell>
          <cell r="AZ829">
            <v>8</v>
          </cell>
          <cell r="BA829" t="str">
            <v>NULL</v>
          </cell>
          <cell r="BB829" t="str">
            <v>NULL</v>
          </cell>
        </row>
        <row r="830">
          <cell r="D830">
            <v>131356</v>
          </cell>
          <cell r="E830">
            <v>8466043</v>
          </cell>
          <cell r="F830" t="str">
            <v>The Lioncare School</v>
          </cell>
          <cell r="G830" t="str">
            <v>Other Independent Special School</v>
          </cell>
          <cell r="H830">
            <v>35702</v>
          </cell>
          <cell r="I830">
            <v>11</v>
          </cell>
          <cell r="J830" t="str">
            <v>South East</v>
          </cell>
          <cell r="K830" t="str">
            <v>South East</v>
          </cell>
          <cell r="L830" t="str">
            <v>Brighton and Hove</v>
          </cell>
          <cell r="M830" t="str">
            <v>Hove</v>
          </cell>
          <cell r="N830" t="str">
            <v>BN3 5HD</v>
          </cell>
          <cell r="O830" t="str">
            <v>Not applicable</v>
          </cell>
          <cell r="P830">
            <v>6</v>
          </cell>
          <cell r="Q830">
            <v>16</v>
          </cell>
          <cell r="R830" t="str">
            <v>None</v>
          </cell>
          <cell r="S830" t="str">
            <v>Ofsted</v>
          </cell>
          <cell r="T830" t="str">
            <v>NULL</v>
          </cell>
          <cell r="U830" t="str">
            <v>NULL</v>
          </cell>
          <cell r="V830" t="str">
            <v>NULL</v>
          </cell>
          <cell r="W830" t="str">
            <v>NULL</v>
          </cell>
          <cell r="X830" t="str">
            <v>NULL</v>
          </cell>
          <cell r="Y830" t="str">
            <v>NULL</v>
          </cell>
          <cell r="Z830" t="str">
            <v>NULL</v>
          </cell>
          <cell r="AA830">
            <v>10044925</v>
          </cell>
          <cell r="AB830" t="str">
            <v>Independent School standard inspection</v>
          </cell>
          <cell r="AC830" t="str">
            <v>Independent Standard Inspection</v>
          </cell>
          <cell r="AD830">
            <v>43081</v>
          </cell>
          <cell r="AE830">
            <v>43083</v>
          </cell>
          <cell r="AF830">
            <v>43116</v>
          </cell>
          <cell r="AG830">
            <v>2</v>
          </cell>
          <cell r="AH830">
            <v>2</v>
          </cell>
          <cell r="AI830">
            <v>2</v>
          </cell>
          <cell r="AJ830">
            <v>2</v>
          </cell>
          <cell r="AK830">
            <v>2</v>
          </cell>
          <cell r="AL830" t="str">
            <v>NULL</v>
          </cell>
          <cell r="AM830" t="str">
            <v>NULL</v>
          </cell>
          <cell r="AN830" t="str">
            <v>Yes</v>
          </cell>
          <cell r="AO830">
            <v>10033682</v>
          </cell>
          <cell r="AP830" t="str">
            <v>Independent School standard inspection</v>
          </cell>
          <cell r="AQ830" t="str">
            <v>Independent Standard Inspection</v>
          </cell>
          <cell r="AR830">
            <v>42858</v>
          </cell>
          <cell r="AS830">
            <v>42860</v>
          </cell>
          <cell r="AT830">
            <v>42901</v>
          </cell>
          <cell r="AU830">
            <v>4</v>
          </cell>
          <cell r="AV830">
            <v>2</v>
          </cell>
          <cell r="AW830">
            <v>2</v>
          </cell>
          <cell r="AX830">
            <v>4</v>
          </cell>
          <cell r="AY830">
            <v>4</v>
          </cell>
          <cell r="AZ830" t="str">
            <v>NULL</v>
          </cell>
          <cell r="BA830" t="str">
            <v>NULL</v>
          </cell>
          <cell r="BB830" t="str">
            <v>No</v>
          </cell>
        </row>
        <row r="831">
          <cell r="D831">
            <v>116589</v>
          </cell>
          <cell r="E831">
            <v>8506005</v>
          </cell>
          <cell r="F831" t="str">
            <v>The Loddon School</v>
          </cell>
          <cell r="G831" t="str">
            <v>Other Independent Special School</v>
          </cell>
          <cell r="H831">
            <v>32527</v>
          </cell>
          <cell r="I831">
            <v>29</v>
          </cell>
          <cell r="J831" t="str">
            <v>South East</v>
          </cell>
          <cell r="K831" t="str">
            <v>South East</v>
          </cell>
          <cell r="L831" t="str">
            <v>Hampshire</v>
          </cell>
          <cell r="M831" t="str">
            <v>North East Hampshire</v>
          </cell>
          <cell r="N831" t="str">
            <v>RG27 0JD</v>
          </cell>
          <cell r="O831" t="str">
            <v>Not applicable</v>
          </cell>
          <cell r="P831">
            <v>8</v>
          </cell>
          <cell r="Q831">
            <v>19</v>
          </cell>
          <cell r="R831" t="str">
            <v>None</v>
          </cell>
          <cell r="S831" t="str">
            <v>Ofsted</v>
          </cell>
          <cell r="T831" t="str">
            <v>NULL</v>
          </cell>
          <cell r="U831" t="str">
            <v>NULL</v>
          </cell>
          <cell r="V831" t="str">
            <v>NULL</v>
          </cell>
          <cell r="W831" t="str">
            <v>NULL</v>
          </cell>
          <cell r="X831" t="str">
            <v>NULL</v>
          </cell>
          <cell r="Y831" t="str">
            <v>NULL</v>
          </cell>
          <cell r="Z831" t="str">
            <v>NULL</v>
          </cell>
          <cell r="AA831" t="str">
            <v>ITS462865</v>
          </cell>
          <cell r="AB831" t="str">
            <v>Independent school standard inspection - aligned with CH</v>
          </cell>
          <cell r="AC831" t="str">
            <v>Independent Standard Inspection</v>
          </cell>
          <cell r="AD831">
            <v>42200</v>
          </cell>
          <cell r="AE831">
            <v>42202</v>
          </cell>
          <cell r="AF831">
            <v>42249</v>
          </cell>
          <cell r="AG831">
            <v>2</v>
          </cell>
          <cell r="AH831">
            <v>2</v>
          </cell>
          <cell r="AI831">
            <v>2</v>
          </cell>
          <cell r="AJ831">
            <v>2</v>
          </cell>
          <cell r="AK831" t="str">
            <v>NULL</v>
          </cell>
          <cell r="AL831">
            <v>9</v>
          </cell>
          <cell r="AM831">
            <v>2</v>
          </cell>
          <cell r="AN831" t="str">
            <v>NULL</v>
          </cell>
          <cell r="AO831" t="str">
            <v>ITS386862</v>
          </cell>
          <cell r="AP831" t="str">
            <v>Independent School standard inspection</v>
          </cell>
          <cell r="AQ831" t="str">
            <v>Independent Standard Inspection</v>
          </cell>
          <cell r="AR831">
            <v>40981</v>
          </cell>
          <cell r="AS831">
            <v>40982</v>
          </cell>
          <cell r="AT831">
            <v>41236</v>
          </cell>
          <cell r="AU831">
            <v>1</v>
          </cell>
          <cell r="AV831">
            <v>1</v>
          </cell>
          <cell r="AW831">
            <v>1</v>
          </cell>
          <cell r="AX831" t="str">
            <v>NULL</v>
          </cell>
          <cell r="AY831" t="str">
            <v>NULL</v>
          </cell>
          <cell r="AZ831">
            <v>8</v>
          </cell>
          <cell r="BA831" t="str">
            <v>NULL</v>
          </cell>
          <cell r="BB831" t="str">
            <v>NULL</v>
          </cell>
        </row>
        <row r="832">
          <cell r="D832">
            <v>102172</v>
          </cell>
          <cell r="E832">
            <v>3096070</v>
          </cell>
          <cell r="F832" t="str">
            <v>Woodstar School</v>
          </cell>
          <cell r="G832" t="str">
            <v>Other Independent Special School</v>
          </cell>
          <cell r="H832">
            <v>33417</v>
          </cell>
          <cell r="I832">
            <v>8</v>
          </cell>
          <cell r="J832" t="str">
            <v>London</v>
          </cell>
          <cell r="K832" t="str">
            <v>London</v>
          </cell>
          <cell r="L832" t="str">
            <v>Haringey</v>
          </cell>
          <cell r="M832" t="str">
            <v>Hornsey and Wood Green</v>
          </cell>
          <cell r="N832" t="str">
            <v>N10 1JP</v>
          </cell>
          <cell r="O832" t="str">
            <v>Not applicable</v>
          </cell>
          <cell r="P832">
            <v>3</v>
          </cell>
          <cell r="Q832">
            <v>11</v>
          </cell>
          <cell r="R832" t="str">
            <v>None</v>
          </cell>
          <cell r="S832" t="str">
            <v>Ofsted</v>
          </cell>
          <cell r="T832" t="str">
            <v>NULL</v>
          </cell>
          <cell r="U832" t="str">
            <v>NULL</v>
          </cell>
          <cell r="V832" t="str">
            <v>NULL</v>
          </cell>
          <cell r="W832" t="str">
            <v>NULL</v>
          </cell>
          <cell r="X832" t="str">
            <v>NULL</v>
          </cell>
          <cell r="Y832" t="str">
            <v>NULL</v>
          </cell>
          <cell r="Z832" t="str">
            <v>NULL</v>
          </cell>
          <cell r="AA832">
            <v>10008599</v>
          </cell>
          <cell r="AB832" t="str">
            <v>Independent School standard inspection</v>
          </cell>
          <cell r="AC832" t="str">
            <v>Independent Standard Inspection</v>
          </cell>
          <cell r="AD832">
            <v>42773</v>
          </cell>
          <cell r="AE832">
            <v>42775</v>
          </cell>
          <cell r="AF832">
            <v>42797</v>
          </cell>
          <cell r="AG832">
            <v>2</v>
          </cell>
          <cell r="AH832">
            <v>2</v>
          </cell>
          <cell r="AI832">
            <v>2</v>
          </cell>
          <cell r="AJ832">
            <v>2</v>
          </cell>
          <cell r="AK832">
            <v>2</v>
          </cell>
          <cell r="AL832" t="str">
            <v>NULL</v>
          </cell>
          <cell r="AM832" t="str">
            <v>NULL</v>
          </cell>
          <cell r="AN832" t="str">
            <v>Yes</v>
          </cell>
          <cell r="AO832" t="str">
            <v>ITS393317</v>
          </cell>
          <cell r="AP832" t="str">
            <v>Independent School standard inspection</v>
          </cell>
          <cell r="AQ832" t="str">
            <v>Independent Standard Inspection</v>
          </cell>
          <cell r="AR832">
            <v>41087</v>
          </cell>
          <cell r="AS832">
            <v>41088</v>
          </cell>
          <cell r="AT832">
            <v>41109</v>
          </cell>
          <cell r="AU832">
            <v>2</v>
          </cell>
          <cell r="AV832">
            <v>2</v>
          </cell>
          <cell r="AW832">
            <v>2</v>
          </cell>
          <cell r="AX832" t="str">
            <v>NULL</v>
          </cell>
          <cell r="AY832" t="str">
            <v>NULL</v>
          </cell>
          <cell r="AZ832">
            <v>8</v>
          </cell>
          <cell r="BA832" t="str">
            <v>NULL</v>
          </cell>
          <cell r="BB832" t="str">
            <v>NULL</v>
          </cell>
        </row>
        <row r="833">
          <cell r="D833">
            <v>141031</v>
          </cell>
          <cell r="E833">
            <v>2106005</v>
          </cell>
          <cell r="F833" t="str">
            <v>Treasure House London Cic</v>
          </cell>
          <cell r="G833" t="str">
            <v>Other Independent Special School</v>
          </cell>
          <cell r="H833">
            <v>41808</v>
          </cell>
          <cell r="I833">
            <v>10</v>
          </cell>
          <cell r="J833" t="str">
            <v>London</v>
          </cell>
          <cell r="K833" t="str">
            <v>London</v>
          </cell>
          <cell r="L833" t="str">
            <v>Southwark</v>
          </cell>
          <cell r="M833" t="str">
            <v>Camberwell and Peckham</v>
          </cell>
          <cell r="N833" t="str">
            <v>SE15 1JF</v>
          </cell>
          <cell r="O833" t="str">
            <v>Not applicable</v>
          </cell>
          <cell r="P833">
            <v>14</v>
          </cell>
          <cell r="Q833">
            <v>19</v>
          </cell>
          <cell r="R833" t="str">
            <v>None</v>
          </cell>
          <cell r="S833" t="str">
            <v>Ofsted</v>
          </cell>
          <cell r="T833" t="str">
            <v>NULL</v>
          </cell>
          <cell r="U833" t="str">
            <v>NULL</v>
          </cell>
          <cell r="V833" t="str">
            <v>NULL</v>
          </cell>
          <cell r="W833" t="str">
            <v>NULL</v>
          </cell>
          <cell r="X833" t="str">
            <v>NULL</v>
          </cell>
          <cell r="Y833" t="str">
            <v>NULL</v>
          </cell>
          <cell r="Z833" t="str">
            <v>NULL</v>
          </cell>
          <cell r="AA833" t="str">
            <v>ITS462896</v>
          </cell>
          <cell r="AB833" t="str">
            <v>Independent school standard inspection - first</v>
          </cell>
          <cell r="AC833" t="str">
            <v>Independent Standard Inspection</v>
          </cell>
          <cell r="AD833">
            <v>42193</v>
          </cell>
          <cell r="AE833">
            <v>42195</v>
          </cell>
          <cell r="AF833">
            <v>42258</v>
          </cell>
          <cell r="AG833">
            <v>2</v>
          </cell>
          <cell r="AH833">
            <v>2</v>
          </cell>
          <cell r="AI833">
            <v>2</v>
          </cell>
          <cell r="AJ833">
            <v>2</v>
          </cell>
          <cell r="AK833" t="str">
            <v>NULL</v>
          </cell>
          <cell r="AL833">
            <v>9</v>
          </cell>
          <cell r="AM833">
            <v>2</v>
          </cell>
          <cell r="AN833" t="str">
            <v>NULL</v>
          </cell>
          <cell r="AO833" t="str">
            <v>NULL</v>
          </cell>
          <cell r="AP833" t="str">
            <v>NULL</v>
          </cell>
          <cell r="AQ833" t="str">
            <v>NULL</v>
          </cell>
          <cell r="AR833" t="str">
            <v>NULL</v>
          </cell>
          <cell r="AS833" t="str">
            <v>NULL</v>
          </cell>
          <cell r="AT833" t="str">
            <v>NULL</v>
          </cell>
          <cell r="AU833" t="str">
            <v>NULL</v>
          </cell>
          <cell r="AV833" t="str">
            <v>NULL</v>
          </cell>
          <cell r="AW833" t="str">
            <v>NULL</v>
          </cell>
          <cell r="AX833" t="str">
            <v>NULL</v>
          </cell>
          <cell r="AY833" t="str">
            <v>NULL</v>
          </cell>
          <cell r="AZ833" t="str">
            <v>NULL</v>
          </cell>
          <cell r="BA833" t="str">
            <v>NULL</v>
          </cell>
          <cell r="BB833" t="str">
            <v>NULL</v>
          </cell>
        </row>
        <row r="834">
          <cell r="D834">
            <v>135218</v>
          </cell>
          <cell r="E834">
            <v>8556025</v>
          </cell>
          <cell r="F834" t="str">
            <v>Trinity College</v>
          </cell>
          <cell r="G834" t="str">
            <v>Other Independent Special School</v>
          </cell>
          <cell r="H834">
            <v>39174</v>
          </cell>
          <cell r="I834">
            <v>21</v>
          </cell>
          <cell r="J834" t="str">
            <v>East Midlands</v>
          </cell>
          <cell r="K834" t="str">
            <v>East Midlands</v>
          </cell>
          <cell r="L834" t="str">
            <v>Leicestershire</v>
          </cell>
          <cell r="M834" t="str">
            <v>Loughborough</v>
          </cell>
          <cell r="N834" t="str">
            <v>LE11 1BA</v>
          </cell>
          <cell r="O834" t="str">
            <v>Not applicable</v>
          </cell>
          <cell r="P834">
            <v>7</v>
          </cell>
          <cell r="Q834">
            <v>16</v>
          </cell>
          <cell r="R834" t="str">
            <v>None</v>
          </cell>
          <cell r="S834" t="str">
            <v>Ofsted</v>
          </cell>
          <cell r="T834" t="str">
            <v>NULL</v>
          </cell>
          <cell r="U834" t="str">
            <v>NULL</v>
          </cell>
          <cell r="V834" t="str">
            <v>NULL</v>
          </cell>
          <cell r="W834" t="str">
            <v>NULL</v>
          </cell>
          <cell r="X834" t="str">
            <v>NULL</v>
          </cell>
          <cell r="Y834" t="str">
            <v>NULL</v>
          </cell>
          <cell r="Z834" t="str">
            <v>NULL</v>
          </cell>
          <cell r="AA834">
            <v>10026050</v>
          </cell>
          <cell r="AB834" t="str">
            <v>Independent School standard inspection</v>
          </cell>
          <cell r="AC834" t="str">
            <v>Independent Standard Inspection</v>
          </cell>
          <cell r="AD834">
            <v>42926</v>
          </cell>
          <cell r="AE834">
            <v>42928</v>
          </cell>
          <cell r="AF834">
            <v>42991</v>
          </cell>
          <cell r="AG834">
            <v>2</v>
          </cell>
          <cell r="AH834">
            <v>2</v>
          </cell>
          <cell r="AI834">
            <v>2</v>
          </cell>
          <cell r="AJ834">
            <v>2</v>
          </cell>
          <cell r="AK834">
            <v>2</v>
          </cell>
          <cell r="AL834" t="str">
            <v>NULL</v>
          </cell>
          <cell r="AM834" t="str">
            <v>NULL</v>
          </cell>
          <cell r="AN834" t="str">
            <v>Yes</v>
          </cell>
          <cell r="AO834" t="str">
            <v>ITS440221</v>
          </cell>
          <cell r="AP834" t="str">
            <v>Independent School standard inspection</v>
          </cell>
          <cell r="AQ834" t="str">
            <v>Independent Standard Inspection</v>
          </cell>
          <cell r="AR834">
            <v>41668</v>
          </cell>
          <cell r="AS834">
            <v>41670</v>
          </cell>
          <cell r="AT834">
            <v>41695</v>
          </cell>
          <cell r="AU834">
            <v>2</v>
          </cell>
          <cell r="AV834">
            <v>2</v>
          </cell>
          <cell r="AW834">
            <v>2</v>
          </cell>
          <cell r="AX834">
            <v>2</v>
          </cell>
          <cell r="AY834" t="str">
            <v>NULL</v>
          </cell>
          <cell r="AZ834" t="str">
            <v>NULL</v>
          </cell>
          <cell r="BA834" t="str">
            <v>NULL</v>
          </cell>
          <cell r="BB834" t="str">
            <v>NULL</v>
          </cell>
        </row>
        <row r="835">
          <cell r="D835">
            <v>132097</v>
          </cell>
          <cell r="E835">
            <v>8876006</v>
          </cell>
          <cell r="F835" t="str">
            <v>Trinity School and College</v>
          </cell>
          <cell r="G835" t="str">
            <v>Other Independent Special School</v>
          </cell>
          <cell r="H835">
            <v>36454</v>
          </cell>
          <cell r="I835">
            <v>92</v>
          </cell>
          <cell r="J835" t="str">
            <v>South East</v>
          </cell>
          <cell r="K835" t="str">
            <v>South East</v>
          </cell>
          <cell r="L835" t="str">
            <v>Medway</v>
          </cell>
          <cell r="M835" t="str">
            <v>Rochester and Strood</v>
          </cell>
          <cell r="N835" t="str">
            <v>ME1 1BG</v>
          </cell>
          <cell r="O835" t="str">
            <v>Not applicable</v>
          </cell>
          <cell r="P835">
            <v>6</v>
          </cell>
          <cell r="Q835">
            <v>25</v>
          </cell>
          <cell r="R835" t="str">
            <v>None</v>
          </cell>
          <cell r="S835" t="str">
            <v>Ofsted</v>
          </cell>
          <cell r="T835" t="str">
            <v>NULL</v>
          </cell>
          <cell r="U835" t="str">
            <v>NULL</v>
          </cell>
          <cell r="V835" t="str">
            <v>NULL</v>
          </cell>
          <cell r="W835" t="str">
            <v>NULL</v>
          </cell>
          <cell r="X835" t="str">
            <v>NULL</v>
          </cell>
          <cell r="Y835" t="str">
            <v>NULL</v>
          </cell>
          <cell r="Z835" t="str">
            <v>NULL</v>
          </cell>
          <cell r="AA835">
            <v>10026020</v>
          </cell>
          <cell r="AB835" t="str">
            <v>Independent School standard inspection</v>
          </cell>
          <cell r="AC835" t="str">
            <v>Independent Standard Inspection</v>
          </cell>
          <cell r="AD835">
            <v>42899</v>
          </cell>
          <cell r="AE835">
            <v>42901</v>
          </cell>
          <cell r="AF835">
            <v>42928</v>
          </cell>
          <cell r="AG835">
            <v>2</v>
          </cell>
          <cell r="AH835">
            <v>2</v>
          </cell>
          <cell r="AI835">
            <v>2</v>
          </cell>
          <cell r="AJ835">
            <v>2</v>
          </cell>
          <cell r="AK835">
            <v>1</v>
          </cell>
          <cell r="AL835" t="str">
            <v>NULL</v>
          </cell>
          <cell r="AM835">
            <v>2</v>
          </cell>
          <cell r="AN835" t="str">
            <v>Yes</v>
          </cell>
          <cell r="AO835" t="str">
            <v>ITS422742</v>
          </cell>
          <cell r="AP835" t="str">
            <v>Independent School standard inspection</v>
          </cell>
          <cell r="AQ835" t="str">
            <v>Independent Standard Inspection</v>
          </cell>
          <cell r="AR835">
            <v>41598</v>
          </cell>
          <cell r="AS835">
            <v>41600</v>
          </cell>
          <cell r="AT835">
            <v>41620</v>
          </cell>
          <cell r="AU835">
            <v>3</v>
          </cell>
          <cell r="AV835">
            <v>2</v>
          </cell>
          <cell r="AW835">
            <v>2</v>
          </cell>
          <cell r="AX835">
            <v>3</v>
          </cell>
          <cell r="AY835" t="str">
            <v>NULL</v>
          </cell>
          <cell r="AZ835" t="str">
            <v>NULL</v>
          </cell>
          <cell r="BA835" t="str">
            <v>NULL</v>
          </cell>
          <cell r="BB835" t="str">
            <v>NULL</v>
          </cell>
        </row>
        <row r="836">
          <cell r="D836">
            <v>132775</v>
          </cell>
          <cell r="E836">
            <v>8656034</v>
          </cell>
          <cell r="F836" t="str">
            <v xml:space="preserve">Tumblewood Community School  </v>
          </cell>
          <cell r="G836" t="str">
            <v>Other Independent Special School</v>
          </cell>
          <cell r="H836">
            <v>36843</v>
          </cell>
          <cell r="I836">
            <v>8</v>
          </cell>
          <cell r="J836" t="str">
            <v>South West</v>
          </cell>
          <cell r="K836" t="str">
            <v>South West</v>
          </cell>
          <cell r="L836" t="str">
            <v>Wiltshire</v>
          </cell>
          <cell r="M836" t="str">
            <v>South West Wiltshire</v>
          </cell>
          <cell r="N836" t="str">
            <v>BA13 4LF</v>
          </cell>
          <cell r="O836" t="str">
            <v>Does not have a sixth form</v>
          </cell>
          <cell r="P836">
            <v>9</v>
          </cell>
          <cell r="Q836">
            <v>18</v>
          </cell>
          <cell r="R836" t="str">
            <v>None</v>
          </cell>
          <cell r="S836" t="str">
            <v>Ofsted</v>
          </cell>
          <cell r="T836">
            <v>3</v>
          </cell>
          <cell r="U836">
            <v>10038368</v>
          </cell>
          <cell r="V836" t="str">
            <v>Independent school Progress Monitoring inspection</v>
          </cell>
          <cell r="W836">
            <v>43040</v>
          </cell>
          <cell r="X836">
            <v>43040</v>
          </cell>
          <cell r="Y836">
            <v>43082</v>
          </cell>
          <cell r="Z836" t="str">
            <v>Met all standards that were checked</v>
          </cell>
          <cell r="AA836">
            <v>10006330</v>
          </cell>
          <cell r="AB836" t="str">
            <v>Independent school standard inspection - aligned with CH</v>
          </cell>
          <cell r="AC836" t="str">
            <v>Independent Standard Inspection</v>
          </cell>
          <cell r="AD836">
            <v>42339</v>
          </cell>
          <cell r="AE836">
            <v>42341</v>
          </cell>
          <cell r="AF836">
            <v>42395</v>
          </cell>
          <cell r="AG836">
            <v>2</v>
          </cell>
          <cell r="AH836">
            <v>2</v>
          </cell>
          <cell r="AI836">
            <v>2</v>
          </cell>
          <cell r="AJ836">
            <v>2</v>
          </cell>
          <cell r="AK836">
            <v>2</v>
          </cell>
          <cell r="AL836" t="str">
            <v>NULL</v>
          </cell>
          <cell r="AM836" t="str">
            <v>NULL</v>
          </cell>
          <cell r="AN836" t="str">
            <v>Yes</v>
          </cell>
          <cell r="AO836" t="str">
            <v>ITS393339</v>
          </cell>
          <cell r="AP836" t="str">
            <v xml:space="preserve">Independent School standard inspection - integrated </v>
          </cell>
          <cell r="AQ836" t="str">
            <v>Independent Standard Inspection</v>
          </cell>
          <cell r="AR836">
            <v>41051</v>
          </cell>
          <cell r="AS836">
            <v>41052</v>
          </cell>
          <cell r="AT836">
            <v>41075</v>
          </cell>
          <cell r="AU836">
            <v>2</v>
          </cell>
          <cell r="AV836">
            <v>2</v>
          </cell>
          <cell r="AW836">
            <v>2</v>
          </cell>
          <cell r="AX836" t="str">
            <v>NULL</v>
          </cell>
          <cell r="AY836" t="str">
            <v>NULL</v>
          </cell>
          <cell r="AZ836">
            <v>8</v>
          </cell>
          <cell r="BA836" t="str">
            <v>NULL</v>
          </cell>
          <cell r="BB836" t="str">
            <v>NULL</v>
          </cell>
        </row>
        <row r="837">
          <cell r="D837">
            <v>106814</v>
          </cell>
          <cell r="E837">
            <v>3716005</v>
          </cell>
          <cell r="F837" t="str">
            <v>Wilsic Hall School</v>
          </cell>
          <cell r="G837" t="str">
            <v>Other Independent Special School</v>
          </cell>
          <cell r="H837">
            <v>28422</v>
          </cell>
          <cell r="I837">
            <v>23</v>
          </cell>
          <cell r="J837" t="str">
            <v>North East, Yorkshire and the Humber</v>
          </cell>
          <cell r="K837" t="str">
            <v>Yorkshire and the Humber</v>
          </cell>
          <cell r="L837" t="str">
            <v>Doncaster</v>
          </cell>
          <cell r="M837" t="str">
            <v>Don Valley</v>
          </cell>
          <cell r="N837" t="str">
            <v>DN11 9AG</v>
          </cell>
          <cell r="O837" t="str">
            <v>Has a sixth form</v>
          </cell>
          <cell r="P837">
            <v>11</v>
          </cell>
          <cell r="Q837">
            <v>19</v>
          </cell>
          <cell r="R837" t="str">
            <v>None</v>
          </cell>
          <cell r="S837" t="str">
            <v>Ofsted</v>
          </cell>
          <cell r="T837" t="str">
            <v>NULL</v>
          </cell>
          <cell r="U837" t="str">
            <v>NULL</v>
          </cell>
          <cell r="V837" t="str">
            <v>NULL</v>
          </cell>
          <cell r="W837" t="str">
            <v>NULL</v>
          </cell>
          <cell r="X837" t="str">
            <v>NULL</v>
          </cell>
          <cell r="Y837" t="str">
            <v>NULL</v>
          </cell>
          <cell r="Z837" t="str">
            <v>NULL</v>
          </cell>
          <cell r="AA837">
            <v>10006036</v>
          </cell>
          <cell r="AB837" t="str">
            <v>Independent school standard inspection - aligned with CH</v>
          </cell>
          <cell r="AC837" t="str">
            <v>Independent Standard Inspection</v>
          </cell>
          <cell r="AD837">
            <v>42318</v>
          </cell>
          <cell r="AE837">
            <v>42320</v>
          </cell>
          <cell r="AF837">
            <v>42353</v>
          </cell>
          <cell r="AG837">
            <v>1</v>
          </cell>
          <cell r="AH837">
            <v>1</v>
          </cell>
          <cell r="AI837">
            <v>1</v>
          </cell>
          <cell r="AJ837">
            <v>1</v>
          </cell>
          <cell r="AK837">
            <v>1</v>
          </cell>
          <cell r="AL837" t="str">
            <v>NULL</v>
          </cell>
          <cell r="AM837">
            <v>1</v>
          </cell>
          <cell r="AN837" t="str">
            <v>Yes</v>
          </cell>
          <cell r="AO837" t="str">
            <v>ITS397661</v>
          </cell>
          <cell r="AP837" t="str">
            <v xml:space="preserve">Independent School standard inspection - integrated </v>
          </cell>
          <cell r="AQ837" t="str">
            <v>Independent Standard Inspection</v>
          </cell>
          <cell r="AR837">
            <v>41177</v>
          </cell>
          <cell r="AS837">
            <v>41178</v>
          </cell>
          <cell r="AT837">
            <v>41215</v>
          </cell>
          <cell r="AU837">
            <v>2</v>
          </cell>
          <cell r="AV837">
            <v>2</v>
          </cell>
          <cell r="AW837">
            <v>2</v>
          </cell>
          <cell r="AX837" t="str">
            <v>NULL</v>
          </cell>
          <cell r="AY837" t="str">
            <v>NULL</v>
          </cell>
          <cell r="AZ837">
            <v>8</v>
          </cell>
          <cell r="BA837" t="str">
            <v>NULL</v>
          </cell>
          <cell r="BB837" t="str">
            <v>NULL</v>
          </cell>
        </row>
        <row r="838">
          <cell r="D838">
            <v>134191</v>
          </cell>
          <cell r="E838">
            <v>9096053</v>
          </cell>
          <cell r="F838" t="str">
            <v>Wings School</v>
          </cell>
          <cell r="G838" t="str">
            <v>Other Independent Special School</v>
          </cell>
          <cell r="H838">
            <v>37741</v>
          </cell>
          <cell r="I838">
            <v>27</v>
          </cell>
          <cell r="J838" t="str">
            <v>North West</v>
          </cell>
          <cell r="K838" t="str">
            <v>North West</v>
          </cell>
          <cell r="L838" t="str">
            <v>Cumbria</v>
          </cell>
          <cell r="M838" t="str">
            <v>Hayes and Harlington</v>
          </cell>
          <cell r="N838" t="str">
            <v>UB7 0AE</v>
          </cell>
          <cell r="O838" t="str">
            <v>Not applicable</v>
          </cell>
          <cell r="P838">
            <v>10</v>
          </cell>
          <cell r="Q838">
            <v>17</v>
          </cell>
          <cell r="R838" t="str">
            <v>None</v>
          </cell>
          <cell r="S838" t="str">
            <v>Ofsted</v>
          </cell>
          <cell r="T838" t="str">
            <v>NULL</v>
          </cell>
          <cell r="U838" t="str">
            <v>NULL</v>
          </cell>
          <cell r="V838" t="str">
            <v>NULL</v>
          </cell>
          <cell r="W838" t="str">
            <v>NULL</v>
          </cell>
          <cell r="X838" t="str">
            <v>NULL</v>
          </cell>
          <cell r="Y838" t="str">
            <v>NULL</v>
          </cell>
          <cell r="Z838" t="str">
            <v>NULL</v>
          </cell>
          <cell r="AA838">
            <v>10034047</v>
          </cell>
          <cell r="AB838" t="str">
            <v>Independent school standard inspection - aligned with CH</v>
          </cell>
          <cell r="AC838" t="str">
            <v>Independent Standard Inspection</v>
          </cell>
          <cell r="AD838">
            <v>42899</v>
          </cell>
          <cell r="AE838">
            <v>42901</v>
          </cell>
          <cell r="AF838">
            <v>42928</v>
          </cell>
          <cell r="AG838">
            <v>2</v>
          </cell>
          <cell r="AH838">
            <v>2</v>
          </cell>
          <cell r="AI838">
            <v>2</v>
          </cell>
          <cell r="AJ838">
            <v>2</v>
          </cell>
          <cell r="AK838">
            <v>1</v>
          </cell>
          <cell r="AL838" t="str">
            <v>NULL</v>
          </cell>
          <cell r="AM838">
            <v>2</v>
          </cell>
          <cell r="AN838" t="str">
            <v>Yes</v>
          </cell>
          <cell r="AO838" t="str">
            <v>ITS446423</v>
          </cell>
          <cell r="AP838" t="str">
            <v>Independent School standard inspection</v>
          </cell>
          <cell r="AQ838" t="str">
            <v>Independent Standard Inspection</v>
          </cell>
          <cell r="AR838">
            <v>41765</v>
          </cell>
          <cell r="AS838">
            <v>41767</v>
          </cell>
          <cell r="AT838">
            <v>41789</v>
          </cell>
          <cell r="AU838">
            <v>2</v>
          </cell>
          <cell r="AV838">
            <v>2</v>
          </cell>
          <cell r="AW838">
            <v>2</v>
          </cell>
          <cell r="AX838">
            <v>2</v>
          </cell>
          <cell r="AY838" t="str">
            <v>NULL</v>
          </cell>
          <cell r="AZ838" t="str">
            <v>NULL</v>
          </cell>
          <cell r="BA838" t="str">
            <v>NULL</v>
          </cell>
          <cell r="BB838" t="str">
            <v>NULL</v>
          </cell>
        </row>
        <row r="839">
          <cell r="D839">
            <v>136039</v>
          </cell>
          <cell r="E839">
            <v>8916036</v>
          </cell>
          <cell r="F839" t="str">
            <v>Wings School Notts</v>
          </cell>
          <cell r="G839" t="str">
            <v>Other Independent Special School</v>
          </cell>
          <cell r="H839">
            <v>40164</v>
          </cell>
          <cell r="I839">
            <v>27</v>
          </cell>
          <cell r="J839" t="str">
            <v>East Midlands</v>
          </cell>
          <cell r="K839" t="str">
            <v>East Midlands</v>
          </cell>
          <cell r="L839" t="str">
            <v>Nottinghamshire</v>
          </cell>
          <cell r="M839" t="str">
            <v>Hayes and Harlington</v>
          </cell>
          <cell r="N839" t="str">
            <v>UB7 0AE</v>
          </cell>
          <cell r="O839" t="str">
            <v>Not applicable</v>
          </cell>
          <cell r="P839">
            <v>9</v>
          </cell>
          <cell r="Q839">
            <v>17</v>
          </cell>
          <cell r="R839" t="str">
            <v>None</v>
          </cell>
          <cell r="S839" t="str">
            <v>Ofsted</v>
          </cell>
          <cell r="T839">
            <v>1</v>
          </cell>
          <cell r="U839">
            <v>10043641</v>
          </cell>
          <cell r="V839" t="str">
            <v>Independent school emergency inspection</v>
          </cell>
          <cell r="W839">
            <v>43116</v>
          </cell>
          <cell r="X839">
            <v>43116</v>
          </cell>
          <cell r="Y839" t="str">
            <v>NULL</v>
          </cell>
          <cell r="Z839" t="str">
            <v>Met all standards that were checked</v>
          </cell>
          <cell r="AA839">
            <v>10012940</v>
          </cell>
          <cell r="AB839" t="str">
            <v>Independent school standard inspection - aligned with CH</v>
          </cell>
          <cell r="AC839" t="str">
            <v>Independent Standard Inspection</v>
          </cell>
          <cell r="AD839">
            <v>42689</v>
          </cell>
          <cell r="AE839">
            <v>42691</v>
          </cell>
          <cell r="AF839">
            <v>42748</v>
          </cell>
          <cell r="AG839">
            <v>2</v>
          </cell>
          <cell r="AH839">
            <v>2</v>
          </cell>
          <cell r="AI839">
            <v>2</v>
          </cell>
          <cell r="AJ839">
            <v>2</v>
          </cell>
          <cell r="AK839">
            <v>2</v>
          </cell>
          <cell r="AL839" t="str">
            <v>NULL</v>
          </cell>
          <cell r="AM839" t="str">
            <v>NULL</v>
          </cell>
          <cell r="AN839" t="str">
            <v>Yes</v>
          </cell>
          <cell r="AO839" t="str">
            <v>ITS422171</v>
          </cell>
          <cell r="AP839" t="str">
            <v xml:space="preserve">Independent School standard inspection - integrated </v>
          </cell>
          <cell r="AQ839" t="str">
            <v>Independent Standard Inspection</v>
          </cell>
          <cell r="AR839">
            <v>41402</v>
          </cell>
          <cell r="AS839">
            <v>41404</v>
          </cell>
          <cell r="AT839">
            <v>41611</v>
          </cell>
          <cell r="AU839">
            <v>4</v>
          </cell>
          <cell r="AV839">
            <v>2</v>
          </cell>
          <cell r="AW839">
            <v>2</v>
          </cell>
          <cell r="AX839">
            <v>4</v>
          </cell>
          <cell r="AY839" t="str">
            <v>NULL</v>
          </cell>
          <cell r="AZ839" t="str">
            <v>NULL</v>
          </cell>
          <cell r="BA839" t="str">
            <v>NULL</v>
          </cell>
          <cell r="BB839" t="str">
            <v>NULL</v>
          </cell>
        </row>
        <row r="840">
          <cell r="D840">
            <v>112452</v>
          </cell>
          <cell r="E840">
            <v>9096027</v>
          </cell>
          <cell r="F840" t="str">
            <v>Oversands School</v>
          </cell>
          <cell r="G840" t="str">
            <v>Other Independent Special School</v>
          </cell>
          <cell r="H840">
            <v>26695</v>
          </cell>
          <cell r="I840">
            <v>41</v>
          </cell>
          <cell r="J840" t="str">
            <v>North West</v>
          </cell>
          <cell r="K840" t="str">
            <v>North West</v>
          </cell>
          <cell r="L840" t="str">
            <v>Cumbria</v>
          </cell>
          <cell r="M840" t="str">
            <v>Westmorland and Lonsdale</v>
          </cell>
          <cell r="N840" t="str">
            <v>LA11 6SD</v>
          </cell>
          <cell r="O840" t="str">
            <v>Has a sixth form</v>
          </cell>
          <cell r="P840">
            <v>7</v>
          </cell>
          <cell r="Q840">
            <v>19</v>
          </cell>
          <cell r="R840" t="str">
            <v>None</v>
          </cell>
          <cell r="S840" t="str">
            <v>Ofsted</v>
          </cell>
          <cell r="T840" t="str">
            <v>NULL</v>
          </cell>
          <cell r="U840" t="str">
            <v>NULL</v>
          </cell>
          <cell r="V840" t="str">
            <v>NULL</v>
          </cell>
          <cell r="W840" t="str">
            <v>NULL</v>
          </cell>
          <cell r="X840" t="str">
            <v>NULL</v>
          </cell>
          <cell r="Y840" t="str">
            <v>NULL</v>
          </cell>
          <cell r="Z840" t="str">
            <v>NULL</v>
          </cell>
          <cell r="AA840">
            <v>10043369</v>
          </cell>
          <cell r="AB840" t="str">
            <v>Independent School standard inspection</v>
          </cell>
          <cell r="AC840" t="str">
            <v>Independent Standard Inspection</v>
          </cell>
          <cell r="AD840">
            <v>43116</v>
          </cell>
          <cell r="AE840">
            <v>43118</v>
          </cell>
          <cell r="AF840">
            <v>43157</v>
          </cell>
          <cell r="AG840">
            <v>2</v>
          </cell>
          <cell r="AH840">
            <v>2</v>
          </cell>
          <cell r="AI840">
            <v>2</v>
          </cell>
          <cell r="AJ840">
            <v>2</v>
          </cell>
          <cell r="AK840">
            <v>2</v>
          </cell>
          <cell r="AL840" t="str">
            <v>NULL</v>
          </cell>
          <cell r="AM840">
            <v>2</v>
          </cell>
          <cell r="AN840" t="str">
            <v>Yes</v>
          </cell>
          <cell r="AO840">
            <v>10007025</v>
          </cell>
          <cell r="AP840" t="str">
            <v xml:space="preserve">Independent School standard inspection - integrated </v>
          </cell>
          <cell r="AQ840" t="str">
            <v>Independent Standard Inspection</v>
          </cell>
          <cell r="AR840">
            <v>42269</v>
          </cell>
          <cell r="AS840">
            <v>42271</v>
          </cell>
          <cell r="AT840">
            <v>42311</v>
          </cell>
          <cell r="AU840">
            <v>2</v>
          </cell>
          <cell r="AV840">
            <v>2</v>
          </cell>
          <cell r="AW840">
            <v>2</v>
          </cell>
          <cell r="AX840">
            <v>2</v>
          </cell>
          <cell r="AY840">
            <v>2</v>
          </cell>
          <cell r="AZ840" t="str">
            <v>NULL</v>
          </cell>
          <cell r="BA840">
            <v>2</v>
          </cell>
          <cell r="BB840" t="str">
            <v>Yes</v>
          </cell>
        </row>
        <row r="841">
          <cell r="D841">
            <v>134429</v>
          </cell>
          <cell r="E841">
            <v>3806117</v>
          </cell>
          <cell r="F841" t="str">
            <v>Al Mumin Primary and Secondary School</v>
          </cell>
          <cell r="G841" t="str">
            <v>Other Independent School</v>
          </cell>
          <cell r="H841">
            <v>37837</v>
          </cell>
          <cell r="I841">
            <v>266</v>
          </cell>
          <cell r="J841" t="str">
            <v>North East, Yorkshire and the Humber</v>
          </cell>
          <cell r="K841" t="str">
            <v>Yorkshire and the Humber</v>
          </cell>
          <cell r="L841" t="str">
            <v>Bradford</v>
          </cell>
          <cell r="M841" t="str">
            <v>Bradford West</v>
          </cell>
          <cell r="N841" t="str">
            <v>BD8 7DA</v>
          </cell>
          <cell r="O841" t="str">
            <v>Does not have a sixth form</v>
          </cell>
          <cell r="P841">
            <v>3</v>
          </cell>
          <cell r="Q841">
            <v>16</v>
          </cell>
          <cell r="R841" t="str">
            <v>None</v>
          </cell>
          <cell r="S841" t="str">
            <v>Ofsted</v>
          </cell>
          <cell r="T841">
            <v>1</v>
          </cell>
          <cell r="U841">
            <v>10034615</v>
          </cell>
          <cell r="V841" t="str">
            <v>Independent school evaluation of school action plan</v>
          </cell>
          <cell r="W841">
            <v>42863</v>
          </cell>
          <cell r="X841">
            <v>42863</v>
          </cell>
          <cell r="Y841" t="str">
            <v>NULL</v>
          </cell>
          <cell r="Z841" t="str">
            <v>Action plan is acceptable</v>
          </cell>
          <cell r="AA841">
            <v>10025955</v>
          </cell>
          <cell r="AB841" t="str">
            <v>Independent School standard inspection</v>
          </cell>
          <cell r="AC841" t="str">
            <v>Independent Standard Inspection</v>
          </cell>
          <cell r="AD841">
            <v>42752</v>
          </cell>
          <cell r="AE841">
            <v>42754</v>
          </cell>
          <cell r="AF841">
            <v>42781</v>
          </cell>
          <cell r="AG841">
            <v>3</v>
          </cell>
          <cell r="AH841">
            <v>3</v>
          </cell>
          <cell r="AI841">
            <v>3</v>
          </cell>
          <cell r="AJ841">
            <v>3</v>
          </cell>
          <cell r="AK841">
            <v>2</v>
          </cell>
          <cell r="AL841">
            <v>2</v>
          </cell>
          <cell r="AM841" t="str">
            <v>NULL</v>
          </cell>
          <cell r="AN841" t="str">
            <v>Yes</v>
          </cell>
          <cell r="AO841" t="str">
            <v>ITS441439</v>
          </cell>
          <cell r="AP841" t="str">
            <v>Independent School standard inspection</v>
          </cell>
          <cell r="AQ841" t="str">
            <v>Independent Standard Inspection</v>
          </cell>
          <cell r="AR841">
            <v>41709</v>
          </cell>
          <cell r="AS841">
            <v>41711</v>
          </cell>
          <cell r="AT841">
            <v>41732</v>
          </cell>
          <cell r="AU841">
            <v>2</v>
          </cell>
          <cell r="AV841">
            <v>2</v>
          </cell>
          <cell r="AW841">
            <v>2</v>
          </cell>
          <cell r="AX841">
            <v>2</v>
          </cell>
          <cell r="AY841" t="str">
            <v>NULL</v>
          </cell>
          <cell r="AZ841" t="str">
            <v>NULL</v>
          </cell>
          <cell r="BA841" t="str">
            <v>NULL</v>
          </cell>
          <cell r="BB841" t="str">
            <v>NULL</v>
          </cell>
        </row>
        <row r="842">
          <cell r="D842">
            <v>130244</v>
          </cell>
          <cell r="E842">
            <v>3306113</v>
          </cell>
          <cell r="F842" t="str">
            <v xml:space="preserve">Al-Ameen Primary School </v>
          </cell>
          <cell r="G842" t="str">
            <v>Other Independent School</v>
          </cell>
          <cell r="H842">
            <v>38608</v>
          </cell>
          <cell r="I842">
            <v>147</v>
          </cell>
          <cell r="J842" t="str">
            <v>West Midlands</v>
          </cell>
          <cell r="K842" t="str">
            <v>West Midlands</v>
          </cell>
          <cell r="L842" t="str">
            <v>Birmingham</v>
          </cell>
          <cell r="M842" t="str">
            <v>Birmingham, Hall Green</v>
          </cell>
          <cell r="N842" t="str">
            <v>B11 2JR</v>
          </cell>
          <cell r="O842" t="str">
            <v>Does not have a sixth form</v>
          </cell>
          <cell r="P842">
            <v>3</v>
          </cell>
          <cell r="Q842">
            <v>11</v>
          </cell>
          <cell r="R842" t="str">
            <v>Islam</v>
          </cell>
          <cell r="S842" t="str">
            <v>Ofsted</v>
          </cell>
          <cell r="T842" t="str">
            <v>NULL</v>
          </cell>
          <cell r="U842" t="str">
            <v>NULL</v>
          </cell>
          <cell r="V842" t="str">
            <v>NULL</v>
          </cell>
          <cell r="W842" t="str">
            <v>NULL</v>
          </cell>
          <cell r="X842" t="str">
            <v>NULL</v>
          </cell>
          <cell r="Y842" t="str">
            <v>NULL</v>
          </cell>
          <cell r="Z842" t="str">
            <v>NULL</v>
          </cell>
          <cell r="AA842">
            <v>10038829</v>
          </cell>
          <cell r="AB842" t="str">
            <v>Independent School standard inspection</v>
          </cell>
          <cell r="AC842" t="str">
            <v>Independent Standard Inspection</v>
          </cell>
          <cell r="AD842">
            <v>43060</v>
          </cell>
          <cell r="AE842">
            <v>43062</v>
          </cell>
          <cell r="AF842">
            <v>43090</v>
          </cell>
          <cell r="AG842">
            <v>2</v>
          </cell>
          <cell r="AH842">
            <v>2</v>
          </cell>
          <cell r="AI842">
            <v>2</v>
          </cell>
          <cell r="AJ842">
            <v>2</v>
          </cell>
          <cell r="AK842">
            <v>1</v>
          </cell>
          <cell r="AL842">
            <v>2</v>
          </cell>
          <cell r="AM842" t="str">
            <v>NULL</v>
          </cell>
          <cell r="AN842" t="str">
            <v>Yes</v>
          </cell>
          <cell r="AO842">
            <v>10007532</v>
          </cell>
          <cell r="AP842" t="str">
            <v>Independent School standard inspection</v>
          </cell>
          <cell r="AQ842" t="str">
            <v>Independent Standard Inspection</v>
          </cell>
          <cell r="AR842">
            <v>42276</v>
          </cell>
          <cell r="AS842">
            <v>42278</v>
          </cell>
          <cell r="AT842">
            <v>42328</v>
          </cell>
          <cell r="AU842">
            <v>4</v>
          </cell>
          <cell r="AV842">
            <v>3</v>
          </cell>
          <cell r="AW842">
            <v>3</v>
          </cell>
          <cell r="AX842">
            <v>4</v>
          </cell>
          <cell r="AY842">
            <v>4</v>
          </cell>
          <cell r="AZ842">
            <v>3</v>
          </cell>
          <cell r="BA842" t="str">
            <v>NULL</v>
          </cell>
          <cell r="BB842" t="str">
            <v>No</v>
          </cell>
        </row>
        <row r="843">
          <cell r="D843">
            <v>134809</v>
          </cell>
          <cell r="E843">
            <v>8566017</v>
          </cell>
          <cell r="F843" t="str">
            <v>Al-Aqsa Schools Trust</v>
          </cell>
          <cell r="G843" t="str">
            <v>Other Independent School</v>
          </cell>
          <cell r="H843">
            <v>36061</v>
          </cell>
          <cell r="I843">
            <v>281</v>
          </cell>
          <cell r="J843" t="str">
            <v>East Midlands</v>
          </cell>
          <cell r="K843" t="str">
            <v>East Midlands</v>
          </cell>
          <cell r="L843" t="str">
            <v>Leicester</v>
          </cell>
          <cell r="M843" t="str">
            <v>Leicester East</v>
          </cell>
          <cell r="N843" t="str">
            <v>LE5 4PP</v>
          </cell>
          <cell r="O843" t="str">
            <v>Does not have a sixth form</v>
          </cell>
          <cell r="P843">
            <v>3</v>
          </cell>
          <cell r="Q843">
            <v>16</v>
          </cell>
          <cell r="R843" t="str">
            <v>Islam</v>
          </cell>
          <cell r="S843" t="str">
            <v>Ofsted</v>
          </cell>
          <cell r="T843" t="str">
            <v>NULL</v>
          </cell>
          <cell r="U843" t="str">
            <v>NULL</v>
          </cell>
          <cell r="V843" t="str">
            <v>NULL</v>
          </cell>
          <cell r="W843" t="str">
            <v>NULL</v>
          </cell>
          <cell r="X843" t="str">
            <v>NULL</v>
          </cell>
          <cell r="Y843" t="str">
            <v>NULL</v>
          </cell>
          <cell r="Z843" t="str">
            <v>NULL</v>
          </cell>
          <cell r="AA843">
            <v>10039187</v>
          </cell>
          <cell r="AB843" t="str">
            <v>Independent School standard inspection</v>
          </cell>
          <cell r="AC843" t="str">
            <v>Independent Standard Inspection</v>
          </cell>
          <cell r="AD843">
            <v>43067</v>
          </cell>
          <cell r="AE843">
            <v>43069</v>
          </cell>
          <cell r="AF843">
            <v>43110</v>
          </cell>
          <cell r="AG843">
            <v>2</v>
          </cell>
          <cell r="AH843">
            <v>2</v>
          </cell>
          <cell r="AI843">
            <v>2</v>
          </cell>
          <cell r="AJ843">
            <v>2</v>
          </cell>
          <cell r="AK843">
            <v>2</v>
          </cell>
          <cell r="AL843">
            <v>2</v>
          </cell>
          <cell r="AM843" t="str">
            <v>NULL</v>
          </cell>
          <cell r="AN843" t="str">
            <v>Yes</v>
          </cell>
          <cell r="AO843">
            <v>10007700</v>
          </cell>
          <cell r="AP843" t="str">
            <v>Independent School standard inspection</v>
          </cell>
          <cell r="AQ843" t="str">
            <v>Independent Standard Inspection</v>
          </cell>
          <cell r="AR843">
            <v>42292</v>
          </cell>
          <cell r="AS843">
            <v>42293</v>
          </cell>
          <cell r="AT843">
            <v>42459</v>
          </cell>
          <cell r="AU843">
            <v>3</v>
          </cell>
          <cell r="AV843">
            <v>3</v>
          </cell>
          <cell r="AW843">
            <v>3</v>
          </cell>
          <cell r="AX843">
            <v>3</v>
          </cell>
          <cell r="AY843">
            <v>2</v>
          </cell>
          <cell r="AZ843">
            <v>2</v>
          </cell>
          <cell r="BA843" t="str">
            <v>NULL</v>
          </cell>
          <cell r="BB843" t="str">
            <v>Yes</v>
          </cell>
        </row>
        <row r="844">
          <cell r="D844">
            <v>135097</v>
          </cell>
          <cell r="E844">
            <v>9166081</v>
          </cell>
          <cell r="F844" t="str">
            <v>Al-Ashraf Primary School</v>
          </cell>
          <cell r="G844" t="str">
            <v>Other Independent School</v>
          </cell>
          <cell r="H844">
            <v>39023</v>
          </cell>
          <cell r="I844">
            <v>179</v>
          </cell>
          <cell r="J844" t="str">
            <v>South West</v>
          </cell>
          <cell r="K844" t="str">
            <v>South West</v>
          </cell>
          <cell r="L844" t="str">
            <v>Gloucestershire</v>
          </cell>
          <cell r="M844" t="str">
            <v>Gloucester</v>
          </cell>
          <cell r="N844" t="str">
            <v>GL1 4HB</v>
          </cell>
          <cell r="O844" t="str">
            <v>Does not have a sixth form</v>
          </cell>
          <cell r="P844">
            <v>4</v>
          </cell>
          <cell r="Q844">
            <v>11</v>
          </cell>
          <cell r="R844" t="str">
            <v>None</v>
          </cell>
          <cell r="S844" t="str">
            <v>Ofsted</v>
          </cell>
          <cell r="T844">
            <v>1</v>
          </cell>
          <cell r="U844">
            <v>10051388</v>
          </cell>
          <cell r="V844" t="str">
            <v>Independent school evaluation of school action plan</v>
          </cell>
          <cell r="W844">
            <v>43181</v>
          </cell>
          <cell r="X844">
            <v>43181</v>
          </cell>
          <cell r="Y844" t="str">
            <v>NULL</v>
          </cell>
          <cell r="Z844" t="str">
            <v>Action plan is not acceptable</v>
          </cell>
          <cell r="AA844">
            <v>10033892</v>
          </cell>
          <cell r="AB844" t="str">
            <v>Independent School standard inspection</v>
          </cell>
          <cell r="AC844" t="str">
            <v>Independent Standard Inspection</v>
          </cell>
          <cell r="AD844">
            <v>43053</v>
          </cell>
          <cell r="AE844">
            <v>43055</v>
          </cell>
          <cell r="AF844">
            <v>43109</v>
          </cell>
          <cell r="AG844">
            <v>4</v>
          </cell>
          <cell r="AH844">
            <v>3</v>
          </cell>
          <cell r="AI844">
            <v>3</v>
          </cell>
          <cell r="AJ844">
            <v>4</v>
          </cell>
          <cell r="AK844">
            <v>3</v>
          </cell>
          <cell r="AL844">
            <v>4</v>
          </cell>
          <cell r="AM844" t="str">
            <v>NULL</v>
          </cell>
          <cell r="AN844" t="str">
            <v>No</v>
          </cell>
          <cell r="AO844" t="str">
            <v>ITS422775</v>
          </cell>
          <cell r="AP844" t="str">
            <v>Independent School standard inspection</v>
          </cell>
          <cell r="AQ844" t="str">
            <v>Independent Standard Inspection</v>
          </cell>
          <cell r="AR844">
            <v>41807</v>
          </cell>
          <cell r="AS844">
            <v>41809</v>
          </cell>
          <cell r="AT844">
            <v>41828</v>
          </cell>
          <cell r="AU844">
            <v>2</v>
          </cell>
          <cell r="AV844">
            <v>2</v>
          </cell>
          <cell r="AW844">
            <v>2</v>
          </cell>
          <cell r="AX844">
            <v>2</v>
          </cell>
          <cell r="AY844" t="str">
            <v>NULL</v>
          </cell>
          <cell r="AZ844" t="str">
            <v>NULL</v>
          </cell>
          <cell r="BA844" t="str">
            <v>NULL</v>
          </cell>
          <cell r="BB844" t="str">
            <v>NULL</v>
          </cell>
        </row>
        <row r="845">
          <cell r="D845">
            <v>138878</v>
          </cell>
          <cell r="E845">
            <v>3416003</v>
          </cell>
          <cell r="F845" t="str">
            <v>Assess Education</v>
          </cell>
          <cell r="G845" t="str">
            <v>Other Independent School</v>
          </cell>
          <cell r="H845">
            <v>41199</v>
          </cell>
          <cell r="I845">
            <v>27</v>
          </cell>
          <cell r="J845" t="str">
            <v>North West</v>
          </cell>
          <cell r="K845" t="str">
            <v>North West</v>
          </cell>
          <cell r="L845" t="str">
            <v>Liverpool</v>
          </cell>
          <cell r="M845" t="str">
            <v>Liverpool, Wavertree</v>
          </cell>
          <cell r="N845" t="str">
            <v>L15 4LP</v>
          </cell>
          <cell r="O845" t="str">
            <v>Has a sixth form</v>
          </cell>
          <cell r="P845">
            <v>14</v>
          </cell>
          <cell r="Q845">
            <v>18</v>
          </cell>
          <cell r="R845" t="str">
            <v>None</v>
          </cell>
          <cell r="S845" t="str">
            <v>Ofsted</v>
          </cell>
          <cell r="T845">
            <v>2</v>
          </cell>
          <cell r="U845">
            <v>10033850</v>
          </cell>
          <cell r="V845" t="str">
            <v>Independent school Progress Monitoring inspection</v>
          </cell>
          <cell r="W845">
            <v>42893</v>
          </cell>
          <cell r="X845">
            <v>42893</v>
          </cell>
          <cell r="Y845">
            <v>42919</v>
          </cell>
          <cell r="Z845" t="str">
            <v>Met all standards that were checked</v>
          </cell>
          <cell r="AA845">
            <v>10020909</v>
          </cell>
          <cell r="AB845" t="str">
            <v>Independent School standard inspection</v>
          </cell>
          <cell r="AC845" t="str">
            <v>Independent Standard Inspection</v>
          </cell>
          <cell r="AD845">
            <v>42626</v>
          </cell>
          <cell r="AE845">
            <v>42628</v>
          </cell>
          <cell r="AF845">
            <v>42689</v>
          </cell>
          <cell r="AG845">
            <v>4</v>
          </cell>
          <cell r="AH845">
            <v>3</v>
          </cell>
          <cell r="AI845">
            <v>3</v>
          </cell>
          <cell r="AJ845">
            <v>4</v>
          </cell>
          <cell r="AK845">
            <v>4</v>
          </cell>
          <cell r="AL845" t="str">
            <v>NULL</v>
          </cell>
          <cell r="AM845" t="str">
            <v>NULL</v>
          </cell>
          <cell r="AN845" t="str">
            <v>No</v>
          </cell>
          <cell r="AO845" t="str">
            <v>ITS422836</v>
          </cell>
          <cell r="AP845" t="str">
            <v>Independent school standard inspection - first</v>
          </cell>
          <cell r="AQ845" t="str">
            <v>Independent Standard Inspection</v>
          </cell>
          <cell r="AR845">
            <v>41555</v>
          </cell>
          <cell r="AS845">
            <v>41557</v>
          </cell>
          <cell r="AT845">
            <v>41579</v>
          </cell>
          <cell r="AU845">
            <v>2</v>
          </cell>
          <cell r="AV845">
            <v>2</v>
          </cell>
          <cell r="AW845">
            <v>2</v>
          </cell>
          <cell r="AX845">
            <v>2</v>
          </cell>
          <cell r="AY845" t="str">
            <v>NULL</v>
          </cell>
          <cell r="AZ845" t="str">
            <v>NULL</v>
          </cell>
          <cell r="BA845" t="str">
            <v>NULL</v>
          </cell>
          <cell r="BB845" t="str">
            <v>NULL</v>
          </cell>
        </row>
        <row r="846">
          <cell r="D846">
            <v>134289</v>
          </cell>
          <cell r="E846">
            <v>8216010</v>
          </cell>
          <cell r="F846" t="str">
            <v>Mehria School</v>
          </cell>
          <cell r="G846" t="str">
            <v>Other Independent School</v>
          </cell>
          <cell r="H846">
            <v>38886</v>
          </cell>
          <cell r="I846">
            <v>73</v>
          </cell>
          <cell r="J846" t="str">
            <v>East of England</v>
          </cell>
          <cell r="K846" t="str">
            <v>East of England</v>
          </cell>
          <cell r="L846" t="str">
            <v>Luton</v>
          </cell>
          <cell r="M846" t="str">
            <v>Luton South</v>
          </cell>
          <cell r="N846" t="str">
            <v>LU4 8JD</v>
          </cell>
          <cell r="O846" t="str">
            <v>Does not have a sixth form</v>
          </cell>
          <cell r="P846">
            <v>5</v>
          </cell>
          <cell r="Q846">
            <v>11</v>
          </cell>
          <cell r="R846" t="str">
            <v>None</v>
          </cell>
          <cell r="S846" t="str">
            <v>Ofsted</v>
          </cell>
          <cell r="T846" t="str">
            <v>NULL</v>
          </cell>
          <cell r="U846" t="str">
            <v>NULL</v>
          </cell>
          <cell r="V846" t="str">
            <v>NULL</v>
          </cell>
          <cell r="W846" t="str">
            <v>NULL</v>
          </cell>
          <cell r="X846" t="str">
            <v>NULL</v>
          </cell>
          <cell r="Y846" t="str">
            <v>NULL</v>
          </cell>
          <cell r="Z846" t="str">
            <v>NULL</v>
          </cell>
          <cell r="AA846">
            <v>10043520</v>
          </cell>
          <cell r="AB846" t="str">
            <v>Independent School standard inspection</v>
          </cell>
          <cell r="AC846" t="str">
            <v>Independent Standard Inspection</v>
          </cell>
          <cell r="AD846">
            <v>43151</v>
          </cell>
          <cell r="AE846">
            <v>43153</v>
          </cell>
          <cell r="AF846">
            <v>43182</v>
          </cell>
          <cell r="AG846">
            <v>3</v>
          </cell>
          <cell r="AH846">
            <v>3</v>
          </cell>
          <cell r="AI846">
            <v>3</v>
          </cell>
          <cell r="AJ846">
            <v>3</v>
          </cell>
          <cell r="AK846">
            <v>2</v>
          </cell>
          <cell r="AL846" t="str">
            <v>NULL</v>
          </cell>
          <cell r="AM846" t="str">
            <v>NULL</v>
          </cell>
          <cell r="AN846" t="str">
            <v>Yes</v>
          </cell>
          <cell r="AO846">
            <v>10010086</v>
          </cell>
          <cell r="AP846" t="str">
            <v>Independent School standard inspection</v>
          </cell>
          <cell r="AQ846" t="str">
            <v>Independent Standard Inspection</v>
          </cell>
          <cell r="AR846">
            <v>42395</v>
          </cell>
          <cell r="AS846">
            <v>42397</v>
          </cell>
          <cell r="AT846">
            <v>42433</v>
          </cell>
          <cell r="AU846">
            <v>4</v>
          </cell>
          <cell r="AV846">
            <v>2</v>
          </cell>
          <cell r="AW846">
            <v>2</v>
          </cell>
          <cell r="AX846">
            <v>4</v>
          </cell>
          <cell r="AY846">
            <v>4</v>
          </cell>
          <cell r="AZ846" t="str">
            <v>NULL</v>
          </cell>
          <cell r="BA846" t="str">
            <v>NULL</v>
          </cell>
          <cell r="BB846" t="str">
            <v>No</v>
          </cell>
        </row>
        <row r="847">
          <cell r="D847">
            <v>101387</v>
          </cell>
          <cell r="E847">
            <v>3026089</v>
          </cell>
          <cell r="F847" t="str">
            <v>Menorah Grammar School</v>
          </cell>
          <cell r="G847" t="str">
            <v>Other Independent School</v>
          </cell>
          <cell r="H847">
            <v>28755</v>
          </cell>
          <cell r="I847">
            <v>235</v>
          </cell>
          <cell r="J847" t="str">
            <v>London</v>
          </cell>
          <cell r="K847" t="str">
            <v>London</v>
          </cell>
          <cell r="L847" t="str">
            <v>Barnet</v>
          </cell>
          <cell r="M847" t="str">
            <v>Hendon</v>
          </cell>
          <cell r="N847" t="str">
            <v>HA8 0QS</v>
          </cell>
          <cell r="O847" t="str">
            <v>Has a sixth form</v>
          </cell>
          <cell r="P847">
            <v>11</v>
          </cell>
          <cell r="Q847">
            <v>18</v>
          </cell>
          <cell r="R847" t="str">
            <v>Jewish</v>
          </cell>
          <cell r="S847" t="str">
            <v>Ofsted</v>
          </cell>
          <cell r="T847" t="str">
            <v>NULL</v>
          </cell>
          <cell r="U847" t="str">
            <v>NULL</v>
          </cell>
          <cell r="V847" t="str">
            <v>NULL</v>
          </cell>
          <cell r="W847" t="str">
            <v>NULL</v>
          </cell>
          <cell r="X847" t="str">
            <v>NULL</v>
          </cell>
          <cell r="Y847" t="str">
            <v>NULL</v>
          </cell>
          <cell r="Z847" t="str">
            <v>NULL</v>
          </cell>
          <cell r="AA847">
            <v>10035782</v>
          </cell>
          <cell r="AB847" t="str">
            <v>Independent School standard inspection</v>
          </cell>
          <cell r="AC847" t="str">
            <v>Independent Standard Inspection</v>
          </cell>
          <cell r="AD847">
            <v>43067</v>
          </cell>
          <cell r="AE847">
            <v>43069</v>
          </cell>
          <cell r="AF847">
            <v>43112</v>
          </cell>
          <cell r="AG847">
            <v>2</v>
          </cell>
          <cell r="AH847">
            <v>2</v>
          </cell>
          <cell r="AI847">
            <v>2</v>
          </cell>
          <cell r="AJ847">
            <v>2</v>
          </cell>
          <cell r="AK847">
            <v>2</v>
          </cell>
          <cell r="AL847" t="str">
            <v>NULL</v>
          </cell>
          <cell r="AM847">
            <v>2</v>
          </cell>
          <cell r="AN847" t="str">
            <v>Yes</v>
          </cell>
          <cell r="AO847" t="str">
            <v>ITS462856</v>
          </cell>
          <cell r="AP847" t="str">
            <v>Independent School standard inspection</v>
          </cell>
          <cell r="AQ847" t="str">
            <v>Independent Standard Inspection</v>
          </cell>
          <cell r="AR847">
            <v>42178</v>
          </cell>
          <cell r="AS847">
            <v>42180</v>
          </cell>
          <cell r="AT847">
            <v>42255</v>
          </cell>
          <cell r="AU847">
            <v>4</v>
          </cell>
          <cell r="AV847">
            <v>2</v>
          </cell>
          <cell r="AW847">
            <v>2</v>
          </cell>
          <cell r="AX847">
            <v>4</v>
          </cell>
          <cell r="AY847" t="str">
            <v>NULL</v>
          </cell>
          <cell r="AZ847">
            <v>9</v>
          </cell>
          <cell r="BA847">
            <v>4</v>
          </cell>
          <cell r="BB847" t="str">
            <v>NULL</v>
          </cell>
        </row>
        <row r="848">
          <cell r="D848">
            <v>134858</v>
          </cell>
          <cell r="E848">
            <v>8876007</v>
          </cell>
          <cell r="F848" t="str">
            <v>Meredale Independent Primary School</v>
          </cell>
          <cell r="G848" t="str">
            <v>Other Independent School</v>
          </cell>
          <cell r="H848">
            <v>38250</v>
          </cell>
          <cell r="I848">
            <v>75</v>
          </cell>
          <cell r="J848" t="str">
            <v>South East</v>
          </cell>
          <cell r="K848" t="str">
            <v>South East</v>
          </cell>
          <cell r="L848" t="str">
            <v>Medway</v>
          </cell>
          <cell r="M848" t="str">
            <v>Gillingham and Rainham</v>
          </cell>
          <cell r="N848" t="str">
            <v>ME8 8EB</v>
          </cell>
          <cell r="O848" t="str">
            <v>Does not have a sixth form</v>
          </cell>
          <cell r="P848">
            <v>4</v>
          </cell>
          <cell r="Q848">
            <v>11</v>
          </cell>
          <cell r="R848" t="str">
            <v>None</v>
          </cell>
          <cell r="S848" t="str">
            <v>Ofsted</v>
          </cell>
          <cell r="T848" t="str">
            <v>NULL</v>
          </cell>
          <cell r="U848" t="str">
            <v>NULL</v>
          </cell>
          <cell r="V848" t="str">
            <v>NULL</v>
          </cell>
          <cell r="W848" t="str">
            <v>NULL</v>
          </cell>
          <cell r="X848" t="str">
            <v>NULL</v>
          </cell>
          <cell r="Y848" t="str">
            <v>NULL</v>
          </cell>
          <cell r="Z848" t="str">
            <v>NULL</v>
          </cell>
          <cell r="AA848">
            <v>10039161</v>
          </cell>
          <cell r="AB848" t="str">
            <v>Independent School standard inspection</v>
          </cell>
          <cell r="AC848" t="str">
            <v>Independent Standard Inspection</v>
          </cell>
          <cell r="AD848">
            <v>43046</v>
          </cell>
          <cell r="AE848">
            <v>43048</v>
          </cell>
          <cell r="AF848">
            <v>43069</v>
          </cell>
          <cell r="AG848">
            <v>3</v>
          </cell>
          <cell r="AH848">
            <v>2</v>
          </cell>
          <cell r="AI848">
            <v>3</v>
          </cell>
          <cell r="AJ848">
            <v>2</v>
          </cell>
          <cell r="AK848">
            <v>2</v>
          </cell>
          <cell r="AL848">
            <v>2</v>
          </cell>
          <cell r="AM848" t="str">
            <v>NULL</v>
          </cell>
          <cell r="AN848" t="str">
            <v>Yes</v>
          </cell>
          <cell r="AO848" t="str">
            <v>ITS443479</v>
          </cell>
          <cell r="AP848" t="str">
            <v>Independent School standard inspection</v>
          </cell>
          <cell r="AQ848" t="str">
            <v>Independent Standard Inspection</v>
          </cell>
          <cell r="AR848">
            <v>41975</v>
          </cell>
          <cell r="AS848">
            <v>41977</v>
          </cell>
          <cell r="AT848">
            <v>42017</v>
          </cell>
          <cell r="AU848">
            <v>2</v>
          </cell>
          <cell r="AV848">
            <v>2</v>
          </cell>
          <cell r="AW848">
            <v>2</v>
          </cell>
          <cell r="AX848">
            <v>1</v>
          </cell>
          <cell r="AY848" t="str">
            <v>NULL</v>
          </cell>
          <cell r="AZ848">
            <v>1</v>
          </cell>
          <cell r="BA848">
            <v>9</v>
          </cell>
          <cell r="BB848" t="str">
            <v>NULL</v>
          </cell>
        </row>
        <row r="849">
          <cell r="D849">
            <v>139426</v>
          </cell>
          <cell r="E849">
            <v>8886058</v>
          </cell>
          <cell r="F849" t="str">
            <v>Prospect House</v>
          </cell>
          <cell r="G849" t="str">
            <v>Other Independent School</v>
          </cell>
          <cell r="H849">
            <v>41354</v>
          </cell>
          <cell r="I849">
            <v>1</v>
          </cell>
          <cell r="J849" t="str">
            <v>North West</v>
          </cell>
          <cell r="K849" t="str">
            <v>North West</v>
          </cell>
          <cell r="L849" t="str">
            <v>Lancashire</v>
          </cell>
          <cell r="M849" t="str">
            <v>Morecambe and Lunesdale</v>
          </cell>
          <cell r="N849" t="str">
            <v>LA5 9TG</v>
          </cell>
          <cell r="O849" t="str">
            <v>Does not have a sixth form</v>
          </cell>
          <cell r="P849">
            <v>11</v>
          </cell>
          <cell r="Q849">
            <v>16</v>
          </cell>
          <cell r="R849" t="str">
            <v>None</v>
          </cell>
          <cell r="S849" t="str">
            <v>Ofsted</v>
          </cell>
          <cell r="T849" t="str">
            <v>NULL</v>
          </cell>
          <cell r="U849" t="str">
            <v>NULL</v>
          </cell>
          <cell r="V849" t="str">
            <v>NULL</v>
          </cell>
          <cell r="W849" t="str">
            <v>NULL</v>
          </cell>
          <cell r="X849" t="str">
            <v>NULL</v>
          </cell>
          <cell r="Y849" t="str">
            <v>NULL</v>
          </cell>
          <cell r="Z849" t="str">
            <v>NULL</v>
          </cell>
          <cell r="AA849">
            <v>10026018</v>
          </cell>
          <cell r="AB849" t="str">
            <v>Independent School standard inspection</v>
          </cell>
          <cell r="AC849" t="str">
            <v>Independent Standard Inspection</v>
          </cell>
          <cell r="AD849">
            <v>42759</v>
          </cell>
          <cell r="AE849">
            <v>42761</v>
          </cell>
          <cell r="AF849">
            <v>42783</v>
          </cell>
          <cell r="AG849">
            <v>2</v>
          </cell>
          <cell r="AH849">
            <v>2</v>
          </cell>
          <cell r="AI849">
            <v>2</v>
          </cell>
          <cell r="AJ849">
            <v>2</v>
          </cell>
          <cell r="AK849">
            <v>2</v>
          </cell>
          <cell r="AL849" t="str">
            <v>NULL</v>
          </cell>
          <cell r="AM849" t="str">
            <v>NULL</v>
          </cell>
          <cell r="AN849" t="str">
            <v>Yes</v>
          </cell>
          <cell r="AO849" t="str">
            <v>ITS422867</v>
          </cell>
          <cell r="AP849" t="str">
            <v>Independent school standard inspection - first</v>
          </cell>
          <cell r="AQ849" t="str">
            <v>Independent Standard Inspection</v>
          </cell>
          <cell r="AR849">
            <v>41723</v>
          </cell>
          <cell r="AS849">
            <v>41724</v>
          </cell>
          <cell r="AT849">
            <v>41745</v>
          </cell>
          <cell r="AU849">
            <v>2</v>
          </cell>
          <cell r="AV849">
            <v>2</v>
          </cell>
          <cell r="AW849">
            <v>2</v>
          </cell>
          <cell r="AX849">
            <v>2</v>
          </cell>
          <cell r="AY849" t="str">
            <v>NULL</v>
          </cell>
          <cell r="AZ849" t="str">
            <v>NULL</v>
          </cell>
          <cell r="BA849" t="str">
            <v>NULL</v>
          </cell>
          <cell r="BB849" t="str">
            <v>NULL</v>
          </cell>
        </row>
        <row r="850">
          <cell r="D850">
            <v>141315</v>
          </cell>
          <cell r="E850">
            <v>2036004</v>
          </cell>
          <cell r="F850" t="str">
            <v>Pulse and Water College</v>
          </cell>
          <cell r="G850" t="str">
            <v>Other Independent School</v>
          </cell>
          <cell r="H850">
            <v>41886</v>
          </cell>
          <cell r="I850">
            <v>13</v>
          </cell>
          <cell r="J850" t="str">
            <v>London</v>
          </cell>
          <cell r="K850" t="str">
            <v>London</v>
          </cell>
          <cell r="L850" t="str">
            <v>Greenwich</v>
          </cell>
          <cell r="M850" t="str">
            <v>Greenwich and Woolwich</v>
          </cell>
          <cell r="N850" t="str">
            <v>SE18 6PF</v>
          </cell>
          <cell r="O850" t="str">
            <v>Does not have a sixth form</v>
          </cell>
          <cell r="P850">
            <v>11</v>
          </cell>
          <cell r="Q850">
            <v>16</v>
          </cell>
          <cell r="R850" t="str">
            <v>None</v>
          </cell>
          <cell r="S850" t="str">
            <v>Ofsted</v>
          </cell>
          <cell r="T850" t="str">
            <v>NULL</v>
          </cell>
          <cell r="U850" t="str">
            <v>NULL</v>
          </cell>
          <cell r="V850" t="str">
            <v>NULL</v>
          </cell>
          <cell r="W850" t="str">
            <v>NULL</v>
          </cell>
          <cell r="X850" t="str">
            <v>NULL</v>
          </cell>
          <cell r="Y850" t="str">
            <v>NULL</v>
          </cell>
          <cell r="Z850" t="str">
            <v>NULL</v>
          </cell>
          <cell r="AA850">
            <v>10035815</v>
          </cell>
          <cell r="AB850" t="str">
            <v>Independent School standard inspection</v>
          </cell>
          <cell r="AC850" t="str">
            <v>Independent Standard Inspection</v>
          </cell>
          <cell r="AD850">
            <v>43011</v>
          </cell>
          <cell r="AE850">
            <v>43013</v>
          </cell>
          <cell r="AF850">
            <v>43061</v>
          </cell>
          <cell r="AG850">
            <v>3</v>
          </cell>
          <cell r="AH850">
            <v>3</v>
          </cell>
          <cell r="AI850">
            <v>3</v>
          </cell>
          <cell r="AJ850">
            <v>3</v>
          </cell>
          <cell r="AK850">
            <v>2</v>
          </cell>
          <cell r="AL850" t="str">
            <v>NULL</v>
          </cell>
          <cell r="AM850" t="str">
            <v>NULL</v>
          </cell>
          <cell r="AN850" t="str">
            <v>Yes</v>
          </cell>
          <cell r="AO850" t="str">
            <v>ITS462907</v>
          </cell>
          <cell r="AP850" t="str">
            <v>Independent school standard inspection - first</v>
          </cell>
          <cell r="AQ850" t="str">
            <v>Independent Standard Inspection</v>
          </cell>
          <cell r="AR850">
            <v>42172</v>
          </cell>
          <cell r="AS850">
            <v>42174</v>
          </cell>
          <cell r="AT850">
            <v>42262</v>
          </cell>
          <cell r="AU850">
            <v>4</v>
          </cell>
          <cell r="AV850">
            <v>3</v>
          </cell>
          <cell r="AW850">
            <v>3</v>
          </cell>
          <cell r="AX850">
            <v>4</v>
          </cell>
          <cell r="AY850" t="str">
            <v>NULL</v>
          </cell>
          <cell r="AZ850">
            <v>9</v>
          </cell>
          <cell r="BA850">
            <v>9</v>
          </cell>
          <cell r="BB850" t="str">
            <v>NULL</v>
          </cell>
        </row>
        <row r="851">
          <cell r="D851">
            <v>108109</v>
          </cell>
          <cell r="E851">
            <v>3836098</v>
          </cell>
          <cell r="F851" t="str">
            <v>Queenswood School</v>
          </cell>
          <cell r="G851" t="str">
            <v>Other Independent School</v>
          </cell>
          <cell r="H851">
            <v>21199</v>
          </cell>
          <cell r="I851">
            <v>24</v>
          </cell>
          <cell r="J851" t="str">
            <v>North East, Yorkshire and the Humber</v>
          </cell>
          <cell r="K851" t="str">
            <v>Yorkshire and the Humber</v>
          </cell>
          <cell r="L851" t="str">
            <v>Leeds</v>
          </cell>
          <cell r="M851" t="str">
            <v>Morley and Outwood</v>
          </cell>
          <cell r="N851" t="str">
            <v>LS27 9EB</v>
          </cell>
          <cell r="O851" t="str">
            <v>Does not have a sixth form</v>
          </cell>
          <cell r="P851">
            <v>4</v>
          </cell>
          <cell r="Q851">
            <v>11</v>
          </cell>
          <cell r="R851" t="str">
            <v>None</v>
          </cell>
          <cell r="S851" t="str">
            <v>Ofsted</v>
          </cell>
          <cell r="T851" t="str">
            <v>NULL</v>
          </cell>
          <cell r="U851" t="str">
            <v>NULL</v>
          </cell>
          <cell r="V851" t="str">
            <v>NULL</v>
          </cell>
          <cell r="W851" t="str">
            <v>NULL</v>
          </cell>
          <cell r="X851" t="str">
            <v>NULL</v>
          </cell>
          <cell r="Y851" t="str">
            <v>NULL</v>
          </cell>
          <cell r="Z851" t="str">
            <v>NULL</v>
          </cell>
          <cell r="AA851">
            <v>10020785</v>
          </cell>
          <cell r="AB851" t="str">
            <v>Independent School standard inspection</v>
          </cell>
          <cell r="AC851" t="str">
            <v>Independent Standard Inspection</v>
          </cell>
          <cell r="AD851">
            <v>42689</v>
          </cell>
          <cell r="AE851">
            <v>42691</v>
          </cell>
          <cell r="AF851">
            <v>42761</v>
          </cell>
          <cell r="AG851">
            <v>2</v>
          </cell>
          <cell r="AH851">
            <v>2</v>
          </cell>
          <cell r="AI851">
            <v>2</v>
          </cell>
          <cell r="AJ851">
            <v>2</v>
          </cell>
          <cell r="AK851">
            <v>1</v>
          </cell>
          <cell r="AL851">
            <v>2</v>
          </cell>
          <cell r="AM851" t="str">
            <v>NULL</v>
          </cell>
          <cell r="AN851" t="str">
            <v>Yes</v>
          </cell>
          <cell r="AO851" t="str">
            <v>ITS385083</v>
          </cell>
          <cell r="AP851" t="str">
            <v>Independent School standard inspection</v>
          </cell>
          <cell r="AQ851" t="str">
            <v>Independent Standard Inspection</v>
          </cell>
          <cell r="AR851">
            <v>40834</v>
          </cell>
          <cell r="AS851">
            <v>40835</v>
          </cell>
          <cell r="AT851">
            <v>40861</v>
          </cell>
          <cell r="AU851">
            <v>2</v>
          </cell>
          <cell r="AV851">
            <v>2</v>
          </cell>
          <cell r="AW851">
            <v>2</v>
          </cell>
          <cell r="AX851" t="str">
            <v>NULL</v>
          </cell>
          <cell r="AY851" t="str">
            <v>NULL</v>
          </cell>
          <cell r="AZ851">
            <v>2</v>
          </cell>
          <cell r="BA851" t="str">
            <v>NULL</v>
          </cell>
          <cell r="BB851" t="str">
            <v>NULL</v>
          </cell>
        </row>
        <row r="852">
          <cell r="D852">
            <v>134627</v>
          </cell>
          <cell r="E852">
            <v>3166066</v>
          </cell>
          <cell r="F852" t="str">
            <v>Quwwat Ul Islam Girls' School</v>
          </cell>
          <cell r="G852" t="str">
            <v>Other Independent School</v>
          </cell>
          <cell r="H852">
            <v>37863</v>
          </cell>
          <cell r="I852">
            <v>268</v>
          </cell>
          <cell r="J852" t="str">
            <v>London</v>
          </cell>
          <cell r="K852" t="str">
            <v>London</v>
          </cell>
          <cell r="L852" t="str">
            <v>Newham</v>
          </cell>
          <cell r="M852" t="str">
            <v>West Ham</v>
          </cell>
          <cell r="N852" t="str">
            <v>E7 9NB</v>
          </cell>
          <cell r="O852" t="str">
            <v>Does not have a sixth form</v>
          </cell>
          <cell r="P852">
            <v>4</v>
          </cell>
          <cell r="Q852">
            <v>16</v>
          </cell>
          <cell r="R852" t="str">
            <v>None</v>
          </cell>
          <cell r="S852" t="str">
            <v>Ofsted</v>
          </cell>
          <cell r="T852" t="str">
            <v>NULL</v>
          </cell>
          <cell r="U852" t="str">
            <v>NULL</v>
          </cell>
          <cell r="V852" t="str">
            <v>NULL</v>
          </cell>
          <cell r="W852" t="str">
            <v>NULL</v>
          </cell>
          <cell r="X852" t="str">
            <v>NULL</v>
          </cell>
          <cell r="Y852" t="str">
            <v>NULL</v>
          </cell>
          <cell r="Z852" t="str">
            <v>NULL</v>
          </cell>
          <cell r="AA852" t="str">
            <v>ITS422770</v>
          </cell>
          <cell r="AB852" t="str">
            <v>Independent School standard inspection</v>
          </cell>
          <cell r="AC852" t="str">
            <v>Independent Standard Inspection</v>
          </cell>
          <cell r="AD852">
            <v>41667</v>
          </cell>
          <cell r="AE852">
            <v>41669</v>
          </cell>
          <cell r="AF852">
            <v>41697</v>
          </cell>
          <cell r="AG852">
            <v>2</v>
          </cell>
          <cell r="AH852">
            <v>2</v>
          </cell>
          <cell r="AI852">
            <v>2</v>
          </cell>
          <cell r="AJ852">
            <v>2</v>
          </cell>
          <cell r="AK852" t="str">
            <v>NULL</v>
          </cell>
          <cell r="AL852" t="str">
            <v>NULL</v>
          </cell>
          <cell r="AM852" t="str">
            <v>NULL</v>
          </cell>
          <cell r="AN852" t="str">
            <v>NULL</v>
          </cell>
          <cell r="AO852" t="str">
            <v>ITS361423</v>
          </cell>
          <cell r="AP852" t="str">
            <v>Independent School standard inspection</v>
          </cell>
          <cell r="AQ852" t="str">
            <v>Independent Standard Inspection</v>
          </cell>
          <cell r="AR852">
            <v>40451</v>
          </cell>
          <cell r="AS852">
            <v>40452</v>
          </cell>
          <cell r="AT852">
            <v>40473</v>
          </cell>
          <cell r="AU852">
            <v>2</v>
          </cell>
          <cell r="AV852">
            <v>2</v>
          </cell>
          <cell r="AW852">
            <v>2</v>
          </cell>
          <cell r="AX852" t="str">
            <v>NULL</v>
          </cell>
          <cell r="AY852" t="str">
            <v>NULL</v>
          </cell>
          <cell r="AZ852">
            <v>3</v>
          </cell>
          <cell r="BA852" t="str">
            <v>NULL</v>
          </cell>
          <cell r="BB852" t="str">
            <v>NULL</v>
          </cell>
        </row>
        <row r="853">
          <cell r="D853">
            <v>113567</v>
          </cell>
          <cell r="E853">
            <v>8786004</v>
          </cell>
          <cell r="F853" t="str">
            <v>St Wilfrid's School</v>
          </cell>
          <cell r="G853" t="str">
            <v>Other Independent School</v>
          </cell>
          <cell r="H853">
            <v>21916</v>
          </cell>
          <cell r="I853">
            <v>48</v>
          </cell>
          <cell r="J853" t="str">
            <v>South West</v>
          </cell>
          <cell r="K853" t="str">
            <v>South West</v>
          </cell>
          <cell r="L853" t="str">
            <v>Devon</v>
          </cell>
          <cell r="M853" t="str">
            <v>Exeter</v>
          </cell>
          <cell r="N853" t="str">
            <v>EX4 4DA</v>
          </cell>
          <cell r="O853" t="str">
            <v>Does not have a sixth form</v>
          </cell>
          <cell r="P853">
            <v>3</v>
          </cell>
          <cell r="Q853">
            <v>16</v>
          </cell>
          <cell r="R853" t="str">
            <v>None</v>
          </cell>
          <cell r="S853" t="str">
            <v>Ofsted</v>
          </cell>
          <cell r="T853" t="str">
            <v>NULL</v>
          </cell>
          <cell r="U853" t="str">
            <v>NULL</v>
          </cell>
          <cell r="V853" t="str">
            <v>NULL</v>
          </cell>
          <cell r="W853" t="str">
            <v>NULL</v>
          </cell>
          <cell r="X853" t="str">
            <v>NULL</v>
          </cell>
          <cell r="Y853" t="str">
            <v>NULL</v>
          </cell>
          <cell r="Z853" t="str">
            <v>NULL</v>
          </cell>
          <cell r="AA853">
            <v>10033881</v>
          </cell>
          <cell r="AB853" t="str">
            <v>Independent School standard inspection</v>
          </cell>
          <cell r="AC853" t="str">
            <v>Independent Standard Inspection</v>
          </cell>
          <cell r="AD853">
            <v>43025</v>
          </cell>
          <cell r="AE853">
            <v>43027</v>
          </cell>
          <cell r="AF853">
            <v>43059</v>
          </cell>
          <cell r="AG853">
            <v>2</v>
          </cell>
          <cell r="AH853">
            <v>2</v>
          </cell>
          <cell r="AI853">
            <v>2</v>
          </cell>
          <cell r="AJ853">
            <v>2</v>
          </cell>
          <cell r="AK853">
            <v>2</v>
          </cell>
          <cell r="AL853">
            <v>2</v>
          </cell>
          <cell r="AM853" t="str">
            <v>NULL</v>
          </cell>
          <cell r="AN853" t="str">
            <v>Yes</v>
          </cell>
          <cell r="AO853" t="str">
            <v>ITS443455</v>
          </cell>
          <cell r="AP853" t="str">
            <v>Independent School standard inspection</v>
          </cell>
          <cell r="AQ853" t="str">
            <v>Independent Standard Inspection</v>
          </cell>
          <cell r="AR853">
            <v>41773</v>
          </cell>
          <cell r="AS853">
            <v>41775</v>
          </cell>
          <cell r="AT853">
            <v>41796</v>
          </cell>
          <cell r="AU853">
            <v>2</v>
          </cell>
          <cell r="AV853">
            <v>2</v>
          </cell>
          <cell r="AW853">
            <v>2</v>
          </cell>
          <cell r="AX853">
            <v>2</v>
          </cell>
          <cell r="AY853" t="str">
            <v>NULL</v>
          </cell>
          <cell r="AZ853" t="str">
            <v>NULL</v>
          </cell>
          <cell r="BA853" t="str">
            <v>NULL</v>
          </cell>
          <cell r="BB853" t="str">
            <v>NULL</v>
          </cell>
        </row>
        <row r="854">
          <cell r="D854">
            <v>110932</v>
          </cell>
          <cell r="E854">
            <v>8736019</v>
          </cell>
          <cell r="F854" t="str">
            <v>St. Andrew's College Cambridge</v>
          </cell>
          <cell r="G854" t="str">
            <v>Other Independent School</v>
          </cell>
          <cell r="H854">
            <v>32993</v>
          </cell>
          <cell r="I854">
            <v>110</v>
          </cell>
          <cell r="J854" t="str">
            <v>East of England</v>
          </cell>
          <cell r="K854" t="str">
            <v>East of England</v>
          </cell>
          <cell r="L854" t="str">
            <v>Cambridgeshire</v>
          </cell>
          <cell r="M854" t="str">
            <v>Cambridge</v>
          </cell>
          <cell r="N854" t="str">
            <v>CB1 2JB</v>
          </cell>
          <cell r="O854" t="str">
            <v>Has a sixth form</v>
          </cell>
          <cell r="P854">
            <v>15</v>
          </cell>
          <cell r="Q854">
            <v>22</v>
          </cell>
          <cell r="R854" t="str">
            <v>None</v>
          </cell>
          <cell r="S854" t="str">
            <v>Ofsted</v>
          </cell>
          <cell r="T854" t="str">
            <v>NULL</v>
          </cell>
          <cell r="U854" t="str">
            <v>NULL</v>
          </cell>
          <cell r="V854" t="str">
            <v>NULL</v>
          </cell>
          <cell r="W854" t="str">
            <v>NULL</v>
          </cell>
          <cell r="X854" t="str">
            <v>NULL</v>
          </cell>
          <cell r="Y854" t="str">
            <v>NULL</v>
          </cell>
          <cell r="Z854" t="str">
            <v>NULL</v>
          </cell>
          <cell r="AA854" t="str">
            <v>ITS446379</v>
          </cell>
          <cell r="AB854" t="str">
            <v>Independent School standard inspection</v>
          </cell>
          <cell r="AC854" t="str">
            <v>Independent Standard Inspection</v>
          </cell>
          <cell r="AD854">
            <v>42045</v>
          </cell>
          <cell r="AE854">
            <v>42047</v>
          </cell>
          <cell r="AF854">
            <v>42072</v>
          </cell>
          <cell r="AG854">
            <v>2</v>
          </cell>
          <cell r="AH854">
            <v>2</v>
          </cell>
          <cell r="AI854">
            <v>2</v>
          </cell>
          <cell r="AJ854">
            <v>2</v>
          </cell>
          <cell r="AK854" t="str">
            <v>NULL</v>
          </cell>
          <cell r="AL854">
            <v>9</v>
          </cell>
          <cell r="AM854">
            <v>2</v>
          </cell>
          <cell r="AN854" t="str">
            <v>NULL</v>
          </cell>
          <cell r="AO854" t="str">
            <v>ITS368428</v>
          </cell>
          <cell r="AP854" t="str">
            <v xml:space="preserve">Independent School standard inspection - integrated </v>
          </cell>
          <cell r="AQ854" t="str">
            <v>Independent Standard Inspection</v>
          </cell>
          <cell r="AR854">
            <v>40828</v>
          </cell>
          <cell r="AS854">
            <v>40829</v>
          </cell>
          <cell r="AT854">
            <v>40870</v>
          </cell>
          <cell r="AU854">
            <v>2</v>
          </cell>
          <cell r="AV854">
            <v>2</v>
          </cell>
          <cell r="AW854">
            <v>2</v>
          </cell>
          <cell r="AX854" t="str">
            <v>NULL</v>
          </cell>
          <cell r="AY854" t="str">
            <v>NULL</v>
          </cell>
          <cell r="AZ854">
            <v>8</v>
          </cell>
          <cell r="BA854" t="str">
            <v>NULL</v>
          </cell>
          <cell r="BB854" t="str">
            <v>NULL</v>
          </cell>
        </row>
        <row r="855">
          <cell r="D855">
            <v>135596</v>
          </cell>
          <cell r="E855">
            <v>9196261</v>
          </cell>
          <cell r="F855" t="str">
            <v>Stanborough Primary School</v>
          </cell>
          <cell r="G855" t="str">
            <v>Other Independent School</v>
          </cell>
          <cell r="H855">
            <v>21157</v>
          </cell>
          <cell r="I855">
            <v>116</v>
          </cell>
          <cell r="J855" t="str">
            <v>East of England</v>
          </cell>
          <cell r="K855" t="str">
            <v>East of England</v>
          </cell>
          <cell r="L855" t="str">
            <v>Hertfordshire</v>
          </cell>
          <cell r="M855" t="str">
            <v>Watford</v>
          </cell>
          <cell r="N855" t="str">
            <v>WD25 0DQ</v>
          </cell>
          <cell r="O855" t="str">
            <v>Does not have a sixth form</v>
          </cell>
          <cell r="P855">
            <v>3</v>
          </cell>
          <cell r="Q855">
            <v>11</v>
          </cell>
          <cell r="R855" t="str">
            <v>None</v>
          </cell>
          <cell r="S855" t="str">
            <v>Ofsted</v>
          </cell>
          <cell r="T855">
            <v>1</v>
          </cell>
          <cell r="U855">
            <v>10044624</v>
          </cell>
          <cell r="V855" t="str">
            <v>Independent school evaluation of school action plan</v>
          </cell>
          <cell r="W855">
            <v>43089</v>
          </cell>
          <cell r="X855">
            <v>43089</v>
          </cell>
          <cell r="Y855" t="str">
            <v>NULL</v>
          </cell>
          <cell r="Z855" t="str">
            <v>Action plan is acceptable</v>
          </cell>
          <cell r="AA855">
            <v>10026071</v>
          </cell>
          <cell r="AB855" t="str">
            <v>Independent School standard inspection</v>
          </cell>
          <cell r="AC855" t="str">
            <v>Independent Standard Inspection</v>
          </cell>
          <cell r="AD855">
            <v>42892</v>
          </cell>
          <cell r="AE855">
            <v>42894</v>
          </cell>
          <cell r="AF855">
            <v>43013</v>
          </cell>
          <cell r="AG855">
            <v>3</v>
          </cell>
          <cell r="AH855">
            <v>3</v>
          </cell>
          <cell r="AI855">
            <v>3</v>
          </cell>
          <cell r="AJ855">
            <v>3</v>
          </cell>
          <cell r="AK855">
            <v>3</v>
          </cell>
          <cell r="AL855">
            <v>2</v>
          </cell>
          <cell r="AM855" t="str">
            <v>NULL</v>
          </cell>
          <cell r="AN855" t="str">
            <v>Yes</v>
          </cell>
          <cell r="AO855" t="str">
            <v>ITS388148</v>
          </cell>
          <cell r="AP855" t="str">
            <v>Independent School standard inspection</v>
          </cell>
          <cell r="AQ855" t="str">
            <v>Independent Standard Inspection</v>
          </cell>
          <cell r="AR855">
            <v>40918</v>
          </cell>
          <cell r="AS855">
            <v>40919</v>
          </cell>
          <cell r="AT855">
            <v>40941</v>
          </cell>
          <cell r="AU855">
            <v>2</v>
          </cell>
          <cell r="AV855">
            <v>2</v>
          </cell>
          <cell r="AW855">
            <v>2</v>
          </cell>
          <cell r="AX855" t="str">
            <v>NULL</v>
          </cell>
          <cell r="AY855" t="str">
            <v>NULL</v>
          </cell>
          <cell r="AZ855">
            <v>8</v>
          </cell>
          <cell r="BA855" t="str">
            <v>NULL</v>
          </cell>
          <cell r="BB855" t="str">
            <v>NULL</v>
          </cell>
        </row>
        <row r="856">
          <cell r="D856">
            <v>106154</v>
          </cell>
          <cell r="E856">
            <v>3566016</v>
          </cell>
          <cell r="F856" t="str">
            <v>Stella Maris School</v>
          </cell>
          <cell r="G856" t="str">
            <v>Other Independent School</v>
          </cell>
          <cell r="H856">
            <v>28045</v>
          </cell>
          <cell r="I856">
            <v>66</v>
          </cell>
          <cell r="J856" t="str">
            <v>North West</v>
          </cell>
          <cell r="K856" t="str">
            <v>North West</v>
          </cell>
          <cell r="L856" t="str">
            <v>Stockport</v>
          </cell>
          <cell r="M856" t="str">
            <v>Stockport</v>
          </cell>
          <cell r="N856" t="str">
            <v>SK4 3BR</v>
          </cell>
          <cell r="O856" t="str">
            <v>Does not have a sixth form</v>
          </cell>
          <cell r="P856">
            <v>3</v>
          </cell>
          <cell r="Q856">
            <v>11</v>
          </cell>
          <cell r="R856" t="str">
            <v>None</v>
          </cell>
          <cell r="S856" t="str">
            <v>Ofsted</v>
          </cell>
          <cell r="T856" t="str">
            <v>NULL</v>
          </cell>
          <cell r="U856" t="str">
            <v>NULL</v>
          </cell>
          <cell r="V856" t="str">
            <v>NULL</v>
          </cell>
          <cell r="W856" t="str">
            <v>NULL</v>
          </cell>
          <cell r="X856" t="str">
            <v>NULL</v>
          </cell>
          <cell r="Y856" t="str">
            <v>NULL</v>
          </cell>
          <cell r="Z856" t="str">
            <v>NULL</v>
          </cell>
          <cell r="AA856">
            <v>10026003</v>
          </cell>
          <cell r="AB856" t="str">
            <v>Independent School standard inspection</v>
          </cell>
          <cell r="AC856" t="str">
            <v>Independent Standard Inspection</v>
          </cell>
          <cell r="AD856">
            <v>42703</v>
          </cell>
          <cell r="AE856">
            <v>42705</v>
          </cell>
          <cell r="AF856">
            <v>42746</v>
          </cell>
          <cell r="AG856">
            <v>2</v>
          </cell>
          <cell r="AH856">
            <v>2</v>
          </cell>
          <cell r="AI856">
            <v>2</v>
          </cell>
          <cell r="AJ856">
            <v>2</v>
          </cell>
          <cell r="AK856">
            <v>2</v>
          </cell>
          <cell r="AL856">
            <v>2</v>
          </cell>
          <cell r="AM856" t="str">
            <v>NULL</v>
          </cell>
          <cell r="AN856" t="str">
            <v>Yes</v>
          </cell>
          <cell r="AO856" t="str">
            <v>ITS441512</v>
          </cell>
          <cell r="AP856" t="str">
            <v>Independent School standard inspection</v>
          </cell>
          <cell r="AQ856" t="str">
            <v>Independent Standard Inspection</v>
          </cell>
          <cell r="AR856">
            <v>41702</v>
          </cell>
          <cell r="AS856">
            <v>41704</v>
          </cell>
          <cell r="AT856">
            <v>41725</v>
          </cell>
          <cell r="AU856">
            <v>2</v>
          </cell>
          <cell r="AV856">
            <v>2</v>
          </cell>
          <cell r="AW856">
            <v>2</v>
          </cell>
          <cell r="AX856">
            <v>2</v>
          </cell>
          <cell r="AY856" t="str">
            <v>NULL</v>
          </cell>
          <cell r="AZ856" t="str">
            <v>NULL</v>
          </cell>
          <cell r="BA856" t="str">
            <v>NULL</v>
          </cell>
          <cell r="BB856" t="str">
            <v>NULL</v>
          </cell>
        </row>
        <row r="857">
          <cell r="D857">
            <v>141753</v>
          </cell>
          <cell r="E857">
            <v>2076010</v>
          </cell>
          <cell r="F857" t="str">
            <v>The Kensington School</v>
          </cell>
          <cell r="G857" t="str">
            <v>Other Independent School</v>
          </cell>
          <cell r="H857">
            <v>42046</v>
          </cell>
          <cell r="I857">
            <v>19</v>
          </cell>
          <cell r="J857" t="str">
            <v>London</v>
          </cell>
          <cell r="K857" t="str">
            <v>London</v>
          </cell>
          <cell r="L857" t="str">
            <v>Kensington and Chelsea</v>
          </cell>
          <cell r="M857" t="str">
            <v>Kensington</v>
          </cell>
          <cell r="N857" t="str">
            <v>W8 5HN</v>
          </cell>
          <cell r="O857" t="str">
            <v>Does not have a sixth form</v>
          </cell>
          <cell r="P857">
            <v>2</v>
          </cell>
          <cell r="Q857">
            <v>11</v>
          </cell>
          <cell r="R857" t="str">
            <v>None</v>
          </cell>
          <cell r="S857" t="str">
            <v>Ofsted</v>
          </cell>
          <cell r="T857" t="str">
            <v>NULL</v>
          </cell>
          <cell r="U857" t="str">
            <v>NULL</v>
          </cell>
          <cell r="V857" t="str">
            <v>NULL</v>
          </cell>
          <cell r="W857" t="str">
            <v>NULL</v>
          </cell>
          <cell r="X857" t="str">
            <v>NULL</v>
          </cell>
          <cell r="Y857" t="str">
            <v>NULL</v>
          </cell>
          <cell r="Z857" t="str">
            <v>NULL</v>
          </cell>
          <cell r="AA857">
            <v>10008620</v>
          </cell>
          <cell r="AB857" t="str">
            <v>Independent school standard inspection - first</v>
          </cell>
          <cell r="AC857" t="str">
            <v>Independent Standard Inspection</v>
          </cell>
          <cell r="AD857">
            <v>42409</v>
          </cell>
          <cell r="AE857">
            <v>42411</v>
          </cell>
          <cell r="AF857">
            <v>42438</v>
          </cell>
          <cell r="AG857">
            <v>2</v>
          </cell>
          <cell r="AH857">
            <v>2</v>
          </cell>
          <cell r="AI857">
            <v>2</v>
          </cell>
          <cell r="AJ857">
            <v>2</v>
          </cell>
          <cell r="AK857">
            <v>2</v>
          </cell>
          <cell r="AL857">
            <v>2</v>
          </cell>
          <cell r="AM857" t="str">
            <v>NULL</v>
          </cell>
          <cell r="AN857" t="str">
            <v>Yes</v>
          </cell>
          <cell r="AO857" t="str">
            <v>NULL</v>
          </cell>
          <cell r="AP857" t="str">
            <v>NULL</v>
          </cell>
          <cell r="AQ857" t="str">
            <v>NULL</v>
          </cell>
          <cell r="AR857" t="str">
            <v>NULL</v>
          </cell>
          <cell r="AS857" t="str">
            <v>NULL</v>
          </cell>
          <cell r="AT857" t="str">
            <v>NULL</v>
          </cell>
          <cell r="AU857" t="str">
            <v>NULL</v>
          </cell>
          <cell r="AV857" t="str">
            <v>NULL</v>
          </cell>
          <cell r="AW857" t="str">
            <v>NULL</v>
          </cell>
          <cell r="AX857" t="str">
            <v>NULL</v>
          </cell>
          <cell r="AY857" t="str">
            <v>NULL</v>
          </cell>
          <cell r="AZ857" t="str">
            <v>NULL</v>
          </cell>
          <cell r="BA857" t="str">
            <v>NULL</v>
          </cell>
          <cell r="BB857" t="str">
            <v>NULL</v>
          </cell>
        </row>
        <row r="858">
          <cell r="D858">
            <v>116585</v>
          </cell>
          <cell r="E858">
            <v>8506003</v>
          </cell>
          <cell r="F858" t="str">
            <v>The King's School</v>
          </cell>
          <cell r="G858" t="str">
            <v>Other Independent School</v>
          </cell>
          <cell r="H858">
            <v>29866</v>
          </cell>
          <cell r="I858">
            <v>44</v>
          </cell>
          <cell r="J858" t="str">
            <v>South East</v>
          </cell>
          <cell r="K858" t="str">
            <v>South East</v>
          </cell>
          <cell r="L858" t="str">
            <v>Hampshire</v>
          </cell>
          <cell r="M858" t="str">
            <v>Basingstoke</v>
          </cell>
          <cell r="N858" t="str">
            <v>RG21 8SR</v>
          </cell>
          <cell r="O858" t="str">
            <v>Does not have a sixth form</v>
          </cell>
          <cell r="P858">
            <v>3</v>
          </cell>
          <cell r="Q858">
            <v>16</v>
          </cell>
          <cell r="R858" t="str">
            <v>Christian</v>
          </cell>
          <cell r="S858" t="str">
            <v>Ofsted</v>
          </cell>
          <cell r="T858" t="str">
            <v>NULL</v>
          </cell>
          <cell r="U858" t="str">
            <v>NULL</v>
          </cell>
          <cell r="V858" t="str">
            <v>NULL</v>
          </cell>
          <cell r="W858" t="str">
            <v>NULL</v>
          </cell>
          <cell r="X858" t="str">
            <v>NULL</v>
          </cell>
          <cell r="Y858" t="str">
            <v>NULL</v>
          </cell>
          <cell r="Z858" t="str">
            <v>NULL</v>
          </cell>
          <cell r="AA858">
            <v>10007692</v>
          </cell>
          <cell r="AB858" t="str">
            <v>Independent School standard inspection</v>
          </cell>
          <cell r="AC858" t="str">
            <v>Independent Standard Inspection</v>
          </cell>
          <cell r="AD858">
            <v>42283</v>
          </cell>
          <cell r="AE858">
            <v>42285</v>
          </cell>
          <cell r="AF858">
            <v>42318</v>
          </cell>
          <cell r="AG858">
            <v>3</v>
          </cell>
          <cell r="AH858">
            <v>3</v>
          </cell>
          <cell r="AI858">
            <v>3</v>
          </cell>
          <cell r="AJ858">
            <v>3</v>
          </cell>
          <cell r="AK858">
            <v>3</v>
          </cell>
          <cell r="AL858">
            <v>3</v>
          </cell>
          <cell r="AM858" t="str">
            <v>NULL</v>
          </cell>
          <cell r="AN858" t="str">
            <v>Yes</v>
          </cell>
          <cell r="AO858" t="str">
            <v>NULL</v>
          </cell>
          <cell r="AP858" t="str">
            <v>NULL</v>
          </cell>
          <cell r="AQ858" t="str">
            <v>NULL</v>
          </cell>
          <cell r="AR858" t="str">
            <v>NULL</v>
          </cell>
          <cell r="AS858" t="str">
            <v>NULL</v>
          </cell>
          <cell r="AT858" t="str">
            <v>NULL</v>
          </cell>
          <cell r="AU858" t="str">
            <v>NULL</v>
          </cell>
          <cell r="AV858" t="str">
            <v>NULL</v>
          </cell>
          <cell r="AW858" t="str">
            <v>NULL</v>
          </cell>
          <cell r="AX858" t="str">
            <v>NULL</v>
          </cell>
          <cell r="AY858" t="str">
            <v>NULL</v>
          </cell>
          <cell r="AZ858" t="str">
            <v>NULL</v>
          </cell>
          <cell r="BA858" t="str">
            <v>NULL</v>
          </cell>
          <cell r="BB858" t="str">
            <v>NULL</v>
          </cell>
        </row>
        <row r="859">
          <cell r="D859">
            <v>117650</v>
          </cell>
          <cell r="E859">
            <v>9196224</v>
          </cell>
          <cell r="F859" t="str">
            <v>The King's School</v>
          </cell>
          <cell r="G859" t="str">
            <v>Other Independent School</v>
          </cell>
          <cell r="H859">
            <v>30208</v>
          </cell>
          <cell r="I859">
            <v>167</v>
          </cell>
          <cell r="J859" t="str">
            <v>East of England</v>
          </cell>
          <cell r="K859" t="str">
            <v>East of England</v>
          </cell>
          <cell r="L859" t="str">
            <v>Hertfordshire</v>
          </cell>
          <cell r="M859" t="str">
            <v>Hitchin and Harpenden</v>
          </cell>
          <cell r="N859" t="str">
            <v>AL5 4DU</v>
          </cell>
          <cell r="O859" t="str">
            <v>Does not have a sixth form</v>
          </cell>
          <cell r="P859">
            <v>4</v>
          </cell>
          <cell r="Q859">
            <v>16</v>
          </cell>
          <cell r="R859" t="str">
            <v>Christian</v>
          </cell>
          <cell r="S859" t="str">
            <v>Ofsted</v>
          </cell>
          <cell r="T859" t="str">
            <v>NULL</v>
          </cell>
          <cell r="U859" t="str">
            <v>NULL</v>
          </cell>
          <cell r="V859" t="str">
            <v>NULL</v>
          </cell>
          <cell r="W859" t="str">
            <v>NULL</v>
          </cell>
          <cell r="X859" t="str">
            <v>NULL</v>
          </cell>
          <cell r="Y859" t="str">
            <v>NULL</v>
          </cell>
          <cell r="Z859" t="str">
            <v>NULL</v>
          </cell>
          <cell r="AA859">
            <v>10020942</v>
          </cell>
          <cell r="AB859" t="str">
            <v>Independent School standard inspection</v>
          </cell>
          <cell r="AC859" t="str">
            <v>Independent Standard Inspection</v>
          </cell>
          <cell r="AD859">
            <v>42710</v>
          </cell>
          <cell r="AE859">
            <v>42712</v>
          </cell>
          <cell r="AF859">
            <v>42760</v>
          </cell>
          <cell r="AG859">
            <v>2</v>
          </cell>
          <cell r="AH859">
            <v>2</v>
          </cell>
          <cell r="AI859">
            <v>2</v>
          </cell>
          <cell r="AJ859">
            <v>2</v>
          </cell>
          <cell r="AK859">
            <v>1</v>
          </cell>
          <cell r="AL859">
            <v>2</v>
          </cell>
          <cell r="AM859" t="str">
            <v>NULL</v>
          </cell>
          <cell r="AN859" t="str">
            <v>Yes</v>
          </cell>
          <cell r="AO859" t="str">
            <v>ITS422707</v>
          </cell>
          <cell r="AP859" t="str">
            <v>Independent School standard inspection</v>
          </cell>
          <cell r="AQ859" t="str">
            <v>Independent Standard Inspection</v>
          </cell>
          <cell r="AR859">
            <v>41597</v>
          </cell>
          <cell r="AS859">
            <v>41599</v>
          </cell>
          <cell r="AT859">
            <v>41619</v>
          </cell>
          <cell r="AU859">
            <v>2</v>
          </cell>
          <cell r="AV859">
            <v>2</v>
          </cell>
          <cell r="AW859">
            <v>2</v>
          </cell>
          <cell r="AX859">
            <v>2</v>
          </cell>
          <cell r="AY859" t="str">
            <v>NULL</v>
          </cell>
          <cell r="AZ859" t="str">
            <v>NULL</v>
          </cell>
          <cell r="BA859" t="str">
            <v>NULL</v>
          </cell>
          <cell r="BB859" t="str">
            <v>NULL</v>
          </cell>
        </row>
        <row r="860">
          <cell r="D860">
            <v>134091</v>
          </cell>
          <cell r="E860">
            <v>3306105</v>
          </cell>
          <cell r="F860" t="str">
            <v>The Lambs Christian School</v>
          </cell>
          <cell r="G860" t="str">
            <v>Other Independent School</v>
          </cell>
          <cell r="H860">
            <v>37643</v>
          </cell>
          <cell r="I860">
            <v>45</v>
          </cell>
          <cell r="J860" t="str">
            <v>West Midlands</v>
          </cell>
          <cell r="K860" t="str">
            <v>West Midlands</v>
          </cell>
          <cell r="L860" t="str">
            <v>Birmingham</v>
          </cell>
          <cell r="M860" t="str">
            <v>Birmingham, Ladywood</v>
          </cell>
          <cell r="N860" t="str">
            <v>B19 1AY</v>
          </cell>
          <cell r="O860" t="str">
            <v>Does not have a sixth form</v>
          </cell>
          <cell r="P860">
            <v>3</v>
          </cell>
          <cell r="Q860">
            <v>11</v>
          </cell>
          <cell r="R860" t="str">
            <v>None</v>
          </cell>
          <cell r="S860" t="str">
            <v>Ofsted</v>
          </cell>
          <cell r="T860" t="str">
            <v>NULL</v>
          </cell>
          <cell r="U860" t="str">
            <v>NULL</v>
          </cell>
          <cell r="V860" t="str">
            <v>NULL</v>
          </cell>
          <cell r="W860" t="str">
            <v>NULL</v>
          </cell>
          <cell r="X860" t="str">
            <v>NULL</v>
          </cell>
          <cell r="Y860" t="str">
            <v>NULL</v>
          </cell>
          <cell r="Z860" t="str">
            <v>NULL</v>
          </cell>
          <cell r="AA860">
            <v>10008549</v>
          </cell>
          <cell r="AB860" t="str">
            <v>Independent School standard inspection</v>
          </cell>
          <cell r="AC860" t="str">
            <v>Independent Standard Inspection</v>
          </cell>
          <cell r="AD860">
            <v>42388</v>
          </cell>
          <cell r="AE860">
            <v>42390</v>
          </cell>
          <cell r="AF860">
            <v>42426</v>
          </cell>
          <cell r="AG860">
            <v>2</v>
          </cell>
          <cell r="AH860">
            <v>2</v>
          </cell>
          <cell r="AI860">
            <v>2</v>
          </cell>
          <cell r="AJ860">
            <v>2</v>
          </cell>
          <cell r="AK860">
            <v>1</v>
          </cell>
          <cell r="AL860">
            <v>1</v>
          </cell>
          <cell r="AM860" t="str">
            <v>NULL</v>
          </cell>
          <cell r="AN860" t="str">
            <v>Yes</v>
          </cell>
          <cell r="AO860" t="str">
            <v>ITS343907</v>
          </cell>
          <cell r="AP860" t="str">
            <v>Independent School standard inspection</v>
          </cell>
          <cell r="AQ860" t="str">
            <v>Independent Standard Inspection</v>
          </cell>
          <cell r="AR860">
            <v>40247</v>
          </cell>
          <cell r="AS860">
            <v>40248</v>
          </cell>
          <cell r="AT860">
            <v>40318</v>
          </cell>
          <cell r="AU860">
            <v>2</v>
          </cell>
          <cell r="AV860">
            <v>2</v>
          </cell>
          <cell r="AW860">
            <v>2</v>
          </cell>
          <cell r="AX860" t="str">
            <v>NULL</v>
          </cell>
          <cell r="AY860" t="str">
            <v>NULL</v>
          </cell>
          <cell r="AZ860">
            <v>2</v>
          </cell>
          <cell r="BA860" t="str">
            <v>NULL</v>
          </cell>
          <cell r="BB860" t="str">
            <v>NULL</v>
          </cell>
        </row>
        <row r="861">
          <cell r="D861">
            <v>132788</v>
          </cell>
          <cell r="E861">
            <v>2076399</v>
          </cell>
          <cell r="F861" t="str">
            <v>The Lloyd Williamson School</v>
          </cell>
          <cell r="G861" t="str">
            <v>Other Independent School</v>
          </cell>
          <cell r="H861">
            <v>36865</v>
          </cell>
          <cell r="I861">
            <v>116</v>
          </cell>
          <cell r="J861" t="str">
            <v>London</v>
          </cell>
          <cell r="K861" t="str">
            <v>London</v>
          </cell>
          <cell r="L861" t="str">
            <v>Kensington and Chelsea</v>
          </cell>
          <cell r="M861" t="str">
            <v>Kensington</v>
          </cell>
          <cell r="N861" t="str">
            <v>W10 5SH</v>
          </cell>
          <cell r="O861" t="str">
            <v>Does not have a sixth form</v>
          </cell>
          <cell r="P861">
            <v>1</v>
          </cell>
          <cell r="Q861">
            <v>16</v>
          </cell>
          <cell r="R861" t="str">
            <v>None</v>
          </cell>
          <cell r="S861" t="str">
            <v>Ofsted</v>
          </cell>
          <cell r="T861" t="str">
            <v>NULL</v>
          </cell>
          <cell r="U861" t="str">
            <v>NULL</v>
          </cell>
          <cell r="V861" t="str">
            <v>NULL</v>
          </cell>
          <cell r="W861" t="str">
            <v>NULL</v>
          </cell>
          <cell r="X861" t="str">
            <v>NULL</v>
          </cell>
          <cell r="Y861" t="str">
            <v>NULL</v>
          </cell>
          <cell r="Z861" t="str">
            <v>NULL</v>
          </cell>
          <cell r="AA861">
            <v>10026288</v>
          </cell>
          <cell r="AB861" t="str">
            <v>Independent School standard inspection</v>
          </cell>
          <cell r="AC861" t="str">
            <v>Independent Standard Inspection</v>
          </cell>
          <cell r="AD861">
            <v>43039</v>
          </cell>
          <cell r="AE861">
            <v>43041</v>
          </cell>
          <cell r="AF861">
            <v>43067</v>
          </cell>
          <cell r="AG861">
            <v>2</v>
          </cell>
          <cell r="AH861">
            <v>2</v>
          </cell>
          <cell r="AI861">
            <v>2</v>
          </cell>
          <cell r="AJ861">
            <v>2</v>
          </cell>
          <cell r="AK861">
            <v>2</v>
          </cell>
          <cell r="AL861" t="str">
            <v>NULL</v>
          </cell>
          <cell r="AM861" t="str">
            <v>NULL</v>
          </cell>
          <cell r="AN861" t="str">
            <v>Yes</v>
          </cell>
          <cell r="AO861" t="str">
            <v>ITS361394</v>
          </cell>
          <cell r="AP861" t="str">
            <v>Independent School standard inspection</v>
          </cell>
          <cell r="AQ861" t="str">
            <v>Independent Standard Inspection</v>
          </cell>
          <cell r="AR861">
            <v>40618</v>
          </cell>
          <cell r="AS861">
            <v>40619</v>
          </cell>
          <cell r="AT861">
            <v>40665</v>
          </cell>
          <cell r="AU861">
            <v>2</v>
          </cell>
          <cell r="AV861">
            <v>2</v>
          </cell>
          <cell r="AW861">
            <v>2</v>
          </cell>
          <cell r="AX861" t="str">
            <v>NULL</v>
          </cell>
          <cell r="AY861" t="str">
            <v>NULL</v>
          </cell>
          <cell r="AZ861">
            <v>8</v>
          </cell>
          <cell r="BA861" t="str">
            <v>NULL</v>
          </cell>
          <cell r="BB861" t="str">
            <v>NULL</v>
          </cell>
        </row>
        <row r="862">
          <cell r="D862">
            <v>121763</v>
          </cell>
          <cell r="E862">
            <v>8156032</v>
          </cell>
          <cell r="F862" t="str">
            <v>Wharfedale Montessori School</v>
          </cell>
          <cell r="G862" t="str">
            <v>Other Independent School</v>
          </cell>
          <cell r="H862">
            <v>33772</v>
          </cell>
          <cell r="I862">
            <v>29</v>
          </cell>
          <cell r="J862" t="str">
            <v>North East, Yorkshire and the Humber</v>
          </cell>
          <cell r="K862" t="str">
            <v>Yorkshire and the Humber</v>
          </cell>
          <cell r="L862" t="str">
            <v>North Yorkshire</v>
          </cell>
          <cell r="M862" t="str">
            <v>Skipton and Ripon</v>
          </cell>
          <cell r="N862" t="str">
            <v>BD23 6AN</v>
          </cell>
          <cell r="O862" t="str">
            <v>Does not have a sixth form</v>
          </cell>
          <cell r="P862">
            <v>2</v>
          </cell>
          <cell r="Q862">
            <v>11</v>
          </cell>
          <cell r="R862" t="str">
            <v>None</v>
          </cell>
          <cell r="S862" t="str">
            <v>Ofsted</v>
          </cell>
          <cell r="T862" t="str">
            <v>NULL</v>
          </cell>
          <cell r="U862" t="str">
            <v>NULL</v>
          </cell>
          <cell r="V862" t="str">
            <v>NULL</v>
          </cell>
          <cell r="W862" t="str">
            <v>NULL</v>
          </cell>
          <cell r="X862" t="str">
            <v>NULL</v>
          </cell>
          <cell r="Y862" t="str">
            <v>NULL</v>
          </cell>
          <cell r="Z862" t="str">
            <v>NULL</v>
          </cell>
          <cell r="AA862">
            <v>10033914</v>
          </cell>
          <cell r="AB862" t="str">
            <v>Independent School standard inspection</v>
          </cell>
          <cell r="AC862" t="str">
            <v>Independent Standard Inspection</v>
          </cell>
          <cell r="AD862">
            <v>42892</v>
          </cell>
          <cell r="AE862">
            <v>42894</v>
          </cell>
          <cell r="AF862">
            <v>42920</v>
          </cell>
          <cell r="AG862">
            <v>1</v>
          </cell>
          <cell r="AH862">
            <v>1</v>
          </cell>
          <cell r="AI862">
            <v>1</v>
          </cell>
          <cell r="AJ862">
            <v>1</v>
          </cell>
          <cell r="AK862">
            <v>1</v>
          </cell>
          <cell r="AL862">
            <v>1</v>
          </cell>
          <cell r="AM862" t="str">
            <v>NULL</v>
          </cell>
          <cell r="AN862" t="str">
            <v>Yes</v>
          </cell>
          <cell r="AO862" t="str">
            <v>ITS443467</v>
          </cell>
          <cell r="AP862" t="str">
            <v>Independent School standard inspection</v>
          </cell>
          <cell r="AQ862" t="str">
            <v>Independent Standard Inspection</v>
          </cell>
          <cell r="AR862">
            <v>41793</v>
          </cell>
          <cell r="AS862">
            <v>41795</v>
          </cell>
          <cell r="AT862">
            <v>41817</v>
          </cell>
          <cell r="AU862">
            <v>2</v>
          </cell>
          <cell r="AV862">
            <v>2</v>
          </cell>
          <cell r="AW862">
            <v>2</v>
          </cell>
          <cell r="AX862">
            <v>2</v>
          </cell>
          <cell r="AY862" t="str">
            <v>NULL</v>
          </cell>
          <cell r="AZ862" t="str">
            <v>NULL</v>
          </cell>
          <cell r="BA862" t="str">
            <v>NULL</v>
          </cell>
          <cell r="BB862" t="str">
            <v>NULL</v>
          </cell>
        </row>
        <row r="863">
          <cell r="D863">
            <v>134175</v>
          </cell>
          <cell r="E863">
            <v>3056079</v>
          </cell>
          <cell r="F863" t="str">
            <v>Wickham Court School</v>
          </cell>
          <cell r="G863" t="str">
            <v>Other Independent School</v>
          </cell>
          <cell r="H863">
            <v>37712</v>
          </cell>
          <cell r="I863">
            <v>107</v>
          </cell>
          <cell r="J863" t="str">
            <v>London</v>
          </cell>
          <cell r="K863" t="str">
            <v>London</v>
          </cell>
          <cell r="L863" t="str">
            <v>Bromley</v>
          </cell>
          <cell r="M863" t="str">
            <v>Beckenham</v>
          </cell>
          <cell r="N863" t="str">
            <v>BR4 9HW</v>
          </cell>
          <cell r="O863" t="str">
            <v>Has a sixth form</v>
          </cell>
          <cell r="P863">
            <v>2</v>
          </cell>
          <cell r="Q863">
            <v>17</v>
          </cell>
          <cell r="R863" t="str">
            <v>None</v>
          </cell>
          <cell r="S863" t="str">
            <v>Ofsted</v>
          </cell>
          <cell r="T863" t="str">
            <v>NULL</v>
          </cell>
          <cell r="U863" t="str">
            <v>NULL</v>
          </cell>
          <cell r="V863" t="str">
            <v>NULL</v>
          </cell>
          <cell r="W863" t="str">
            <v>NULL</v>
          </cell>
          <cell r="X863" t="str">
            <v>NULL</v>
          </cell>
          <cell r="Y863" t="str">
            <v>NULL</v>
          </cell>
          <cell r="Z863" t="str">
            <v>NULL</v>
          </cell>
          <cell r="AA863">
            <v>10026292</v>
          </cell>
          <cell r="AB863" t="str">
            <v>Independent School standard inspection</v>
          </cell>
          <cell r="AC863" t="str">
            <v>Independent Standard Inspection</v>
          </cell>
          <cell r="AD863">
            <v>42864</v>
          </cell>
          <cell r="AE863">
            <v>42866</v>
          </cell>
          <cell r="AF863">
            <v>42922</v>
          </cell>
          <cell r="AG863">
            <v>2</v>
          </cell>
          <cell r="AH863">
            <v>2</v>
          </cell>
          <cell r="AI863">
            <v>2</v>
          </cell>
          <cell r="AJ863">
            <v>2</v>
          </cell>
          <cell r="AK863">
            <v>2</v>
          </cell>
          <cell r="AL863">
            <v>2</v>
          </cell>
          <cell r="AM863" t="str">
            <v>NULL</v>
          </cell>
          <cell r="AN863" t="str">
            <v>Yes</v>
          </cell>
          <cell r="AO863" t="str">
            <v>ITS345383</v>
          </cell>
          <cell r="AP863" t="str">
            <v>Independent School standard inspection</v>
          </cell>
          <cell r="AQ863" t="str">
            <v>Independent Standard Inspection</v>
          </cell>
          <cell r="AR863">
            <v>40198</v>
          </cell>
          <cell r="AS863">
            <v>40199</v>
          </cell>
          <cell r="AT863">
            <v>40220</v>
          </cell>
          <cell r="AU863">
            <v>3</v>
          </cell>
          <cell r="AV863">
            <v>3</v>
          </cell>
          <cell r="AW863">
            <v>3</v>
          </cell>
          <cell r="AX863" t="str">
            <v>NULL</v>
          </cell>
          <cell r="AY863" t="str">
            <v>NULL</v>
          </cell>
          <cell r="AZ863">
            <v>2</v>
          </cell>
          <cell r="BA863" t="str">
            <v>NULL</v>
          </cell>
          <cell r="BB863" t="str">
            <v>NULL</v>
          </cell>
        </row>
        <row r="864">
          <cell r="D864">
            <v>135472</v>
          </cell>
          <cell r="E864">
            <v>3176078</v>
          </cell>
          <cell r="F864" t="str">
            <v>Winston House Preparatory School</v>
          </cell>
          <cell r="G864" t="str">
            <v>Other Independent School</v>
          </cell>
          <cell r="H864">
            <v>39429</v>
          </cell>
          <cell r="I864">
            <v>11</v>
          </cell>
          <cell r="J864" t="str">
            <v>London</v>
          </cell>
          <cell r="K864" t="str">
            <v>London</v>
          </cell>
          <cell r="L864" t="str">
            <v>Redbridge</v>
          </cell>
          <cell r="M864" t="str">
            <v>Chingford and Woodford Green</v>
          </cell>
          <cell r="N864" t="str">
            <v>E18 2QS</v>
          </cell>
          <cell r="O864" t="str">
            <v>Does not have a sixth form</v>
          </cell>
          <cell r="P864">
            <v>3</v>
          </cell>
          <cell r="Q864">
            <v>11</v>
          </cell>
          <cell r="R864" t="str">
            <v>None</v>
          </cell>
          <cell r="S864" t="str">
            <v>Ofsted</v>
          </cell>
          <cell r="T864" t="str">
            <v>NULL</v>
          </cell>
          <cell r="U864" t="str">
            <v>NULL</v>
          </cell>
          <cell r="V864" t="str">
            <v>NULL</v>
          </cell>
          <cell r="W864" t="str">
            <v>NULL</v>
          </cell>
          <cell r="X864" t="str">
            <v>NULL</v>
          </cell>
          <cell r="Y864" t="str">
            <v>NULL</v>
          </cell>
          <cell r="Z864" t="str">
            <v>NULL</v>
          </cell>
          <cell r="AA864" t="str">
            <v>ITS462886</v>
          </cell>
          <cell r="AB864" t="str">
            <v>Independent School standard inspection</v>
          </cell>
          <cell r="AC864" t="str">
            <v>Independent Standard Inspection</v>
          </cell>
          <cell r="AD864">
            <v>42123</v>
          </cell>
          <cell r="AE864">
            <v>42125</v>
          </cell>
          <cell r="AF864">
            <v>42164</v>
          </cell>
          <cell r="AG864">
            <v>2</v>
          </cell>
          <cell r="AH864">
            <v>2</v>
          </cell>
          <cell r="AI864">
            <v>2</v>
          </cell>
          <cell r="AJ864">
            <v>2</v>
          </cell>
          <cell r="AK864" t="str">
            <v>NULL</v>
          </cell>
          <cell r="AL864">
            <v>2</v>
          </cell>
          <cell r="AM864">
            <v>9</v>
          </cell>
          <cell r="AN864" t="str">
            <v>NULL</v>
          </cell>
          <cell r="AO864" t="str">
            <v>ITS386840</v>
          </cell>
          <cell r="AP864" t="str">
            <v>Independent School standard inspection</v>
          </cell>
          <cell r="AQ864" t="str">
            <v>Independent Standard Inspection</v>
          </cell>
          <cell r="AR864">
            <v>40981</v>
          </cell>
          <cell r="AS864">
            <v>40982</v>
          </cell>
          <cell r="AT864">
            <v>41241</v>
          </cell>
          <cell r="AU864">
            <v>3</v>
          </cell>
          <cell r="AV864">
            <v>3</v>
          </cell>
          <cell r="AW864">
            <v>3</v>
          </cell>
          <cell r="AX864" t="str">
            <v>NULL</v>
          </cell>
          <cell r="AY864" t="str">
            <v>NULL</v>
          </cell>
          <cell r="AZ864">
            <v>8</v>
          </cell>
          <cell r="BA864" t="str">
            <v>NULL</v>
          </cell>
          <cell r="BB864" t="str">
            <v>NULL</v>
          </cell>
        </row>
        <row r="865">
          <cell r="D865">
            <v>137809</v>
          </cell>
          <cell r="E865">
            <v>2046004</v>
          </cell>
          <cell r="F865" t="str">
            <v>Wiznitz Cheder School</v>
          </cell>
          <cell r="G865" t="str">
            <v>Other Independent School</v>
          </cell>
          <cell r="H865">
            <v>40898</v>
          </cell>
          <cell r="I865">
            <v>128</v>
          </cell>
          <cell r="J865" t="str">
            <v>London</v>
          </cell>
          <cell r="K865" t="str">
            <v>London</v>
          </cell>
          <cell r="L865" t="str">
            <v>Hackney</v>
          </cell>
          <cell r="M865" t="str">
            <v>Hackney North and Stoke Newington</v>
          </cell>
          <cell r="N865" t="str">
            <v>N16 6QT</v>
          </cell>
          <cell r="O865" t="str">
            <v>Does not have a sixth form</v>
          </cell>
          <cell r="P865">
            <v>3</v>
          </cell>
          <cell r="Q865">
            <v>13</v>
          </cell>
          <cell r="R865" t="str">
            <v>None</v>
          </cell>
          <cell r="S865" t="str">
            <v>Ofsted</v>
          </cell>
          <cell r="T865">
            <v>2</v>
          </cell>
          <cell r="U865">
            <v>10026537</v>
          </cell>
          <cell r="V865" t="str">
            <v>Independent school evaluation of school action plan</v>
          </cell>
          <cell r="W865">
            <v>42725</v>
          </cell>
          <cell r="X865">
            <v>42725</v>
          </cell>
          <cell r="Y865" t="str">
            <v>NULL</v>
          </cell>
          <cell r="Z865" t="str">
            <v>Action plan is acceptable</v>
          </cell>
          <cell r="AA865" t="str">
            <v>ITS397705</v>
          </cell>
          <cell r="AB865" t="str">
            <v>Independent school standard inspection - first</v>
          </cell>
          <cell r="AC865" t="str">
            <v>Independent Standard Inspection</v>
          </cell>
          <cell r="AD865">
            <v>41248</v>
          </cell>
          <cell r="AE865">
            <v>41249</v>
          </cell>
          <cell r="AF865">
            <v>41281</v>
          </cell>
          <cell r="AG865">
            <v>2</v>
          </cell>
          <cell r="AH865">
            <v>2</v>
          </cell>
          <cell r="AI865">
            <v>2</v>
          </cell>
          <cell r="AJ865" t="str">
            <v>NULL</v>
          </cell>
          <cell r="AK865" t="str">
            <v>NULL</v>
          </cell>
          <cell r="AL865">
            <v>8</v>
          </cell>
          <cell r="AM865" t="str">
            <v>NULL</v>
          </cell>
          <cell r="AN865" t="str">
            <v>NULL</v>
          </cell>
          <cell r="AO865" t="str">
            <v>NULL</v>
          </cell>
          <cell r="AP865" t="str">
            <v>NULL</v>
          </cell>
          <cell r="AQ865" t="str">
            <v>NULL</v>
          </cell>
          <cell r="AR865" t="str">
            <v>NULL</v>
          </cell>
          <cell r="AS865" t="str">
            <v>NULL</v>
          </cell>
          <cell r="AT865" t="str">
            <v>NULL</v>
          </cell>
          <cell r="AU865" t="str">
            <v>NULL</v>
          </cell>
          <cell r="AV865" t="str">
            <v>NULL</v>
          </cell>
          <cell r="AW865" t="str">
            <v>NULL</v>
          </cell>
          <cell r="AX865" t="str">
            <v>NULL</v>
          </cell>
          <cell r="AY865" t="str">
            <v>NULL</v>
          </cell>
          <cell r="AZ865" t="str">
            <v>NULL</v>
          </cell>
          <cell r="BA865" t="str">
            <v>NULL</v>
          </cell>
          <cell r="BB865" t="str">
            <v>NULL</v>
          </cell>
        </row>
        <row r="866">
          <cell r="D866">
            <v>142621</v>
          </cell>
          <cell r="E866">
            <v>3066016</v>
          </cell>
          <cell r="F866" t="str">
            <v>The Write Time</v>
          </cell>
          <cell r="G866" t="str">
            <v>Other Independent Special School</v>
          </cell>
          <cell r="H866">
            <v>42542</v>
          </cell>
          <cell r="I866">
            <v>10</v>
          </cell>
          <cell r="J866" t="str">
            <v>London</v>
          </cell>
          <cell r="K866" t="str">
            <v>London</v>
          </cell>
          <cell r="L866" t="str">
            <v>Croydon</v>
          </cell>
          <cell r="M866" t="str">
            <v>Croydon North</v>
          </cell>
          <cell r="N866" t="str">
            <v>CR0 2XX</v>
          </cell>
          <cell r="O866" t="str">
            <v>Not applicable</v>
          </cell>
          <cell r="P866">
            <v>12</v>
          </cell>
          <cell r="Q866">
            <v>16</v>
          </cell>
          <cell r="R866" t="str">
            <v>None</v>
          </cell>
          <cell r="S866" t="str">
            <v>Ofsted</v>
          </cell>
          <cell r="T866">
            <v>1</v>
          </cell>
          <cell r="U866">
            <v>10048848</v>
          </cell>
          <cell r="V866" t="str">
            <v>Independent school Material Change inspection</v>
          </cell>
          <cell r="W866">
            <v>43171</v>
          </cell>
          <cell r="X866">
            <v>43171</v>
          </cell>
          <cell r="Y866" t="str">
            <v>NULL</v>
          </cell>
          <cell r="Z866" t="str">
            <v>Likely to meet relevant standards</v>
          </cell>
          <cell r="AA866">
            <v>10035816</v>
          </cell>
          <cell r="AB866" t="str">
            <v>Independent school standard inspection - first</v>
          </cell>
          <cell r="AC866" t="str">
            <v>Independent Standard Inspection</v>
          </cell>
          <cell r="AD866">
            <v>43046</v>
          </cell>
          <cell r="AE866">
            <v>43048</v>
          </cell>
          <cell r="AF866">
            <v>43077</v>
          </cell>
          <cell r="AG866">
            <v>3</v>
          </cell>
          <cell r="AH866">
            <v>3</v>
          </cell>
          <cell r="AI866">
            <v>3</v>
          </cell>
          <cell r="AJ866">
            <v>2</v>
          </cell>
          <cell r="AK866">
            <v>2</v>
          </cell>
          <cell r="AL866" t="str">
            <v>NULL</v>
          </cell>
          <cell r="AM866" t="str">
            <v>NULL</v>
          </cell>
          <cell r="AN866" t="str">
            <v>Yes</v>
          </cell>
          <cell r="AO866" t="str">
            <v>NULL</v>
          </cell>
          <cell r="AP866" t="str">
            <v>NULL</v>
          </cell>
          <cell r="AQ866" t="str">
            <v>NULL</v>
          </cell>
          <cell r="AR866" t="str">
            <v>NULL</v>
          </cell>
          <cell r="AS866" t="str">
            <v>NULL</v>
          </cell>
          <cell r="AT866" t="str">
            <v>NULL</v>
          </cell>
          <cell r="AU866" t="str">
            <v>NULL</v>
          </cell>
          <cell r="AV866" t="str">
            <v>NULL</v>
          </cell>
          <cell r="AW866" t="str">
            <v>NULL</v>
          </cell>
          <cell r="AX866" t="str">
            <v>NULL</v>
          </cell>
          <cell r="AY866" t="str">
            <v>NULL</v>
          </cell>
          <cell r="AZ866" t="str">
            <v>NULL</v>
          </cell>
          <cell r="BA866" t="str">
            <v>NULL</v>
          </cell>
          <cell r="BB866" t="str">
            <v>NULL</v>
          </cell>
        </row>
        <row r="867">
          <cell r="D867">
            <v>142623</v>
          </cell>
          <cell r="E867">
            <v>3306025</v>
          </cell>
          <cell r="F867" t="str">
            <v>The Priory Woodbourne Hospital School</v>
          </cell>
          <cell r="G867" t="str">
            <v>Other Independent School</v>
          </cell>
          <cell r="H867">
            <v>42391</v>
          </cell>
          <cell r="I867">
            <v>13</v>
          </cell>
          <cell r="J867" t="str">
            <v>West Midlands</v>
          </cell>
          <cell r="K867" t="str">
            <v>West Midlands</v>
          </cell>
          <cell r="L867" t="str">
            <v>Birmingham</v>
          </cell>
          <cell r="M867" t="str">
            <v>Birmingham, Edgbaston</v>
          </cell>
          <cell r="N867" t="str">
            <v>B17 8BY</v>
          </cell>
          <cell r="O867" t="str">
            <v>Has a sixth form</v>
          </cell>
          <cell r="P867">
            <v>10</v>
          </cell>
          <cell r="Q867">
            <v>18</v>
          </cell>
          <cell r="R867" t="str">
            <v>None</v>
          </cell>
          <cell r="S867" t="str">
            <v>Ofsted</v>
          </cell>
          <cell r="T867" t="str">
            <v>NULL</v>
          </cell>
          <cell r="U867" t="str">
            <v>NULL</v>
          </cell>
          <cell r="V867" t="str">
            <v>NULL</v>
          </cell>
          <cell r="W867" t="str">
            <v>NULL</v>
          </cell>
          <cell r="X867" t="str">
            <v>NULL</v>
          </cell>
          <cell r="Y867" t="str">
            <v>NULL</v>
          </cell>
          <cell r="Z867" t="str">
            <v>NULL</v>
          </cell>
          <cell r="AA867">
            <v>10020883</v>
          </cell>
          <cell r="AB867" t="str">
            <v>Independent school standard inspection - first</v>
          </cell>
          <cell r="AC867" t="str">
            <v>Independent Standard Inspection</v>
          </cell>
          <cell r="AD867">
            <v>42997</v>
          </cell>
          <cell r="AE867">
            <v>42999</v>
          </cell>
          <cell r="AF867">
            <v>43028</v>
          </cell>
          <cell r="AG867">
            <v>2</v>
          </cell>
          <cell r="AH867">
            <v>2</v>
          </cell>
          <cell r="AI867">
            <v>2</v>
          </cell>
          <cell r="AJ867">
            <v>2</v>
          </cell>
          <cell r="AK867">
            <v>2</v>
          </cell>
          <cell r="AL867" t="str">
            <v>NULL</v>
          </cell>
          <cell r="AM867">
            <v>2</v>
          </cell>
          <cell r="AN867" t="str">
            <v>Yes</v>
          </cell>
          <cell r="AO867" t="str">
            <v>NULL</v>
          </cell>
          <cell r="AP867" t="str">
            <v>NULL</v>
          </cell>
          <cell r="AQ867" t="str">
            <v>NULL</v>
          </cell>
          <cell r="AR867" t="str">
            <v>NULL</v>
          </cell>
          <cell r="AS867" t="str">
            <v>NULL</v>
          </cell>
          <cell r="AT867" t="str">
            <v>NULL</v>
          </cell>
          <cell r="AU867" t="str">
            <v>NULL</v>
          </cell>
          <cell r="AV867" t="str">
            <v>NULL</v>
          </cell>
          <cell r="AW867" t="str">
            <v>NULL</v>
          </cell>
          <cell r="AX867" t="str">
            <v>NULL</v>
          </cell>
          <cell r="AY867" t="str">
            <v>NULL</v>
          </cell>
          <cell r="AZ867" t="str">
            <v>NULL</v>
          </cell>
          <cell r="BA867" t="str">
            <v>NULL</v>
          </cell>
          <cell r="BB867" t="str">
            <v>NULL</v>
          </cell>
        </row>
        <row r="868">
          <cell r="D868">
            <v>142625</v>
          </cell>
          <cell r="E868">
            <v>8736053</v>
          </cell>
          <cell r="F868" t="str">
            <v>Glebe House</v>
          </cell>
          <cell r="G868" t="str">
            <v>Other Independent School</v>
          </cell>
          <cell r="H868">
            <v>42500</v>
          </cell>
          <cell r="I868">
            <v>13</v>
          </cell>
          <cell r="J868" t="str">
            <v>East of England</v>
          </cell>
          <cell r="K868" t="str">
            <v>East of England</v>
          </cell>
          <cell r="L868" t="str">
            <v>Cambridgeshire</v>
          </cell>
          <cell r="M868" t="str">
            <v>South East Cambridgeshire</v>
          </cell>
          <cell r="N868" t="str">
            <v>CB21 4QH</v>
          </cell>
          <cell r="O868" t="str">
            <v>Has a sixth form</v>
          </cell>
          <cell r="P868">
            <v>15</v>
          </cell>
          <cell r="Q868">
            <v>18</v>
          </cell>
          <cell r="R868" t="str">
            <v>None</v>
          </cell>
          <cell r="S868" t="str">
            <v>Ofsted</v>
          </cell>
          <cell r="T868">
            <v>1</v>
          </cell>
          <cell r="U868">
            <v>10045236</v>
          </cell>
          <cell r="V868" t="str">
            <v>Independent school evaluation of school action plan</v>
          </cell>
          <cell r="W868">
            <v>43115</v>
          </cell>
          <cell r="X868">
            <v>43115</v>
          </cell>
          <cell r="Y868" t="str">
            <v>NULL</v>
          </cell>
          <cell r="Z868" t="str">
            <v>Action plan is not acceptable</v>
          </cell>
          <cell r="AA868">
            <v>10033609</v>
          </cell>
          <cell r="AB868" t="str">
            <v>Independent school standard inspection - aligned with CH - first</v>
          </cell>
          <cell r="AC868" t="str">
            <v>Independent Standard Inspection</v>
          </cell>
          <cell r="AD868">
            <v>43011</v>
          </cell>
          <cell r="AE868">
            <v>43013</v>
          </cell>
          <cell r="AF868">
            <v>43052</v>
          </cell>
          <cell r="AG868">
            <v>3</v>
          </cell>
          <cell r="AH868">
            <v>3</v>
          </cell>
          <cell r="AI868">
            <v>3</v>
          </cell>
          <cell r="AJ868">
            <v>3</v>
          </cell>
          <cell r="AK868">
            <v>2</v>
          </cell>
          <cell r="AL868" t="str">
            <v>NULL</v>
          </cell>
          <cell r="AM868">
            <v>3</v>
          </cell>
          <cell r="AN868" t="str">
            <v>Yes</v>
          </cell>
          <cell r="AO868" t="str">
            <v>NULL</v>
          </cell>
          <cell r="AP868" t="str">
            <v>NULL</v>
          </cell>
          <cell r="AQ868" t="str">
            <v>NULL</v>
          </cell>
          <cell r="AR868" t="str">
            <v>NULL</v>
          </cell>
          <cell r="AS868" t="str">
            <v>NULL</v>
          </cell>
          <cell r="AT868" t="str">
            <v>NULL</v>
          </cell>
          <cell r="AU868" t="str">
            <v>NULL</v>
          </cell>
          <cell r="AV868" t="str">
            <v>NULL</v>
          </cell>
          <cell r="AW868" t="str">
            <v>NULL</v>
          </cell>
          <cell r="AX868" t="str">
            <v>NULL</v>
          </cell>
          <cell r="AY868" t="str">
            <v>NULL</v>
          </cell>
          <cell r="AZ868" t="str">
            <v>NULL</v>
          </cell>
          <cell r="BA868" t="str">
            <v>NULL</v>
          </cell>
          <cell r="BB868" t="str">
            <v>NULL</v>
          </cell>
        </row>
        <row r="869">
          <cell r="D869">
            <v>142635</v>
          </cell>
          <cell r="E869">
            <v>8576006</v>
          </cell>
          <cell r="F869" t="str">
            <v>The Shires At Oakham</v>
          </cell>
          <cell r="G869" t="str">
            <v>Other Independent Special School</v>
          </cell>
          <cell r="H869">
            <v>42402</v>
          </cell>
          <cell r="I869">
            <v>5</v>
          </cell>
          <cell r="J869" t="str">
            <v>East Midlands</v>
          </cell>
          <cell r="K869" t="str">
            <v>East Midlands</v>
          </cell>
          <cell r="L869" t="str">
            <v>Rutland</v>
          </cell>
          <cell r="M869" t="str">
            <v>Rutland and Melton</v>
          </cell>
          <cell r="N869" t="str">
            <v>LE15 6JB</v>
          </cell>
          <cell r="O869" t="str">
            <v>Not applicable</v>
          </cell>
          <cell r="P869">
            <v>11</v>
          </cell>
          <cell r="Q869">
            <v>19</v>
          </cell>
          <cell r="R869" t="str">
            <v>None</v>
          </cell>
          <cell r="S869" t="str">
            <v>Ofsted</v>
          </cell>
          <cell r="T869" t="str">
            <v>NULL</v>
          </cell>
          <cell r="U869" t="str">
            <v>NULL</v>
          </cell>
          <cell r="V869" t="str">
            <v>NULL</v>
          </cell>
          <cell r="W869" t="str">
            <v>NULL</v>
          </cell>
          <cell r="X869" t="str">
            <v>NULL</v>
          </cell>
          <cell r="Y869" t="str">
            <v>NULL</v>
          </cell>
          <cell r="Z869" t="str">
            <v>NULL</v>
          </cell>
          <cell r="AA869">
            <v>10026055</v>
          </cell>
          <cell r="AB869" t="str">
            <v>Independent School standard inspection</v>
          </cell>
          <cell r="AC869" t="str">
            <v>Independent Standard Inspection</v>
          </cell>
          <cell r="AD869">
            <v>42815</v>
          </cell>
          <cell r="AE869">
            <v>42817</v>
          </cell>
          <cell r="AF869">
            <v>42849</v>
          </cell>
          <cell r="AG869">
            <v>1</v>
          </cell>
          <cell r="AH869">
            <v>1</v>
          </cell>
          <cell r="AI869">
            <v>1</v>
          </cell>
          <cell r="AJ869">
            <v>1</v>
          </cell>
          <cell r="AK869">
            <v>1</v>
          </cell>
          <cell r="AL869" t="str">
            <v>NULL</v>
          </cell>
          <cell r="AM869">
            <v>1</v>
          </cell>
          <cell r="AN869" t="str">
            <v>Yes</v>
          </cell>
          <cell r="AO869" t="str">
            <v>NULL</v>
          </cell>
          <cell r="AP869" t="str">
            <v>NULL</v>
          </cell>
          <cell r="AQ869" t="str">
            <v>NULL</v>
          </cell>
          <cell r="AR869" t="str">
            <v>NULL</v>
          </cell>
          <cell r="AS869" t="str">
            <v>NULL</v>
          </cell>
          <cell r="AT869" t="str">
            <v>NULL</v>
          </cell>
          <cell r="AU869" t="str">
            <v>NULL</v>
          </cell>
          <cell r="AV869" t="str">
            <v>NULL</v>
          </cell>
          <cell r="AW869" t="str">
            <v>NULL</v>
          </cell>
          <cell r="AX869" t="str">
            <v>NULL</v>
          </cell>
          <cell r="AY869" t="str">
            <v>NULL</v>
          </cell>
          <cell r="AZ869" t="str">
            <v>NULL</v>
          </cell>
          <cell r="BA869" t="str">
            <v>NULL</v>
          </cell>
          <cell r="BB869" t="str">
            <v>NULL</v>
          </cell>
        </row>
        <row r="870">
          <cell r="D870">
            <v>143838</v>
          </cell>
          <cell r="E870">
            <v>2096002</v>
          </cell>
          <cell r="F870" t="str">
            <v>TLG Lewisham</v>
          </cell>
          <cell r="G870" t="str">
            <v>Other Independent School</v>
          </cell>
          <cell r="H870">
            <v>42859</v>
          </cell>
          <cell r="I870" t="str">
            <v>NULL</v>
          </cell>
          <cell r="J870" t="str">
            <v>London</v>
          </cell>
          <cell r="K870" t="str">
            <v>London</v>
          </cell>
          <cell r="L870" t="str">
            <v>Lewisham</v>
          </cell>
          <cell r="M870" t="str">
            <v>Lewisham, Deptford</v>
          </cell>
          <cell r="N870" t="str">
            <v>SE13 7FY</v>
          </cell>
          <cell r="O870" t="str">
            <v>Does not have a sixth form</v>
          </cell>
          <cell r="P870">
            <v>11</v>
          </cell>
          <cell r="Q870">
            <v>16</v>
          </cell>
          <cell r="R870" t="str">
            <v>None</v>
          </cell>
          <cell r="S870" t="str">
            <v>Ofsted</v>
          </cell>
          <cell r="T870">
            <v>1</v>
          </cell>
          <cell r="U870">
            <v>10026348</v>
          </cell>
          <cell r="V870" t="str">
            <v>Independent School Pre-registration Inspection</v>
          </cell>
          <cell r="W870">
            <v>42719</v>
          </cell>
          <cell r="X870">
            <v>42719</v>
          </cell>
          <cell r="Y870" t="str">
            <v>NULL</v>
          </cell>
          <cell r="Z870" t="str">
            <v>Operating without registration and likely to meet all standards</v>
          </cell>
          <cell r="AA870" t="str">
            <v>NULL</v>
          </cell>
          <cell r="AB870" t="str">
            <v>NULL</v>
          </cell>
          <cell r="AC870" t="str">
            <v>NULL</v>
          </cell>
          <cell r="AD870" t="str">
            <v>NULL</v>
          </cell>
          <cell r="AE870" t="str">
            <v>NULL</v>
          </cell>
          <cell r="AF870" t="str">
            <v>NULL</v>
          </cell>
          <cell r="AG870" t="str">
            <v>NULL</v>
          </cell>
          <cell r="AH870" t="str">
            <v>NULL</v>
          </cell>
          <cell r="AI870" t="str">
            <v>NULL</v>
          </cell>
          <cell r="AJ870" t="str">
            <v>NULL</v>
          </cell>
          <cell r="AK870" t="str">
            <v>NULL</v>
          </cell>
          <cell r="AL870" t="str">
            <v>NULL</v>
          </cell>
          <cell r="AM870" t="str">
            <v>NULL</v>
          </cell>
          <cell r="AN870" t="str">
            <v>NULL</v>
          </cell>
          <cell r="AO870" t="str">
            <v>NULL</v>
          </cell>
          <cell r="AP870" t="str">
            <v>NULL</v>
          </cell>
          <cell r="AQ870" t="str">
            <v>NULL</v>
          </cell>
          <cell r="AR870" t="str">
            <v>NULL</v>
          </cell>
          <cell r="AS870" t="str">
            <v>NULL</v>
          </cell>
          <cell r="AT870" t="str">
            <v>NULL</v>
          </cell>
          <cell r="AU870" t="str">
            <v>NULL</v>
          </cell>
          <cell r="AV870" t="str">
            <v>NULL</v>
          </cell>
          <cell r="AW870" t="str">
            <v>NULL</v>
          </cell>
          <cell r="AX870" t="str">
            <v>NULL</v>
          </cell>
          <cell r="AY870" t="str">
            <v>NULL</v>
          </cell>
          <cell r="AZ870" t="str">
            <v>NULL</v>
          </cell>
          <cell r="BA870" t="str">
            <v>NULL</v>
          </cell>
          <cell r="BB870" t="str">
            <v>NULL</v>
          </cell>
        </row>
        <row r="871">
          <cell r="D871">
            <v>143839</v>
          </cell>
          <cell r="E871">
            <v>8606044</v>
          </cell>
          <cell r="F871" t="str">
            <v>Aurora Hanley School</v>
          </cell>
          <cell r="G871" t="str">
            <v>Other Independent Special School</v>
          </cell>
          <cell r="H871">
            <v>42927</v>
          </cell>
          <cell r="I871" t="str">
            <v>NULL</v>
          </cell>
          <cell r="J871" t="str">
            <v>West Midlands</v>
          </cell>
          <cell r="K871" t="str">
            <v>West Midlands</v>
          </cell>
          <cell r="L871" t="str">
            <v>Staffordshire</v>
          </cell>
          <cell r="M871" t="str">
            <v>Staffordshire Moorlands</v>
          </cell>
          <cell r="N871" t="str">
            <v>ST2 8LY</v>
          </cell>
          <cell r="O871" t="str">
            <v>Not applicable</v>
          </cell>
          <cell r="P871">
            <v>6</v>
          </cell>
          <cell r="Q871">
            <v>19</v>
          </cell>
          <cell r="R871" t="str">
            <v>None</v>
          </cell>
          <cell r="S871" t="str">
            <v>Ofsted</v>
          </cell>
          <cell r="T871">
            <v>2</v>
          </cell>
          <cell r="U871">
            <v>10044407</v>
          </cell>
          <cell r="V871" t="str">
            <v>Independent school Material Change inspection</v>
          </cell>
          <cell r="W871">
            <v>43122</v>
          </cell>
          <cell r="X871">
            <v>43122</v>
          </cell>
          <cell r="Y871">
            <v>43146</v>
          </cell>
          <cell r="Z871" t="str">
            <v>Likely to meet relevant standards</v>
          </cell>
          <cell r="AA871" t="str">
            <v>NULL</v>
          </cell>
          <cell r="AB871" t="str">
            <v>NULL</v>
          </cell>
          <cell r="AC871" t="str">
            <v>NULL</v>
          </cell>
          <cell r="AD871" t="str">
            <v>NULL</v>
          </cell>
          <cell r="AE871" t="str">
            <v>NULL</v>
          </cell>
          <cell r="AF871" t="str">
            <v>NULL</v>
          </cell>
          <cell r="AG871" t="str">
            <v>NULL</v>
          </cell>
          <cell r="AH871" t="str">
            <v>NULL</v>
          </cell>
          <cell r="AI871" t="str">
            <v>NULL</v>
          </cell>
          <cell r="AJ871" t="str">
            <v>NULL</v>
          </cell>
          <cell r="AK871" t="str">
            <v>NULL</v>
          </cell>
          <cell r="AL871" t="str">
            <v>NULL</v>
          </cell>
          <cell r="AM871" t="str">
            <v>NULL</v>
          </cell>
          <cell r="AN871" t="str">
            <v>NULL</v>
          </cell>
          <cell r="AO871" t="str">
            <v>NULL</v>
          </cell>
          <cell r="AP871" t="str">
            <v>NULL</v>
          </cell>
          <cell r="AQ871" t="str">
            <v>NULL</v>
          </cell>
          <cell r="AR871" t="str">
            <v>NULL</v>
          </cell>
          <cell r="AS871" t="str">
            <v>NULL</v>
          </cell>
          <cell r="AT871" t="str">
            <v>NULL</v>
          </cell>
          <cell r="AU871" t="str">
            <v>NULL</v>
          </cell>
          <cell r="AV871" t="str">
            <v>NULL</v>
          </cell>
          <cell r="AW871" t="str">
            <v>NULL</v>
          </cell>
          <cell r="AX871" t="str">
            <v>NULL</v>
          </cell>
          <cell r="AY871" t="str">
            <v>NULL</v>
          </cell>
          <cell r="AZ871" t="str">
            <v>NULL</v>
          </cell>
          <cell r="BA871" t="str">
            <v>NULL</v>
          </cell>
          <cell r="BB871" t="str">
            <v>NULL</v>
          </cell>
        </row>
        <row r="872">
          <cell r="D872">
            <v>143840</v>
          </cell>
          <cell r="E872">
            <v>2046017</v>
          </cell>
          <cell r="F872" t="str">
            <v>Queensgate College</v>
          </cell>
          <cell r="G872" t="str">
            <v>Other Independent School</v>
          </cell>
          <cell r="H872">
            <v>42689</v>
          </cell>
          <cell r="I872">
            <v>0</v>
          </cell>
          <cell r="J872" t="str">
            <v>London</v>
          </cell>
          <cell r="K872" t="str">
            <v>London</v>
          </cell>
          <cell r="L872" t="str">
            <v>Hackney</v>
          </cell>
          <cell r="M872" t="str">
            <v>Hackney South and Shoreditch</v>
          </cell>
          <cell r="N872" t="str">
            <v>E9 6SJ</v>
          </cell>
          <cell r="O872" t="str">
            <v>Does not have a sixth form</v>
          </cell>
          <cell r="P872">
            <v>11</v>
          </cell>
          <cell r="Q872">
            <v>16</v>
          </cell>
          <cell r="R872" t="str">
            <v>None</v>
          </cell>
          <cell r="S872" t="str">
            <v>Ofsted</v>
          </cell>
          <cell r="T872">
            <v>1</v>
          </cell>
          <cell r="U872">
            <v>10049205</v>
          </cell>
          <cell r="V872" t="str">
            <v>Independent school evaluation of school action plan</v>
          </cell>
          <cell r="W872">
            <v>43178</v>
          </cell>
          <cell r="X872">
            <v>43178</v>
          </cell>
          <cell r="Y872" t="str">
            <v>NULL</v>
          </cell>
          <cell r="Z872" t="str">
            <v>Action plan is not acceptable</v>
          </cell>
          <cell r="AA872">
            <v>10038181</v>
          </cell>
          <cell r="AB872" t="str">
            <v>Independent school standard inspection - first</v>
          </cell>
          <cell r="AC872" t="str">
            <v>Independent Standard Inspection</v>
          </cell>
          <cell r="AD872">
            <v>43039</v>
          </cell>
          <cell r="AE872">
            <v>43041</v>
          </cell>
          <cell r="AF872">
            <v>43080</v>
          </cell>
          <cell r="AG872">
            <v>3</v>
          </cell>
          <cell r="AH872">
            <v>3</v>
          </cell>
          <cell r="AI872">
            <v>3</v>
          </cell>
          <cell r="AJ872">
            <v>3</v>
          </cell>
          <cell r="AK872">
            <v>3</v>
          </cell>
          <cell r="AL872" t="str">
            <v>NULL</v>
          </cell>
          <cell r="AM872" t="str">
            <v>NULL</v>
          </cell>
          <cell r="AN872" t="str">
            <v>Yes</v>
          </cell>
          <cell r="AO872" t="str">
            <v>NULL</v>
          </cell>
          <cell r="AP872" t="str">
            <v>NULL</v>
          </cell>
          <cell r="AQ872" t="str">
            <v>NULL</v>
          </cell>
          <cell r="AR872" t="str">
            <v>NULL</v>
          </cell>
          <cell r="AS872" t="str">
            <v>NULL</v>
          </cell>
          <cell r="AT872" t="str">
            <v>NULL</v>
          </cell>
          <cell r="AU872" t="str">
            <v>NULL</v>
          </cell>
          <cell r="AV872" t="str">
            <v>NULL</v>
          </cell>
          <cell r="AW872" t="str">
            <v>NULL</v>
          </cell>
          <cell r="AX872" t="str">
            <v>NULL</v>
          </cell>
          <cell r="AY872" t="str">
            <v>NULL</v>
          </cell>
          <cell r="AZ872" t="str">
            <v>NULL</v>
          </cell>
          <cell r="BA872" t="str">
            <v>NULL</v>
          </cell>
          <cell r="BB872" t="str">
            <v>NULL</v>
          </cell>
        </row>
        <row r="873">
          <cell r="D873">
            <v>143841</v>
          </cell>
          <cell r="E873">
            <v>3816019</v>
          </cell>
          <cell r="F873" t="str">
            <v>Nightingale House School</v>
          </cell>
          <cell r="G873" t="str">
            <v>Other Independent School</v>
          </cell>
          <cell r="H873">
            <v>42843</v>
          </cell>
          <cell r="I873" t="str">
            <v>NULL</v>
          </cell>
          <cell r="J873" t="str">
            <v>North East, Yorkshire and the Humber</v>
          </cell>
          <cell r="K873" t="str">
            <v>Yorkshire and the Humber</v>
          </cell>
          <cell r="L873" t="str">
            <v>Calderdale</v>
          </cell>
          <cell r="M873" t="str">
            <v>Calder Valley</v>
          </cell>
          <cell r="N873" t="str">
            <v>HX7 5RP</v>
          </cell>
          <cell r="O873" t="str">
            <v>Has a sixth form</v>
          </cell>
          <cell r="P873">
            <v>11</v>
          </cell>
          <cell r="Q873">
            <v>18</v>
          </cell>
          <cell r="R873" t="str">
            <v>None</v>
          </cell>
          <cell r="S873" t="str">
            <v>Ofsted</v>
          </cell>
          <cell r="T873">
            <v>1</v>
          </cell>
          <cell r="U873">
            <v>10034041</v>
          </cell>
          <cell r="V873" t="str">
            <v>Independent School Pre-registration Inspection</v>
          </cell>
          <cell r="W873">
            <v>42804</v>
          </cell>
          <cell r="X873">
            <v>42804</v>
          </cell>
          <cell r="Y873" t="str">
            <v>NULL</v>
          </cell>
          <cell r="Z873" t="str">
            <v>Likely to meet all standards</v>
          </cell>
          <cell r="AA873" t="str">
            <v>NULL</v>
          </cell>
          <cell r="AB873" t="str">
            <v>NULL</v>
          </cell>
          <cell r="AC873" t="str">
            <v>NULL</v>
          </cell>
          <cell r="AD873" t="str">
            <v>NULL</v>
          </cell>
          <cell r="AE873" t="str">
            <v>NULL</v>
          </cell>
          <cell r="AF873" t="str">
            <v>NULL</v>
          </cell>
          <cell r="AG873" t="str">
            <v>NULL</v>
          </cell>
          <cell r="AH873" t="str">
            <v>NULL</v>
          </cell>
          <cell r="AI873" t="str">
            <v>NULL</v>
          </cell>
          <cell r="AJ873" t="str">
            <v>NULL</v>
          </cell>
          <cell r="AK873" t="str">
            <v>NULL</v>
          </cell>
          <cell r="AL873" t="str">
            <v>NULL</v>
          </cell>
          <cell r="AM873" t="str">
            <v>NULL</v>
          </cell>
          <cell r="AN873" t="str">
            <v>NULL</v>
          </cell>
          <cell r="AO873" t="str">
            <v>NULL</v>
          </cell>
          <cell r="AP873" t="str">
            <v>NULL</v>
          </cell>
          <cell r="AQ873" t="str">
            <v>NULL</v>
          </cell>
          <cell r="AR873" t="str">
            <v>NULL</v>
          </cell>
          <cell r="AS873" t="str">
            <v>NULL</v>
          </cell>
          <cell r="AT873" t="str">
            <v>NULL</v>
          </cell>
          <cell r="AU873" t="str">
            <v>NULL</v>
          </cell>
          <cell r="AV873" t="str">
            <v>NULL</v>
          </cell>
          <cell r="AW873" t="str">
            <v>NULL</v>
          </cell>
          <cell r="AX873" t="str">
            <v>NULL</v>
          </cell>
          <cell r="AY873" t="str">
            <v>NULL</v>
          </cell>
          <cell r="AZ873" t="str">
            <v>NULL</v>
          </cell>
          <cell r="BA873" t="str">
            <v>NULL</v>
          </cell>
          <cell r="BB873" t="str">
            <v>NULL</v>
          </cell>
        </row>
        <row r="874">
          <cell r="D874">
            <v>143858</v>
          </cell>
          <cell r="E874">
            <v>8886067</v>
          </cell>
          <cell r="F874" t="str">
            <v>Lincoln House School</v>
          </cell>
          <cell r="G874" t="str">
            <v>Other Independent School</v>
          </cell>
          <cell r="H874">
            <v>42830</v>
          </cell>
          <cell r="I874" t="str">
            <v>NULL</v>
          </cell>
          <cell r="J874" t="str">
            <v>North West</v>
          </cell>
          <cell r="K874" t="str">
            <v>North West</v>
          </cell>
          <cell r="L874" t="str">
            <v>Lancashire</v>
          </cell>
          <cell r="M874" t="str">
            <v>Burnley</v>
          </cell>
          <cell r="N874" t="str">
            <v>BB12 0QZ</v>
          </cell>
          <cell r="O874" t="str">
            <v>Has a sixth form</v>
          </cell>
          <cell r="P874">
            <v>11</v>
          </cell>
          <cell r="Q874">
            <v>18</v>
          </cell>
          <cell r="R874" t="str">
            <v>None</v>
          </cell>
          <cell r="S874" t="str">
            <v>Ofsted</v>
          </cell>
          <cell r="T874">
            <v>1</v>
          </cell>
          <cell r="U874">
            <v>10034019</v>
          </cell>
          <cell r="V874" t="str">
            <v>Independent School Pre-registration Inspection</v>
          </cell>
          <cell r="W874">
            <v>42816</v>
          </cell>
          <cell r="X874">
            <v>42816</v>
          </cell>
          <cell r="Y874" t="str">
            <v>NULL</v>
          </cell>
          <cell r="Z874" t="str">
            <v>Likely to meet all standards</v>
          </cell>
          <cell r="AA874" t="str">
            <v>NULL</v>
          </cell>
          <cell r="AB874" t="str">
            <v>NULL</v>
          </cell>
          <cell r="AC874" t="str">
            <v>NULL</v>
          </cell>
          <cell r="AD874" t="str">
            <v>NULL</v>
          </cell>
          <cell r="AE874" t="str">
            <v>NULL</v>
          </cell>
          <cell r="AF874" t="str">
            <v>NULL</v>
          </cell>
          <cell r="AG874" t="str">
            <v>NULL</v>
          </cell>
          <cell r="AH874" t="str">
            <v>NULL</v>
          </cell>
          <cell r="AI874" t="str">
            <v>NULL</v>
          </cell>
          <cell r="AJ874" t="str">
            <v>NULL</v>
          </cell>
          <cell r="AK874" t="str">
            <v>NULL</v>
          </cell>
          <cell r="AL874" t="str">
            <v>NULL</v>
          </cell>
          <cell r="AM874" t="str">
            <v>NULL</v>
          </cell>
          <cell r="AN874" t="str">
            <v>NULL</v>
          </cell>
          <cell r="AO874" t="str">
            <v>NULL</v>
          </cell>
          <cell r="AP874" t="str">
            <v>NULL</v>
          </cell>
          <cell r="AQ874" t="str">
            <v>NULL</v>
          </cell>
          <cell r="AR874" t="str">
            <v>NULL</v>
          </cell>
          <cell r="AS874" t="str">
            <v>NULL</v>
          </cell>
          <cell r="AT874" t="str">
            <v>NULL</v>
          </cell>
          <cell r="AU874" t="str">
            <v>NULL</v>
          </cell>
          <cell r="AV874" t="str">
            <v>NULL</v>
          </cell>
          <cell r="AW874" t="str">
            <v>NULL</v>
          </cell>
          <cell r="AX874" t="str">
            <v>NULL</v>
          </cell>
          <cell r="AY874" t="str">
            <v>NULL</v>
          </cell>
          <cell r="AZ874" t="str">
            <v>NULL</v>
          </cell>
          <cell r="BA874" t="str">
            <v>NULL</v>
          </cell>
          <cell r="BB874" t="str">
            <v>NULL</v>
          </cell>
        </row>
        <row r="875">
          <cell r="D875">
            <v>143912</v>
          </cell>
          <cell r="E875">
            <v>3416008</v>
          </cell>
          <cell r="F875" t="str">
            <v>Progress Schools - Toxteth</v>
          </cell>
          <cell r="G875" t="str">
            <v>Other Independent School</v>
          </cell>
          <cell r="H875">
            <v>42755</v>
          </cell>
          <cell r="I875" t="str">
            <v>NULL</v>
          </cell>
          <cell r="J875" t="str">
            <v>North West</v>
          </cell>
          <cell r="K875" t="str">
            <v>North West</v>
          </cell>
          <cell r="L875" t="str">
            <v>Liverpool</v>
          </cell>
          <cell r="M875" t="str">
            <v>Liverpool, Riverside</v>
          </cell>
          <cell r="N875" t="str">
            <v>L8 8HD</v>
          </cell>
          <cell r="O875" t="str">
            <v>Does not have a sixth form</v>
          </cell>
          <cell r="P875">
            <v>13</v>
          </cell>
          <cell r="Q875">
            <v>16</v>
          </cell>
          <cell r="R875" t="str">
            <v>None</v>
          </cell>
          <cell r="S875" t="str">
            <v>Ofsted</v>
          </cell>
          <cell r="T875">
            <v>1</v>
          </cell>
          <cell r="U875">
            <v>10026455</v>
          </cell>
          <cell r="V875" t="str">
            <v>Independent School Pre-registration Inspection</v>
          </cell>
          <cell r="W875">
            <v>42719</v>
          </cell>
          <cell r="X875">
            <v>42719</v>
          </cell>
          <cell r="Y875" t="str">
            <v>NULL</v>
          </cell>
          <cell r="Z875" t="str">
            <v>Likely to meet all standards</v>
          </cell>
          <cell r="AA875" t="str">
            <v>NULL</v>
          </cell>
          <cell r="AB875" t="str">
            <v>NULL</v>
          </cell>
          <cell r="AC875" t="str">
            <v>NULL</v>
          </cell>
          <cell r="AD875" t="str">
            <v>NULL</v>
          </cell>
          <cell r="AE875" t="str">
            <v>NULL</v>
          </cell>
          <cell r="AF875" t="str">
            <v>NULL</v>
          </cell>
          <cell r="AG875" t="str">
            <v>NULL</v>
          </cell>
          <cell r="AH875" t="str">
            <v>NULL</v>
          </cell>
          <cell r="AI875" t="str">
            <v>NULL</v>
          </cell>
          <cell r="AJ875" t="str">
            <v>NULL</v>
          </cell>
          <cell r="AK875" t="str">
            <v>NULL</v>
          </cell>
          <cell r="AL875" t="str">
            <v>NULL</v>
          </cell>
          <cell r="AM875" t="str">
            <v>NULL</v>
          </cell>
          <cell r="AN875" t="str">
            <v>NULL</v>
          </cell>
          <cell r="AO875" t="str">
            <v>NULL</v>
          </cell>
          <cell r="AP875" t="str">
            <v>NULL</v>
          </cell>
          <cell r="AQ875" t="str">
            <v>NULL</v>
          </cell>
          <cell r="AR875" t="str">
            <v>NULL</v>
          </cell>
          <cell r="AS875" t="str">
            <v>NULL</v>
          </cell>
          <cell r="AT875" t="str">
            <v>NULL</v>
          </cell>
          <cell r="AU875" t="str">
            <v>NULL</v>
          </cell>
          <cell r="AV875" t="str">
            <v>NULL</v>
          </cell>
          <cell r="AW875" t="str">
            <v>NULL</v>
          </cell>
          <cell r="AX875" t="str">
            <v>NULL</v>
          </cell>
          <cell r="AY875" t="str">
            <v>NULL</v>
          </cell>
          <cell r="AZ875" t="str">
            <v>NULL</v>
          </cell>
          <cell r="BA875" t="str">
            <v>NULL</v>
          </cell>
          <cell r="BB875" t="str">
            <v>NULL</v>
          </cell>
        </row>
        <row r="876">
          <cell r="D876">
            <v>145159</v>
          </cell>
          <cell r="E876">
            <v>9266017</v>
          </cell>
          <cell r="F876" t="str">
            <v>Kingsbrook School</v>
          </cell>
          <cell r="G876" t="str">
            <v>Other Independent Special School</v>
          </cell>
          <cell r="H876">
            <v>43048</v>
          </cell>
          <cell r="I876" t="str">
            <v>NULL</v>
          </cell>
          <cell r="J876" t="str">
            <v>East of England</v>
          </cell>
          <cell r="K876" t="str">
            <v>East of England</v>
          </cell>
          <cell r="L876" t="str">
            <v>Norfolk</v>
          </cell>
          <cell r="M876" t="str">
            <v>Mid Norfolk</v>
          </cell>
          <cell r="N876" t="str">
            <v>IP25 7TJ</v>
          </cell>
          <cell r="O876" t="str">
            <v>Not applicable</v>
          </cell>
          <cell r="P876">
            <v>11</v>
          </cell>
          <cell r="Q876">
            <v>18</v>
          </cell>
          <cell r="R876" t="str">
            <v>None</v>
          </cell>
          <cell r="S876" t="str">
            <v>Ofsted</v>
          </cell>
          <cell r="T876">
            <v>1</v>
          </cell>
          <cell r="U876">
            <v>10040614</v>
          </cell>
          <cell r="V876" t="str">
            <v>Independent School Pre-registration Inspection</v>
          </cell>
          <cell r="W876">
            <v>43027</v>
          </cell>
          <cell r="X876">
            <v>43027</v>
          </cell>
          <cell r="Y876" t="str">
            <v>NULL</v>
          </cell>
          <cell r="Z876" t="str">
            <v>Likely to meet all standards</v>
          </cell>
          <cell r="AA876" t="str">
            <v>NULL</v>
          </cell>
          <cell r="AB876" t="str">
            <v>NULL</v>
          </cell>
          <cell r="AC876" t="str">
            <v>NULL</v>
          </cell>
          <cell r="AD876" t="str">
            <v>NULL</v>
          </cell>
          <cell r="AE876" t="str">
            <v>NULL</v>
          </cell>
          <cell r="AF876" t="str">
            <v>NULL</v>
          </cell>
          <cell r="AG876" t="str">
            <v>NULL</v>
          </cell>
          <cell r="AH876" t="str">
            <v>NULL</v>
          </cell>
          <cell r="AI876" t="str">
            <v>NULL</v>
          </cell>
          <cell r="AJ876" t="str">
            <v>NULL</v>
          </cell>
          <cell r="AK876" t="str">
            <v>NULL</v>
          </cell>
          <cell r="AL876" t="str">
            <v>NULL</v>
          </cell>
          <cell r="AM876" t="str">
            <v>NULL</v>
          </cell>
          <cell r="AN876" t="str">
            <v>NULL</v>
          </cell>
          <cell r="AO876" t="str">
            <v>NULL</v>
          </cell>
          <cell r="AP876" t="str">
            <v>NULL</v>
          </cell>
          <cell r="AQ876" t="str">
            <v>NULL</v>
          </cell>
          <cell r="AR876" t="str">
            <v>NULL</v>
          </cell>
          <cell r="AS876" t="str">
            <v>NULL</v>
          </cell>
          <cell r="AT876" t="str">
            <v>NULL</v>
          </cell>
          <cell r="AU876" t="str">
            <v>NULL</v>
          </cell>
          <cell r="AV876" t="str">
            <v>NULL</v>
          </cell>
          <cell r="AW876" t="str">
            <v>NULL</v>
          </cell>
          <cell r="AX876" t="str">
            <v>NULL</v>
          </cell>
          <cell r="AY876" t="str">
            <v>NULL</v>
          </cell>
          <cell r="AZ876" t="str">
            <v>NULL</v>
          </cell>
          <cell r="BA876" t="str">
            <v>NULL</v>
          </cell>
          <cell r="BB876" t="str">
            <v>NULL</v>
          </cell>
        </row>
        <row r="877">
          <cell r="D877">
            <v>145160</v>
          </cell>
          <cell r="E877">
            <v>3406005</v>
          </cell>
          <cell r="F877" t="str">
            <v>Peregrinate Ltd</v>
          </cell>
          <cell r="G877" t="str">
            <v>Other Independent School</v>
          </cell>
          <cell r="H877">
            <v>43013</v>
          </cell>
          <cell r="I877" t="str">
            <v>NULL</v>
          </cell>
          <cell r="J877" t="str">
            <v>North West</v>
          </cell>
          <cell r="K877" t="str">
            <v>North West</v>
          </cell>
          <cell r="L877" t="str">
            <v>Knowsley</v>
          </cell>
          <cell r="M877" t="str">
            <v>Knowsley</v>
          </cell>
          <cell r="N877" t="str">
            <v>L34 1PB</v>
          </cell>
          <cell r="O877" t="str">
            <v>Does not have a sixth form</v>
          </cell>
          <cell r="P877">
            <v>11</v>
          </cell>
          <cell r="Q877">
            <v>16</v>
          </cell>
          <cell r="R877" t="str">
            <v>None</v>
          </cell>
          <cell r="S877" t="str">
            <v>Ofsted</v>
          </cell>
          <cell r="T877">
            <v>1</v>
          </cell>
          <cell r="U877">
            <v>10041233</v>
          </cell>
          <cell r="V877" t="str">
            <v>Independent School Pre-registration Inspection</v>
          </cell>
          <cell r="W877">
            <v>42992</v>
          </cell>
          <cell r="X877">
            <v>42992</v>
          </cell>
          <cell r="Y877" t="str">
            <v>NULL</v>
          </cell>
          <cell r="Z877" t="str">
            <v>Operating without registration and likely to meet all standards</v>
          </cell>
          <cell r="AA877" t="str">
            <v>NULL</v>
          </cell>
          <cell r="AB877" t="str">
            <v>NULL</v>
          </cell>
          <cell r="AC877" t="str">
            <v>NULL</v>
          </cell>
          <cell r="AD877" t="str">
            <v>NULL</v>
          </cell>
          <cell r="AE877" t="str">
            <v>NULL</v>
          </cell>
          <cell r="AF877" t="str">
            <v>NULL</v>
          </cell>
          <cell r="AG877" t="str">
            <v>NULL</v>
          </cell>
          <cell r="AH877" t="str">
            <v>NULL</v>
          </cell>
          <cell r="AI877" t="str">
            <v>NULL</v>
          </cell>
          <cell r="AJ877" t="str">
            <v>NULL</v>
          </cell>
          <cell r="AK877" t="str">
            <v>NULL</v>
          </cell>
          <cell r="AL877" t="str">
            <v>NULL</v>
          </cell>
          <cell r="AM877" t="str">
            <v>NULL</v>
          </cell>
          <cell r="AN877" t="str">
            <v>NULL</v>
          </cell>
          <cell r="AO877" t="str">
            <v>NULL</v>
          </cell>
          <cell r="AP877" t="str">
            <v>NULL</v>
          </cell>
          <cell r="AQ877" t="str">
            <v>NULL</v>
          </cell>
          <cell r="AR877" t="str">
            <v>NULL</v>
          </cell>
          <cell r="AS877" t="str">
            <v>NULL</v>
          </cell>
          <cell r="AT877" t="str">
            <v>NULL</v>
          </cell>
          <cell r="AU877" t="str">
            <v>NULL</v>
          </cell>
          <cell r="AV877" t="str">
            <v>NULL</v>
          </cell>
          <cell r="AW877" t="str">
            <v>NULL</v>
          </cell>
          <cell r="AX877" t="str">
            <v>NULL</v>
          </cell>
          <cell r="AY877" t="str">
            <v>NULL</v>
          </cell>
          <cell r="AZ877" t="str">
            <v>NULL</v>
          </cell>
          <cell r="BA877" t="str">
            <v>NULL</v>
          </cell>
          <cell r="BB877" t="str">
            <v>NULL</v>
          </cell>
        </row>
        <row r="878">
          <cell r="D878">
            <v>145162</v>
          </cell>
          <cell r="E878">
            <v>8816070</v>
          </cell>
          <cell r="F878" t="str">
            <v>TLG Tendring</v>
          </cell>
          <cell r="G878" t="str">
            <v>Other Independent School</v>
          </cell>
          <cell r="H878">
            <v>43048</v>
          </cell>
          <cell r="I878" t="str">
            <v>NULL</v>
          </cell>
          <cell r="J878" t="str">
            <v>East of England</v>
          </cell>
          <cell r="K878" t="str">
            <v>East of England</v>
          </cell>
          <cell r="L878" t="str">
            <v>Essex</v>
          </cell>
          <cell r="M878" t="str">
            <v>Clacton</v>
          </cell>
          <cell r="N878" t="str">
            <v>CO13 9PW</v>
          </cell>
          <cell r="O878" t="str">
            <v>Does not have a sixth form</v>
          </cell>
          <cell r="P878">
            <v>11</v>
          </cell>
          <cell r="Q878">
            <v>16</v>
          </cell>
          <cell r="R878" t="str">
            <v>None</v>
          </cell>
          <cell r="S878" t="str">
            <v>Ofsted</v>
          </cell>
          <cell r="T878">
            <v>1</v>
          </cell>
          <cell r="U878">
            <v>10043073</v>
          </cell>
          <cell r="V878" t="str">
            <v>Independent School Pre-registration Inspection</v>
          </cell>
          <cell r="W878">
            <v>43010</v>
          </cell>
          <cell r="X878">
            <v>43010</v>
          </cell>
          <cell r="Y878" t="str">
            <v>NULL</v>
          </cell>
          <cell r="Z878" t="str">
            <v>Likely to meet all standards</v>
          </cell>
          <cell r="AA878" t="str">
            <v>NULL</v>
          </cell>
          <cell r="AB878" t="str">
            <v>NULL</v>
          </cell>
          <cell r="AC878" t="str">
            <v>NULL</v>
          </cell>
          <cell r="AD878" t="str">
            <v>NULL</v>
          </cell>
          <cell r="AE878" t="str">
            <v>NULL</v>
          </cell>
          <cell r="AF878" t="str">
            <v>NULL</v>
          </cell>
          <cell r="AG878" t="str">
            <v>NULL</v>
          </cell>
          <cell r="AH878" t="str">
            <v>NULL</v>
          </cell>
          <cell r="AI878" t="str">
            <v>NULL</v>
          </cell>
          <cell r="AJ878" t="str">
            <v>NULL</v>
          </cell>
          <cell r="AK878" t="str">
            <v>NULL</v>
          </cell>
          <cell r="AL878" t="str">
            <v>NULL</v>
          </cell>
          <cell r="AM878" t="str">
            <v>NULL</v>
          </cell>
          <cell r="AN878" t="str">
            <v>NULL</v>
          </cell>
          <cell r="AO878" t="str">
            <v>NULL</v>
          </cell>
          <cell r="AP878" t="str">
            <v>NULL</v>
          </cell>
          <cell r="AQ878" t="str">
            <v>NULL</v>
          </cell>
          <cell r="AR878" t="str">
            <v>NULL</v>
          </cell>
          <cell r="AS878" t="str">
            <v>NULL</v>
          </cell>
          <cell r="AT878" t="str">
            <v>NULL</v>
          </cell>
          <cell r="AU878" t="str">
            <v>NULL</v>
          </cell>
          <cell r="AV878" t="str">
            <v>NULL</v>
          </cell>
          <cell r="AW878" t="str">
            <v>NULL</v>
          </cell>
          <cell r="AX878" t="str">
            <v>NULL</v>
          </cell>
          <cell r="AY878" t="str">
            <v>NULL</v>
          </cell>
          <cell r="AZ878" t="str">
            <v>NULL</v>
          </cell>
          <cell r="BA878" t="str">
            <v>NULL</v>
          </cell>
          <cell r="BB878" t="str">
            <v>NULL</v>
          </cell>
        </row>
        <row r="879">
          <cell r="D879">
            <v>145164</v>
          </cell>
          <cell r="E879">
            <v>2126003</v>
          </cell>
          <cell r="F879" t="str">
            <v>Tram House School</v>
          </cell>
          <cell r="G879" t="str">
            <v>Other Independent Special School</v>
          </cell>
          <cell r="H879">
            <v>42972</v>
          </cell>
          <cell r="I879" t="str">
            <v>NULL</v>
          </cell>
          <cell r="J879" t="str">
            <v>London</v>
          </cell>
          <cell r="K879" t="str">
            <v>London</v>
          </cell>
          <cell r="L879" t="str">
            <v>Wandsworth</v>
          </cell>
          <cell r="M879" t="str">
            <v>Tooting</v>
          </cell>
          <cell r="N879" t="str">
            <v>SW17 0NY</v>
          </cell>
          <cell r="O879" t="str">
            <v>Not applicable</v>
          </cell>
          <cell r="P879">
            <v>14</v>
          </cell>
          <cell r="Q879">
            <v>19</v>
          </cell>
          <cell r="R879" t="str">
            <v>None</v>
          </cell>
          <cell r="S879" t="str">
            <v>Ofsted</v>
          </cell>
          <cell r="T879" t="str">
            <v>NULL</v>
          </cell>
          <cell r="U879" t="str">
            <v>NULL</v>
          </cell>
          <cell r="V879" t="str">
            <v>NULL</v>
          </cell>
          <cell r="W879" t="str">
            <v>NULL</v>
          </cell>
          <cell r="X879" t="str">
            <v>NULL</v>
          </cell>
          <cell r="Y879" t="str">
            <v>NULL</v>
          </cell>
          <cell r="Z879" t="str">
            <v>NULL</v>
          </cell>
          <cell r="AA879" t="str">
            <v>NULL</v>
          </cell>
          <cell r="AB879" t="str">
            <v>NULL</v>
          </cell>
          <cell r="AC879" t="str">
            <v>NULL</v>
          </cell>
          <cell r="AD879" t="str">
            <v>NULL</v>
          </cell>
          <cell r="AE879" t="str">
            <v>NULL</v>
          </cell>
          <cell r="AF879" t="str">
            <v>NULL</v>
          </cell>
          <cell r="AG879" t="str">
            <v>NULL</v>
          </cell>
          <cell r="AH879" t="str">
            <v>NULL</v>
          </cell>
          <cell r="AI879" t="str">
            <v>NULL</v>
          </cell>
          <cell r="AJ879" t="str">
            <v>NULL</v>
          </cell>
          <cell r="AK879" t="str">
            <v>NULL</v>
          </cell>
          <cell r="AL879" t="str">
            <v>NULL</v>
          </cell>
          <cell r="AM879" t="str">
            <v>NULL</v>
          </cell>
          <cell r="AN879" t="str">
            <v>NULL</v>
          </cell>
          <cell r="AO879" t="str">
            <v>NULL</v>
          </cell>
          <cell r="AP879" t="str">
            <v>NULL</v>
          </cell>
          <cell r="AQ879" t="str">
            <v>NULL</v>
          </cell>
          <cell r="AR879" t="str">
            <v>NULL</v>
          </cell>
          <cell r="AS879" t="str">
            <v>NULL</v>
          </cell>
          <cell r="AT879" t="str">
            <v>NULL</v>
          </cell>
          <cell r="AU879" t="str">
            <v>NULL</v>
          </cell>
          <cell r="AV879" t="str">
            <v>NULL</v>
          </cell>
          <cell r="AW879" t="str">
            <v>NULL</v>
          </cell>
          <cell r="AX879" t="str">
            <v>NULL</v>
          </cell>
          <cell r="AY879" t="str">
            <v>NULL</v>
          </cell>
          <cell r="AZ879" t="str">
            <v>NULL</v>
          </cell>
          <cell r="BA879" t="str">
            <v>NULL</v>
          </cell>
          <cell r="BB879" t="str">
            <v>NULL</v>
          </cell>
        </row>
        <row r="880">
          <cell r="D880">
            <v>145165</v>
          </cell>
          <cell r="E880">
            <v>2066003</v>
          </cell>
          <cell r="F880" t="str">
            <v>Allen House Independent School</v>
          </cell>
          <cell r="G880" t="str">
            <v>Other Independent School</v>
          </cell>
          <cell r="H880">
            <v>43054</v>
          </cell>
          <cell r="I880" t="str">
            <v>NULL</v>
          </cell>
          <cell r="J880" t="str">
            <v>London</v>
          </cell>
          <cell r="K880" t="str">
            <v>London</v>
          </cell>
          <cell r="L880" t="str">
            <v>Islington</v>
          </cell>
          <cell r="M880" t="str">
            <v>Putney</v>
          </cell>
          <cell r="N880" t="str">
            <v>SW15 1SZ</v>
          </cell>
          <cell r="O880" t="str">
            <v>Does not have a sixth form</v>
          </cell>
          <cell r="P880">
            <v>11</v>
          </cell>
          <cell r="Q880">
            <v>16</v>
          </cell>
          <cell r="R880" t="str">
            <v>None</v>
          </cell>
          <cell r="S880" t="str">
            <v>Ofsted</v>
          </cell>
          <cell r="T880">
            <v>1</v>
          </cell>
          <cell r="U880">
            <v>10041257</v>
          </cell>
          <cell r="V880" t="str">
            <v>Independent School Pre-registration Inspection</v>
          </cell>
          <cell r="W880">
            <v>43017</v>
          </cell>
          <cell r="X880">
            <v>43017</v>
          </cell>
          <cell r="Y880" t="str">
            <v>NULL</v>
          </cell>
          <cell r="Z880" t="str">
            <v>Likely to meet all standards</v>
          </cell>
          <cell r="AA880" t="str">
            <v>NULL</v>
          </cell>
          <cell r="AB880" t="str">
            <v>NULL</v>
          </cell>
          <cell r="AC880" t="str">
            <v>NULL</v>
          </cell>
          <cell r="AD880" t="str">
            <v>NULL</v>
          </cell>
          <cell r="AE880" t="str">
            <v>NULL</v>
          </cell>
          <cell r="AF880" t="str">
            <v>NULL</v>
          </cell>
          <cell r="AG880" t="str">
            <v>NULL</v>
          </cell>
          <cell r="AH880" t="str">
            <v>NULL</v>
          </cell>
          <cell r="AI880" t="str">
            <v>NULL</v>
          </cell>
          <cell r="AJ880" t="str">
            <v>NULL</v>
          </cell>
          <cell r="AK880" t="str">
            <v>NULL</v>
          </cell>
          <cell r="AL880" t="str">
            <v>NULL</v>
          </cell>
          <cell r="AM880" t="str">
            <v>NULL</v>
          </cell>
          <cell r="AN880" t="str">
            <v>NULL</v>
          </cell>
          <cell r="AO880" t="str">
            <v>NULL</v>
          </cell>
          <cell r="AP880" t="str">
            <v>NULL</v>
          </cell>
          <cell r="AQ880" t="str">
            <v>NULL</v>
          </cell>
          <cell r="AR880" t="str">
            <v>NULL</v>
          </cell>
          <cell r="AS880" t="str">
            <v>NULL</v>
          </cell>
          <cell r="AT880" t="str">
            <v>NULL</v>
          </cell>
          <cell r="AU880" t="str">
            <v>NULL</v>
          </cell>
          <cell r="AV880" t="str">
            <v>NULL</v>
          </cell>
          <cell r="AW880" t="str">
            <v>NULL</v>
          </cell>
          <cell r="AX880" t="str">
            <v>NULL</v>
          </cell>
          <cell r="AY880" t="str">
            <v>NULL</v>
          </cell>
          <cell r="AZ880" t="str">
            <v>NULL</v>
          </cell>
          <cell r="BA880" t="str">
            <v>NULL</v>
          </cell>
          <cell r="BB880" t="str">
            <v>NULL</v>
          </cell>
        </row>
        <row r="881">
          <cell r="D881">
            <v>145168</v>
          </cell>
          <cell r="E881">
            <v>3806014</v>
          </cell>
          <cell r="F881" t="str">
            <v>Olive Secondary Girls</v>
          </cell>
          <cell r="G881" t="str">
            <v>Other Independent School</v>
          </cell>
          <cell r="H881">
            <v>43019</v>
          </cell>
          <cell r="I881" t="str">
            <v>NULL</v>
          </cell>
          <cell r="J881" t="str">
            <v>North East, Yorkshire and the Humber</v>
          </cell>
          <cell r="K881" t="str">
            <v>Yorkshire and the Humber</v>
          </cell>
          <cell r="L881" t="str">
            <v>Bradford</v>
          </cell>
          <cell r="M881" t="str">
            <v>Bradford East</v>
          </cell>
          <cell r="N881" t="str">
            <v>BD3 0AD</v>
          </cell>
          <cell r="O881" t="str">
            <v>Has a sixth form</v>
          </cell>
          <cell r="P881">
            <v>11</v>
          </cell>
          <cell r="Q881">
            <v>18</v>
          </cell>
          <cell r="R881" t="str">
            <v>Islam</v>
          </cell>
          <cell r="S881" t="str">
            <v>Ofsted</v>
          </cell>
          <cell r="T881" t="str">
            <v>NULL</v>
          </cell>
          <cell r="U881" t="str">
            <v>NULL</v>
          </cell>
          <cell r="V881" t="str">
            <v>NULL</v>
          </cell>
          <cell r="W881" t="str">
            <v>NULL</v>
          </cell>
          <cell r="X881" t="str">
            <v>NULL</v>
          </cell>
          <cell r="Y881" t="str">
            <v>NULL</v>
          </cell>
          <cell r="Z881" t="str">
            <v>NULL</v>
          </cell>
          <cell r="AA881" t="str">
            <v>NULL</v>
          </cell>
          <cell r="AB881" t="str">
            <v>NULL</v>
          </cell>
          <cell r="AC881" t="str">
            <v>NULL</v>
          </cell>
          <cell r="AD881" t="str">
            <v>NULL</v>
          </cell>
          <cell r="AE881" t="str">
            <v>NULL</v>
          </cell>
          <cell r="AF881" t="str">
            <v>NULL</v>
          </cell>
          <cell r="AG881" t="str">
            <v>NULL</v>
          </cell>
          <cell r="AH881" t="str">
            <v>NULL</v>
          </cell>
          <cell r="AI881" t="str">
            <v>NULL</v>
          </cell>
          <cell r="AJ881" t="str">
            <v>NULL</v>
          </cell>
          <cell r="AK881" t="str">
            <v>NULL</v>
          </cell>
          <cell r="AL881" t="str">
            <v>NULL</v>
          </cell>
          <cell r="AM881" t="str">
            <v>NULL</v>
          </cell>
          <cell r="AN881" t="str">
            <v>NULL</v>
          </cell>
          <cell r="AO881" t="str">
            <v>NULL</v>
          </cell>
          <cell r="AP881" t="str">
            <v>NULL</v>
          </cell>
          <cell r="AQ881" t="str">
            <v>NULL</v>
          </cell>
          <cell r="AR881" t="str">
            <v>NULL</v>
          </cell>
          <cell r="AS881" t="str">
            <v>NULL</v>
          </cell>
          <cell r="AT881" t="str">
            <v>NULL</v>
          </cell>
          <cell r="AU881" t="str">
            <v>NULL</v>
          </cell>
          <cell r="AV881" t="str">
            <v>NULL</v>
          </cell>
          <cell r="AW881" t="str">
            <v>NULL</v>
          </cell>
          <cell r="AX881" t="str">
            <v>NULL</v>
          </cell>
          <cell r="AY881" t="str">
            <v>NULL</v>
          </cell>
          <cell r="AZ881" t="str">
            <v>NULL</v>
          </cell>
          <cell r="BA881" t="str">
            <v>NULL</v>
          </cell>
          <cell r="BB881" t="str">
            <v>NULL</v>
          </cell>
        </row>
        <row r="882">
          <cell r="D882">
            <v>145170</v>
          </cell>
          <cell r="E882">
            <v>3546038</v>
          </cell>
          <cell r="F882" t="str">
            <v>Elizabeth House School</v>
          </cell>
          <cell r="G882" t="str">
            <v>Other Independent School</v>
          </cell>
          <cell r="H882">
            <v>43033</v>
          </cell>
          <cell r="I882" t="str">
            <v>NULL</v>
          </cell>
          <cell r="J882" t="str">
            <v>North West</v>
          </cell>
          <cell r="K882" t="str">
            <v>North West</v>
          </cell>
          <cell r="L882" t="str">
            <v>Rochdale</v>
          </cell>
          <cell r="M882" t="str">
            <v>Heywood and Middleton</v>
          </cell>
          <cell r="N882" t="str">
            <v>M24 4BD</v>
          </cell>
          <cell r="O882" t="str">
            <v>Does not have a sixth form</v>
          </cell>
          <cell r="P882">
            <v>11</v>
          </cell>
          <cell r="Q882">
            <v>16</v>
          </cell>
          <cell r="R882" t="str">
            <v>None</v>
          </cell>
          <cell r="S882" t="str">
            <v>Ofsted</v>
          </cell>
          <cell r="T882">
            <v>1</v>
          </cell>
          <cell r="U882">
            <v>10041266</v>
          </cell>
          <cell r="V882" t="str">
            <v>Independent School Pre-registration Inspection</v>
          </cell>
          <cell r="W882">
            <v>43011</v>
          </cell>
          <cell r="X882">
            <v>43011</v>
          </cell>
          <cell r="Y882" t="str">
            <v>NULL</v>
          </cell>
          <cell r="Z882" t="str">
            <v>Likely to meet all standards</v>
          </cell>
          <cell r="AA882" t="str">
            <v>NULL</v>
          </cell>
          <cell r="AB882" t="str">
            <v>NULL</v>
          </cell>
          <cell r="AC882" t="str">
            <v>NULL</v>
          </cell>
          <cell r="AD882" t="str">
            <v>NULL</v>
          </cell>
          <cell r="AE882" t="str">
            <v>NULL</v>
          </cell>
          <cell r="AF882" t="str">
            <v>NULL</v>
          </cell>
          <cell r="AG882" t="str">
            <v>NULL</v>
          </cell>
          <cell r="AH882" t="str">
            <v>NULL</v>
          </cell>
          <cell r="AI882" t="str">
            <v>NULL</v>
          </cell>
          <cell r="AJ882" t="str">
            <v>NULL</v>
          </cell>
          <cell r="AK882" t="str">
            <v>NULL</v>
          </cell>
          <cell r="AL882" t="str">
            <v>NULL</v>
          </cell>
          <cell r="AM882" t="str">
            <v>NULL</v>
          </cell>
          <cell r="AN882" t="str">
            <v>NULL</v>
          </cell>
          <cell r="AO882" t="str">
            <v>NULL</v>
          </cell>
          <cell r="AP882" t="str">
            <v>NULL</v>
          </cell>
          <cell r="AQ882" t="str">
            <v>NULL</v>
          </cell>
          <cell r="AR882" t="str">
            <v>NULL</v>
          </cell>
          <cell r="AS882" t="str">
            <v>NULL</v>
          </cell>
          <cell r="AT882" t="str">
            <v>NULL</v>
          </cell>
          <cell r="AU882" t="str">
            <v>NULL</v>
          </cell>
          <cell r="AV882" t="str">
            <v>NULL</v>
          </cell>
          <cell r="AW882" t="str">
            <v>NULL</v>
          </cell>
          <cell r="AX882" t="str">
            <v>NULL</v>
          </cell>
          <cell r="AY882" t="str">
            <v>NULL</v>
          </cell>
          <cell r="AZ882" t="str">
            <v>NULL</v>
          </cell>
          <cell r="BA882" t="str">
            <v>NULL</v>
          </cell>
          <cell r="BB882" t="str">
            <v>NULL</v>
          </cell>
        </row>
        <row r="883">
          <cell r="D883">
            <v>135155</v>
          </cell>
          <cell r="E883">
            <v>3076338</v>
          </cell>
          <cell r="F883" t="str">
            <v>Ayesha Siddiqa Girls School</v>
          </cell>
          <cell r="G883" t="str">
            <v>Other Independent School</v>
          </cell>
          <cell r="H883">
            <v>39107</v>
          </cell>
          <cell r="I883">
            <v>97</v>
          </cell>
          <cell r="J883" t="str">
            <v>London</v>
          </cell>
          <cell r="K883" t="str">
            <v>London</v>
          </cell>
          <cell r="L883" t="str">
            <v>Ealing</v>
          </cell>
          <cell r="M883" t="str">
            <v>Ealing, Southall</v>
          </cell>
          <cell r="N883" t="str">
            <v>UB1 1LS</v>
          </cell>
          <cell r="O883" t="str">
            <v>Has a sixth form</v>
          </cell>
          <cell r="P883">
            <v>11</v>
          </cell>
          <cell r="Q883">
            <v>19</v>
          </cell>
          <cell r="R883" t="str">
            <v>None</v>
          </cell>
          <cell r="S883" t="str">
            <v>Ofsted</v>
          </cell>
          <cell r="T883">
            <v>3</v>
          </cell>
          <cell r="U883">
            <v>10021717</v>
          </cell>
          <cell r="V883" t="str">
            <v>Independent school Progress Monitoring inspection</v>
          </cell>
          <cell r="W883">
            <v>42675</v>
          </cell>
          <cell r="X883">
            <v>42675</v>
          </cell>
          <cell r="Y883">
            <v>42713</v>
          </cell>
          <cell r="Z883" t="str">
            <v>Met all standards that were checked</v>
          </cell>
          <cell r="AA883" t="str">
            <v>ITS440228</v>
          </cell>
          <cell r="AB883" t="str">
            <v>Independent School standard inspection</v>
          </cell>
          <cell r="AC883" t="str">
            <v>Independent Standard Inspection</v>
          </cell>
          <cell r="AD883">
            <v>41681</v>
          </cell>
          <cell r="AE883">
            <v>41683</v>
          </cell>
          <cell r="AF883">
            <v>41701</v>
          </cell>
          <cell r="AG883">
            <v>2</v>
          </cell>
          <cell r="AH883">
            <v>2</v>
          </cell>
          <cell r="AI883">
            <v>2</v>
          </cell>
          <cell r="AJ883">
            <v>2</v>
          </cell>
          <cell r="AK883" t="str">
            <v>NULL</v>
          </cell>
          <cell r="AL883" t="str">
            <v>NULL</v>
          </cell>
          <cell r="AM883" t="str">
            <v>NULL</v>
          </cell>
          <cell r="AN883" t="str">
            <v>NULL</v>
          </cell>
          <cell r="AO883" t="str">
            <v>ITS364298</v>
          </cell>
          <cell r="AP883" t="str">
            <v>S162a - LTI Inspection Historic</v>
          </cell>
          <cell r="AQ883" t="str">
            <v>Independent Standard Inspection</v>
          </cell>
          <cell r="AR883">
            <v>40617</v>
          </cell>
          <cell r="AS883">
            <v>40617</v>
          </cell>
          <cell r="AT883">
            <v>40638</v>
          </cell>
          <cell r="AU883">
            <v>3</v>
          </cell>
          <cell r="AV883">
            <v>3</v>
          </cell>
          <cell r="AW883">
            <v>3</v>
          </cell>
          <cell r="AX883" t="str">
            <v>NULL</v>
          </cell>
          <cell r="AY883" t="str">
            <v>NULL</v>
          </cell>
          <cell r="AZ883">
            <v>8</v>
          </cell>
          <cell r="BA883" t="str">
            <v>NULL</v>
          </cell>
          <cell r="BB883" t="str">
            <v>NULL</v>
          </cell>
        </row>
        <row r="884">
          <cell r="D884">
            <v>134417</v>
          </cell>
          <cell r="E884">
            <v>3166064</v>
          </cell>
          <cell r="F884" t="str">
            <v>Azhar Academy Girls School</v>
          </cell>
          <cell r="G884" t="str">
            <v>Other Independent School</v>
          </cell>
          <cell r="H884">
            <v>37860</v>
          </cell>
          <cell r="I884">
            <v>338</v>
          </cell>
          <cell r="J884" t="str">
            <v>London</v>
          </cell>
          <cell r="K884" t="str">
            <v>London</v>
          </cell>
          <cell r="L884" t="str">
            <v>Newham</v>
          </cell>
          <cell r="M884" t="str">
            <v>West Ham</v>
          </cell>
          <cell r="N884" t="str">
            <v>E7 9HL</v>
          </cell>
          <cell r="O884" t="str">
            <v>Does not have a sixth form</v>
          </cell>
          <cell r="P884">
            <v>3</v>
          </cell>
          <cell r="Q884">
            <v>16</v>
          </cell>
          <cell r="R884" t="str">
            <v>None</v>
          </cell>
          <cell r="S884" t="str">
            <v>Ofsted</v>
          </cell>
          <cell r="T884" t="str">
            <v>NULL</v>
          </cell>
          <cell r="U884" t="str">
            <v>NULL</v>
          </cell>
          <cell r="V884" t="str">
            <v>NULL</v>
          </cell>
          <cell r="W884" t="str">
            <v>NULL</v>
          </cell>
          <cell r="X884" t="str">
            <v>NULL</v>
          </cell>
          <cell r="Y884" t="str">
            <v>NULL</v>
          </cell>
          <cell r="Z884" t="str">
            <v>NULL</v>
          </cell>
          <cell r="AA884">
            <v>10007702</v>
          </cell>
          <cell r="AB884" t="str">
            <v>Independent School standard inspection</v>
          </cell>
          <cell r="AC884" t="str">
            <v>Independent Standard Inspection</v>
          </cell>
          <cell r="AD884">
            <v>42451</v>
          </cell>
          <cell r="AE884">
            <v>42453</v>
          </cell>
          <cell r="AF884">
            <v>42502</v>
          </cell>
          <cell r="AG884">
            <v>2</v>
          </cell>
          <cell r="AH884">
            <v>2</v>
          </cell>
          <cell r="AI884">
            <v>2</v>
          </cell>
          <cell r="AJ884">
            <v>2</v>
          </cell>
          <cell r="AK884">
            <v>2</v>
          </cell>
          <cell r="AL884">
            <v>1</v>
          </cell>
          <cell r="AM884" t="str">
            <v>NULL</v>
          </cell>
          <cell r="AN884" t="str">
            <v>Yes</v>
          </cell>
          <cell r="AO884" t="str">
            <v>ITS422766</v>
          </cell>
          <cell r="AP884" t="str">
            <v>Independent School standard inspection</v>
          </cell>
          <cell r="AQ884" t="str">
            <v>Independent Standard Inspection</v>
          </cell>
          <cell r="AR884">
            <v>41695</v>
          </cell>
          <cell r="AS884">
            <v>41697</v>
          </cell>
          <cell r="AT884">
            <v>41717</v>
          </cell>
          <cell r="AU884">
            <v>2</v>
          </cell>
          <cell r="AV884">
            <v>2</v>
          </cell>
          <cell r="AW884">
            <v>2</v>
          </cell>
          <cell r="AX884">
            <v>2</v>
          </cell>
          <cell r="AY884" t="str">
            <v>NULL</v>
          </cell>
          <cell r="AZ884" t="str">
            <v>NULL</v>
          </cell>
          <cell r="BA884" t="str">
            <v>NULL</v>
          </cell>
          <cell r="BB884" t="str">
            <v>NULL</v>
          </cell>
        </row>
        <row r="885">
          <cell r="D885">
            <v>136258</v>
          </cell>
          <cell r="E885">
            <v>3916040</v>
          </cell>
          <cell r="F885" t="str">
            <v>Bahr Academy</v>
          </cell>
          <cell r="G885" t="str">
            <v>Other Independent School</v>
          </cell>
          <cell r="H885">
            <v>40500</v>
          </cell>
          <cell r="I885">
            <v>28</v>
          </cell>
          <cell r="J885" t="str">
            <v>North East, Yorkshire and the Humber</v>
          </cell>
          <cell r="K885" t="str">
            <v>North East</v>
          </cell>
          <cell r="L885" t="str">
            <v>Newcastle upon Tyne</v>
          </cell>
          <cell r="M885" t="str">
            <v>Newcastle upon Tyne Central</v>
          </cell>
          <cell r="N885" t="str">
            <v>NE4 6PR</v>
          </cell>
          <cell r="O885" t="str">
            <v>Does not have a sixth form</v>
          </cell>
          <cell r="P885">
            <v>11</v>
          </cell>
          <cell r="Q885">
            <v>16</v>
          </cell>
          <cell r="R885" t="str">
            <v>Sunni Deobandi</v>
          </cell>
          <cell r="S885" t="str">
            <v>Ofsted</v>
          </cell>
          <cell r="T885" t="str">
            <v>NULL</v>
          </cell>
          <cell r="U885" t="str">
            <v>NULL</v>
          </cell>
          <cell r="V885" t="str">
            <v>NULL</v>
          </cell>
          <cell r="W885" t="str">
            <v>NULL</v>
          </cell>
          <cell r="X885" t="str">
            <v>NULL</v>
          </cell>
          <cell r="Y885" t="str">
            <v>NULL</v>
          </cell>
          <cell r="Z885" t="str">
            <v>NULL</v>
          </cell>
          <cell r="AA885">
            <v>10025962</v>
          </cell>
          <cell r="AB885" t="str">
            <v>Independent School standard inspection</v>
          </cell>
          <cell r="AC885" t="str">
            <v>Independent Standard Inspection</v>
          </cell>
          <cell r="AD885">
            <v>42808</v>
          </cell>
          <cell r="AE885">
            <v>42810</v>
          </cell>
          <cell r="AF885">
            <v>42828</v>
          </cell>
          <cell r="AG885">
            <v>2</v>
          </cell>
          <cell r="AH885">
            <v>2</v>
          </cell>
          <cell r="AI885">
            <v>2</v>
          </cell>
          <cell r="AJ885">
            <v>2</v>
          </cell>
          <cell r="AK885">
            <v>1</v>
          </cell>
          <cell r="AL885" t="str">
            <v>NULL</v>
          </cell>
          <cell r="AM885" t="str">
            <v>NULL</v>
          </cell>
          <cell r="AN885" t="str">
            <v>Yes</v>
          </cell>
          <cell r="AO885" t="str">
            <v>ITS454296</v>
          </cell>
          <cell r="AP885" t="str">
            <v>Independent School standard inspection</v>
          </cell>
          <cell r="AQ885" t="str">
            <v>Independent Standard Inspection</v>
          </cell>
          <cell r="AR885">
            <v>42017</v>
          </cell>
          <cell r="AS885">
            <v>42019</v>
          </cell>
          <cell r="AT885">
            <v>42053</v>
          </cell>
          <cell r="AU885">
            <v>3</v>
          </cell>
          <cell r="AV885">
            <v>3</v>
          </cell>
          <cell r="AW885">
            <v>3</v>
          </cell>
          <cell r="AX885">
            <v>3</v>
          </cell>
          <cell r="AY885" t="str">
            <v>NULL</v>
          </cell>
          <cell r="AZ885">
            <v>9</v>
          </cell>
          <cell r="BA885">
            <v>9</v>
          </cell>
          <cell r="BB885" t="str">
            <v>NULL</v>
          </cell>
        </row>
        <row r="886">
          <cell r="D886">
            <v>101948</v>
          </cell>
          <cell r="E886">
            <v>3076050</v>
          </cell>
          <cell r="F886" t="str">
            <v>Barbara Speake Stage School</v>
          </cell>
          <cell r="G886" t="str">
            <v>Other Independent School</v>
          </cell>
          <cell r="H886">
            <v>23405</v>
          </cell>
          <cell r="I886">
            <v>70</v>
          </cell>
          <cell r="J886" t="str">
            <v>London</v>
          </cell>
          <cell r="K886" t="str">
            <v>London</v>
          </cell>
          <cell r="L886" t="str">
            <v>Ealing</v>
          </cell>
          <cell r="M886" t="str">
            <v>Ealing Central and Acton</v>
          </cell>
          <cell r="N886" t="str">
            <v>W3 7EG</v>
          </cell>
          <cell r="O886" t="str">
            <v>Does not have a sixth form</v>
          </cell>
          <cell r="P886">
            <v>4</v>
          </cell>
          <cell r="Q886">
            <v>16</v>
          </cell>
          <cell r="R886" t="str">
            <v>None</v>
          </cell>
          <cell r="S886" t="str">
            <v>Ofsted</v>
          </cell>
          <cell r="T886" t="str">
            <v>NULL</v>
          </cell>
          <cell r="U886" t="str">
            <v>NULL</v>
          </cell>
          <cell r="V886" t="str">
            <v>NULL</v>
          </cell>
          <cell r="W886" t="str">
            <v>NULL</v>
          </cell>
          <cell r="X886" t="str">
            <v>NULL</v>
          </cell>
          <cell r="Y886" t="str">
            <v>NULL</v>
          </cell>
          <cell r="Z886" t="str">
            <v>NULL</v>
          </cell>
          <cell r="AA886">
            <v>10012825</v>
          </cell>
          <cell r="AB886" t="str">
            <v>Independent School standard inspection</v>
          </cell>
          <cell r="AC886" t="str">
            <v>Independent Standard Inspection</v>
          </cell>
          <cell r="AD886">
            <v>43046</v>
          </cell>
          <cell r="AE886">
            <v>43048</v>
          </cell>
          <cell r="AF886">
            <v>43076</v>
          </cell>
          <cell r="AG886">
            <v>3</v>
          </cell>
          <cell r="AH886">
            <v>3</v>
          </cell>
          <cell r="AI886">
            <v>3</v>
          </cell>
          <cell r="AJ886">
            <v>3</v>
          </cell>
          <cell r="AK886">
            <v>3</v>
          </cell>
          <cell r="AL886" t="str">
            <v>NULL</v>
          </cell>
          <cell r="AM886" t="str">
            <v>NULL</v>
          </cell>
          <cell r="AN886" t="str">
            <v>Yes</v>
          </cell>
          <cell r="AO886" t="str">
            <v>ITS421125</v>
          </cell>
          <cell r="AP886" t="str">
            <v>Independent School standard inspection</v>
          </cell>
          <cell r="AQ886" t="str">
            <v>Independent Standard Inspection</v>
          </cell>
          <cell r="AR886">
            <v>41450</v>
          </cell>
          <cell r="AS886">
            <v>41452</v>
          </cell>
          <cell r="AT886">
            <v>41472</v>
          </cell>
          <cell r="AU886">
            <v>3</v>
          </cell>
          <cell r="AV886">
            <v>3</v>
          </cell>
          <cell r="AW886">
            <v>3</v>
          </cell>
          <cell r="AX886">
            <v>3</v>
          </cell>
          <cell r="AY886" t="str">
            <v>NULL</v>
          </cell>
          <cell r="AZ886" t="str">
            <v>NULL</v>
          </cell>
          <cell r="BA886" t="str">
            <v>NULL</v>
          </cell>
          <cell r="BB886" t="str">
            <v>NULL</v>
          </cell>
        </row>
        <row r="887">
          <cell r="D887">
            <v>103591</v>
          </cell>
          <cell r="E887">
            <v>3306083</v>
          </cell>
          <cell r="F887" t="str">
            <v>Birchfield Independent Girls' School</v>
          </cell>
          <cell r="G887" t="str">
            <v>Other Independent School</v>
          </cell>
          <cell r="H887">
            <v>33177</v>
          </cell>
          <cell r="I887">
            <v>117</v>
          </cell>
          <cell r="J887" t="str">
            <v>West Midlands</v>
          </cell>
          <cell r="K887" t="str">
            <v>West Midlands</v>
          </cell>
          <cell r="L887" t="str">
            <v>Birmingham</v>
          </cell>
          <cell r="M887" t="str">
            <v>Birmingham, Ladywood</v>
          </cell>
          <cell r="N887" t="str">
            <v>B6 6JU</v>
          </cell>
          <cell r="O887" t="str">
            <v>Has a sixth form</v>
          </cell>
          <cell r="P887">
            <v>11</v>
          </cell>
          <cell r="Q887">
            <v>17</v>
          </cell>
          <cell r="R887" t="str">
            <v>None</v>
          </cell>
          <cell r="S887" t="str">
            <v>Ofsted</v>
          </cell>
          <cell r="T887">
            <v>3</v>
          </cell>
          <cell r="U887">
            <v>10009742</v>
          </cell>
          <cell r="V887" t="str">
            <v>Independent school evaluation of school action plan</v>
          </cell>
          <cell r="W887">
            <v>42324</v>
          </cell>
          <cell r="X887">
            <v>42324</v>
          </cell>
          <cell r="Y887" t="str">
            <v>NULL</v>
          </cell>
          <cell r="Z887" t="str">
            <v>Action plan is acceptable</v>
          </cell>
          <cell r="AA887" t="str">
            <v>NULL</v>
          </cell>
          <cell r="AB887" t="str">
            <v>NULL</v>
          </cell>
          <cell r="AC887" t="str">
            <v>NULL</v>
          </cell>
          <cell r="AD887" t="str">
            <v>NULL</v>
          </cell>
          <cell r="AE887" t="str">
            <v>NULL</v>
          </cell>
          <cell r="AF887" t="str">
            <v>NULL</v>
          </cell>
          <cell r="AG887" t="str">
            <v>NULL</v>
          </cell>
          <cell r="AH887" t="str">
            <v>NULL</v>
          </cell>
          <cell r="AI887" t="str">
            <v>NULL</v>
          </cell>
          <cell r="AJ887" t="str">
            <v>NULL</v>
          </cell>
          <cell r="AK887" t="str">
            <v>NULL</v>
          </cell>
          <cell r="AL887" t="str">
            <v>NULL</v>
          </cell>
          <cell r="AM887" t="str">
            <v>NULL</v>
          </cell>
          <cell r="AN887" t="str">
            <v>NULL</v>
          </cell>
          <cell r="AO887" t="str">
            <v>NULL</v>
          </cell>
          <cell r="AP887" t="str">
            <v>NULL</v>
          </cell>
          <cell r="AQ887" t="str">
            <v>NULL</v>
          </cell>
          <cell r="AR887" t="str">
            <v>NULL</v>
          </cell>
          <cell r="AS887" t="str">
            <v>NULL</v>
          </cell>
          <cell r="AT887" t="str">
            <v>NULL</v>
          </cell>
          <cell r="AU887" t="str">
            <v>NULL</v>
          </cell>
          <cell r="AV887" t="str">
            <v>NULL</v>
          </cell>
          <cell r="AW887" t="str">
            <v>NULL</v>
          </cell>
          <cell r="AX887" t="str">
            <v>NULL</v>
          </cell>
          <cell r="AY887" t="str">
            <v>NULL</v>
          </cell>
          <cell r="AZ887" t="str">
            <v>NULL</v>
          </cell>
          <cell r="BA887" t="str">
            <v>NULL</v>
          </cell>
          <cell r="BB887" t="str">
            <v>NULL</v>
          </cell>
        </row>
        <row r="888">
          <cell r="D888">
            <v>133521</v>
          </cell>
          <cell r="E888">
            <v>3306102</v>
          </cell>
          <cell r="F888" t="str">
            <v>Birmingham Muslim School</v>
          </cell>
          <cell r="G888" t="str">
            <v>Other Independent School</v>
          </cell>
          <cell r="H888">
            <v>37209</v>
          </cell>
          <cell r="I888">
            <v>95</v>
          </cell>
          <cell r="J888" t="str">
            <v>West Midlands</v>
          </cell>
          <cell r="K888" t="str">
            <v>West Midlands</v>
          </cell>
          <cell r="L888" t="str">
            <v>Birmingham</v>
          </cell>
          <cell r="M888" t="str">
            <v>Birmingham, Yardley</v>
          </cell>
          <cell r="N888" t="str">
            <v>B11 2PZ</v>
          </cell>
          <cell r="O888" t="str">
            <v>Does not have a sixth form</v>
          </cell>
          <cell r="P888">
            <v>4</v>
          </cell>
          <cell r="Q888">
            <v>11</v>
          </cell>
          <cell r="R888" t="str">
            <v>None</v>
          </cell>
          <cell r="S888" t="str">
            <v>Ofsted</v>
          </cell>
          <cell r="T888">
            <v>1</v>
          </cell>
          <cell r="U888">
            <v>10048544</v>
          </cell>
          <cell r="V888" t="str">
            <v>Independent school evaluation of school action plan</v>
          </cell>
          <cell r="W888">
            <v>43145</v>
          </cell>
          <cell r="X888">
            <v>43145</v>
          </cell>
          <cell r="Y888" t="str">
            <v>NULL</v>
          </cell>
          <cell r="Z888" t="str">
            <v>Action plan is not acceptable</v>
          </cell>
          <cell r="AA888">
            <v>10040956</v>
          </cell>
          <cell r="AB888" t="str">
            <v>Independent School standard inspection</v>
          </cell>
          <cell r="AC888" t="str">
            <v>Independent Standard Inspection</v>
          </cell>
          <cell r="AD888">
            <v>43025</v>
          </cell>
          <cell r="AE888">
            <v>43027</v>
          </cell>
          <cell r="AF888">
            <v>43062</v>
          </cell>
          <cell r="AG888">
            <v>4</v>
          </cell>
          <cell r="AH888">
            <v>3</v>
          </cell>
          <cell r="AI888">
            <v>3</v>
          </cell>
          <cell r="AJ888">
            <v>4</v>
          </cell>
          <cell r="AK888">
            <v>2</v>
          </cell>
          <cell r="AL888">
            <v>2</v>
          </cell>
          <cell r="AM888" t="str">
            <v>NULL</v>
          </cell>
          <cell r="AN888" t="str">
            <v>Yes</v>
          </cell>
          <cell r="AO888">
            <v>10007704</v>
          </cell>
          <cell r="AP888" t="str">
            <v>Independent School standard inspection</v>
          </cell>
          <cell r="AQ888" t="str">
            <v>Independent Standard Inspection</v>
          </cell>
          <cell r="AR888">
            <v>42528</v>
          </cell>
          <cell r="AS888">
            <v>42530</v>
          </cell>
          <cell r="AT888">
            <v>42558</v>
          </cell>
          <cell r="AU888">
            <v>3</v>
          </cell>
          <cell r="AV888">
            <v>3</v>
          </cell>
          <cell r="AW888">
            <v>3</v>
          </cell>
          <cell r="AX888">
            <v>3</v>
          </cell>
          <cell r="AY888">
            <v>2</v>
          </cell>
          <cell r="AZ888">
            <v>2</v>
          </cell>
          <cell r="BA888" t="str">
            <v>NULL</v>
          </cell>
          <cell r="BB888" t="str">
            <v>Yes</v>
          </cell>
        </row>
        <row r="889">
          <cell r="D889">
            <v>136211</v>
          </cell>
          <cell r="E889">
            <v>8866136</v>
          </cell>
          <cell r="F889" t="str">
            <v>Birtley House Independent School</v>
          </cell>
          <cell r="G889" t="str">
            <v>Other Independent School</v>
          </cell>
          <cell r="H889">
            <v>40414</v>
          </cell>
          <cell r="I889">
            <v>29</v>
          </cell>
          <cell r="J889" t="str">
            <v>South East</v>
          </cell>
          <cell r="K889" t="str">
            <v>South East</v>
          </cell>
          <cell r="L889" t="str">
            <v>Kent</v>
          </cell>
          <cell r="M889" t="str">
            <v>Sevenoaks</v>
          </cell>
          <cell r="N889" t="str">
            <v>TN15 6AY</v>
          </cell>
          <cell r="O889" t="str">
            <v>Does not have a sixth form</v>
          </cell>
          <cell r="P889">
            <v>5</v>
          </cell>
          <cell r="Q889">
            <v>11</v>
          </cell>
          <cell r="R889" t="str">
            <v>None</v>
          </cell>
          <cell r="S889" t="str">
            <v>Ofsted</v>
          </cell>
          <cell r="T889" t="str">
            <v>NULL</v>
          </cell>
          <cell r="U889" t="str">
            <v>NULL</v>
          </cell>
          <cell r="V889" t="str">
            <v>NULL</v>
          </cell>
          <cell r="W889" t="str">
            <v>NULL</v>
          </cell>
          <cell r="X889" t="str">
            <v>NULL</v>
          </cell>
          <cell r="Y889" t="str">
            <v>NULL</v>
          </cell>
          <cell r="Z889" t="str">
            <v>NULL</v>
          </cell>
          <cell r="AA889" t="str">
            <v>ITS443150</v>
          </cell>
          <cell r="AB889" t="str">
            <v>Independent School standard inspection</v>
          </cell>
          <cell r="AC889" t="str">
            <v>Independent Standard Inspection</v>
          </cell>
          <cell r="AD889">
            <v>41723</v>
          </cell>
          <cell r="AE889">
            <v>41725</v>
          </cell>
          <cell r="AF889">
            <v>41754</v>
          </cell>
          <cell r="AG889">
            <v>1</v>
          </cell>
          <cell r="AH889">
            <v>1</v>
          </cell>
          <cell r="AI889">
            <v>1</v>
          </cell>
          <cell r="AJ889">
            <v>1</v>
          </cell>
          <cell r="AK889" t="str">
            <v>NULL</v>
          </cell>
          <cell r="AL889" t="str">
            <v>NULL</v>
          </cell>
          <cell r="AM889" t="str">
            <v>NULL</v>
          </cell>
          <cell r="AN889" t="str">
            <v>NULL</v>
          </cell>
          <cell r="AO889" t="str">
            <v>ITS366887</v>
          </cell>
          <cell r="AP889" t="str">
            <v>Independent School standard inspection</v>
          </cell>
          <cell r="AQ889" t="str">
            <v>Independent Standard Inspection</v>
          </cell>
          <cell r="AR889">
            <v>40681</v>
          </cell>
          <cell r="AS889">
            <v>40682</v>
          </cell>
          <cell r="AT889">
            <v>40722</v>
          </cell>
          <cell r="AU889">
            <v>2</v>
          </cell>
          <cell r="AV889">
            <v>2</v>
          </cell>
          <cell r="AW889">
            <v>2</v>
          </cell>
          <cell r="AX889" t="str">
            <v>NULL</v>
          </cell>
          <cell r="AY889" t="str">
            <v>NULL</v>
          </cell>
          <cell r="AZ889">
            <v>8</v>
          </cell>
          <cell r="BA889" t="str">
            <v>NULL</v>
          </cell>
          <cell r="BB889" t="str">
            <v>NULL</v>
          </cell>
        </row>
        <row r="890">
          <cell r="D890">
            <v>137571</v>
          </cell>
          <cell r="E890">
            <v>3326007</v>
          </cell>
          <cell r="F890" t="str">
            <v>Black Country Wheels School</v>
          </cell>
          <cell r="G890" t="str">
            <v>Other Independent School</v>
          </cell>
          <cell r="H890">
            <v>40828</v>
          </cell>
          <cell r="I890">
            <v>22</v>
          </cell>
          <cell r="J890" t="str">
            <v>West Midlands</v>
          </cell>
          <cell r="K890" t="str">
            <v>West Midlands</v>
          </cell>
          <cell r="L890" t="str">
            <v>Dudley</v>
          </cell>
          <cell r="M890" t="str">
            <v>Stourbridge</v>
          </cell>
          <cell r="N890" t="str">
            <v>DY9 7ND</v>
          </cell>
          <cell r="O890" t="str">
            <v>Does not have a sixth form</v>
          </cell>
          <cell r="P890">
            <v>14</v>
          </cell>
          <cell r="Q890">
            <v>16</v>
          </cell>
          <cell r="R890" t="str">
            <v>None</v>
          </cell>
          <cell r="S890" t="str">
            <v>Ofsted</v>
          </cell>
          <cell r="T890" t="str">
            <v>NULL</v>
          </cell>
          <cell r="U890" t="str">
            <v>NULL</v>
          </cell>
          <cell r="V890" t="str">
            <v>NULL</v>
          </cell>
          <cell r="W890" t="str">
            <v>NULL</v>
          </cell>
          <cell r="X890" t="str">
            <v>NULL</v>
          </cell>
          <cell r="Y890" t="str">
            <v>NULL</v>
          </cell>
          <cell r="Z890" t="str">
            <v>NULL</v>
          </cell>
          <cell r="AA890">
            <v>10006094</v>
          </cell>
          <cell r="AB890" t="str">
            <v>Independent School standard inspection</v>
          </cell>
          <cell r="AC890" t="str">
            <v>Independent Standard Inspection</v>
          </cell>
          <cell r="AD890">
            <v>43046</v>
          </cell>
          <cell r="AE890">
            <v>43048</v>
          </cell>
          <cell r="AF890">
            <v>43069</v>
          </cell>
          <cell r="AG890">
            <v>2</v>
          </cell>
          <cell r="AH890">
            <v>1</v>
          </cell>
          <cell r="AI890">
            <v>2</v>
          </cell>
          <cell r="AJ890">
            <v>2</v>
          </cell>
          <cell r="AK890">
            <v>2</v>
          </cell>
          <cell r="AL890" t="str">
            <v>NULL</v>
          </cell>
          <cell r="AM890" t="str">
            <v>NULL</v>
          </cell>
          <cell r="AN890" t="str">
            <v>Yes</v>
          </cell>
          <cell r="AO890" t="str">
            <v>ITS397688</v>
          </cell>
          <cell r="AP890" t="str">
            <v>Independent school standard inspection - first</v>
          </cell>
          <cell r="AQ890" t="str">
            <v>Independent Standard Inspection</v>
          </cell>
          <cell r="AR890">
            <v>41184</v>
          </cell>
          <cell r="AS890">
            <v>41185</v>
          </cell>
          <cell r="AT890">
            <v>41214</v>
          </cell>
          <cell r="AU890">
            <v>3</v>
          </cell>
          <cell r="AV890">
            <v>3</v>
          </cell>
          <cell r="AW890">
            <v>3</v>
          </cell>
          <cell r="AX890" t="str">
            <v>NULL</v>
          </cell>
          <cell r="AY890" t="str">
            <v>NULL</v>
          </cell>
          <cell r="AZ890">
            <v>8</v>
          </cell>
          <cell r="BA890" t="str">
            <v>NULL</v>
          </cell>
          <cell r="BB890" t="str">
            <v>NULL</v>
          </cell>
        </row>
        <row r="891">
          <cell r="D891">
            <v>131059</v>
          </cell>
          <cell r="E891">
            <v>3046076</v>
          </cell>
          <cell r="F891" t="str">
            <v>Brondesbury College London</v>
          </cell>
          <cell r="G891" t="str">
            <v>Other Independent School</v>
          </cell>
          <cell r="H891">
            <v>35340</v>
          </cell>
          <cell r="I891">
            <v>122</v>
          </cell>
          <cell r="J891" t="str">
            <v>London</v>
          </cell>
          <cell r="K891" t="str">
            <v>London</v>
          </cell>
          <cell r="L891" t="str">
            <v>Brent</v>
          </cell>
          <cell r="M891" t="str">
            <v>Hampstead and Kilburn</v>
          </cell>
          <cell r="N891" t="str">
            <v>NW6 7BT</v>
          </cell>
          <cell r="O891" t="str">
            <v>Does not have a sixth form</v>
          </cell>
          <cell r="P891">
            <v>11</v>
          </cell>
          <cell r="Q891">
            <v>16</v>
          </cell>
          <cell r="R891" t="str">
            <v>Islam</v>
          </cell>
          <cell r="S891" t="str">
            <v>Ofsted</v>
          </cell>
          <cell r="T891" t="str">
            <v>NULL</v>
          </cell>
          <cell r="U891" t="str">
            <v>NULL</v>
          </cell>
          <cell r="V891" t="str">
            <v>NULL</v>
          </cell>
          <cell r="W891" t="str">
            <v>NULL</v>
          </cell>
          <cell r="X891" t="str">
            <v>NULL</v>
          </cell>
          <cell r="Y891" t="str">
            <v>NULL</v>
          </cell>
          <cell r="Z891" t="str">
            <v>NULL</v>
          </cell>
          <cell r="AA891" t="str">
            <v>ITS409639</v>
          </cell>
          <cell r="AB891" t="str">
            <v>Independent School standard inspection</v>
          </cell>
          <cell r="AC891" t="str">
            <v>Independent Standard Inspection</v>
          </cell>
          <cell r="AD891">
            <v>41248</v>
          </cell>
          <cell r="AE891">
            <v>41249</v>
          </cell>
          <cell r="AF891">
            <v>41281</v>
          </cell>
          <cell r="AG891">
            <v>2</v>
          </cell>
          <cell r="AH891">
            <v>2</v>
          </cell>
          <cell r="AI891">
            <v>2</v>
          </cell>
          <cell r="AJ891" t="str">
            <v>NULL</v>
          </cell>
          <cell r="AK891" t="str">
            <v>NULL</v>
          </cell>
          <cell r="AL891">
            <v>8</v>
          </cell>
          <cell r="AM891" t="str">
            <v>NULL</v>
          </cell>
          <cell r="AN891" t="str">
            <v>NULL</v>
          </cell>
          <cell r="AO891" t="str">
            <v>ITS334906</v>
          </cell>
          <cell r="AP891" t="str">
            <v>Independent School standard inspection</v>
          </cell>
          <cell r="AQ891" t="str">
            <v>Independent Standard Inspection</v>
          </cell>
          <cell r="AR891">
            <v>39940</v>
          </cell>
          <cell r="AS891">
            <v>39941</v>
          </cell>
          <cell r="AT891">
            <v>39968</v>
          </cell>
          <cell r="AU891">
            <v>2</v>
          </cell>
          <cell r="AV891">
            <v>2</v>
          </cell>
          <cell r="AW891">
            <v>2</v>
          </cell>
          <cell r="AX891" t="str">
            <v>NULL</v>
          </cell>
          <cell r="AY891" t="str">
            <v>NULL</v>
          </cell>
          <cell r="AZ891">
            <v>0</v>
          </cell>
          <cell r="BA891" t="str">
            <v>NULL</v>
          </cell>
          <cell r="BB891" t="str">
            <v>NULL</v>
          </cell>
        </row>
        <row r="892">
          <cell r="D892">
            <v>118977</v>
          </cell>
          <cell r="E892">
            <v>8866035</v>
          </cell>
          <cell r="F892" t="str">
            <v>Chartfield School</v>
          </cell>
          <cell r="G892" t="str">
            <v>Other Independent School</v>
          </cell>
          <cell r="H892">
            <v>21101</v>
          </cell>
          <cell r="I892">
            <v>71</v>
          </cell>
          <cell r="J892" t="str">
            <v>South East</v>
          </cell>
          <cell r="K892" t="str">
            <v>South East</v>
          </cell>
          <cell r="L892" t="str">
            <v>Kent</v>
          </cell>
          <cell r="M892" t="str">
            <v>North Thanet</v>
          </cell>
          <cell r="N892" t="str">
            <v>CT8 8DA</v>
          </cell>
          <cell r="O892" t="str">
            <v>Does not have a sixth form</v>
          </cell>
          <cell r="P892">
            <v>3</v>
          </cell>
          <cell r="Q892">
            <v>11</v>
          </cell>
          <cell r="R892" t="str">
            <v>None</v>
          </cell>
          <cell r="S892" t="str">
            <v>Ofsted</v>
          </cell>
          <cell r="T892" t="str">
            <v>NULL</v>
          </cell>
          <cell r="U892" t="str">
            <v>NULL</v>
          </cell>
          <cell r="V892" t="str">
            <v>NULL</v>
          </cell>
          <cell r="W892" t="str">
            <v>NULL</v>
          </cell>
          <cell r="X892" t="str">
            <v>NULL</v>
          </cell>
          <cell r="Y892" t="str">
            <v>NULL</v>
          </cell>
          <cell r="Z892" t="str">
            <v>NULL</v>
          </cell>
          <cell r="AA892" t="str">
            <v>ITS440227</v>
          </cell>
          <cell r="AB892" t="str">
            <v>Independent School standard inspection</v>
          </cell>
          <cell r="AC892" t="str">
            <v>Independent Standard Inspection</v>
          </cell>
          <cell r="AD892">
            <v>41717</v>
          </cell>
          <cell r="AE892">
            <v>41719</v>
          </cell>
          <cell r="AF892">
            <v>41754</v>
          </cell>
          <cell r="AG892">
            <v>2</v>
          </cell>
          <cell r="AH892">
            <v>2</v>
          </cell>
          <cell r="AI892">
            <v>2</v>
          </cell>
          <cell r="AJ892">
            <v>2</v>
          </cell>
          <cell r="AK892" t="str">
            <v>NULL</v>
          </cell>
          <cell r="AL892" t="str">
            <v>NULL</v>
          </cell>
          <cell r="AM892" t="str">
            <v>NULL</v>
          </cell>
          <cell r="AN892" t="str">
            <v>NULL</v>
          </cell>
          <cell r="AO892" t="str">
            <v>ITS361348</v>
          </cell>
          <cell r="AP892" t="str">
            <v>Independent School standard inspection</v>
          </cell>
          <cell r="AQ892" t="str">
            <v>Independent Standard Inspection</v>
          </cell>
          <cell r="AR892">
            <v>40611</v>
          </cell>
          <cell r="AS892">
            <v>40612</v>
          </cell>
          <cell r="AT892">
            <v>40634</v>
          </cell>
          <cell r="AU892">
            <v>3</v>
          </cell>
          <cell r="AV892">
            <v>3</v>
          </cell>
          <cell r="AW892">
            <v>3</v>
          </cell>
          <cell r="AX892" t="str">
            <v>NULL</v>
          </cell>
          <cell r="AY892" t="str">
            <v>NULL</v>
          </cell>
          <cell r="AZ892">
            <v>3</v>
          </cell>
          <cell r="BA892" t="str">
            <v>NULL</v>
          </cell>
          <cell r="BB892" t="str">
            <v>NULL</v>
          </cell>
        </row>
        <row r="893">
          <cell r="D893">
            <v>140273</v>
          </cell>
          <cell r="E893">
            <v>3356002</v>
          </cell>
          <cell r="F893" t="str">
            <v>Chase House School</v>
          </cell>
          <cell r="G893" t="str">
            <v>Other Independent Special School</v>
          </cell>
          <cell r="H893">
            <v>41575</v>
          </cell>
          <cell r="I893">
            <v>5</v>
          </cell>
          <cell r="J893" t="str">
            <v>West Midlands</v>
          </cell>
          <cell r="K893" t="str">
            <v>West Midlands</v>
          </cell>
          <cell r="L893" t="str">
            <v>Walsall</v>
          </cell>
          <cell r="M893" t="str">
            <v>Hammersmith</v>
          </cell>
          <cell r="N893" t="str">
            <v>W6 9RU</v>
          </cell>
          <cell r="O893" t="str">
            <v>Does not have a sixth form</v>
          </cell>
          <cell r="P893">
            <v>7</v>
          </cell>
          <cell r="Q893">
            <v>16</v>
          </cell>
          <cell r="R893" t="str">
            <v>None</v>
          </cell>
          <cell r="S893" t="str">
            <v>Ofsted</v>
          </cell>
          <cell r="T893" t="str">
            <v>NULL</v>
          </cell>
          <cell r="U893" t="str">
            <v>NULL</v>
          </cell>
          <cell r="V893" t="str">
            <v>NULL</v>
          </cell>
          <cell r="W893" t="str">
            <v>NULL</v>
          </cell>
          <cell r="X893" t="str">
            <v>NULL</v>
          </cell>
          <cell r="Y893" t="str">
            <v>NULL</v>
          </cell>
          <cell r="Z893" t="str">
            <v>NULL</v>
          </cell>
          <cell r="AA893">
            <v>10026238</v>
          </cell>
          <cell r="AB893" t="str">
            <v>Independent school standard inspection - aligned with CH</v>
          </cell>
          <cell r="AC893" t="str">
            <v>Independent Standard Inspection</v>
          </cell>
          <cell r="AD893">
            <v>43046</v>
          </cell>
          <cell r="AE893">
            <v>43048</v>
          </cell>
          <cell r="AF893">
            <v>43090</v>
          </cell>
          <cell r="AG893">
            <v>2</v>
          </cell>
          <cell r="AH893">
            <v>2</v>
          </cell>
          <cell r="AI893">
            <v>2</v>
          </cell>
          <cell r="AJ893">
            <v>2</v>
          </cell>
          <cell r="AK893">
            <v>2</v>
          </cell>
          <cell r="AL893" t="str">
            <v>NULL</v>
          </cell>
          <cell r="AM893" t="str">
            <v>NULL</v>
          </cell>
          <cell r="AN893" t="str">
            <v>Yes</v>
          </cell>
          <cell r="AO893" t="str">
            <v>ITS456413</v>
          </cell>
          <cell r="AP893" t="str">
            <v>Independent School standard inspection</v>
          </cell>
          <cell r="AQ893" t="str">
            <v>Independent Standard Inspection</v>
          </cell>
          <cell r="AR893">
            <v>42073</v>
          </cell>
          <cell r="AS893">
            <v>42075</v>
          </cell>
          <cell r="AT893">
            <v>42116</v>
          </cell>
          <cell r="AU893">
            <v>2</v>
          </cell>
          <cell r="AV893">
            <v>2</v>
          </cell>
          <cell r="AW893">
            <v>2</v>
          </cell>
          <cell r="AX893">
            <v>2</v>
          </cell>
          <cell r="AY893" t="str">
            <v>NULL</v>
          </cell>
          <cell r="AZ893">
            <v>9</v>
          </cell>
          <cell r="BA893">
            <v>9</v>
          </cell>
          <cell r="BB893" t="str">
            <v>NULL</v>
          </cell>
        </row>
        <row r="894">
          <cell r="D894">
            <v>136057</v>
          </cell>
          <cell r="E894">
            <v>2076005</v>
          </cell>
          <cell r="F894" t="str">
            <v>Chepstow House School</v>
          </cell>
          <cell r="G894" t="str">
            <v>Other Independent School</v>
          </cell>
          <cell r="H894">
            <v>40199</v>
          </cell>
          <cell r="I894">
            <v>331</v>
          </cell>
          <cell r="J894" t="str">
            <v>London</v>
          </cell>
          <cell r="K894" t="str">
            <v>London</v>
          </cell>
          <cell r="L894" t="str">
            <v>Kensington and Chelsea</v>
          </cell>
          <cell r="M894" t="str">
            <v>Kensington</v>
          </cell>
          <cell r="N894" t="str">
            <v>W11 1QS</v>
          </cell>
          <cell r="O894" t="str">
            <v>Does not have a sixth form</v>
          </cell>
          <cell r="P894">
            <v>2</v>
          </cell>
          <cell r="Q894">
            <v>11</v>
          </cell>
          <cell r="R894" t="str">
            <v>None</v>
          </cell>
          <cell r="S894" t="str">
            <v>Ofsted</v>
          </cell>
          <cell r="T894" t="str">
            <v>NULL</v>
          </cell>
          <cell r="U894" t="str">
            <v>NULL</v>
          </cell>
          <cell r="V894" t="str">
            <v>NULL</v>
          </cell>
          <cell r="W894" t="str">
            <v>NULL</v>
          </cell>
          <cell r="X894" t="str">
            <v>NULL</v>
          </cell>
          <cell r="Y894" t="str">
            <v>NULL</v>
          </cell>
          <cell r="Z894" t="str">
            <v>NULL</v>
          </cell>
          <cell r="AA894">
            <v>10038172</v>
          </cell>
          <cell r="AB894" t="str">
            <v>Independent School standard inspection</v>
          </cell>
          <cell r="AC894" t="str">
            <v>Independent Standard Inspection</v>
          </cell>
          <cell r="AD894">
            <v>43109</v>
          </cell>
          <cell r="AE894">
            <v>43111</v>
          </cell>
          <cell r="AF894">
            <v>43140</v>
          </cell>
          <cell r="AG894">
            <v>1</v>
          </cell>
          <cell r="AH894">
            <v>1</v>
          </cell>
          <cell r="AI894">
            <v>1</v>
          </cell>
          <cell r="AJ894">
            <v>1</v>
          </cell>
          <cell r="AK894">
            <v>1</v>
          </cell>
          <cell r="AL894">
            <v>1</v>
          </cell>
          <cell r="AM894" t="str">
            <v>NULL</v>
          </cell>
          <cell r="AN894" t="str">
            <v>Yes</v>
          </cell>
          <cell r="AO894" t="str">
            <v>ITS447180</v>
          </cell>
          <cell r="AP894" t="str">
            <v>Independent School standard inspection</v>
          </cell>
          <cell r="AQ894" t="str">
            <v>Independent Standard Inspection</v>
          </cell>
          <cell r="AR894">
            <v>41968</v>
          </cell>
          <cell r="AS894">
            <v>41970</v>
          </cell>
          <cell r="AT894">
            <v>42039</v>
          </cell>
          <cell r="AU894">
            <v>1</v>
          </cell>
          <cell r="AV894">
            <v>1</v>
          </cell>
          <cell r="AW894">
            <v>1</v>
          </cell>
          <cell r="AX894">
            <v>1</v>
          </cell>
          <cell r="AY894" t="str">
            <v>NULL</v>
          </cell>
          <cell r="AZ894">
            <v>1</v>
          </cell>
          <cell r="BA894">
            <v>9</v>
          </cell>
          <cell r="BB894" t="str">
            <v>NULL</v>
          </cell>
        </row>
        <row r="895">
          <cell r="D895">
            <v>102547</v>
          </cell>
          <cell r="E895">
            <v>3136051</v>
          </cell>
          <cell r="F895" t="str">
            <v>Chiswick and Bedford Park Preparatory School</v>
          </cell>
          <cell r="G895" t="str">
            <v>Other Independent School</v>
          </cell>
          <cell r="H895">
            <v>21096</v>
          </cell>
          <cell r="I895">
            <v>215</v>
          </cell>
          <cell r="J895" t="str">
            <v>London</v>
          </cell>
          <cell r="K895" t="str">
            <v>London</v>
          </cell>
          <cell r="L895" t="str">
            <v>Hounslow</v>
          </cell>
          <cell r="M895" t="str">
            <v>Brentford and Isleworth</v>
          </cell>
          <cell r="N895" t="str">
            <v>W4 1TX</v>
          </cell>
          <cell r="O895" t="str">
            <v>Does not have a sixth form</v>
          </cell>
          <cell r="P895">
            <v>3</v>
          </cell>
          <cell r="Q895">
            <v>11</v>
          </cell>
          <cell r="R895" t="str">
            <v>None</v>
          </cell>
          <cell r="S895" t="str">
            <v>Ofsted</v>
          </cell>
          <cell r="T895" t="str">
            <v>NULL</v>
          </cell>
          <cell r="U895" t="str">
            <v>NULL</v>
          </cell>
          <cell r="V895" t="str">
            <v>NULL</v>
          </cell>
          <cell r="W895" t="str">
            <v>NULL</v>
          </cell>
          <cell r="X895" t="str">
            <v>NULL</v>
          </cell>
          <cell r="Y895" t="str">
            <v>NULL</v>
          </cell>
          <cell r="Z895" t="str">
            <v>NULL</v>
          </cell>
          <cell r="AA895">
            <v>10012831</v>
          </cell>
          <cell r="AB895" t="str">
            <v>Independent School standard inspection</v>
          </cell>
          <cell r="AC895" t="str">
            <v>Independent Standard Inspection</v>
          </cell>
          <cell r="AD895">
            <v>42997</v>
          </cell>
          <cell r="AE895">
            <v>42999</v>
          </cell>
          <cell r="AF895">
            <v>43025</v>
          </cell>
          <cell r="AG895">
            <v>2</v>
          </cell>
          <cell r="AH895">
            <v>2</v>
          </cell>
          <cell r="AI895">
            <v>2</v>
          </cell>
          <cell r="AJ895">
            <v>2</v>
          </cell>
          <cell r="AK895">
            <v>1</v>
          </cell>
          <cell r="AL895">
            <v>2</v>
          </cell>
          <cell r="AM895" t="str">
            <v>NULL</v>
          </cell>
          <cell r="AN895" t="str">
            <v>Yes</v>
          </cell>
          <cell r="AO895" t="str">
            <v>ITS361322</v>
          </cell>
          <cell r="AP895" t="str">
            <v>Independent School standard inspection</v>
          </cell>
          <cell r="AQ895" t="str">
            <v>Independent Standard Inspection</v>
          </cell>
          <cell r="AR895">
            <v>40708</v>
          </cell>
          <cell r="AS895">
            <v>40709</v>
          </cell>
          <cell r="AT895">
            <v>40731</v>
          </cell>
          <cell r="AU895">
            <v>1</v>
          </cell>
          <cell r="AV895">
            <v>1</v>
          </cell>
          <cell r="AW895">
            <v>1</v>
          </cell>
          <cell r="AX895" t="str">
            <v>NULL</v>
          </cell>
          <cell r="AY895" t="str">
            <v>NULL</v>
          </cell>
          <cell r="AZ895">
            <v>2</v>
          </cell>
          <cell r="BA895" t="str">
            <v>NULL</v>
          </cell>
          <cell r="BB895" t="str">
            <v>NULL</v>
          </cell>
        </row>
        <row r="896">
          <cell r="D896">
            <v>101695</v>
          </cell>
          <cell r="E896">
            <v>3056077</v>
          </cell>
          <cell r="F896" t="str">
            <v>Darul Uloom London</v>
          </cell>
          <cell r="G896" t="str">
            <v>Other Independent School</v>
          </cell>
          <cell r="H896">
            <v>33897</v>
          </cell>
          <cell r="I896">
            <v>139</v>
          </cell>
          <cell r="J896" t="str">
            <v>London</v>
          </cell>
          <cell r="K896" t="str">
            <v>London</v>
          </cell>
          <cell r="L896" t="str">
            <v>Bromley</v>
          </cell>
          <cell r="M896" t="str">
            <v>Bromley and Chislehurst</v>
          </cell>
          <cell r="N896" t="str">
            <v>BR7 6SD</v>
          </cell>
          <cell r="O896" t="str">
            <v>Has a sixth form</v>
          </cell>
          <cell r="P896">
            <v>11</v>
          </cell>
          <cell r="Q896">
            <v>19</v>
          </cell>
          <cell r="R896" t="str">
            <v>None</v>
          </cell>
          <cell r="S896" t="str">
            <v>Ofsted</v>
          </cell>
          <cell r="T896">
            <v>2</v>
          </cell>
          <cell r="U896">
            <v>10043252</v>
          </cell>
          <cell r="V896" t="str">
            <v xml:space="preserve">Independent school progress monitoring inspection - Integrated </v>
          </cell>
          <cell r="W896">
            <v>43138</v>
          </cell>
          <cell r="X896">
            <v>43138</v>
          </cell>
          <cell r="Y896">
            <v>43179</v>
          </cell>
          <cell r="Z896" t="str">
            <v>Did not meet all standards that were checked</v>
          </cell>
          <cell r="AA896">
            <v>10034171</v>
          </cell>
          <cell r="AB896" t="str">
            <v xml:space="preserve">Independent School standard inspection - integrated </v>
          </cell>
          <cell r="AC896" t="str">
            <v>Independent Standard Inspection</v>
          </cell>
          <cell r="AD896">
            <v>42864</v>
          </cell>
          <cell r="AE896">
            <v>42866</v>
          </cell>
          <cell r="AF896">
            <v>42937</v>
          </cell>
          <cell r="AG896">
            <v>4</v>
          </cell>
          <cell r="AH896">
            <v>3</v>
          </cell>
          <cell r="AI896">
            <v>3</v>
          </cell>
          <cell r="AJ896">
            <v>4</v>
          </cell>
          <cell r="AK896">
            <v>4</v>
          </cell>
          <cell r="AL896" t="str">
            <v>NULL</v>
          </cell>
          <cell r="AM896">
            <v>4</v>
          </cell>
          <cell r="AN896" t="str">
            <v>No</v>
          </cell>
          <cell r="AO896">
            <v>10007936</v>
          </cell>
          <cell r="AP896" t="str">
            <v xml:space="preserve">Independent School standard inspection - integrated </v>
          </cell>
          <cell r="AQ896" t="str">
            <v>Independent Standard Inspection</v>
          </cell>
          <cell r="AR896">
            <v>42346</v>
          </cell>
          <cell r="AS896">
            <v>42348</v>
          </cell>
          <cell r="AT896">
            <v>42471</v>
          </cell>
          <cell r="AU896">
            <v>3</v>
          </cell>
          <cell r="AV896">
            <v>3</v>
          </cell>
          <cell r="AW896">
            <v>3</v>
          </cell>
          <cell r="AX896">
            <v>3</v>
          </cell>
          <cell r="AY896">
            <v>2</v>
          </cell>
          <cell r="AZ896" t="str">
            <v>NULL</v>
          </cell>
          <cell r="BA896">
            <v>2</v>
          </cell>
          <cell r="BB896" t="str">
            <v>Yes</v>
          </cell>
        </row>
        <row r="897">
          <cell r="D897">
            <v>114646</v>
          </cell>
          <cell r="E897">
            <v>8456003</v>
          </cell>
          <cell r="F897" t="str">
            <v>Darvell School</v>
          </cell>
          <cell r="G897" t="str">
            <v>Other Independent School</v>
          </cell>
          <cell r="H897">
            <v>26185</v>
          </cell>
          <cell r="I897">
            <v>50</v>
          </cell>
          <cell r="J897" t="str">
            <v>South East</v>
          </cell>
          <cell r="K897" t="str">
            <v>South East</v>
          </cell>
          <cell r="L897" t="str">
            <v>East Sussex</v>
          </cell>
          <cell r="M897" t="str">
            <v>Bexhill and Battle</v>
          </cell>
          <cell r="N897" t="str">
            <v>TN32 5DR</v>
          </cell>
          <cell r="O897" t="str">
            <v>Does not have a sixth form</v>
          </cell>
          <cell r="P897">
            <v>4</v>
          </cell>
          <cell r="Q897">
            <v>16</v>
          </cell>
          <cell r="R897" t="str">
            <v>None</v>
          </cell>
          <cell r="S897" t="str">
            <v>Ofsted</v>
          </cell>
          <cell r="T897" t="str">
            <v>NULL</v>
          </cell>
          <cell r="U897" t="str">
            <v>NULL</v>
          </cell>
          <cell r="V897" t="str">
            <v>NULL</v>
          </cell>
          <cell r="W897" t="str">
            <v>NULL</v>
          </cell>
          <cell r="X897" t="str">
            <v>NULL</v>
          </cell>
          <cell r="Y897" t="str">
            <v>NULL</v>
          </cell>
          <cell r="Z897" t="str">
            <v>NULL</v>
          </cell>
          <cell r="AA897" t="str">
            <v>ITS361340</v>
          </cell>
          <cell r="AB897" t="str">
            <v>S162a - LTI Inspection Historic</v>
          </cell>
          <cell r="AC897" t="str">
            <v>Independent Standard Inspection</v>
          </cell>
          <cell r="AD897">
            <v>40499</v>
          </cell>
          <cell r="AE897">
            <v>40499</v>
          </cell>
          <cell r="AF897">
            <v>40518</v>
          </cell>
          <cell r="AG897">
            <v>2</v>
          </cell>
          <cell r="AH897">
            <v>2</v>
          </cell>
          <cell r="AI897">
            <v>2</v>
          </cell>
          <cell r="AJ897" t="str">
            <v>NULL</v>
          </cell>
          <cell r="AK897" t="str">
            <v>NULL</v>
          </cell>
          <cell r="AL897">
            <v>8</v>
          </cell>
          <cell r="AM897" t="str">
            <v>NULL</v>
          </cell>
          <cell r="AN897" t="str">
            <v>NULL</v>
          </cell>
          <cell r="AO897" t="str">
            <v>ITS320347</v>
          </cell>
          <cell r="AP897" t="str">
            <v>Independent School standard inspection</v>
          </cell>
          <cell r="AQ897" t="str">
            <v>Independent Standard Inspection</v>
          </cell>
          <cell r="AR897">
            <v>39427</v>
          </cell>
          <cell r="AS897">
            <v>39428</v>
          </cell>
          <cell r="AT897">
            <v>39461</v>
          </cell>
          <cell r="AU897">
            <v>2</v>
          </cell>
          <cell r="AV897">
            <v>2</v>
          </cell>
          <cell r="AW897">
            <v>2</v>
          </cell>
          <cell r="AX897" t="str">
            <v>NULL</v>
          </cell>
          <cell r="AY897" t="str">
            <v>NULL</v>
          </cell>
          <cell r="AZ897" t="str">
            <v>NULL</v>
          </cell>
          <cell r="BA897" t="str">
            <v>NULL</v>
          </cell>
          <cell r="BB897" t="str">
            <v>NULL</v>
          </cell>
        </row>
        <row r="898">
          <cell r="D898">
            <v>139221</v>
          </cell>
          <cell r="E898">
            <v>2116005</v>
          </cell>
          <cell r="F898" t="str">
            <v>Date Palm Primary School</v>
          </cell>
          <cell r="G898" t="str">
            <v>Other Independent School</v>
          </cell>
          <cell r="H898">
            <v>41277</v>
          </cell>
          <cell r="I898">
            <v>216</v>
          </cell>
          <cell r="J898" t="str">
            <v>London</v>
          </cell>
          <cell r="K898" t="str">
            <v>London</v>
          </cell>
          <cell r="L898" t="str">
            <v>Tower Hamlets</v>
          </cell>
          <cell r="M898" t="str">
            <v>Bethnal Green and Bow</v>
          </cell>
          <cell r="N898" t="str">
            <v>E1 2DE</v>
          </cell>
          <cell r="O898" t="str">
            <v>Does not have a sixth form</v>
          </cell>
          <cell r="P898">
            <v>2</v>
          </cell>
          <cell r="Q898">
            <v>11</v>
          </cell>
          <cell r="R898" t="str">
            <v>None</v>
          </cell>
          <cell r="S898" t="str">
            <v>Ofsted</v>
          </cell>
          <cell r="T898">
            <v>2</v>
          </cell>
          <cell r="U898">
            <v>10009077</v>
          </cell>
          <cell r="V898" t="str">
            <v>Independent school Material Change inspection</v>
          </cell>
          <cell r="W898">
            <v>42339</v>
          </cell>
          <cell r="X898">
            <v>42339</v>
          </cell>
          <cell r="Y898" t="str">
            <v>NULL</v>
          </cell>
          <cell r="Z898" t="str">
            <v>Likely to meet relevant standards</v>
          </cell>
          <cell r="AA898" t="str">
            <v>ITS422853</v>
          </cell>
          <cell r="AB898" t="str">
            <v>Independent school standard inspection - first</v>
          </cell>
          <cell r="AC898" t="str">
            <v>Independent Standard Inspection</v>
          </cell>
          <cell r="AD898">
            <v>41534</v>
          </cell>
          <cell r="AE898">
            <v>41536</v>
          </cell>
          <cell r="AF898">
            <v>41556</v>
          </cell>
          <cell r="AG898">
            <v>3</v>
          </cell>
          <cell r="AH898">
            <v>3</v>
          </cell>
          <cell r="AI898">
            <v>3</v>
          </cell>
          <cell r="AJ898">
            <v>3</v>
          </cell>
          <cell r="AK898" t="str">
            <v>NULL</v>
          </cell>
          <cell r="AL898" t="str">
            <v>NULL</v>
          </cell>
          <cell r="AM898" t="str">
            <v>NULL</v>
          </cell>
          <cell r="AN898" t="str">
            <v>NULL</v>
          </cell>
          <cell r="AO898" t="str">
            <v>NULL</v>
          </cell>
          <cell r="AP898" t="str">
            <v>NULL</v>
          </cell>
          <cell r="AQ898" t="str">
            <v>NULL</v>
          </cell>
          <cell r="AR898" t="str">
            <v>NULL</v>
          </cell>
          <cell r="AS898" t="str">
            <v>NULL</v>
          </cell>
          <cell r="AT898" t="str">
            <v>NULL</v>
          </cell>
          <cell r="AU898" t="str">
            <v>NULL</v>
          </cell>
          <cell r="AV898" t="str">
            <v>NULL</v>
          </cell>
          <cell r="AW898" t="str">
            <v>NULL</v>
          </cell>
          <cell r="AX898" t="str">
            <v>NULL</v>
          </cell>
          <cell r="AY898" t="str">
            <v>NULL</v>
          </cell>
          <cell r="AZ898" t="str">
            <v>NULL</v>
          </cell>
          <cell r="BA898" t="str">
            <v>NULL</v>
          </cell>
          <cell r="BB898" t="str">
            <v>NULL</v>
          </cell>
        </row>
        <row r="899">
          <cell r="D899">
            <v>109774</v>
          </cell>
          <cell r="E899">
            <v>3156588</v>
          </cell>
          <cell r="F899" t="str">
            <v>Date Valley School Trust</v>
          </cell>
          <cell r="G899" t="str">
            <v>Other Independent School</v>
          </cell>
          <cell r="H899">
            <v>38527</v>
          </cell>
          <cell r="I899">
            <v>178</v>
          </cell>
          <cell r="J899" t="str">
            <v>London</v>
          </cell>
          <cell r="K899" t="str">
            <v>London</v>
          </cell>
          <cell r="L899" t="str">
            <v>Merton</v>
          </cell>
          <cell r="M899" t="str">
            <v>Mitcham and Morden</v>
          </cell>
          <cell r="N899" t="str">
            <v>CR4 4LB</v>
          </cell>
          <cell r="O899" t="str">
            <v>Does not have a sixth form</v>
          </cell>
          <cell r="P899">
            <v>3</v>
          </cell>
          <cell r="Q899">
            <v>11</v>
          </cell>
          <cell r="R899" t="str">
            <v>None</v>
          </cell>
          <cell r="S899" t="str">
            <v>Ofsted</v>
          </cell>
          <cell r="T899">
            <v>1</v>
          </cell>
          <cell r="U899">
            <v>10048445</v>
          </cell>
          <cell r="V899" t="str">
            <v>Independent school evaluation of school action plan</v>
          </cell>
          <cell r="W899">
            <v>43147</v>
          </cell>
          <cell r="X899">
            <v>43147</v>
          </cell>
          <cell r="Y899" t="str">
            <v>NULL</v>
          </cell>
          <cell r="Z899" t="str">
            <v>Action plan is acceptable</v>
          </cell>
          <cell r="AA899">
            <v>10034417</v>
          </cell>
          <cell r="AB899" t="str">
            <v>Independent School standard inspection</v>
          </cell>
          <cell r="AC899" t="str">
            <v>Independent Standard Inspection</v>
          </cell>
          <cell r="AD899">
            <v>42990</v>
          </cell>
          <cell r="AE899">
            <v>42992</v>
          </cell>
          <cell r="AF899">
            <v>43045</v>
          </cell>
          <cell r="AG899">
            <v>4</v>
          </cell>
          <cell r="AH899">
            <v>4</v>
          </cell>
          <cell r="AI899">
            <v>4</v>
          </cell>
          <cell r="AJ899">
            <v>4</v>
          </cell>
          <cell r="AK899">
            <v>3</v>
          </cell>
          <cell r="AL899">
            <v>3</v>
          </cell>
          <cell r="AM899" t="str">
            <v>NULL</v>
          </cell>
          <cell r="AN899" t="str">
            <v>Yes</v>
          </cell>
          <cell r="AO899" t="str">
            <v>NULL</v>
          </cell>
          <cell r="AP899" t="str">
            <v>NULL</v>
          </cell>
          <cell r="AQ899" t="str">
            <v>NULL</v>
          </cell>
          <cell r="AR899" t="str">
            <v>NULL</v>
          </cell>
          <cell r="AS899" t="str">
            <v>NULL</v>
          </cell>
          <cell r="AT899" t="str">
            <v>NULL</v>
          </cell>
          <cell r="AU899" t="str">
            <v>NULL</v>
          </cell>
          <cell r="AV899" t="str">
            <v>NULL</v>
          </cell>
          <cell r="AW899" t="str">
            <v>NULL</v>
          </cell>
          <cell r="AX899" t="str">
            <v>NULL</v>
          </cell>
          <cell r="AY899" t="str">
            <v>NULL</v>
          </cell>
          <cell r="AZ899" t="str">
            <v>NULL</v>
          </cell>
          <cell r="BA899" t="str">
            <v>NULL</v>
          </cell>
          <cell r="BB899" t="str">
            <v>NULL</v>
          </cell>
        </row>
        <row r="900">
          <cell r="D900">
            <v>131015</v>
          </cell>
          <cell r="E900">
            <v>3526053</v>
          </cell>
          <cell r="F900" t="str">
            <v>Etz Chaim Boys School</v>
          </cell>
          <cell r="G900" t="str">
            <v>Other Independent School</v>
          </cell>
          <cell r="H900">
            <v>35270</v>
          </cell>
          <cell r="I900">
            <v>172</v>
          </cell>
          <cell r="J900" t="str">
            <v>North West</v>
          </cell>
          <cell r="K900" t="str">
            <v>North West</v>
          </cell>
          <cell r="L900" t="str">
            <v>Manchester</v>
          </cell>
          <cell r="M900" t="str">
            <v>Blackley and Broughton</v>
          </cell>
          <cell r="N900" t="str">
            <v>M8 4JY</v>
          </cell>
          <cell r="O900" t="str">
            <v>Does not have a sixth form</v>
          </cell>
          <cell r="P900">
            <v>11</v>
          </cell>
          <cell r="Q900">
            <v>16</v>
          </cell>
          <cell r="R900" t="str">
            <v>None</v>
          </cell>
          <cell r="S900" t="str">
            <v>Ofsted</v>
          </cell>
          <cell r="T900">
            <v>1</v>
          </cell>
          <cell r="U900">
            <v>10043666</v>
          </cell>
          <cell r="V900" t="str">
            <v>Independent school Material Change inspection</v>
          </cell>
          <cell r="W900">
            <v>43069</v>
          </cell>
          <cell r="X900">
            <v>43069</v>
          </cell>
          <cell r="Y900">
            <v>43147</v>
          </cell>
          <cell r="Z900" t="str">
            <v>Change implemented and meets relevant standards</v>
          </cell>
          <cell r="AA900">
            <v>10034025</v>
          </cell>
          <cell r="AB900" t="str">
            <v>Independent School standard inspection</v>
          </cell>
          <cell r="AC900" t="str">
            <v>Independent Standard Inspection</v>
          </cell>
          <cell r="AD900">
            <v>42990</v>
          </cell>
          <cell r="AE900">
            <v>42992</v>
          </cell>
          <cell r="AF900">
            <v>43032</v>
          </cell>
          <cell r="AG900">
            <v>2</v>
          </cell>
          <cell r="AH900">
            <v>2</v>
          </cell>
          <cell r="AI900">
            <v>2</v>
          </cell>
          <cell r="AJ900">
            <v>2</v>
          </cell>
          <cell r="AK900">
            <v>2</v>
          </cell>
          <cell r="AL900" t="str">
            <v>NULL</v>
          </cell>
          <cell r="AM900" t="str">
            <v>NULL</v>
          </cell>
          <cell r="AN900" t="str">
            <v>Yes</v>
          </cell>
          <cell r="AO900" t="str">
            <v>ITS442960</v>
          </cell>
          <cell r="AP900" t="str">
            <v>Independent School standard inspection</v>
          </cell>
          <cell r="AQ900" t="str">
            <v>Independent Standard Inspection</v>
          </cell>
          <cell r="AR900">
            <v>41814</v>
          </cell>
          <cell r="AS900">
            <v>41816</v>
          </cell>
          <cell r="AT900">
            <v>41871</v>
          </cell>
          <cell r="AU900">
            <v>3</v>
          </cell>
          <cell r="AV900">
            <v>2</v>
          </cell>
          <cell r="AW900">
            <v>2</v>
          </cell>
          <cell r="AX900">
            <v>3</v>
          </cell>
          <cell r="AY900" t="str">
            <v>NULL</v>
          </cell>
          <cell r="AZ900" t="str">
            <v>NULL</v>
          </cell>
          <cell r="BA900" t="str">
            <v>NULL</v>
          </cell>
          <cell r="BB900" t="str">
            <v>NULL</v>
          </cell>
        </row>
        <row r="901">
          <cell r="D901">
            <v>101080</v>
          </cell>
          <cell r="E901">
            <v>2126383</v>
          </cell>
          <cell r="F901" t="str">
            <v>Eveline Day School</v>
          </cell>
          <cell r="G901" t="str">
            <v>Other Independent School</v>
          </cell>
          <cell r="H901">
            <v>33043</v>
          </cell>
          <cell r="I901">
            <v>126</v>
          </cell>
          <cell r="J901" t="str">
            <v>London</v>
          </cell>
          <cell r="K901" t="str">
            <v>London</v>
          </cell>
          <cell r="L901" t="str">
            <v>Wandsworth</v>
          </cell>
          <cell r="M901" t="str">
            <v>Tooting</v>
          </cell>
          <cell r="N901" t="str">
            <v>SW17 7BQ</v>
          </cell>
          <cell r="O901" t="str">
            <v>Does not have a sixth form</v>
          </cell>
          <cell r="P901">
            <v>2</v>
          </cell>
          <cell r="Q901">
            <v>11</v>
          </cell>
          <cell r="R901" t="str">
            <v>None</v>
          </cell>
          <cell r="S901" t="str">
            <v>Ofsted</v>
          </cell>
          <cell r="T901" t="str">
            <v>NULL</v>
          </cell>
          <cell r="U901" t="str">
            <v>NULL</v>
          </cell>
          <cell r="V901" t="str">
            <v>NULL</v>
          </cell>
          <cell r="W901" t="str">
            <v>NULL</v>
          </cell>
          <cell r="X901" t="str">
            <v>NULL</v>
          </cell>
          <cell r="Y901" t="str">
            <v>NULL</v>
          </cell>
          <cell r="Z901" t="str">
            <v>NULL</v>
          </cell>
          <cell r="AA901">
            <v>10008538</v>
          </cell>
          <cell r="AB901" t="str">
            <v>Independent School standard inspection</v>
          </cell>
          <cell r="AC901" t="str">
            <v>Independent Standard Inspection</v>
          </cell>
          <cell r="AD901">
            <v>43018</v>
          </cell>
          <cell r="AE901">
            <v>43020</v>
          </cell>
          <cell r="AF901">
            <v>43055</v>
          </cell>
          <cell r="AG901">
            <v>2</v>
          </cell>
          <cell r="AH901">
            <v>2</v>
          </cell>
          <cell r="AI901">
            <v>2</v>
          </cell>
          <cell r="AJ901">
            <v>2</v>
          </cell>
          <cell r="AK901">
            <v>1</v>
          </cell>
          <cell r="AL901">
            <v>2</v>
          </cell>
          <cell r="AM901" t="str">
            <v>NULL</v>
          </cell>
          <cell r="AN901" t="str">
            <v>Yes</v>
          </cell>
          <cell r="AO901" t="str">
            <v>ITS341957</v>
          </cell>
          <cell r="AP901" t="str">
            <v>S162a - LTI Inspection Historic</v>
          </cell>
          <cell r="AQ901" t="str">
            <v>Independent Standard Inspection</v>
          </cell>
          <cell r="AR901">
            <v>40101</v>
          </cell>
          <cell r="AS901">
            <v>40101</v>
          </cell>
          <cell r="AT901">
            <v>40134</v>
          </cell>
          <cell r="AU901">
            <v>2</v>
          </cell>
          <cell r="AV901">
            <v>2</v>
          </cell>
          <cell r="AW901">
            <v>2</v>
          </cell>
          <cell r="AX901" t="str">
            <v>NULL</v>
          </cell>
          <cell r="AY901" t="str">
            <v>NULL</v>
          </cell>
          <cell r="AZ901">
            <v>2</v>
          </cell>
          <cell r="BA901" t="str">
            <v>NULL</v>
          </cell>
          <cell r="BB901" t="str">
            <v>NULL</v>
          </cell>
        </row>
        <row r="902">
          <cell r="D902">
            <v>102174</v>
          </cell>
          <cell r="E902">
            <v>3096076</v>
          </cell>
          <cell r="F902" t="str">
            <v>Excelsior College</v>
          </cell>
          <cell r="G902" t="str">
            <v>Other Independent School</v>
          </cell>
          <cell r="H902">
            <v>34648</v>
          </cell>
          <cell r="I902">
            <v>6</v>
          </cell>
          <cell r="J902" t="str">
            <v>London</v>
          </cell>
          <cell r="K902" t="str">
            <v>London</v>
          </cell>
          <cell r="L902" t="str">
            <v>Haringey</v>
          </cell>
          <cell r="M902" t="str">
            <v>Tottenham</v>
          </cell>
          <cell r="N902" t="str">
            <v>N17 8JN</v>
          </cell>
          <cell r="O902" t="str">
            <v>Does not have a sixth form</v>
          </cell>
          <cell r="P902">
            <v>3</v>
          </cell>
          <cell r="Q902">
            <v>11</v>
          </cell>
          <cell r="R902" t="str">
            <v>None</v>
          </cell>
          <cell r="S902" t="str">
            <v>Ofsted</v>
          </cell>
          <cell r="T902">
            <v>1</v>
          </cell>
          <cell r="U902">
            <v>10049083</v>
          </cell>
          <cell r="V902" t="str">
            <v>Independent school evaluation of school action plan</v>
          </cell>
          <cell r="W902">
            <v>43168</v>
          </cell>
          <cell r="X902">
            <v>43168</v>
          </cell>
          <cell r="Y902" t="str">
            <v>NULL</v>
          </cell>
          <cell r="Z902" t="str">
            <v>Action plan is acceptable</v>
          </cell>
          <cell r="AA902">
            <v>10035785</v>
          </cell>
          <cell r="AB902" t="str">
            <v>Independent School standard inspection</v>
          </cell>
          <cell r="AC902" t="str">
            <v>Independent Standard Inspection</v>
          </cell>
          <cell r="AD902">
            <v>43046</v>
          </cell>
          <cell r="AE902">
            <v>43048</v>
          </cell>
          <cell r="AF902">
            <v>43115</v>
          </cell>
          <cell r="AG902">
            <v>4</v>
          </cell>
          <cell r="AH902">
            <v>3</v>
          </cell>
          <cell r="AI902">
            <v>3</v>
          </cell>
          <cell r="AJ902">
            <v>4</v>
          </cell>
          <cell r="AK902">
            <v>4</v>
          </cell>
          <cell r="AL902" t="str">
            <v>NULL</v>
          </cell>
          <cell r="AM902" t="str">
            <v>NULL</v>
          </cell>
          <cell r="AN902" t="str">
            <v>No</v>
          </cell>
          <cell r="AO902" t="str">
            <v>ITS439265</v>
          </cell>
          <cell r="AP902" t="str">
            <v>Independent School standard inspection</v>
          </cell>
          <cell r="AQ902" t="str">
            <v>Independent Standard Inspection</v>
          </cell>
          <cell r="AR902">
            <v>41709</v>
          </cell>
          <cell r="AS902">
            <v>41711</v>
          </cell>
          <cell r="AT902">
            <v>41731</v>
          </cell>
          <cell r="AU902">
            <v>3</v>
          </cell>
          <cell r="AV902">
            <v>3</v>
          </cell>
          <cell r="AW902">
            <v>3</v>
          </cell>
          <cell r="AX902">
            <v>3</v>
          </cell>
          <cell r="AY902" t="str">
            <v>NULL</v>
          </cell>
          <cell r="AZ902" t="str">
            <v>NULL</v>
          </cell>
          <cell r="BA902" t="str">
            <v>NULL</v>
          </cell>
          <cell r="BB902" t="str">
            <v>NULL</v>
          </cell>
        </row>
        <row r="903">
          <cell r="D903">
            <v>113632</v>
          </cell>
          <cell r="E903">
            <v>8786051</v>
          </cell>
          <cell r="F903" t="str">
            <v>Exeter Tutorial College</v>
          </cell>
          <cell r="G903" t="str">
            <v>Other Independent School</v>
          </cell>
          <cell r="H903">
            <v>34978</v>
          </cell>
          <cell r="I903">
            <v>46</v>
          </cell>
          <cell r="J903" t="str">
            <v>South West</v>
          </cell>
          <cell r="K903" t="str">
            <v>South West</v>
          </cell>
          <cell r="L903" t="str">
            <v>Devon</v>
          </cell>
          <cell r="M903" t="str">
            <v>Exeter</v>
          </cell>
          <cell r="N903" t="str">
            <v>EX2 4TE</v>
          </cell>
          <cell r="O903" t="str">
            <v>Has a sixth form</v>
          </cell>
          <cell r="P903">
            <v>14</v>
          </cell>
          <cell r="Q903">
            <v>19</v>
          </cell>
          <cell r="R903" t="str">
            <v>None</v>
          </cell>
          <cell r="S903" t="str">
            <v>Ofsted</v>
          </cell>
          <cell r="T903" t="str">
            <v>NULL</v>
          </cell>
          <cell r="U903" t="str">
            <v>NULL</v>
          </cell>
          <cell r="V903" t="str">
            <v>NULL</v>
          </cell>
          <cell r="W903" t="str">
            <v>NULL</v>
          </cell>
          <cell r="X903" t="str">
            <v>NULL</v>
          </cell>
          <cell r="Y903" t="str">
            <v>NULL</v>
          </cell>
          <cell r="Z903" t="str">
            <v>NULL</v>
          </cell>
          <cell r="AA903">
            <v>10020949</v>
          </cell>
          <cell r="AB903" t="str">
            <v>Independent School standard inspection</v>
          </cell>
          <cell r="AC903" t="str">
            <v>Independent Standard Inspection</v>
          </cell>
          <cell r="AD903">
            <v>42703</v>
          </cell>
          <cell r="AE903">
            <v>42705</v>
          </cell>
          <cell r="AF903">
            <v>42761</v>
          </cell>
          <cell r="AG903">
            <v>2</v>
          </cell>
          <cell r="AH903">
            <v>1</v>
          </cell>
          <cell r="AI903">
            <v>1</v>
          </cell>
          <cell r="AJ903">
            <v>2</v>
          </cell>
          <cell r="AK903">
            <v>2</v>
          </cell>
          <cell r="AL903" t="str">
            <v>NULL</v>
          </cell>
          <cell r="AM903">
            <v>1</v>
          </cell>
          <cell r="AN903" t="str">
            <v>Yes</v>
          </cell>
          <cell r="AO903" t="str">
            <v>ITS344591</v>
          </cell>
          <cell r="AP903" t="str">
            <v>Independent School standard inspection</v>
          </cell>
          <cell r="AQ903" t="str">
            <v>Independent Standard Inspection</v>
          </cell>
          <cell r="AR903">
            <v>40498</v>
          </cell>
          <cell r="AS903">
            <v>40499</v>
          </cell>
          <cell r="AT903">
            <v>40518</v>
          </cell>
          <cell r="AU903">
            <v>1</v>
          </cell>
          <cell r="AV903">
            <v>1</v>
          </cell>
          <cell r="AW903">
            <v>1</v>
          </cell>
          <cell r="AX903" t="str">
            <v>NULL</v>
          </cell>
          <cell r="AY903" t="str">
            <v>NULL</v>
          </cell>
          <cell r="AZ903">
            <v>8</v>
          </cell>
          <cell r="BA903" t="str">
            <v>NULL</v>
          </cell>
          <cell r="BB903" t="str">
            <v>NULL</v>
          </cell>
        </row>
        <row r="904">
          <cell r="D904">
            <v>133964</v>
          </cell>
          <cell r="E904">
            <v>8506079</v>
          </cell>
          <cell r="F904" t="str">
            <v>Grantham Farm Montessori School</v>
          </cell>
          <cell r="G904" t="str">
            <v>Other Independent School</v>
          </cell>
          <cell r="H904">
            <v>37529</v>
          </cell>
          <cell r="I904">
            <v>28</v>
          </cell>
          <cell r="J904" t="str">
            <v>South East</v>
          </cell>
          <cell r="K904" t="str">
            <v>South East</v>
          </cell>
          <cell r="L904" t="str">
            <v>Hampshire</v>
          </cell>
          <cell r="M904" t="str">
            <v>North West Hampshire</v>
          </cell>
          <cell r="N904" t="str">
            <v>RG26 5JS</v>
          </cell>
          <cell r="O904" t="str">
            <v>Does not have a sixth form</v>
          </cell>
          <cell r="P904">
            <v>2</v>
          </cell>
          <cell r="Q904">
            <v>7</v>
          </cell>
          <cell r="R904" t="str">
            <v>None</v>
          </cell>
          <cell r="S904" t="str">
            <v>Ofsted</v>
          </cell>
          <cell r="T904">
            <v>2</v>
          </cell>
          <cell r="U904">
            <v>10030654</v>
          </cell>
          <cell r="V904" t="str">
            <v>Independent school evaluation of school action plan</v>
          </cell>
          <cell r="W904">
            <v>42759</v>
          </cell>
          <cell r="X904">
            <v>42759</v>
          </cell>
          <cell r="Y904" t="str">
            <v>NULL</v>
          </cell>
          <cell r="Z904" t="str">
            <v>Action plan is acceptable</v>
          </cell>
          <cell r="AA904">
            <v>10008560</v>
          </cell>
          <cell r="AB904" t="str">
            <v>Independent School standard inspection</v>
          </cell>
          <cell r="AC904" t="str">
            <v>Independent Standard Inspection</v>
          </cell>
          <cell r="AD904">
            <v>42514</v>
          </cell>
          <cell r="AE904">
            <v>42516</v>
          </cell>
          <cell r="AF904">
            <v>42542</v>
          </cell>
          <cell r="AG904">
            <v>3</v>
          </cell>
          <cell r="AH904">
            <v>2</v>
          </cell>
          <cell r="AI904">
            <v>2</v>
          </cell>
          <cell r="AJ904">
            <v>3</v>
          </cell>
          <cell r="AK904">
            <v>2</v>
          </cell>
          <cell r="AL904" t="str">
            <v>NULL</v>
          </cell>
          <cell r="AM904" t="str">
            <v>NULL</v>
          </cell>
          <cell r="AN904" t="str">
            <v>Yes</v>
          </cell>
          <cell r="AO904" t="str">
            <v>ITS348783</v>
          </cell>
          <cell r="AP904" t="str">
            <v>S162a - LTI Inspection Historic</v>
          </cell>
          <cell r="AQ904" t="str">
            <v>Independent Standard Inspection</v>
          </cell>
          <cell r="AR904">
            <v>40339</v>
          </cell>
          <cell r="AS904">
            <v>40339</v>
          </cell>
          <cell r="AT904">
            <v>40360</v>
          </cell>
          <cell r="AU904">
            <v>1</v>
          </cell>
          <cell r="AV904">
            <v>1</v>
          </cell>
          <cell r="AW904">
            <v>1</v>
          </cell>
          <cell r="AX904" t="str">
            <v>NULL</v>
          </cell>
          <cell r="AY904" t="str">
            <v>NULL</v>
          </cell>
          <cell r="AZ904">
            <v>1</v>
          </cell>
          <cell r="BA904" t="str">
            <v>NULL</v>
          </cell>
          <cell r="BB904" t="str">
            <v>NULL</v>
          </cell>
        </row>
        <row r="905">
          <cell r="D905">
            <v>131791</v>
          </cell>
          <cell r="E905">
            <v>8966027</v>
          </cell>
          <cell r="F905" t="str">
            <v>Greater Grace School of Christian Education</v>
          </cell>
          <cell r="G905" t="str">
            <v>Other Independent School</v>
          </cell>
          <cell r="H905">
            <v>36242</v>
          </cell>
          <cell r="I905">
            <v>5</v>
          </cell>
          <cell r="J905" t="str">
            <v>North West</v>
          </cell>
          <cell r="K905" t="str">
            <v>North West</v>
          </cell>
          <cell r="L905" t="str">
            <v>Cheshire West and Chester</v>
          </cell>
          <cell r="M905" t="str">
            <v>City of Chester</v>
          </cell>
          <cell r="N905" t="str">
            <v>CH2 4BE</v>
          </cell>
          <cell r="O905" t="str">
            <v>Has a sixth form</v>
          </cell>
          <cell r="P905">
            <v>5</v>
          </cell>
          <cell r="Q905">
            <v>18</v>
          </cell>
          <cell r="R905" t="str">
            <v>Christian</v>
          </cell>
          <cell r="S905" t="str">
            <v>Ofsted</v>
          </cell>
          <cell r="T905">
            <v>3</v>
          </cell>
          <cell r="U905">
            <v>10045464</v>
          </cell>
          <cell r="V905" t="str">
            <v>Independent school Progress Monitoring inspection</v>
          </cell>
          <cell r="W905">
            <v>43131</v>
          </cell>
          <cell r="X905">
            <v>43131</v>
          </cell>
          <cell r="Y905">
            <v>43178</v>
          </cell>
          <cell r="Z905" t="str">
            <v>Met all standards that were checked</v>
          </cell>
          <cell r="AA905">
            <v>10020947</v>
          </cell>
          <cell r="AB905" t="str">
            <v>Independent School standard inspection</v>
          </cell>
          <cell r="AC905" t="str">
            <v>Independent Standard Inspection</v>
          </cell>
          <cell r="AD905">
            <v>42661</v>
          </cell>
          <cell r="AE905">
            <v>42663</v>
          </cell>
          <cell r="AF905">
            <v>42774</v>
          </cell>
          <cell r="AG905">
            <v>4</v>
          </cell>
          <cell r="AH905">
            <v>2</v>
          </cell>
          <cell r="AI905">
            <v>2</v>
          </cell>
          <cell r="AJ905">
            <v>4</v>
          </cell>
          <cell r="AK905">
            <v>4</v>
          </cell>
          <cell r="AL905" t="str">
            <v>NULL</v>
          </cell>
          <cell r="AM905" t="str">
            <v>NULL</v>
          </cell>
          <cell r="AN905" t="str">
            <v>No</v>
          </cell>
          <cell r="AO905" t="str">
            <v>ITS361383</v>
          </cell>
          <cell r="AP905" t="str">
            <v>S162a - LTI Inspection Historic</v>
          </cell>
          <cell r="AQ905" t="str">
            <v>Independent Standard Inspection</v>
          </cell>
          <cell r="AR905">
            <v>40521</v>
          </cell>
          <cell r="AS905">
            <v>40521</v>
          </cell>
          <cell r="AT905">
            <v>40583</v>
          </cell>
          <cell r="AU905">
            <v>2</v>
          </cell>
          <cell r="AV905">
            <v>2</v>
          </cell>
          <cell r="AW905">
            <v>2</v>
          </cell>
          <cell r="AX905" t="str">
            <v>NULL</v>
          </cell>
          <cell r="AY905" t="str">
            <v>NULL</v>
          </cell>
          <cell r="AZ905">
            <v>8</v>
          </cell>
          <cell r="BA905" t="str">
            <v>NULL</v>
          </cell>
          <cell r="BB905" t="str">
            <v>NULL</v>
          </cell>
        </row>
        <row r="906">
          <cell r="D906">
            <v>131788</v>
          </cell>
          <cell r="E906">
            <v>3076080</v>
          </cell>
          <cell r="F906" t="str">
            <v>Greek Primary School of London</v>
          </cell>
          <cell r="G906" t="str">
            <v>Other Independent School</v>
          </cell>
          <cell r="H906">
            <v>36227</v>
          </cell>
          <cell r="I906">
            <v>75</v>
          </cell>
          <cell r="J906" t="str">
            <v>London</v>
          </cell>
          <cell r="K906" t="str">
            <v>London</v>
          </cell>
          <cell r="L906" t="str">
            <v>Ealing</v>
          </cell>
          <cell r="M906" t="str">
            <v>Ealing Central and Acton</v>
          </cell>
          <cell r="N906" t="str">
            <v>W3 9JR</v>
          </cell>
          <cell r="O906" t="str">
            <v>Does not have a sixth form</v>
          </cell>
          <cell r="P906">
            <v>4</v>
          </cell>
          <cell r="Q906">
            <v>11</v>
          </cell>
          <cell r="R906" t="str">
            <v>None</v>
          </cell>
          <cell r="S906" t="str">
            <v>Ofsted</v>
          </cell>
          <cell r="T906" t="str">
            <v>NULL</v>
          </cell>
          <cell r="U906" t="str">
            <v>NULL</v>
          </cell>
          <cell r="V906" t="str">
            <v>NULL</v>
          </cell>
          <cell r="W906" t="str">
            <v>NULL</v>
          </cell>
          <cell r="X906" t="str">
            <v>NULL</v>
          </cell>
          <cell r="Y906" t="str">
            <v>NULL</v>
          </cell>
          <cell r="Z906" t="str">
            <v>NULL</v>
          </cell>
          <cell r="AA906">
            <v>10035792</v>
          </cell>
          <cell r="AB906" t="str">
            <v>Independent School standard inspection</v>
          </cell>
          <cell r="AC906" t="str">
            <v>Independent Standard Inspection</v>
          </cell>
          <cell r="AD906">
            <v>43109</v>
          </cell>
          <cell r="AE906">
            <v>43111</v>
          </cell>
          <cell r="AF906">
            <v>43138</v>
          </cell>
          <cell r="AG906">
            <v>3</v>
          </cell>
          <cell r="AH906">
            <v>2</v>
          </cell>
          <cell r="AI906">
            <v>2</v>
          </cell>
          <cell r="AJ906">
            <v>3</v>
          </cell>
          <cell r="AK906">
            <v>2</v>
          </cell>
          <cell r="AL906">
            <v>2</v>
          </cell>
          <cell r="AM906" t="str">
            <v>NULL</v>
          </cell>
          <cell r="AN906" t="str">
            <v>Yes</v>
          </cell>
          <cell r="AO906" t="str">
            <v>ITS445760</v>
          </cell>
          <cell r="AP906" t="str">
            <v>Independent School standard inspection</v>
          </cell>
          <cell r="AQ906" t="str">
            <v>Independent Standard Inspection</v>
          </cell>
          <cell r="AR906">
            <v>41807</v>
          </cell>
          <cell r="AS906">
            <v>41809</v>
          </cell>
          <cell r="AT906">
            <v>41831</v>
          </cell>
          <cell r="AU906">
            <v>2</v>
          </cell>
          <cell r="AV906">
            <v>2</v>
          </cell>
          <cell r="AW906">
            <v>2</v>
          </cell>
          <cell r="AX906">
            <v>2</v>
          </cell>
          <cell r="AY906" t="str">
            <v>NULL</v>
          </cell>
          <cell r="AZ906" t="str">
            <v>NULL</v>
          </cell>
          <cell r="BA906" t="str">
            <v>NULL</v>
          </cell>
          <cell r="BB906" t="str">
            <v>NULL</v>
          </cell>
        </row>
        <row r="907">
          <cell r="D907">
            <v>101959</v>
          </cell>
          <cell r="E907">
            <v>3096081</v>
          </cell>
          <cell r="F907" t="str">
            <v>Greek Secondary School of London</v>
          </cell>
          <cell r="G907" t="str">
            <v>Other Independent School</v>
          </cell>
          <cell r="H907">
            <v>30656</v>
          </cell>
          <cell r="I907">
            <v>76</v>
          </cell>
          <cell r="J907" t="str">
            <v>London</v>
          </cell>
          <cell r="K907" t="str">
            <v>London</v>
          </cell>
          <cell r="L907" t="str">
            <v>Haringey</v>
          </cell>
          <cell r="M907" t="str">
            <v>Hornsey and Wood Green</v>
          </cell>
          <cell r="N907" t="str">
            <v>N22 8LB</v>
          </cell>
          <cell r="O907" t="str">
            <v>Has a sixth form</v>
          </cell>
          <cell r="P907">
            <v>12</v>
          </cell>
          <cell r="Q907">
            <v>18</v>
          </cell>
          <cell r="R907" t="str">
            <v>None</v>
          </cell>
          <cell r="S907" t="str">
            <v>Ofsted</v>
          </cell>
          <cell r="T907" t="str">
            <v>NULL</v>
          </cell>
          <cell r="U907" t="str">
            <v>NULL</v>
          </cell>
          <cell r="V907" t="str">
            <v>NULL</v>
          </cell>
          <cell r="W907" t="str">
            <v>NULL</v>
          </cell>
          <cell r="X907" t="str">
            <v>NULL</v>
          </cell>
          <cell r="Y907" t="str">
            <v>NULL</v>
          </cell>
          <cell r="Z907" t="str">
            <v>NULL</v>
          </cell>
          <cell r="AA907" t="str">
            <v>ITS443494</v>
          </cell>
          <cell r="AB907" t="str">
            <v>Independent School standard inspection</v>
          </cell>
          <cell r="AC907" t="str">
            <v>Independent Standard Inspection</v>
          </cell>
          <cell r="AD907">
            <v>41772</v>
          </cell>
          <cell r="AE907">
            <v>41774</v>
          </cell>
          <cell r="AF907">
            <v>41795</v>
          </cell>
          <cell r="AG907">
            <v>2</v>
          </cell>
          <cell r="AH907">
            <v>2</v>
          </cell>
          <cell r="AI907">
            <v>2</v>
          </cell>
          <cell r="AJ907">
            <v>2</v>
          </cell>
          <cell r="AK907" t="str">
            <v>NULL</v>
          </cell>
          <cell r="AL907" t="str">
            <v>NULL</v>
          </cell>
          <cell r="AM907" t="str">
            <v>NULL</v>
          </cell>
          <cell r="AN907" t="str">
            <v>NULL</v>
          </cell>
          <cell r="AO907" t="str">
            <v>ITS330424</v>
          </cell>
          <cell r="AP907" t="str">
            <v>Independent School standard inspection</v>
          </cell>
          <cell r="AQ907" t="str">
            <v>Independent Standard Inspection</v>
          </cell>
          <cell r="AR907">
            <v>39848</v>
          </cell>
          <cell r="AS907">
            <v>39849</v>
          </cell>
          <cell r="AT907">
            <v>39874</v>
          </cell>
          <cell r="AU907">
            <v>2</v>
          </cell>
          <cell r="AV907">
            <v>2</v>
          </cell>
          <cell r="AW907">
            <v>2</v>
          </cell>
          <cell r="AX907" t="str">
            <v>NULL</v>
          </cell>
          <cell r="AY907" t="str">
            <v>NULL</v>
          </cell>
          <cell r="AZ907">
            <v>0</v>
          </cell>
          <cell r="BA907" t="str">
            <v>NULL</v>
          </cell>
          <cell r="BB907" t="str">
            <v>NULL</v>
          </cell>
        </row>
        <row r="908">
          <cell r="D908">
            <v>141138</v>
          </cell>
          <cell r="E908">
            <v>8356038</v>
          </cell>
          <cell r="F908" t="str">
            <v>Harrow House International College</v>
          </cell>
          <cell r="G908" t="str">
            <v>Other Independent School</v>
          </cell>
          <cell r="H908">
            <v>41848</v>
          </cell>
          <cell r="I908">
            <v>11</v>
          </cell>
          <cell r="J908" t="str">
            <v>South West</v>
          </cell>
          <cell r="K908" t="str">
            <v>South West</v>
          </cell>
          <cell r="L908" t="str">
            <v>Dorset</v>
          </cell>
          <cell r="M908" t="str">
            <v>South Dorset</v>
          </cell>
          <cell r="N908" t="str">
            <v>BH19 1PE</v>
          </cell>
          <cell r="O908" t="str">
            <v>Has a sixth form</v>
          </cell>
          <cell r="P908">
            <v>15</v>
          </cell>
          <cell r="Q908">
            <v>17</v>
          </cell>
          <cell r="R908" t="str">
            <v>None</v>
          </cell>
          <cell r="S908" t="str">
            <v>Ofsted</v>
          </cell>
          <cell r="T908" t="str">
            <v>NULL</v>
          </cell>
          <cell r="U908" t="str">
            <v>NULL</v>
          </cell>
          <cell r="V908" t="str">
            <v>NULL</v>
          </cell>
          <cell r="W908" t="str">
            <v>NULL</v>
          </cell>
          <cell r="X908" t="str">
            <v>NULL</v>
          </cell>
          <cell r="Y908" t="str">
            <v>NULL</v>
          </cell>
          <cell r="Z908" t="str">
            <v>NULL</v>
          </cell>
          <cell r="AA908">
            <v>10006027</v>
          </cell>
          <cell r="AB908" t="str">
            <v xml:space="preserve">Independent school standard inspection - integrated - first </v>
          </cell>
          <cell r="AC908" t="str">
            <v>Independent Standard Inspection</v>
          </cell>
          <cell r="AD908">
            <v>42339</v>
          </cell>
          <cell r="AE908">
            <v>42341</v>
          </cell>
          <cell r="AF908">
            <v>42402</v>
          </cell>
          <cell r="AG908">
            <v>1</v>
          </cell>
          <cell r="AH908">
            <v>1</v>
          </cell>
          <cell r="AI908">
            <v>1</v>
          </cell>
          <cell r="AJ908">
            <v>1</v>
          </cell>
          <cell r="AK908">
            <v>1</v>
          </cell>
          <cell r="AL908" t="str">
            <v>NULL</v>
          </cell>
          <cell r="AM908">
            <v>1</v>
          </cell>
          <cell r="AN908" t="str">
            <v>Yes</v>
          </cell>
          <cell r="AO908" t="str">
            <v>NULL</v>
          </cell>
          <cell r="AP908" t="str">
            <v>NULL</v>
          </cell>
          <cell r="AQ908" t="str">
            <v>NULL</v>
          </cell>
          <cell r="AR908" t="str">
            <v>NULL</v>
          </cell>
          <cell r="AS908" t="str">
            <v>NULL</v>
          </cell>
          <cell r="AT908" t="str">
            <v>NULL</v>
          </cell>
          <cell r="AU908" t="str">
            <v>NULL</v>
          </cell>
          <cell r="AV908" t="str">
            <v>NULL</v>
          </cell>
          <cell r="AW908" t="str">
            <v>NULL</v>
          </cell>
          <cell r="AX908" t="str">
            <v>NULL</v>
          </cell>
          <cell r="AY908" t="str">
            <v>NULL</v>
          </cell>
          <cell r="AZ908" t="str">
            <v>NULL</v>
          </cell>
          <cell r="BA908" t="str">
            <v>NULL</v>
          </cell>
          <cell r="BB908" t="str">
            <v>NULL</v>
          </cell>
        </row>
        <row r="909">
          <cell r="D909">
            <v>138598</v>
          </cell>
          <cell r="E909">
            <v>3106006</v>
          </cell>
          <cell r="F909" t="str">
            <v>Harrow Primary School</v>
          </cell>
          <cell r="G909" t="str">
            <v>Other Independent School</v>
          </cell>
          <cell r="H909">
            <v>41141</v>
          </cell>
          <cell r="I909">
            <v>45</v>
          </cell>
          <cell r="J909" t="str">
            <v>London</v>
          </cell>
          <cell r="K909" t="str">
            <v>London</v>
          </cell>
          <cell r="L909" t="str">
            <v>Harrow</v>
          </cell>
          <cell r="M909" t="str">
            <v>Harrow West</v>
          </cell>
          <cell r="N909" t="str">
            <v>HA1 2LS</v>
          </cell>
          <cell r="O909" t="str">
            <v>Does not have a sixth form</v>
          </cell>
          <cell r="P909">
            <v>5</v>
          </cell>
          <cell r="Q909">
            <v>11</v>
          </cell>
          <cell r="R909" t="str">
            <v>Islam</v>
          </cell>
          <cell r="S909" t="str">
            <v>Ofsted</v>
          </cell>
          <cell r="T909">
            <v>2</v>
          </cell>
          <cell r="U909">
            <v>10037575</v>
          </cell>
          <cell r="V909" t="str">
            <v>Independent school Progress Monitoring inspection</v>
          </cell>
          <cell r="W909">
            <v>42892</v>
          </cell>
          <cell r="X909">
            <v>42892</v>
          </cell>
          <cell r="Y909">
            <v>43000</v>
          </cell>
          <cell r="Z909" t="str">
            <v>Met all standards that were checked</v>
          </cell>
          <cell r="AA909">
            <v>10020780</v>
          </cell>
          <cell r="AB909" t="str">
            <v>Independent School standard inspection</v>
          </cell>
          <cell r="AC909" t="str">
            <v>Independent Standard Inspection</v>
          </cell>
          <cell r="AD909">
            <v>42745</v>
          </cell>
          <cell r="AE909">
            <v>42747</v>
          </cell>
          <cell r="AF909">
            <v>42829</v>
          </cell>
          <cell r="AG909">
            <v>4</v>
          </cell>
          <cell r="AH909">
            <v>3</v>
          </cell>
          <cell r="AI909">
            <v>3</v>
          </cell>
          <cell r="AJ909">
            <v>4</v>
          </cell>
          <cell r="AK909">
            <v>4</v>
          </cell>
          <cell r="AL909" t="str">
            <v>NULL</v>
          </cell>
          <cell r="AM909" t="str">
            <v>NULL</v>
          </cell>
          <cell r="AN909" t="str">
            <v>No</v>
          </cell>
          <cell r="AO909" t="str">
            <v>ITS420264</v>
          </cell>
          <cell r="AP909" t="str">
            <v>Independent school standard inspection - first</v>
          </cell>
          <cell r="AQ909" t="str">
            <v>Independent Standard Inspection</v>
          </cell>
          <cell r="AR909">
            <v>41457</v>
          </cell>
          <cell r="AS909">
            <v>41459</v>
          </cell>
          <cell r="AT909">
            <v>41523</v>
          </cell>
          <cell r="AU909">
            <v>3</v>
          </cell>
          <cell r="AV909">
            <v>3</v>
          </cell>
          <cell r="AW909">
            <v>3</v>
          </cell>
          <cell r="AX909">
            <v>3</v>
          </cell>
          <cell r="AY909" t="str">
            <v>NULL</v>
          </cell>
          <cell r="AZ909" t="str">
            <v>NULL</v>
          </cell>
          <cell r="BA909" t="str">
            <v>NULL</v>
          </cell>
          <cell r="BB909" t="str">
            <v>NULL</v>
          </cell>
        </row>
        <row r="910">
          <cell r="D910">
            <v>136123</v>
          </cell>
          <cell r="E910">
            <v>3306170</v>
          </cell>
          <cell r="F910" t="str">
            <v>Hazrat Khadijatul Kubra Girls School</v>
          </cell>
          <cell r="G910" t="str">
            <v>Other Independent School</v>
          </cell>
          <cell r="H910">
            <v>40324</v>
          </cell>
          <cell r="I910">
            <v>104</v>
          </cell>
          <cell r="J910" t="str">
            <v>West Midlands</v>
          </cell>
          <cell r="K910" t="str">
            <v>West Midlands</v>
          </cell>
          <cell r="L910" t="str">
            <v>Birmingham</v>
          </cell>
          <cell r="M910" t="str">
            <v>Birmingham, Ladywood</v>
          </cell>
          <cell r="N910" t="str">
            <v>B10 0BP</v>
          </cell>
          <cell r="O910" t="str">
            <v>Does not have a sixth form</v>
          </cell>
          <cell r="P910">
            <v>11</v>
          </cell>
          <cell r="Q910">
            <v>16</v>
          </cell>
          <cell r="R910" t="str">
            <v>Islam</v>
          </cell>
          <cell r="S910" t="str">
            <v>Ofsted</v>
          </cell>
          <cell r="T910">
            <v>1</v>
          </cell>
          <cell r="U910">
            <v>10045757</v>
          </cell>
          <cell r="V910" t="str">
            <v>Independent school evaluation of school action plan</v>
          </cell>
          <cell r="W910">
            <v>43125</v>
          </cell>
          <cell r="X910">
            <v>43125</v>
          </cell>
          <cell r="Y910" t="str">
            <v>NULL</v>
          </cell>
          <cell r="Z910" t="str">
            <v>Action plan is not acceptable</v>
          </cell>
          <cell r="AA910">
            <v>10038841</v>
          </cell>
          <cell r="AB910" t="str">
            <v>Independent School standard inspection</v>
          </cell>
          <cell r="AC910" t="str">
            <v>Independent Standard Inspection</v>
          </cell>
          <cell r="AD910">
            <v>43039</v>
          </cell>
          <cell r="AE910">
            <v>43041</v>
          </cell>
          <cell r="AF910">
            <v>43067</v>
          </cell>
          <cell r="AG910">
            <v>3</v>
          </cell>
          <cell r="AH910">
            <v>3</v>
          </cell>
          <cell r="AI910">
            <v>3</v>
          </cell>
          <cell r="AJ910">
            <v>3</v>
          </cell>
          <cell r="AK910">
            <v>2</v>
          </cell>
          <cell r="AL910" t="str">
            <v>NULL</v>
          </cell>
          <cell r="AM910" t="str">
            <v>NULL</v>
          </cell>
          <cell r="AN910" t="str">
            <v>Yes</v>
          </cell>
          <cell r="AO910" t="str">
            <v>ITS366867</v>
          </cell>
          <cell r="AP910" t="str">
            <v>Independent School standard inspection</v>
          </cell>
          <cell r="AQ910" t="str">
            <v>Independent Standard Inspection</v>
          </cell>
          <cell r="AR910">
            <v>40638</v>
          </cell>
          <cell r="AS910">
            <v>40639</v>
          </cell>
          <cell r="AT910">
            <v>40730</v>
          </cell>
          <cell r="AU910">
            <v>3</v>
          </cell>
          <cell r="AV910">
            <v>3</v>
          </cell>
          <cell r="AW910">
            <v>3</v>
          </cell>
          <cell r="AX910" t="str">
            <v>NULL</v>
          </cell>
          <cell r="AY910" t="str">
            <v>NULL</v>
          </cell>
          <cell r="AZ910">
            <v>8</v>
          </cell>
          <cell r="BA910" t="str">
            <v>NULL</v>
          </cell>
          <cell r="BB910" t="str">
            <v>NULL</v>
          </cell>
        </row>
        <row r="911">
          <cell r="D911">
            <v>100078</v>
          </cell>
          <cell r="E911">
            <v>2026360</v>
          </cell>
          <cell r="F911" t="str">
            <v>Heathside Preparatory School</v>
          </cell>
          <cell r="G911" t="str">
            <v>Other Independent School</v>
          </cell>
          <cell r="H911">
            <v>31674</v>
          </cell>
          <cell r="I911">
            <v>456</v>
          </cell>
          <cell r="J911" t="str">
            <v>London</v>
          </cell>
          <cell r="K911" t="str">
            <v>London</v>
          </cell>
          <cell r="L911" t="str">
            <v>Camden</v>
          </cell>
          <cell r="M911" t="str">
            <v>Hampstead and Kilburn</v>
          </cell>
          <cell r="N911" t="str">
            <v>NW3 1JA</v>
          </cell>
          <cell r="O911" t="str">
            <v>Does not have a sixth form</v>
          </cell>
          <cell r="P911">
            <v>2</v>
          </cell>
          <cell r="Q911">
            <v>14</v>
          </cell>
          <cell r="R911" t="str">
            <v>None</v>
          </cell>
          <cell r="S911" t="str">
            <v>Ofsted</v>
          </cell>
          <cell r="T911" t="str">
            <v>NULL</v>
          </cell>
          <cell r="U911" t="str">
            <v>NULL</v>
          </cell>
          <cell r="V911" t="str">
            <v>NULL</v>
          </cell>
          <cell r="W911" t="str">
            <v>NULL</v>
          </cell>
          <cell r="X911" t="str">
            <v>NULL</v>
          </cell>
          <cell r="Y911" t="str">
            <v>NULL</v>
          </cell>
          <cell r="Z911" t="str">
            <v>NULL</v>
          </cell>
          <cell r="AA911">
            <v>10012781</v>
          </cell>
          <cell r="AB911" t="str">
            <v>Independent School standard inspection</v>
          </cell>
          <cell r="AC911" t="str">
            <v>Independent Standard Inspection</v>
          </cell>
          <cell r="AD911">
            <v>42997</v>
          </cell>
          <cell r="AE911">
            <v>42999</v>
          </cell>
          <cell r="AF911">
            <v>43052</v>
          </cell>
          <cell r="AG911">
            <v>1</v>
          </cell>
          <cell r="AH911">
            <v>1</v>
          </cell>
          <cell r="AI911">
            <v>1</v>
          </cell>
          <cell r="AJ911">
            <v>1</v>
          </cell>
          <cell r="AK911">
            <v>1</v>
          </cell>
          <cell r="AL911">
            <v>2</v>
          </cell>
          <cell r="AM911" t="str">
            <v>NULL</v>
          </cell>
          <cell r="AN911" t="str">
            <v>Yes</v>
          </cell>
          <cell r="AO911" t="str">
            <v>ITS420168</v>
          </cell>
          <cell r="AP911" t="str">
            <v>Independent School standard inspection</v>
          </cell>
          <cell r="AQ911" t="str">
            <v>Independent Standard Inspection</v>
          </cell>
          <cell r="AR911">
            <v>41416</v>
          </cell>
          <cell r="AS911">
            <v>41418</v>
          </cell>
          <cell r="AT911">
            <v>41457</v>
          </cell>
          <cell r="AU911">
            <v>1</v>
          </cell>
          <cell r="AV911">
            <v>1</v>
          </cell>
          <cell r="AW911">
            <v>1</v>
          </cell>
          <cell r="AX911">
            <v>1</v>
          </cell>
          <cell r="AY911" t="str">
            <v>NULL</v>
          </cell>
          <cell r="AZ911" t="str">
            <v>NULL</v>
          </cell>
          <cell r="BA911" t="str">
            <v>NULL</v>
          </cell>
          <cell r="BB911" t="str">
            <v>NULL</v>
          </cell>
        </row>
        <row r="912">
          <cell r="D912">
            <v>133453</v>
          </cell>
          <cell r="E912">
            <v>3806113</v>
          </cell>
          <cell r="F912" t="str">
            <v>Islamic Tarbiyah Preparatory School</v>
          </cell>
          <cell r="G912" t="str">
            <v>Other Independent School</v>
          </cell>
          <cell r="H912">
            <v>37180</v>
          </cell>
          <cell r="I912">
            <v>172</v>
          </cell>
          <cell r="J912" t="str">
            <v>North East, Yorkshire and the Humber</v>
          </cell>
          <cell r="K912" t="str">
            <v>Yorkshire and the Humber</v>
          </cell>
          <cell r="L912" t="str">
            <v>Bradford</v>
          </cell>
          <cell r="M912" t="str">
            <v>Bradford West</v>
          </cell>
          <cell r="N912" t="str">
            <v>BD8 8AW</v>
          </cell>
          <cell r="O912" t="str">
            <v>Does not have a sixth form</v>
          </cell>
          <cell r="P912">
            <v>5</v>
          </cell>
          <cell r="Q912">
            <v>10</v>
          </cell>
          <cell r="R912" t="str">
            <v>None</v>
          </cell>
          <cell r="S912" t="str">
            <v>Ofsted</v>
          </cell>
          <cell r="T912" t="str">
            <v>NULL</v>
          </cell>
          <cell r="U912" t="str">
            <v>NULL</v>
          </cell>
          <cell r="V912" t="str">
            <v>NULL</v>
          </cell>
          <cell r="W912" t="str">
            <v>NULL</v>
          </cell>
          <cell r="X912" t="str">
            <v>NULL</v>
          </cell>
          <cell r="Y912" t="str">
            <v>NULL</v>
          </cell>
          <cell r="Z912" t="str">
            <v>NULL</v>
          </cell>
          <cell r="AA912">
            <v>10033917</v>
          </cell>
          <cell r="AB912" t="str">
            <v>Independent School standard inspection</v>
          </cell>
          <cell r="AC912" t="str">
            <v>Independent Standard Inspection</v>
          </cell>
          <cell r="AD912">
            <v>42920</v>
          </cell>
          <cell r="AE912">
            <v>42922</v>
          </cell>
          <cell r="AF912">
            <v>43118</v>
          </cell>
          <cell r="AG912">
            <v>3</v>
          </cell>
          <cell r="AH912">
            <v>2</v>
          </cell>
          <cell r="AI912">
            <v>2</v>
          </cell>
          <cell r="AJ912">
            <v>3</v>
          </cell>
          <cell r="AK912">
            <v>3</v>
          </cell>
          <cell r="AL912">
            <v>2</v>
          </cell>
          <cell r="AM912" t="str">
            <v>NULL</v>
          </cell>
          <cell r="AN912" t="str">
            <v>Yes</v>
          </cell>
          <cell r="AO912" t="str">
            <v>ITS442946</v>
          </cell>
          <cell r="AP912" t="str">
            <v>Independent School standard inspection</v>
          </cell>
          <cell r="AQ912" t="str">
            <v>Independent Standard Inspection</v>
          </cell>
          <cell r="AR912">
            <v>41773</v>
          </cell>
          <cell r="AS912">
            <v>41775</v>
          </cell>
          <cell r="AT912">
            <v>41807</v>
          </cell>
          <cell r="AU912">
            <v>3</v>
          </cell>
          <cell r="AV912">
            <v>2</v>
          </cell>
          <cell r="AW912">
            <v>2</v>
          </cell>
          <cell r="AX912">
            <v>3</v>
          </cell>
          <cell r="AY912" t="str">
            <v>NULL</v>
          </cell>
          <cell r="AZ912" t="str">
            <v>NULL</v>
          </cell>
          <cell r="BA912" t="str">
            <v>NULL</v>
          </cell>
          <cell r="BB912" t="str">
            <v>NULL</v>
          </cell>
        </row>
        <row r="913">
          <cell r="D913">
            <v>132749</v>
          </cell>
          <cell r="E913">
            <v>8896007</v>
          </cell>
          <cell r="F913" t="str">
            <v>Islamiyah School</v>
          </cell>
          <cell r="G913" t="str">
            <v>Other Independent School</v>
          </cell>
          <cell r="H913">
            <v>36818</v>
          </cell>
          <cell r="I913">
            <v>262</v>
          </cell>
          <cell r="J913" t="str">
            <v>North West</v>
          </cell>
          <cell r="K913" t="str">
            <v>North West</v>
          </cell>
          <cell r="L913" t="str">
            <v>Blackburn with Darwen</v>
          </cell>
          <cell r="M913" t="str">
            <v>Blackburn</v>
          </cell>
          <cell r="N913" t="str">
            <v>BB1 5NQ</v>
          </cell>
          <cell r="O913" t="str">
            <v>Does not have a sixth form</v>
          </cell>
          <cell r="P913">
            <v>11</v>
          </cell>
          <cell r="Q913">
            <v>16</v>
          </cell>
          <cell r="R913" t="str">
            <v>Islam</v>
          </cell>
          <cell r="S913" t="str">
            <v>Ofsted</v>
          </cell>
          <cell r="T913">
            <v>3</v>
          </cell>
          <cell r="U913">
            <v>10026528</v>
          </cell>
          <cell r="V913" t="str">
            <v>Independent school evaluation of school action plan</v>
          </cell>
          <cell r="W913">
            <v>42720</v>
          </cell>
          <cell r="X913">
            <v>42720</v>
          </cell>
          <cell r="Y913" t="str">
            <v>NULL</v>
          </cell>
          <cell r="Z913" t="str">
            <v>Action plan is acceptable</v>
          </cell>
          <cell r="AA913" t="str">
            <v>ITS447244</v>
          </cell>
          <cell r="AB913" t="str">
            <v>Independent School standard inspection</v>
          </cell>
          <cell r="AC913" t="str">
            <v>Independent Standard Inspection</v>
          </cell>
          <cell r="AD913">
            <v>41961</v>
          </cell>
          <cell r="AE913">
            <v>41963</v>
          </cell>
          <cell r="AF913">
            <v>41985</v>
          </cell>
          <cell r="AG913">
            <v>2</v>
          </cell>
          <cell r="AH913">
            <v>2</v>
          </cell>
          <cell r="AI913">
            <v>2</v>
          </cell>
          <cell r="AJ913">
            <v>1</v>
          </cell>
          <cell r="AK913" t="str">
            <v>NULL</v>
          </cell>
          <cell r="AL913">
            <v>9</v>
          </cell>
          <cell r="AM913">
            <v>9</v>
          </cell>
          <cell r="AN913" t="str">
            <v>NULL</v>
          </cell>
          <cell r="AO913" t="str">
            <v>ITS364269</v>
          </cell>
          <cell r="AP913" t="str">
            <v>Independent School standard inspection</v>
          </cell>
          <cell r="AQ913" t="str">
            <v>Independent Standard Inspection</v>
          </cell>
          <cell r="AR913">
            <v>40681</v>
          </cell>
          <cell r="AS913">
            <v>40682</v>
          </cell>
          <cell r="AT913">
            <v>40704</v>
          </cell>
          <cell r="AU913">
            <v>2</v>
          </cell>
          <cell r="AV913">
            <v>2</v>
          </cell>
          <cell r="AW913">
            <v>2</v>
          </cell>
          <cell r="AX913" t="str">
            <v>NULL</v>
          </cell>
          <cell r="AY913" t="str">
            <v>NULL</v>
          </cell>
          <cell r="AZ913">
            <v>8</v>
          </cell>
          <cell r="BA913" t="str">
            <v>NULL</v>
          </cell>
          <cell r="BB913" t="str">
            <v>NULL</v>
          </cell>
        </row>
        <row r="914">
          <cell r="D914">
            <v>107460</v>
          </cell>
          <cell r="E914">
            <v>3806109</v>
          </cell>
          <cell r="F914" t="str">
            <v>Jaamiatul Imaam Muhammad Zakaria</v>
          </cell>
          <cell r="G914" t="str">
            <v>Other Independent School</v>
          </cell>
          <cell r="H914">
            <v>34011</v>
          </cell>
          <cell r="I914">
            <v>483</v>
          </cell>
          <cell r="J914" t="str">
            <v>North East, Yorkshire and the Humber</v>
          </cell>
          <cell r="K914" t="str">
            <v>Yorkshire and the Humber</v>
          </cell>
          <cell r="L914" t="str">
            <v>Bradford</v>
          </cell>
          <cell r="M914" t="str">
            <v>Bradford West</v>
          </cell>
          <cell r="N914" t="str">
            <v>BD14 6JX</v>
          </cell>
          <cell r="O914" t="str">
            <v>Has a sixth form</v>
          </cell>
          <cell r="P914">
            <v>11</v>
          </cell>
          <cell r="Q914">
            <v>23</v>
          </cell>
          <cell r="R914" t="str">
            <v>Muslim</v>
          </cell>
          <cell r="S914" t="str">
            <v>Ofsted</v>
          </cell>
          <cell r="T914" t="str">
            <v>NULL</v>
          </cell>
          <cell r="U914" t="str">
            <v>NULL</v>
          </cell>
          <cell r="V914" t="str">
            <v>NULL</v>
          </cell>
          <cell r="W914" t="str">
            <v>NULL</v>
          </cell>
          <cell r="X914" t="str">
            <v>NULL</v>
          </cell>
          <cell r="Y914" t="str">
            <v>NULL</v>
          </cell>
          <cell r="Z914" t="str">
            <v>NULL</v>
          </cell>
          <cell r="AA914" t="str">
            <v>ITS464000</v>
          </cell>
          <cell r="AB914" t="str">
            <v xml:space="preserve">Independent School standard inspection - integrated </v>
          </cell>
          <cell r="AC914" t="str">
            <v>Independent Standard Inspection</v>
          </cell>
          <cell r="AD914">
            <v>42143</v>
          </cell>
          <cell r="AE914">
            <v>42146</v>
          </cell>
          <cell r="AF914">
            <v>42185</v>
          </cell>
          <cell r="AG914">
            <v>2</v>
          </cell>
          <cell r="AH914">
            <v>2</v>
          </cell>
          <cell r="AI914">
            <v>2</v>
          </cell>
          <cell r="AJ914">
            <v>2</v>
          </cell>
          <cell r="AK914" t="str">
            <v>NULL</v>
          </cell>
          <cell r="AL914">
            <v>9</v>
          </cell>
          <cell r="AM914">
            <v>9</v>
          </cell>
          <cell r="AN914" t="str">
            <v>NULL</v>
          </cell>
          <cell r="AO914" t="str">
            <v>ITS364232</v>
          </cell>
          <cell r="AP914" t="str">
            <v>Independent School standard inspection</v>
          </cell>
          <cell r="AQ914" t="str">
            <v>Independent Standard Inspection</v>
          </cell>
          <cell r="AR914">
            <v>40610</v>
          </cell>
          <cell r="AS914">
            <v>40611</v>
          </cell>
          <cell r="AT914">
            <v>40632</v>
          </cell>
          <cell r="AU914">
            <v>2</v>
          </cell>
          <cell r="AV914">
            <v>2</v>
          </cell>
          <cell r="AW914">
            <v>2</v>
          </cell>
          <cell r="AX914" t="str">
            <v>NULL</v>
          </cell>
          <cell r="AY914" t="str">
            <v>NULL</v>
          </cell>
          <cell r="AZ914">
            <v>8</v>
          </cell>
          <cell r="BA914" t="str">
            <v>NULL</v>
          </cell>
          <cell r="BB914" t="str">
            <v>NULL</v>
          </cell>
        </row>
        <row r="915">
          <cell r="D915">
            <v>102939</v>
          </cell>
          <cell r="E915">
            <v>3186055</v>
          </cell>
          <cell r="F915" t="str">
            <v>Jack and Jill School</v>
          </cell>
          <cell r="G915" t="str">
            <v>Other Independent School</v>
          </cell>
          <cell r="H915">
            <v>21796</v>
          </cell>
          <cell r="I915">
            <v>189</v>
          </cell>
          <cell r="J915" t="str">
            <v>London</v>
          </cell>
          <cell r="K915" t="str">
            <v>London</v>
          </cell>
          <cell r="L915" t="str">
            <v>Richmond upon Thames</v>
          </cell>
          <cell r="M915" t="str">
            <v>Twickenham</v>
          </cell>
          <cell r="N915" t="str">
            <v>TW12 3HX</v>
          </cell>
          <cell r="O915" t="str">
            <v>Does not have a sixth form</v>
          </cell>
          <cell r="P915">
            <v>2</v>
          </cell>
          <cell r="Q915">
            <v>11</v>
          </cell>
          <cell r="R915" t="str">
            <v>None</v>
          </cell>
          <cell r="S915" t="str">
            <v>Ofsted</v>
          </cell>
          <cell r="T915" t="str">
            <v>NULL</v>
          </cell>
          <cell r="U915" t="str">
            <v>NULL</v>
          </cell>
          <cell r="V915" t="str">
            <v>NULL</v>
          </cell>
          <cell r="W915" t="str">
            <v>NULL</v>
          </cell>
          <cell r="X915" t="str">
            <v>NULL</v>
          </cell>
          <cell r="Y915" t="str">
            <v>NULL</v>
          </cell>
          <cell r="Z915" t="str">
            <v>NULL</v>
          </cell>
          <cell r="AA915">
            <v>10038158</v>
          </cell>
          <cell r="AB915" t="str">
            <v>Independent School standard inspection</v>
          </cell>
          <cell r="AC915" t="str">
            <v>Independent Standard Inspection</v>
          </cell>
          <cell r="AD915">
            <v>42990</v>
          </cell>
          <cell r="AE915">
            <v>42992</v>
          </cell>
          <cell r="AF915">
            <v>43020</v>
          </cell>
          <cell r="AG915">
            <v>1</v>
          </cell>
          <cell r="AH915">
            <v>1</v>
          </cell>
          <cell r="AI915">
            <v>1</v>
          </cell>
          <cell r="AJ915">
            <v>1</v>
          </cell>
          <cell r="AK915">
            <v>1</v>
          </cell>
          <cell r="AL915">
            <v>1</v>
          </cell>
          <cell r="AM915" t="str">
            <v>NULL</v>
          </cell>
          <cell r="AN915" t="str">
            <v>Yes</v>
          </cell>
          <cell r="AO915" t="str">
            <v>ITS443496</v>
          </cell>
          <cell r="AP915" t="str">
            <v>Independent School standard inspection</v>
          </cell>
          <cell r="AQ915" t="str">
            <v>Independent Standard Inspection</v>
          </cell>
          <cell r="AR915">
            <v>41968</v>
          </cell>
          <cell r="AS915">
            <v>41970</v>
          </cell>
          <cell r="AT915">
            <v>41991</v>
          </cell>
          <cell r="AU915">
            <v>1</v>
          </cell>
          <cell r="AV915">
            <v>1</v>
          </cell>
          <cell r="AW915">
            <v>1</v>
          </cell>
          <cell r="AX915">
            <v>1</v>
          </cell>
          <cell r="AY915" t="str">
            <v>NULL</v>
          </cell>
          <cell r="AZ915">
            <v>1</v>
          </cell>
          <cell r="BA915">
            <v>9</v>
          </cell>
          <cell r="BB915" t="str">
            <v>NULL</v>
          </cell>
        </row>
        <row r="916">
          <cell r="D916">
            <v>135988</v>
          </cell>
          <cell r="E916">
            <v>3096088</v>
          </cell>
          <cell r="F916" t="str">
            <v>Assunnah Primary School</v>
          </cell>
          <cell r="G916" t="str">
            <v>Other Independent School</v>
          </cell>
          <cell r="H916">
            <v>40064</v>
          </cell>
          <cell r="I916">
            <v>90</v>
          </cell>
          <cell r="J916" t="str">
            <v>London</v>
          </cell>
          <cell r="K916" t="str">
            <v>London</v>
          </cell>
          <cell r="L916" t="str">
            <v>Haringey</v>
          </cell>
          <cell r="M916" t="str">
            <v>Tottenham</v>
          </cell>
          <cell r="N916" t="str">
            <v>N17 6SB</v>
          </cell>
          <cell r="O916" t="str">
            <v>Does not have a sixth form</v>
          </cell>
          <cell r="P916">
            <v>3</v>
          </cell>
          <cell r="Q916">
            <v>11</v>
          </cell>
          <cell r="R916" t="str">
            <v>None</v>
          </cell>
          <cell r="S916" t="str">
            <v>Ofsted</v>
          </cell>
          <cell r="T916" t="str">
            <v>NULL</v>
          </cell>
          <cell r="U916" t="str">
            <v>NULL</v>
          </cell>
          <cell r="V916" t="str">
            <v>NULL</v>
          </cell>
          <cell r="W916" t="str">
            <v>NULL</v>
          </cell>
          <cell r="X916" t="str">
            <v>NULL</v>
          </cell>
          <cell r="Y916" t="str">
            <v>NULL</v>
          </cell>
          <cell r="Z916" t="str">
            <v>NULL</v>
          </cell>
          <cell r="AA916">
            <v>10012782</v>
          </cell>
          <cell r="AB916" t="str">
            <v>Independent School standard inspection</v>
          </cell>
          <cell r="AC916" t="str">
            <v>Independent Standard Inspection</v>
          </cell>
          <cell r="AD916">
            <v>43018</v>
          </cell>
          <cell r="AE916">
            <v>43020</v>
          </cell>
          <cell r="AF916">
            <v>43112</v>
          </cell>
          <cell r="AG916">
            <v>3</v>
          </cell>
          <cell r="AH916">
            <v>3</v>
          </cell>
          <cell r="AI916">
            <v>3</v>
          </cell>
          <cell r="AJ916">
            <v>3</v>
          </cell>
          <cell r="AK916">
            <v>3</v>
          </cell>
          <cell r="AL916">
            <v>3</v>
          </cell>
          <cell r="AM916" t="str">
            <v>NULL</v>
          </cell>
          <cell r="AN916" t="str">
            <v>Yes</v>
          </cell>
          <cell r="AO916" t="str">
            <v>ITS422619</v>
          </cell>
          <cell r="AP916" t="str">
            <v>Independent School standard inspection</v>
          </cell>
          <cell r="AQ916" t="str">
            <v>Independent Standard Inspection</v>
          </cell>
          <cell r="AR916">
            <v>41443</v>
          </cell>
          <cell r="AS916">
            <v>41445</v>
          </cell>
          <cell r="AT916">
            <v>41467</v>
          </cell>
          <cell r="AU916">
            <v>3</v>
          </cell>
          <cell r="AV916">
            <v>3</v>
          </cell>
          <cell r="AW916">
            <v>3</v>
          </cell>
          <cell r="AX916">
            <v>3</v>
          </cell>
          <cell r="AY916" t="str">
            <v>NULL</v>
          </cell>
          <cell r="AZ916" t="str">
            <v>NULL</v>
          </cell>
          <cell r="BA916" t="str">
            <v>NULL</v>
          </cell>
          <cell r="BB916" t="str">
            <v>NULL</v>
          </cell>
        </row>
        <row r="917">
          <cell r="D917">
            <v>138118</v>
          </cell>
          <cell r="E917">
            <v>3906000</v>
          </cell>
          <cell r="F917" t="str">
            <v>Ateres Girls High School</v>
          </cell>
          <cell r="G917" t="str">
            <v>Other Independent School</v>
          </cell>
          <cell r="H917">
            <v>41026</v>
          </cell>
          <cell r="I917">
            <v>229</v>
          </cell>
          <cell r="J917" t="str">
            <v>North East, Yorkshire and the Humber</v>
          </cell>
          <cell r="K917" t="str">
            <v>North East</v>
          </cell>
          <cell r="L917" t="str">
            <v>Gateshead</v>
          </cell>
          <cell r="M917" t="str">
            <v>Gateshead</v>
          </cell>
          <cell r="N917" t="str">
            <v>NE10 9PQ</v>
          </cell>
          <cell r="O917" t="str">
            <v>Not applicable</v>
          </cell>
          <cell r="P917">
            <v>11</v>
          </cell>
          <cell r="Q917">
            <v>16</v>
          </cell>
          <cell r="R917" t="str">
            <v>None</v>
          </cell>
          <cell r="S917" t="str">
            <v>Ofsted</v>
          </cell>
          <cell r="T917">
            <v>2</v>
          </cell>
          <cell r="U917">
            <v>10033620</v>
          </cell>
          <cell r="V917" t="str">
            <v>Independent school Progress Monitoring inspection</v>
          </cell>
          <cell r="W917">
            <v>42796</v>
          </cell>
          <cell r="X917">
            <v>42796</v>
          </cell>
          <cell r="Y917">
            <v>42823</v>
          </cell>
          <cell r="Z917" t="str">
            <v>Met all standards that were checked</v>
          </cell>
          <cell r="AA917">
            <v>10010408</v>
          </cell>
          <cell r="AB917" t="str">
            <v>Independent School standard inspection</v>
          </cell>
          <cell r="AC917" t="str">
            <v>Independent Standard Inspection</v>
          </cell>
          <cell r="AD917">
            <v>42528</v>
          </cell>
          <cell r="AE917">
            <v>42530</v>
          </cell>
          <cell r="AF917">
            <v>42563</v>
          </cell>
          <cell r="AG917">
            <v>4</v>
          </cell>
          <cell r="AH917">
            <v>3</v>
          </cell>
          <cell r="AI917">
            <v>3</v>
          </cell>
          <cell r="AJ917">
            <v>4</v>
          </cell>
          <cell r="AK917">
            <v>3</v>
          </cell>
          <cell r="AL917" t="str">
            <v>NULL</v>
          </cell>
          <cell r="AM917" t="str">
            <v>NULL</v>
          </cell>
          <cell r="AN917" t="str">
            <v>Yes</v>
          </cell>
          <cell r="AO917" t="str">
            <v>ITS408690</v>
          </cell>
          <cell r="AP917" t="str">
            <v>Independent school standard inspection - first</v>
          </cell>
          <cell r="AQ917" t="str">
            <v>Independent Standard Inspection</v>
          </cell>
          <cell r="AR917">
            <v>41338</v>
          </cell>
          <cell r="AS917">
            <v>41340</v>
          </cell>
          <cell r="AT917">
            <v>41395</v>
          </cell>
          <cell r="AU917">
            <v>2</v>
          </cell>
          <cell r="AV917">
            <v>2</v>
          </cell>
          <cell r="AW917">
            <v>2</v>
          </cell>
          <cell r="AX917">
            <v>1</v>
          </cell>
          <cell r="AY917" t="str">
            <v>NULL</v>
          </cell>
          <cell r="AZ917" t="str">
            <v>NULL</v>
          </cell>
          <cell r="BA917" t="str">
            <v>NULL</v>
          </cell>
          <cell r="BB917" t="str">
            <v>NULL</v>
          </cell>
        </row>
        <row r="918">
          <cell r="D918">
            <v>102941</v>
          </cell>
          <cell r="E918">
            <v>3186060</v>
          </cell>
          <cell r="F918" t="str">
            <v>Athelstan House School</v>
          </cell>
          <cell r="G918" t="str">
            <v>Other Independent School</v>
          </cell>
          <cell r="H918">
            <v>30032</v>
          </cell>
          <cell r="I918">
            <v>26</v>
          </cell>
          <cell r="J918" t="str">
            <v>London</v>
          </cell>
          <cell r="K918" t="str">
            <v>London</v>
          </cell>
          <cell r="L918" t="str">
            <v>Richmond upon Thames</v>
          </cell>
          <cell r="M918" t="str">
            <v>Twickenham</v>
          </cell>
          <cell r="N918" t="str">
            <v>TW12 2LA</v>
          </cell>
          <cell r="O918" t="str">
            <v>Does not have a sixth form</v>
          </cell>
          <cell r="P918">
            <v>2</v>
          </cell>
          <cell r="Q918">
            <v>7</v>
          </cell>
          <cell r="R918" t="str">
            <v>None</v>
          </cell>
          <cell r="S918" t="str">
            <v>Ofsted</v>
          </cell>
          <cell r="T918">
            <v>1</v>
          </cell>
          <cell r="U918">
            <v>10048488</v>
          </cell>
          <cell r="V918" t="str">
            <v>Independent school evaluation of school action plan</v>
          </cell>
          <cell r="W918">
            <v>43161</v>
          </cell>
          <cell r="X918">
            <v>43161</v>
          </cell>
          <cell r="Y918" t="str">
            <v>NULL</v>
          </cell>
          <cell r="Z918" t="str">
            <v>Action plan is acceptable with modifications</v>
          </cell>
          <cell r="AA918">
            <v>10008547</v>
          </cell>
          <cell r="AB918" t="str">
            <v>Independent School standard inspection</v>
          </cell>
          <cell r="AC918" t="str">
            <v>Independent Standard Inspection</v>
          </cell>
          <cell r="AD918">
            <v>43053</v>
          </cell>
          <cell r="AE918">
            <v>43055</v>
          </cell>
          <cell r="AF918">
            <v>43111</v>
          </cell>
          <cell r="AG918">
            <v>3</v>
          </cell>
          <cell r="AH918">
            <v>2</v>
          </cell>
          <cell r="AI918">
            <v>2</v>
          </cell>
          <cell r="AJ918">
            <v>3</v>
          </cell>
          <cell r="AK918">
            <v>2</v>
          </cell>
          <cell r="AL918">
            <v>0</v>
          </cell>
          <cell r="AM918" t="str">
            <v>NULL</v>
          </cell>
          <cell r="AN918" t="str">
            <v>Yes</v>
          </cell>
          <cell r="AO918" t="str">
            <v>ITS341942</v>
          </cell>
          <cell r="AP918" t="str">
            <v>S162a - LTI Inspection Historic</v>
          </cell>
          <cell r="AQ918" t="str">
            <v>Independent Standard Inspection</v>
          </cell>
          <cell r="AR918">
            <v>40079</v>
          </cell>
          <cell r="AS918">
            <v>40079</v>
          </cell>
          <cell r="AT918">
            <v>40197</v>
          </cell>
          <cell r="AU918">
            <v>2</v>
          </cell>
          <cell r="AV918">
            <v>2</v>
          </cell>
          <cell r="AW918">
            <v>2</v>
          </cell>
          <cell r="AX918" t="str">
            <v>NULL</v>
          </cell>
          <cell r="AY918" t="str">
            <v>NULL</v>
          </cell>
          <cell r="AZ918">
            <v>2</v>
          </cell>
          <cell r="BA918" t="str">
            <v>NULL</v>
          </cell>
          <cell r="BB918" t="str">
            <v>NULL</v>
          </cell>
        </row>
        <row r="919">
          <cell r="D919">
            <v>137505</v>
          </cell>
          <cell r="E919">
            <v>2046002</v>
          </cell>
          <cell r="F919" t="str">
            <v>Beis Ruchel D`Satmar</v>
          </cell>
          <cell r="G919" t="str">
            <v>Other Independent School</v>
          </cell>
          <cell r="H919">
            <v>40800</v>
          </cell>
          <cell r="I919">
            <v>353</v>
          </cell>
          <cell r="J919" t="str">
            <v>London</v>
          </cell>
          <cell r="K919" t="str">
            <v>London</v>
          </cell>
          <cell r="L919" t="str">
            <v>Hackney</v>
          </cell>
          <cell r="M919" t="str">
            <v>Hackney North and Stoke Newington</v>
          </cell>
          <cell r="N919" t="str">
            <v>N16 5RS</v>
          </cell>
          <cell r="O919" t="str">
            <v>Does not have a sixth form</v>
          </cell>
          <cell r="P919">
            <v>5</v>
          </cell>
          <cell r="Q919">
            <v>11</v>
          </cell>
          <cell r="R919" t="str">
            <v>Orthodox Jewish</v>
          </cell>
          <cell r="S919" t="str">
            <v>Ofsted</v>
          </cell>
          <cell r="T919">
            <v>2</v>
          </cell>
          <cell r="U919">
            <v>10034272</v>
          </cell>
          <cell r="V919" t="str">
            <v>Independent school Progress Monitoring inspection</v>
          </cell>
          <cell r="W919">
            <v>42877</v>
          </cell>
          <cell r="X919">
            <v>42877</v>
          </cell>
          <cell r="Y919">
            <v>42898</v>
          </cell>
          <cell r="Z919" t="str">
            <v>Did not meet all standards that were checked</v>
          </cell>
          <cell r="AA919">
            <v>10012789</v>
          </cell>
          <cell r="AB919" t="str">
            <v>Independent School standard inspection</v>
          </cell>
          <cell r="AC919" t="str">
            <v>Independent Standard Inspection</v>
          </cell>
          <cell r="AD919">
            <v>42549</v>
          </cell>
          <cell r="AE919">
            <v>42551</v>
          </cell>
          <cell r="AF919">
            <v>42681</v>
          </cell>
          <cell r="AG919">
            <v>4</v>
          </cell>
          <cell r="AH919">
            <v>3</v>
          </cell>
          <cell r="AI919">
            <v>3</v>
          </cell>
          <cell r="AJ919">
            <v>4</v>
          </cell>
          <cell r="AK919">
            <v>3</v>
          </cell>
          <cell r="AL919">
            <v>4</v>
          </cell>
          <cell r="AM919" t="str">
            <v>NULL</v>
          </cell>
          <cell r="AN919" t="str">
            <v>No</v>
          </cell>
          <cell r="AO919" t="str">
            <v>ITS393287</v>
          </cell>
          <cell r="AP919" t="str">
            <v>Independent school standard inspection - first</v>
          </cell>
          <cell r="AQ919" t="str">
            <v>Independent Standard Inspection</v>
          </cell>
          <cell r="AR919">
            <v>41080</v>
          </cell>
          <cell r="AS919">
            <v>41081</v>
          </cell>
          <cell r="AT919">
            <v>41102</v>
          </cell>
          <cell r="AU919">
            <v>2</v>
          </cell>
          <cell r="AV919">
            <v>2</v>
          </cell>
          <cell r="AW919">
            <v>2</v>
          </cell>
          <cell r="AX919" t="str">
            <v>NULL</v>
          </cell>
          <cell r="AY919" t="str">
            <v>NULL</v>
          </cell>
          <cell r="AZ919">
            <v>8</v>
          </cell>
          <cell r="BA919" t="str">
            <v>NULL</v>
          </cell>
          <cell r="BB919" t="str">
            <v>NULL</v>
          </cell>
        </row>
        <row r="920">
          <cell r="D920">
            <v>130286</v>
          </cell>
          <cell r="E920">
            <v>3526050</v>
          </cell>
          <cell r="F920" t="str">
            <v>Beis Ruchel Girls School</v>
          </cell>
          <cell r="G920" t="str">
            <v>Other Independent School</v>
          </cell>
          <cell r="H920">
            <v>35010</v>
          </cell>
          <cell r="I920">
            <v>299</v>
          </cell>
          <cell r="J920" t="str">
            <v>North West</v>
          </cell>
          <cell r="K920" t="str">
            <v>North West</v>
          </cell>
          <cell r="L920" t="str">
            <v>Manchester</v>
          </cell>
          <cell r="M920" t="str">
            <v>Blackley and Broughton</v>
          </cell>
          <cell r="N920" t="str">
            <v>M8 5BQ</v>
          </cell>
          <cell r="O920" t="str">
            <v>Does not have a sixth form</v>
          </cell>
          <cell r="P920">
            <v>3</v>
          </cell>
          <cell r="Q920">
            <v>11</v>
          </cell>
          <cell r="R920" t="str">
            <v>None</v>
          </cell>
          <cell r="S920" t="str">
            <v>Ofsted</v>
          </cell>
          <cell r="T920">
            <v>2</v>
          </cell>
          <cell r="U920">
            <v>10043709</v>
          </cell>
          <cell r="V920" t="str">
            <v>Independent school Progress Monitoring inspection</v>
          </cell>
          <cell r="W920">
            <v>43081</v>
          </cell>
          <cell r="X920">
            <v>43081</v>
          </cell>
          <cell r="Y920">
            <v>43129</v>
          </cell>
          <cell r="Z920" t="str">
            <v>Did not meet all standards that were checked</v>
          </cell>
          <cell r="AA920">
            <v>10026805</v>
          </cell>
          <cell r="AB920" t="str">
            <v>Independent School standard inspection</v>
          </cell>
          <cell r="AC920" t="str">
            <v>Independent Standard Inspection</v>
          </cell>
          <cell r="AD920">
            <v>42815</v>
          </cell>
          <cell r="AE920">
            <v>42817</v>
          </cell>
          <cell r="AF920">
            <v>42871</v>
          </cell>
          <cell r="AG920">
            <v>4</v>
          </cell>
          <cell r="AH920">
            <v>2</v>
          </cell>
          <cell r="AI920">
            <v>2</v>
          </cell>
          <cell r="AJ920">
            <v>4</v>
          </cell>
          <cell r="AK920">
            <v>3</v>
          </cell>
          <cell r="AL920">
            <v>3</v>
          </cell>
          <cell r="AM920" t="str">
            <v>NULL</v>
          </cell>
          <cell r="AN920" t="str">
            <v>Yes</v>
          </cell>
          <cell r="AO920">
            <v>10008551</v>
          </cell>
          <cell r="AP920" t="str">
            <v>Independent School standard inspection</v>
          </cell>
          <cell r="AQ920" t="str">
            <v>Independent Standard Inspection</v>
          </cell>
          <cell r="AR920">
            <v>42543</v>
          </cell>
          <cell r="AS920">
            <v>42545</v>
          </cell>
          <cell r="AT920">
            <v>42566</v>
          </cell>
          <cell r="AU920">
            <v>2</v>
          </cell>
          <cell r="AV920">
            <v>2</v>
          </cell>
          <cell r="AW920">
            <v>2</v>
          </cell>
          <cell r="AX920">
            <v>2</v>
          </cell>
          <cell r="AY920">
            <v>1</v>
          </cell>
          <cell r="AZ920">
            <v>2</v>
          </cell>
          <cell r="BA920" t="str">
            <v>NULL</v>
          </cell>
          <cell r="BB920" t="str">
            <v>Yes</v>
          </cell>
        </row>
        <row r="921">
          <cell r="D921">
            <v>136086</v>
          </cell>
          <cell r="E921">
            <v>3556057</v>
          </cell>
          <cell r="F921" t="str">
            <v>Beis Ruchel Girls School</v>
          </cell>
          <cell r="G921" t="str">
            <v>Other Independent School</v>
          </cell>
          <cell r="H921">
            <v>40248</v>
          </cell>
          <cell r="I921">
            <v>117</v>
          </cell>
          <cell r="J921" t="str">
            <v>North West</v>
          </cell>
          <cell r="K921" t="str">
            <v>North West</v>
          </cell>
          <cell r="L921" t="str">
            <v>Salford</v>
          </cell>
          <cell r="M921" t="str">
            <v>Blackley and Broughton</v>
          </cell>
          <cell r="N921" t="str">
            <v>M7 4AJ</v>
          </cell>
          <cell r="O921" t="str">
            <v>Does not have a sixth form</v>
          </cell>
          <cell r="P921">
            <v>11</v>
          </cell>
          <cell r="Q921">
            <v>16</v>
          </cell>
          <cell r="R921" t="str">
            <v>None</v>
          </cell>
          <cell r="S921" t="str">
            <v>Ofsted</v>
          </cell>
          <cell r="T921" t="str">
            <v>NULL</v>
          </cell>
          <cell r="U921" t="str">
            <v>NULL</v>
          </cell>
          <cell r="V921" t="str">
            <v>NULL</v>
          </cell>
          <cell r="W921" t="str">
            <v>NULL</v>
          </cell>
          <cell r="X921" t="str">
            <v>NULL</v>
          </cell>
          <cell r="Y921" t="str">
            <v>NULL</v>
          </cell>
          <cell r="Z921" t="str">
            <v>NULL</v>
          </cell>
          <cell r="AA921" t="str">
            <v>ITS443452</v>
          </cell>
          <cell r="AB921" t="str">
            <v>Independent school standard inspection - first</v>
          </cell>
          <cell r="AC921" t="str">
            <v>Independent Standard Inspection</v>
          </cell>
          <cell r="AD921">
            <v>41968</v>
          </cell>
          <cell r="AE921">
            <v>41970</v>
          </cell>
          <cell r="AF921">
            <v>42013</v>
          </cell>
          <cell r="AG921">
            <v>2</v>
          </cell>
          <cell r="AH921">
            <v>2</v>
          </cell>
          <cell r="AI921">
            <v>2</v>
          </cell>
          <cell r="AJ921">
            <v>2</v>
          </cell>
          <cell r="AK921" t="str">
            <v>NULL</v>
          </cell>
          <cell r="AL921">
            <v>9</v>
          </cell>
          <cell r="AM921">
            <v>9</v>
          </cell>
          <cell r="AN921" t="str">
            <v>NULL</v>
          </cell>
          <cell r="AO921" t="str">
            <v>NULL</v>
          </cell>
          <cell r="AP921" t="str">
            <v>NULL</v>
          </cell>
          <cell r="AQ921" t="str">
            <v>NULL</v>
          </cell>
          <cell r="AR921" t="str">
            <v>NULL</v>
          </cell>
          <cell r="AS921" t="str">
            <v>NULL</v>
          </cell>
          <cell r="AT921" t="str">
            <v>NULL</v>
          </cell>
          <cell r="AU921" t="str">
            <v>NULL</v>
          </cell>
          <cell r="AV921" t="str">
            <v>NULL</v>
          </cell>
          <cell r="AW921" t="str">
            <v>NULL</v>
          </cell>
          <cell r="AX921" t="str">
            <v>NULL</v>
          </cell>
          <cell r="AY921" t="str">
            <v>NULL</v>
          </cell>
          <cell r="AZ921" t="str">
            <v>NULL</v>
          </cell>
          <cell r="BA921" t="str">
            <v>NULL</v>
          </cell>
          <cell r="BB921" t="str">
            <v>NULL</v>
          </cell>
        </row>
        <row r="922">
          <cell r="D922">
            <v>131026</v>
          </cell>
          <cell r="E922">
            <v>3026104</v>
          </cell>
          <cell r="F922" t="str">
            <v>Beis Soroh Schneirer</v>
          </cell>
          <cell r="G922" t="str">
            <v>Other Independent School</v>
          </cell>
          <cell r="H922">
            <v>35311</v>
          </cell>
          <cell r="I922">
            <v>245</v>
          </cell>
          <cell r="J922" t="str">
            <v>London</v>
          </cell>
          <cell r="K922" t="str">
            <v>London</v>
          </cell>
          <cell r="L922" t="str">
            <v>Barnet</v>
          </cell>
          <cell r="M922" t="str">
            <v>Hendon</v>
          </cell>
          <cell r="N922" t="str">
            <v>NW9 6AX</v>
          </cell>
          <cell r="O922" t="str">
            <v>Does not have a sixth form</v>
          </cell>
          <cell r="P922">
            <v>3</v>
          </cell>
          <cell r="Q922">
            <v>11</v>
          </cell>
          <cell r="R922" t="str">
            <v>None</v>
          </cell>
          <cell r="S922" t="str">
            <v>Ofsted</v>
          </cell>
          <cell r="T922">
            <v>1</v>
          </cell>
          <cell r="U922">
            <v>10048461</v>
          </cell>
          <cell r="V922" t="str">
            <v>Independent school evaluation of school action plan</v>
          </cell>
          <cell r="W922">
            <v>43146</v>
          </cell>
          <cell r="X922">
            <v>43146</v>
          </cell>
          <cell r="Y922" t="str">
            <v>NULL</v>
          </cell>
          <cell r="Z922" t="str">
            <v>Action plan is acceptable</v>
          </cell>
          <cell r="AA922">
            <v>10008541</v>
          </cell>
          <cell r="AB922" t="str">
            <v>Independent School standard inspection</v>
          </cell>
          <cell r="AC922" t="str">
            <v>Independent Standard Inspection</v>
          </cell>
          <cell r="AD922">
            <v>43004</v>
          </cell>
          <cell r="AE922">
            <v>43006</v>
          </cell>
          <cell r="AF922">
            <v>43046</v>
          </cell>
          <cell r="AG922">
            <v>3</v>
          </cell>
          <cell r="AH922">
            <v>3</v>
          </cell>
          <cell r="AI922">
            <v>3</v>
          </cell>
          <cell r="AJ922">
            <v>3</v>
          </cell>
          <cell r="AK922">
            <v>2</v>
          </cell>
          <cell r="AL922">
            <v>2</v>
          </cell>
          <cell r="AM922" t="str">
            <v>NULL</v>
          </cell>
          <cell r="AN922" t="str">
            <v>Yes</v>
          </cell>
          <cell r="AO922" t="str">
            <v>ITS345366</v>
          </cell>
          <cell r="AP922" t="str">
            <v>S162a - LTI Inspection Historic</v>
          </cell>
          <cell r="AQ922" t="str">
            <v>Independent Standard Inspection</v>
          </cell>
          <cell r="AR922">
            <v>40192</v>
          </cell>
          <cell r="AS922">
            <v>40192</v>
          </cell>
          <cell r="AT922">
            <v>40213</v>
          </cell>
          <cell r="AU922">
            <v>2</v>
          </cell>
          <cell r="AV922">
            <v>2</v>
          </cell>
          <cell r="AW922">
            <v>2</v>
          </cell>
          <cell r="AX922" t="str">
            <v>NULL</v>
          </cell>
          <cell r="AY922" t="str">
            <v>NULL</v>
          </cell>
          <cell r="AZ922">
            <v>2</v>
          </cell>
          <cell r="BA922" t="str">
            <v>NULL</v>
          </cell>
          <cell r="BB922" t="str">
            <v>NULL</v>
          </cell>
        </row>
        <row r="923">
          <cell r="D923">
            <v>140227</v>
          </cell>
          <cell r="E923">
            <v>8936032</v>
          </cell>
          <cell r="F923" t="str">
            <v>Bridge School</v>
          </cell>
          <cell r="G923" t="str">
            <v>Other Independent School</v>
          </cell>
          <cell r="H923">
            <v>41544</v>
          </cell>
          <cell r="I923">
            <v>5</v>
          </cell>
          <cell r="J923" t="str">
            <v>West Midlands</v>
          </cell>
          <cell r="K923" t="str">
            <v>West Midlands</v>
          </cell>
          <cell r="L923" t="str">
            <v>Shropshire</v>
          </cell>
          <cell r="M923" t="str">
            <v>Hammersmith</v>
          </cell>
          <cell r="N923" t="str">
            <v>W6 9RU</v>
          </cell>
          <cell r="O923" t="str">
            <v>Has a sixth form</v>
          </cell>
          <cell r="P923">
            <v>11</v>
          </cell>
          <cell r="Q923">
            <v>18</v>
          </cell>
          <cell r="R923" t="str">
            <v>None</v>
          </cell>
          <cell r="S923" t="str">
            <v>Ofsted</v>
          </cell>
          <cell r="T923" t="str">
            <v>NULL</v>
          </cell>
          <cell r="U923" t="str">
            <v>NULL</v>
          </cell>
          <cell r="V923" t="str">
            <v>NULL</v>
          </cell>
          <cell r="W923" t="str">
            <v>NULL</v>
          </cell>
          <cell r="X923" t="str">
            <v>NULL</v>
          </cell>
          <cell r="Y923" t="str">
            <v>NULL</v>
          </cell>
          <cell r="Z923" t="str">
            <v>NULL</v>
          </cell>
          <cell r="AA923">
            <v>10033584</v>
          </cell>
          <cell r="AB923" t="str">
            <v>Independent School standard inspection</v>
          </cell>
          <cell r="AC923" t="str">
            <v>Independent Standard Inspection</v>
          </cell>
          <cell r="AD923">
            <v>42913</v>
          </cell>
          <cell r="AE923">
            <v>42915</v>
          </cell>
          <cell r="AF923">
            <v>42990</v>
          </cell>
          <cell r="AG923">
            <v>2</v>
          </cell>
          <cell r="AH923">
            <v>2</v>
          </cell>
          <cell r="AI923">
            <v>2</v>
          </cell>
          <cell r="AJ923">
            <v>2</v>
          </cell>
          <cell r="AK923">
            <v>1</v>
          </cell>
          <cell r="AL923" t="str">
            <v>NULL</v>
          </cell>
          <cell r="AM923" t="str">
            <v>NULL</v>
          </cell>
          <cell r="AN923" t="str">
            <v>Yes</v>
          </cell>
          <cell r="AO923" t="str">
            <v>ITS443036</v>
          </cell>
          <cell r="AP923" t="str">
            <v>Independent school standard inspection - first</v>
          </cell>
          <cell r="AQ923" t="str">
            <v>Independent Standard Inspection</v>
          </cell>
          <cell r="AR923">
            <v>41794</v>
          </cell>
          <cell r="AS923">
            <v>41796</v>
          </cell>
          <cell r="AT923">
            <v>41815</v>
          </cell>
          <cell r="AU923">
            <v>2</v>
          </cell>
          <cell r="AV923">
            <v>2</v>
          </cell>
          <cell r="AW923">
            <v>2</v>
          </cell>
          <cell r="AX923">
            <v>2</v>
          </cell>
          <cell r="AY923" t="str">
            <v>NULL</v>
          </cell>
          <cell r="AZ923" t="str">
            <v>NULL</v>
          </cell>
          <cell r="BA923" t="str">
            <v>NULL</v>
          </cell>
          <cell r="BB923" t="str">
            <v>NULL</v>
          </cell>
        </row>
        <row r="924">
          <cell r="D924">
            <v>131687</v>
          </cell>
          <cell r="E924">
            <v>3306097</v>
          </cell>
          <cell r="F924" t="str">
            <v>Hamd House School</v>
          </cell>
          <cell r="G924" t="str">
            <v>Other Independent School</v>
          </cell>
          <cell r="H924">
            <v>36080</v>
          </cell>
          <cell r="I924">
            <v>218</v>
          </cell>
          <cell r="J924" t="str">
            <v>West Midlands</v>
          </cell>
          <cell r="K924" t="str">
            <v>West Midlands</v>
          </cell>
          <cell r="L924" t="str">
            <v>Birmingham</v>
          </cell>
          <cell r="M924" t="str">
            <v>Birmingham, Hodge Hill</v>
          </cell>
          <cell r="N924" t="str">
            <v>B9 5QT</v>
          </cell>
          <cell r="O924" t="str">
            <v>Does not have a sixth form</v>
          </cell>
          <cell r="P924">
            <v>5</v>
          </cell>
          <cell r="Q924">
            <v>16</v>
          </cell>
          <cell r="R924" t="str">
            <v>Islam</v>
          </cell>
          <cell r="S924" t="str">
            <v>Ofsted</v>
          </cell>
          <cell r="T924" t="str">
            <v>NULL</v>
          </cell>
          <cell r="U924" t="str">
            <v>NULL</v>
          </cell>
          <cell r="V924" t="str">
            <v>NULL</v>
          </cell>
          <cell r="W924" t="str">
            <v>NULL</v>
          </cell>
          <cell r="X924" t="str">
            <v>NULL</v>
          </cell>
          <cell r="Y924" t="str">
            <v>NULL</v>
          </cell>
          <cell r="Z924" t="str">
            <v>NULL</v>
          </cell>
          <cell r="AA924">
            <v>10033384</v>
          </cell>
          <cell r="AB924" t="str">
            <v>Independent School standard inspection</v>
          </cell>
          <cell r="AC924" t="str">
            <v>Independent Standard Inspection</v>
          </cell>
          <cell r="AD924">
            <v>42800</v>
          </cell>
          <cell r="AE924">
            <v>42802</v>
          </cell>
          <cell r="AF924">
            <v>42830</v>
          </cell>
          <cell r="AG924">
            <v>2</v>
          </cell>
          <cell r="AH924">
            <v>2</v>
          </cell>
          <cell r="AI924">
            <v>2</v>
          </cell>
          <cell r="AJ924">
            <v>1</v>
          </cell>
          <cell r="AK924">
            <v>1</v>
          </cell>
          <cell r="AL924" t="str">
            <v>NULL</v>
          </cell>
          <cell r="AM924" t="str">
            <v>NULL</v>
          </cell>
          <cell r="AN924" t="str">
            <v>Yes</v>
          </cell>
          <cell r="AO924" t="str">
            <v>ITS353863</v>
          </cell>
          <cell r="AP924" t="str">
            <v>S162a - LTI Inspection Historic</v>
          </cell>
          <cell r="AQ924" t="str">
            <v>Independent Standard Inspection</v>
          </cell>
          <cell r="AR924">
            <v>40316</v>
          </cell>
          <cell r="AS924">
            <v>40317</v>
          </cell>
          <cell r="AT924">
            <v>40343</v>
          </cell>
          <cell r="AU924">
            <v>2</v>
          </cell>
          <cell r="AV924">
            <v>2</v>
          </cell>
          <cell r="AW924">
            <v>2</v>
          </cell>
          <cell r="AX924" t="str">
            <v>NULL</v>
          </cell>
          <cell r="AY924" t="str">
            <v>NULL</v>
          </cell>
          <cell r="AZ924">
            <v>2</v>
          </cell>
          <cell r="BA924" t="str">
            <v>NULL</v>
          </cell>
          <cell r="BB924" t="str">
            <v>NULL</v>
          </cell>
        </row>
        <row r="925">
          <cell r="D925">
            <v>139264</v>
          </cell>
          <cell r="E925">
            <v>9256005</v>
          </cell>
          <cell r="F925" t="str">
            <v>Bridge House Independent School</v>
          </cell>
          <cell r="G925" t="str">
            <v>Other Independent School</v>
          </cell>
          <cell r="H925">
            <v>41291</v>
          </cell>
          <cell r="I925">
            <v>43</v>
          </cell>
          <cell r="J925" t="str">
            <v>East Midlands</v>
          </cell>
          <cell r="K925" t="str">
            <v>East Midlands</v>
          </cell>
          <cell r="L925" t="str">
            <v>Lincolnshire</v>
          </cell>
          <cell r="M925" t="str">
            <v>Boston and Skegness</v>
          </cell>
          <cell r="N925" t="str">
            <v>PE21 7NL</v>
          </cell>
          <cell r="O925" t="str">
            <v>Does not have a sixth form</v>
          </cell>
          <cell r="P925">
            <v>12</v>
          </cell>
          <cell r="Q925">
            <v>16</v>
          </cell>
          <cell r="R925" t="str">
            <v>None</v>
          </cell>
          <cell r="S925" t="str">
            <v>Ofsted</v>
          </cell>
          <cell r="T925" t="str">
            <v>NULL</v>
          </cell>
          <cell r="U925" t="str">
            <v>NULL</v>
          </cell>
          <cell r="V925" t="str">
            <v>NULL</v>
          </cell>
          <cell r="W925" t="str">
            <v>NULL</v>
          </cell>
          <cell r="X925" t="str">
            <v>NULL</v>
          </cell>
          <cell r="Y925" t="str">
            <v>NULL</v>
          </cell>
          <cell r="Z925" t="str">
            <v>NULL</v>
          </cell>
          <cell r="AA925">
            <v>10020833</v>
          </cell>
          <cell r="AB925" t="str">
            <v>Independent School standard inspection</v>
          </cell>
          <cell r="AC925" t="str">
            <v>Independent Standard Inspection</v>
          </cell>
          <cell r="AD925">
            <v>42703</v>
          </cell>
          <cell r="AE925">
            <v>42705</v>
          </cell>
          <cell r="AF925">
            <v>42754</v>
          </cell>
          <cell r="AG925">
            <v>1</v>
          </cell>
          <cell r="AH925">
            <v>1</v>
          </cell>
          <cell r="AI925">
            <v>1</v>
          </cell>
          <cell r="AJ925">
            <v>1</v>
          </cell>
          <cell r="AK925">
            <v>1</v>
          </cell>
          <cell r="AL925" t="str">
            <v>NULL</v>
          </cell>
          <cell r="AM925" t="str">
            <v>NULL</v>
          </cell>
          <cell r="AN925" t="str">
            <v>Yes</v>
          </cell>
          <cell r="AO925" t="str">
            <v>ITS422858</v>
          </cell>
          <cell r="AP925" t="str">
            <v>Independent school standard inspection - first</v>
          </cell>
          <cell r="AQ925" t="str">
            <v>Independent Standard Inspection</v>
          </cell>
          <cell r="AR925">
            <v>41619</v>
          </cell>
          <cell r="AS925">
            <v>41621</v>
          </cell>
          <cell r="AT925">
            <v>41661</v>
          </cell>
          <cell r="AU925">
            <v>2</v>
          </cell>
          <cell r="AV925">
            <v>2</v>
          </cell>
          <cell r="AW925">
            <v>2</v>
          </cell>
          <cell r="AX925">
            <v>2</v>
          </cell>
          <cell r="AY925" t="str">
            <v>NULL</v>
          </cell>
          <cell r="AZ925" t="str">
            <v>NULL</v>
          </cell>
          <cell r="BA925" t="str">
            <v>NULL</v>
          </cell>
          <cell r="BB925" t="str">
            <v>NULL</v>
          </cell>
        </row>
        <row r="926">
          <cell r="D926">
            <v>133348</v>
          </cell>
          <cell r="E926">
            <v>8466023</v>
          </cell>
          <cell r="F926" t="str">
            <v>Brighton and Hove Montessori School</v>
          </cell>
          <cell r="G926" t="str">
            <v>Other Independent School</v>
          </cell>
          <cell r="H926">
            <v>37032</v>
          </cell>
          <cell r="I926">
            <v>24</v>
          </cell>
          <cell r="J926" t="str">
            <v>South East</v>
          </cell>
          <cell r="K926" t="str">
            <v>South East</v>
          </cell>
          <cell r="L926" t="str">
            <v>Brighton and Hove</v>
          </cell>
          <cell r="M926" t="str">
            <v>Brighton, Pavilion</v>
          </cell>
          <cell r="N926" t="str">
            <v>BN1 6FB</v>
          </cell>
          <cell r="O926" t="str">
            <v>Does not have a sixth form</v>
          </cell>
          <cell r="P926">
            <v>2</v>
          </cell>
          <cell r="Q926">
            <v>11</v>
          </cell>
          <cell r="R926" t="str">
            <v>None</v>
          </cell>
          <cell r="S926" t="str">
            <v>Ofsted</v>
          </cell>
          <cell r="T926" t="str">
            <v>NULL</v>
          </cell>
          <cell r="U926" t="str">
            <v>NULL</v>
          </cell>
          <cell r="V926" t="str">
            <v>NULL</v>
          </cell>
          <cell r="W926" t="str">
            <v>NULL</v>
          </cell>
          <cell r="X926" t="str">
            <v>NULL</v>
          </cell>
          <cell r="Y926" t="str">
            <v>NULL</v>
          </cell>
          <cell r="Z926" t="str">
            <v>NULL</v>
          </cell>
          <cell r="AA926" t="str">
            <v>ITS422749</v>
          </cell>
          <cell r="AB926" t="str">
            <v>Independent School standard inspection</v>
          </cell>
          <cell r="AC926" t="str">
            <v>Independent Standard Inspection</v>
          </cell>
          <cell r="AD926">
            <v>41542</v>
          </cell>
          <cell r="AE926">
            <v>41544</v>
          </cell>
          <cell r="AF926">
            <v>41564</v>
          </cell>
          <cell r="AG926">
            <v>3</v>
          </cell>
          <cell r="AH926">
            <v>3</v>
          </cell>
          <cell r="AI926">
            <v>3</v>
          </cell>
          <cell r="AJ926">
            <v>3</v>
          </cell>
          <cell r="AK926" t="str">
            <v>NULL</v>
          </cell>
          <cell r="AL926" t="str">
            <v>NULL</v>
          </cell>
          <cell r="AM926" t="str">
            <v>NULL</v>
          </cell>
          <cell r="AN926" t="str">
            <v>NULL</v>
          </cell>
          <cell r="AO926" t="str">
            <v>ITS348769</v>
          </cell>
          <cell r="AP926" t="str">
            <v>S162a - LTI Inspection Historic</v>
          </cell>
          <cell r="AQ926" t="str">
            <v>Independent Standard Inspection</v>
          </cell>
          <cell r="AR926">
            <v>40358</v>
          </cell>
          <cell r="AS926">
            <v>40358</v>
          </cell>
          <cell r="AT926">
            <v>40379</v>
          </cell>
          <cell r="AU926">
            <v>3</v>
          </cell>
          <cell r="AV926">
            <v>3</v>
          </cell>
          <cell r="AW926">
            <v>3</v>
          </cell>
          <cell r="AX926" t="str">
            <v>NULL</v>
          </cell>
          <cell r="AY926" t="str">
            <v>NULL</v>
          </cell>
          <cell r="AZ926">
            <v>4</v>
          </cell>
          <cell r="BA926" t="str">
            <v>NULL</v>
          </cell>
          <cell r="BB926" t="str">
            <v>NULL</v>
          </cell>
        </row>
        <row r="927">
          <cell r="D927">
            <v>110147</v>
          </cell>
          <cell r="E927">
            <v>8686011</v>
          </cell>
          <cell r="F927" t="str">
            <v>Queensmead School Limited</v>
          </cell>
          <cell r="G927" t="str">
            <v>Other Independent School</v>
          </cell>
          <cell r="H927">
            <v>21121</v>
          </cell>
          <cell r="I927">
            <v>73</v>
          </cell>
          <cell r="J927" t="str">
            <v>South East</v>
          </cell>
          <cell r="K927" t="str">
            <v>South East</v>
          </cell>
          <cell r="L927" t="str">
            <v>Windsor and Maidenhead</v>
          </cell>
          <cell r="M927" t="str">
            <v>Windsor</v>
          </cell>
          <cell r="N927" t="str">
            <v>SL4 2AX</v>
          </cell>
          <cell r="O927" t="str">
            <v>Has a sixth form</v>
          </cell>
          <cell r="P927">
            <v>2</v>
          </cell>
          <cell r="Q927">
            <v>19</v>
          </cell>
          <cell r="R927" t="str">
            <v>Roman Catholic</v>
          </cell>
          <cell r="S927" t="str">
            <v>Ofsted</v>
          </cell>
          <cell r="T927" t="str">
            <v>NULL</v>
          </cell>
          <cell r="U927" t="str">
            <v>NULL</v>
          </cell>
          <cell r="V927" t="str">
            <v>NULL</v>
          </cell>
          <cell r="W927" t="str">
            <v>NULL</v>
          </cell>
          <cell r="X927" t="str">
            <v>NULL</v>
          </cell>
          <cell r="Y927" t="str">
            <v>NULL</v>
          </cell>
          <cell r="Z927" t="str">
            <v>NULL</v>
          </cell>
          <cell r="AA927" t="str">
            <v>NULL</v>
          </cell>
          <cell r="AB927" t="str">
            <v>NULL</v>
          </cell>
          <cell r="AC927" t="str">
            <v>NULL</v>
          </cell>
          <cell r="AD927" t="str">
            <v>NULL</v>
          </cell>
          <cell r="AE927" t="str">
            <v>NULL</v>
          </cell>
          <cell r="AF927" t="str">
            <v>NULL</v>
          </cell>
          <cell r="AG927" t="str">
            <v>NULL</v>
          </cell>
          <cell r="AH927" t="str">
            <v>NULL</v>
          </cell>
          <cell r="AI927" t="str">
            <v>NULL</v>
          </cell>
          <cell r="AJ927" t="str">
            <v>NULL</v>
          </cell>
          <cell r="AK927" t="str">
            <v>NULL</v>
          </cell>
          <cell r="AL927" t="str">
            <v>NULL</v>
          </cell>
          <cell r="AM927" t="str">
            <v>NULL</v>
          </cell>
          <cell r="AN927" t="str">
            <v>NULL</v>
          </cell>
          <cell r="AO927" t="str">
            <v>NULL</v>
          </cell>
          <cell r="AP927" t="str">
            <v>NULL</v>
          </cell>
          <cell r="AQ927" t="str">
            <v>NULL</v>
          </cell>
          <cell r="AR927" t="str">
            <v>NULL</v>
          </cell>
          <cell r="AS927" t="str">
            <v>NULL</v>
          </cell>
          <cell r="AT927" t="str">
            <v>NULL</v>
          </cell>
          <cell r="AU927" t="str">
            <v>NULL</v>
          </cell>
          <cell r="AV927" t="str">
            <v>NULL</v>
          </cell>
          <cell r="AW927" t="str">
            <v>NULL</v>
          </cell>
          <cell r="AX927" t="str">
            <v>NULL</v>
          </cell>
          <cell r="AY927" t="str">
            <v>NULL</v>
          </cell>
          <cell r="AZ927" t="str">
            <v>NULL</v>
          </cell>
          <cell r="BA927" t="str">
            <v>NULL</v>
          </cell>
          <cell r="BB927" t="str">
            <v>NULL</v>
          </cell>
        </row>
        <row r="928">
          <cell r="D928">
            <v>100462</v>
          </cell>
          <cell r="E928">
            <v>2066299</v>
          </cell>
          <cell r="F928" t="str">
            <v>Dallington School</v>
          </cell>
          <cell r="G928" t="str">
            <v>Other Independent School</v>
          </cell>
          <cell r="H928">
            <v>28768</v>
          </cell>
          <cell r="I928">
            <v>131</v>
          </cell>
          <cell r="J928" t="str">
            <v>London</v>
          </cell>
          <cell r="K928" t="str">
            <v>London</v>
          </cell>
          <cell r="L928" t="str">
            <v>Islington</v>
          </cell>
          <cell r="M928" t="str">
            <v>Islington South and Finsbury</v>
          </cell>
          <cell r="N928" t="str">
            <v>EC1V 0BW</v>
          </cell>
          <cell r="O928" t="str">
            <v>Does not have a sixth form</v>
          </cell>
          <cell r="P928">
            <v>3</v>
          </cell>
          <cell r="Q928">
            <v>11</v>
          </cell>
          <cell r="R928" t="str">
            <v>None</v>
          </cell>
          <cell r="S928" t="str">
            <v>Ofsted</v>
          </cell>
          <cell r="T928" t="str">
            <v>NULL</v>
          </cell>
          <cell r="U928" t="str">
            <v>NULL</v>
          </cell>
          <cell r="V928" t="str">
            <v>NULL</v>
          </cell>
          <cell r="W928" t="str">
            <v>NULL</v>
          </cell>
          <cell r="X928" t="str">
            <v>NULL</v>
          </cell>
          <cell r="Y928" t="str">
            <v>NULL</v>
          </cell>
          <cell r="Z928" t="str">
            <v>NULL</v>
          </cell>
          <cell r="AA928">
            <v>10041394</v>
          </cell>
          <cell r="AB928" t="str">
            <v>Independent School standard inspection</v>
          </cell>
          <cell r="AC928" t="str">
            <v>Independent Standard Inspection</v>
          </cell>
          <cell r="AD928">
            <v>43151</v>
          </cell>
          <cell r="AE928">
            <v>43153</v>
          </cell>
          <cell r="AF928">
            <v>43179</v>
          </cell>
          <cell r="AG928">
            <v>1</v>
          </cell>
          <cell r="AH928">
            <v>1</v>
          </cell>
          <cell r="AI928">
            <v>1</v>
          </cell>
          <cell r="AJ928">
            <v>1</v>
          </cell>
          <cell r="AK928">
            <v>1</v>
          </cell>
          <cell r="AL928">
            <v>1</v>
          </cell>
          <cell r="AM928" t="str">
            <v>NULL</v>
          </cell>
          <cell r="AN928" t="str">
            <v>Yes</v>
          </cell>
          <cell r="AO928" t="str">
            <v>ITS454240</v>
          </cell>
          <cell r="AP928" t="str">
            <v>Independent School standard inspection</v>
          </cell>
          <cell r="AQ928" t="str">
            <v>Independent Standard Inspection</v>
          </cell>
          <cell r="AR928">
            <v>42073</v>
          </cell>
          <cell r="AS928">
            <v>42075</v>
          </cell>
          <cell r="AT928">
            <v>42144</v>
          </cell>
          <cell r="AU928">
            <v>2</v>
          </cell>
          <cell r="AV928">
            <v>2</v>
          </cell>
          <cell r="AW928">
            <v>2</v>
          </cell>
          <cell r="AX928">
            <v>2</v>
          </cell>
          <cell r="AY928" t="str">
            <v>NULL</v>
          </cell>
          <cell r="AZ928">
            <v>2</v>
          </cell>
          <cell r="BA928">
            <v>9</v>
          </cell>
          <cell r="BB928" t="str">
            <v>NULL</v>
          </cell>
        </row>
        <row r="929">
          <cell r="D929">
            <v>113023</v>
          </cell>
          <cell r="E929">
            <v>8306020</v>
          </cell>
          <cell r="F929" t="str">
            <v>Dame Catherine Harpur's School</v>
          </cell>
          <cell r="G929" t="str">
            <v>Other Independent School</v>
          </cell>
          <cell r="H929">
            <v>32057</v>
          </cell>
          <cell r="I929">
            <v>22</v>
          </cell>
          <cell r="J929" t="str">
            <v>East Midlands</v>
          </cell>
          <cell r="K929" t="str">
            <v>East Midlands</v>
          </cell>
          <cell r="L929" t="str">
            <v>Derbyshire</v>
          </cell>
          <cell r="M929" t="str">
            <v>South Derbyshire</v>
          </cell>
          <cell r="N929" t="str">
            <v>DE73 7JW</v>
          </cell>
          <cell r="O929" t="str">
            <v>Does not have a sixth form</v>
          </cell>
          <cell r="P929">
            <v>3</v>
          </cell>
          <cell r="Q929">
            <v>11</v>
          </cell>
          <cell r="R929" t="str">
            <v>None</v>
          </cell>
          <cell r="S929" t="str">
            <v>Ofsted</v>
          </cell>
          <cell r="T929">
            <v>2</v>
          </cell>
          <cell r="U929">
            <v>10043874</v>
          </cell>
          <cell r="V929" t="str">
            <v>Independent school Progress Monitoring inspection</v>
          </cell>
          <cell r="W929">
            <v>43047</v>
          </cell>
          <cell r="X929">
            <v>43047</v>
          </cell>
          <cell r="Y929">
            <v>43066</v>
          </cell>
          <cell r="Z929" t="str">
            <v>Met all standards that were checked</v>
          </cell>
          <cell r="AA929">
            <v>10026044</v>
          </cell>
          <cell r="AB929" t="str">
            <v>Independent School standard inspection</v>
          </cell>
          <cell r="AC929" t="str">
            <v>Independent Standard Inspection</v>
          </cell>
          <cell r="AD929">
            <v>42893</v>
          </cell>
          <cell r="AE929">
            <v>42895</v>
          </cell>
          <cell r="AF929">
            <v>42992</v>
          </cell>
          <cell r="AG929">
            <v>4</v>
          </cell>
          <cell r="AH929">
            <v>2</v>
          </cell>
          <cell r="AI929">
            <v>2</v>
          </cell>
          <cell r="AJ929">
            <v>4</v>
          </cell>
          <cell r="AK929">
            <v>4</v>
          </cell>
          <cell r="AL929">
            <v>4</v>
          </cell>
          <cell r="AM929" t="str">
            <v>NULL</v>
          </cell>
          <cell r="AN929" t="str">
            <v>No</v>
          </cell>
          <cell r="AO929" t="str">
            <v>ITS454248</v>
          </cell>
          <cell r="AP929" t="str">
            <v>Independent School standard inspection</v>
          </cell>
          <cell r="AQ929" t="str">
            <v>Independent Standard Inspection</v>
          </cell>
          <cell r="AR929">
            <v>42080</v>
          </cell>
          <cell r="AS929">
            <v>42082</v>
          </cell>
          <cell r="AT929">
            <v>42124</v>
          </cell>
          <cell r="AU929">
            <v>4</v>
          </cell>
          <cell r="AV929">
            <v>2</v>
          </cell>
          <cell r="AW929">
            <v>2</v>
          </cell>
          <cell r="AX929">
            <v>4</v>
          </cell>
          <cell r="AY929" t="str">
            <v>NULL</v>
          </cell>
          <cell r="AZ929">
            <v>4</v>
          </cell>
          <cell r="BA929">
            <v>9</v>
          </cell>
          <cell r="BB929" t="str">
            <v>NULL</v>
          </cell>
        </row>
        <row r="930">
          <cell r="D930">
            <v>131745</v>
          </cell>
          <cell r="E930">
            <v>2116389</v>
          </cell>
          <cell r="F930" t="str">
            <v>Darul Hadis Latifiah</v>
          </cell>
          <cell r="G930" t="str">
            <v>Other Independent School</v>
          </cell>
          <cell r="H930">
            <v>36193</v>
          </cell>
          <cell r="I930">
            <v>108</v>
          </cell>
          <cell r="J930" t="str">
            <v>London</v>
          </cell>
          <cell r="K930" t="str">
            <v>London</v>
          </cell>
          <cell r="L930" t="str">
            <v>Tower Hamlets</v>
          </cell>
          <cell r="M930" t="str">
            <v>Bethnal Green and Bow</v>
          </cell>
          <cell r="N930" t="str">
            <v>E2 0HW</v>
          </cell>
          <cell r="O930" t="str">
            <v>Has a sixth form</v>
          </cell>
          <cell r="P930">
            <v>11</v>
          </cell>
          <cell r="Q930">
            <v>20</v>
          </cell>
          <cell r="R930" t="str">
            <v>None</v>
          </cell>
          <cell r="S930" t="str">
            <v>Ofsted</v>
          </cell>
          <cell r="T930" t="str">
            <v>NULL</v>
          </cell>
          <cell r="U930" t="str">
            <v>NULL</v>
          </cell>
          <cell r="V930" t="str">
            <v>NULL</v>
          </cell>
          <cell r="W930" t="str">
            <v>NULL</v>
          </cell>
          <cell r="X930" t="str">
            <v>NULL</v>
          </cell>
          <cell r="Y930" t="str">
            <v>NULL</v>
          </cell>
          <cell r="Z930" t="str">
            <v>NULL</v>
          </cell>
          <cell r="AA930">
            <v>10044537</v>
          </cell>
          <cell r="AB930" t="str">
            <v>Independent School standard inspection</v>
          </cell>
          <cell r="AC930" t="str">
            <v>Independent Standard Inspection</v>
          </cell>
          <cell r="AD930">
            <v>43137</v>
          </cell>
          <cell r="AE930">
            <v>43139</v>
          </cell>
          <cell r="AF930">
            <v>43179</v>
          </cell>
          <cell r="AG930">
            <v>4</v>
          </cell>
          <cell r="AH930">
            <v>3</v>
          </cell>
          <cell r="AI930">
            <v>3</v>
          </cell>
          <cell r="AJ930">
            <v>4</v>
          </cell>
          <cell r="AK930">
            <v>4</v>
          </cell>
          <cell r="AL930" t="str">
            <v>NULL</v>
          </cell>
          <cell r="AM930">
            <v>4</v>
          </cell>
          <cell r="AN930" t="str">
            <v>No</v>
          </cell>
          <cell r="AO930">
            <v>10020719</v>
          </cell>
          <cell r="AP930" t="str">
            <v>Independent School standard inspection</v>
          </cell>
          <cell r="AQ930" t="str">
            <v>Independent Standard Inspection</v>
          </cell>
          <cell r="AR930">
            <v>42648</v>
          </cell>
          <cell r="AS930">
            <v>42650</v>
          </cell>
          <cell r="AT930">
            <v>42803</v>
          </cell>
          <cell r="AU930">
            <v>4</v>
          </cell>
          <cell r="AV930">
            <v>4</v>
          </cell>
          <cell r="AW930">
            <v>4</v>
          </cell>
          <cell r="AX930">
            <v>4</v>
          </cell>
          <cell r="AY930">
            <v>4</v>
          </cell>
          <cell r="AZ930" t="str">
            <v>NULL</v>
          </cell>
          <cell r="BA930">
            <v>4</v>
          </cell>
          <cell r="BB930" t="str">
            <v>No</v>
          </cell>
        </row>
        <row r="931">
          <cell r="D931">
            <v>138568</v>
          </cell>
          <cell r="E931">
            <v>3536001</v>
          </cell>
          <cell r="F931" t="str">
            <v>Darul Hadis Latifiah Northwest</v>
          </cell>
          <cell r="G931" t="str">
            <v>Other Independent School</v>
          </cell>
          <cell r="H931">
            <v>41136</v>
          </cell>
          <cell r="I931">
            <v>69</v>
          </cell>
          <cell r="J931" t="str">
            <v>North West</v>
          </cell>
          <cell r="K931" t="str">
            <v>North West</v>
          </cell>
          <cell r="L931" t="str">
            <v>Oldham</v>
          </cell>
          <cell r="M931" t="str">
            <v>Oldham West and Royton</v>
          </cell>
          <cell r="N931" t="str">
            <v>OL8 1TJ</v>
          </cell>
          <cell r="O931" t="str">
            <v>Does not have a sixth form</v>
          </cell>
          <cell r="P931">
            <v>11</v>
          </cell>
          <cell r="Q931">
            <v>16</v>
          </cell>
          <cell r="R931" t="str">
            <v>None</v>
          </cell>
          <cell r="S931" t="str">
            <v>Ofsted</v>
          </cell>
          <cell r="T931">
            <v>1</v>
          </cell>
          <cell r="U931">
            <v>10034356</v>
          </cell>
          <cell r="V931" t="str">
            <v>Independent school emergency inspection</v>
          </cell>
          <cell r="W931">
            <v>42921</v>
          </cell>
          <cell r="X931">
            <v>42921</v>
          </cell>
          <cell r="Y931">
            <v>42997</v>
          </cell>
          <cell r="Z931" t="str">
            <v>Met all standards that were checked</v>
          </cell>
          <cell r="AA931">
            <v>10012868</v>
          </cell>
          <cell r="AB931" t="str">
            <v>Independent School standard inspection</v>
          </cell>
          <cell r="AC931" t="str">
            <v>Independent Standard Inspection</v>
          </cell>
          <cell r="AD931">
            <v>42500</v>
          </cell>
          <cell r="AE931">
            <v>42502</v>
          </cell>
          <cell r="AF931">
            <v>42536</v>
          </cell>
          <cell r="AG931">
            <v>2</v>
          </cell>
          <cell r="AH931">
            <v>2</v>
          </cell>
          <cell r="AI931">
            <v>2</v>
          </cell>
          <cell r="AJ931">
            <v>2</v>
          </cell>
          <cell r="AK931">
            <v>2</v>
          </cell>
          <cell r="AL931" t="str">
            <v>NULL</v>
          </cell>
          <cell r="AM931" t="str">
            <v>NULL</v>
          </cell>
          <cell r="AN931" t="str">
            <v>Yes</v>
          </cell>
          <cell r="AO931" t="str">
            <v>ITS420261</v>
          </cell>
          <cell r="AP931" t="str">
            <v>Independent school standard inspection - first</v>
          </cell>
          <cell r="AQ931" t="str">
            <v>Independent Standard Inspection</v>
          </cell>
          <cell r="AR931">
            <v>41415</v>
          </cell>
          <cell r="AS931">
            <v>41417</v>
          </cell>
          <cell r="AT931">
            <v>41443</v>
          </cell>
          <cell r="AU931">
            <v>2</v>
          </cell>
          <cell r="AV931">
            <v>2</v>
          </cell>
          <cell r="AW931">
            <v>2</v>
          </cell>
          <cell r="AX931">
            <v>2</v>
          </cell>
          <cell r="AY931" t="str">
            <v>NULL</v>
          </cell>
          <cell r="AZ931" t="str">
            <v>NULL</v>
          </cell>
          <cell r="BA931" t="str">
            <v>NULL</v>
          </cell>
          <cell r="BB931" t="str">
            <v>NULL</v>
          </cell>
        </row>
        <row r="932">
          <cell r="D932">
            <v>134595</v>
          </cell>
          <cell r="E932">
            <v>8566018</v>
          </cell>
          <cell r="F932" t="str">
            <v>Emmanuel Christian School</v>
          </cell>
          <cell r="G932" t="str">
            <v>Other Independent School</v>
          </cell>
          <cell r="H932">
            <v>37861</v>
          </cell>
          <cell r="I932">
            <v>45</v>
          </cell>
          <cell r="J932" t="str">
            <v>East Midlands</v>
          </cell>
          <cell r="K932" t="str">
            <v>East Midlands</v>
          </cell>
          <cell r="L932" t="str">
            <v>Leicester</v>
          </cell>
          <cell r="M932" t="str">
            <v>Leicester West</v>
          </cell>
          <cell r="N932" t="str">
            <v>LE3 1QP</v>
          </cell>
          <cell r="O932" t="str">
            <v>Does not have a sixth form</v>
          </cell>
          <cell r="P932">
            <v>4</v>
          </cell>
          <cell r="Q932">
            <v>16</v>
          </cell>
          <cell r="R932" t="str">
            <v>None</v>
          </cell>
          <cell r="S932" t="str">
            <v>Ofsted</v>
          </cell>
          <cell r="T932">
            <v>2</v>
          </cell>
          <cell r="U932">
            <v>10044616</v>
          </cell>
          <cell r="V932" t="str">
            <v>Independent school Material Change inspection</v>
          </cell>
          <cell r="W932">
            <v>43074</v>
          </cell>
          <cell r="X932">
            <v>43074</v>
          </cell>
          <cell r="Y932" t="str">
            <v>NULL</v>
          </cell>
          <cell r="Z932" t="str">
            <v>Likely to meet relevant standards</v>
          </cell>
          <cell r="AA932">
            <v>10007859</v>
          </cell>
          <cell r="AB932" t="str">
            <v>Independent School standard inspection</v>
          </cell>
          <cell r="AC932" t="str">
            <v>Independent Standard Inspection</v>
          </cell>
          <cell r="AD932">
            <v>42277</v>
          </cell>
          <cell r="AE932">
            <v>42279</v>
          </cell>
          <cell r="AF932">
            <v>42327</v>
          </cell>
          <cell r="AG932">
            <v>3</v>
          </cell>
          <cell r="AH932">
            <v>3</v>
          </cell>
          <cell r="AI932">
            <v>3</v>
          </cell>
          <cell r="AJ932">
            <v>3</v>
          </cell>
          <cell r="AK932">
            <v>3</v>
          </cell>
          <cell r="AL932">
            <v>2</v>
          </cell>
          <cell r="AM932" t="str">
            <v>NULL</v>
          </cell>
          <cell r="AN932" t="str">
            <v>Yes</v>
          </cell>
          <cell r="AO932" t="str">
            <v>ITS319995</v>
          </cell>
          <cell r="AP932" t="str">
            <v>Independent School standard inspection</v>
          </cell>
          <cell r="AQ932" t="str">
            <v>Independent Standard Inspection</v>
          </cell>
          <cell r="AR932">
            <v>39484</v>
          </cell>
          <cell r="AS932">
            <v>39485</v>
          </cell>
          <cell r="AT932">
            <v>39507</v>
          </cell>
          <cell r="AU932">
            <v>3</v>
          </cell>
          <cell r="AV932">
            <v>3</v>
          </cell>
          <cell r="AW932">
            <v>3</v>
          </cell>
          <cell r="AX932" t="str">
            <v>NULL</v>
          </cell>
          <cell r="AY932" t="str">
            <v>NULL</v>
          </cell>
          <cell r="AZ932" t="str">
            <v>NULL</v>
          </cell>
          <cell r="BA932" t="str">
            <v>NULL</v>
          </cell>
          <cell r="BB932" t="str">
            <v>NULL</v>
          </cell>
        </row>
        <row r="933">
          <cell r="D933">
            <v>130323</v>
          </cell>
          <cell r="E933">
            <v>3356009</v>
          </cell>
          <cell r="F933" t="str">
            <v>Emmanuel School</v>
          </cell>
          <cell r="G933" t="str">
            <v>Other Independent School</v>
          </cell>
          <cell r="H933">
            <v>35114</v>
          </cell>
          <cell r="I933">
            <v>114</v>
          </cell>
          <cell r="J933" t="str">
            <v>West Midlands</v>
          </cell>
          <cell r="K933" t="str">
            <v>West Midlands</v>
          </cell>
          <cell r="L933" t="str">
            <v>Walsall</v>
          </cell>
          <cell r="M933" t="str">
            <v>Walsall South</v>
          </cell>
          <cell r="N933" t="str">
            <v>WS2 8PR</v>
          </cell>
          <cell r="O933" t="str">
            <v>Does not have a sixth form</v>
          </cell>
          <cell r="P933">
            <v>3</v>
          </cell>
          <cell r="Q933">
            <v>16</v>
          </cell>
          <cell r="R933" t="str">
            <v>Christian/Evangelical</v>
          </cell>
          <cell r="S933" t="str">
            <v>Ofsted</v>
          </cell>
          <cell r="T933" t="str">
            <v>NULL</v>
          </cell>
          <cell r="U933" t="str">
            <v>NULL</v>
          </cell>
          <cell r="V933" t="str">
            <v>NULL</v>
          </cell>
          <cell r="W933" t="str">
            <v>NULL</v>
          </cell>
          <cell r="X933" t="str">
            <v>NULL</v>
          </cell>
          <cell r="Y933" t="str">
            <v>NULL</v>
          </cell>
          <cell r="Z933" t="str">
            <v>NULL</v>
          </cell>
          <cell r="AA933">
            <v>10012980</v>
          </cell>
          <cell r="AB933" t="str">
            <v>Independent School standard inspection</v>
          </cell>
          <cell r="AC933" t="str">
            <v>Independent Standard Inspection</v>
          </cell>
          <cell r="AD933">
            <v>42562</v>
          </cell>
          <cell r="AE933">
            <v>42564</v>
          </cell>
          <cell r="AF933">
            <v>42629</v>
          </cell>
          <cell r="AG933">
            <v>3</v>
          </cell>
          <cell r="AH933">
            <v>3</v>
          </cell>
          <cell r="AI933">
            <v>3</v>
          </cell>
          <cell r="AJ933">
            <v>3</v>
          </cell>
          <cell r="AK933">
            <v>3</v>
          </cell>
          <cell r="AL933">
            <v>3</v>
          </cell>
          <cell r="AM933" t="str">
            <v>NULL</v>
          </cell>
          <cell r="AN933" t="str">
            <v>Yes</v>
          </cell>
          <cell r="AO933" t="str">
            <v>ITS301521</v>
          </cell>
          <cell r="AP933" t="str">
            <v>Independent School standard inspection</v>
          </cell>
          <cell r="AQ933" t="str">
            <v>Independent Standard Inspection</v>
          </cell>
          <cell r="AR933">
            <v>39266</v>
          </cell>
          <cell r="AS933">
            <v>39267</v>
          </cell>
          <cell r="AT933">
            <v>39290</v>
          </cell>
          <cell r="AU933">
            <v>2</v>
          </cell>
          <cell r="AV933">
            <v>2</v>
          </cell>
          <cell r="AW933">
            <v>2</v>
          </cell>
          <cell r="AX933" t="str">
            <v>NULL</v>
          </cell>
          <cell r="AY933" t="str">
            <v>NULL</v>
          </cell>
          <cell r="AZ933" t="str">
            <v>NULL</v>
          </cell>
          <cell r="BA933" t="str">
            <v>NULL</v>
          </cell>
          <cell r="BB933" t="str">
            <v>NULL</v>
          </cell>
        </row>
        <row r="934">
          <cell r="D934">
            <v>140225</v>
          </cell>
          <cell r="E934">
            <v>2076007</v>
          </cell>
          <cell r="F934" t="str">
            <v>Epic Learning Independent School</v>
          </cell>
          <cell r="G934" t="str">
            <v>Other Independent School</v>
          </cell>
          <cell r="H934">
            <v>41541</v>
          </cell>
          <cell r="I934">
            <v>20</v>
          </cell>
          <cell r="J934" t="str">
            <v>London</v>
          </cell>
          <cell r="K934" t="str">
            <v>London</v>
          </cell>
          <cell r="L934" t="str">
            <v>Kensington and Chelsea</v>
          </cell>
          <cell r="M934" t="str">
            <v>Kensington</v>
          </cell>
          <cell r="N934" t="str">
            <v>W10 5QJ</v>
          </cell>
          <cell r="O934" t="str">
            <v>Has a sixth form</v>
          </cell>
          <cell r="P934">
            <v>13</v>
          </cell>
          <cell r="Q934">
            <v>18</v>
          </cell>
          <cell r="R934" t="str">
            <v>None</v>
          </cell>
          <cell r="S934" t="str">
            <v>Ofsted</v>
          </cell>
          <cell r="T934" t="str">
            <v>NULL</v>
          </cell>
          <cell r="U934" t="str">
            <v>NULL</v>
          </cell>
          <cell r="V934" t="str">
            <v>NULL</v>
          </cell>
          <cell r="W934" t="str">
            <v>NULL</v>
          </cell>
          <cell r="X934" t="str">
            <v>NULL</v>
          </cell>
          <cell r="Y934" t="str">
            <v>NULL</v>
          </cell>
          <cell r="Z934" t="str">
            <v>NULL</v>
          </cell>
          <cell r="AA934">
            <v>10035812</v>
          </cell>
          <cell r="AB934" t="str">
            <v>Independent School standard inspection</v>
          </cell>
          <cell r="AC934" t="str">
            <v>Independent Standard Inspection</v>
          </cell>
          <cell r="AD934">
            <v>43151</v>
          </cell>
          <cell r="AE934">
            <v>43153</v>
          </cell>
          <cell r="AF934">
            <v>43175</v>
          </cell>
          <cell r="AG934">
            <v>2</v>
          </cell>
          <cell r="AH934">
            <v>2</v>
          </cell>
          <cell r="AI934">
            <v>2</v>
          </cell>
          <cell r="AJ934">
            <v>2</v>
          </cell>
          <cell r="AK934">
            <v>2</v>
          </cell>
          <cell r="AL934" t="str">
            <v>NULL</v>
          </cell>
          <cell r="AM934" t="str">
            <v>NULL</v>
          </cell>
          <cell r="AN934" t="str">
            <v>Yes</v>
          </cell>
          <cell r="AO934" t="str">
            <v>ITS443034</v>
          </cell>
          <cell r="AP934" t="str">
            <v>Independent school standard inspection - first</v>
          </cell>
          <cell r="AQ934" t="str">
            <v>Independent Standard Inspection</v>
          </cell>
          <cell r="AR934">
            <v>41794</v>
          </cell>
          <cell r="AS934">
            <v>41796</v>
          </cell>
          <cell r="AT934">
            <v>41815</v>
          </cell>
          <cell r="AU934">
            <v>3</v>
          </cell>
          <cell r="AV934">
            <v>2</v>
          </cell>
          <cell r="AW934">
            <v>2</v>
          </cell>
          <cell r="AX934">
            <v>3</v>
          </cell>
          <cell r="AY934" t="str">
            <v>NULL</v>
          </cell>
          <cell r="AZ934" t="str">
            <v>NULL</v>
          </cell>
          <cell r="BA934" t="str">
            <v>NULL</v>
          </cell>
          <cell r="BB934" t="str">
            <v>NULL</v>
          </cell>
        </row>
        <row r="935">
          <cell r="D935">
            <v>136189</v>
          </cell>
          <cell r="E935">
            <v>3806349</v>
          </cell>
          <cell r="F935" t="str">
            <v>Eternal Light Secondary School</v>
          </cell>
          <cell r="G935" t="str">
            <v>Other Independent School</v>
          </cell>
          <cell r="H935">
            <v>40391</v>
          </cell>
          <cell r="I935">
            <v>143</v>
          </cell>
          <cell r="J935" t="str">
            <v>North East, Yorkshire and the Humber</v>
          </cell>
          <cell r="K935" t="str">
            <v>Yorkshire and the Humber</v>
          </cell>
          <cell r="L935" t="str">
            <v>Bradford</v>
          </cell>
          <cell r="M935" t="str">
            <v>Bradford East</v>
          </cell>
          <cell r="N935" t="str">
            <v>BD5 9DH</v>
          </cell>
          <cell r="O935" t="str">
            <v>Has a sixth form</v>
          </cell>
          <cell r="P935">
            <v>11</v>
          </cell>
          <cell r="Q935">
            <v>23</v>
          </cell>
          <cell r="R935" t="str">
            <v>None</v>
          </cell>
          <cell r="S935" t="str">
            <v>Ofsted</v>
          </cell>
          <cell r="T935">
            <v>1</v>
          </cell>
          <cell r="U935">
            <v>10035683</v>
          </cell>
          <cell r="V935" t="str">
            <v>Independent school Material Change inspection</v>
          </cell>
          <cell r="W935">
            <v>42870</v>
          </cell>
          <cell r="X935">
            <v>42870</v>
          </cell>
          <cell r="Y935" t="str">
            <v>NULL</v>
          </cell>
          <cell r="Z935" t="str">
            <v>Likely to meet relevant standards</v>
          </cell>
          <cell r="AA935">
            <v>10025961</v>
          </cell>
          <cell r="AB935" t="str">
            <v>Independent School standard inspection</v>
          </cell>
          <cell r="AC935" t="str">
            <v>Independent Standard Inspection</v>
          </cell>
          <cell r="AD935">
            <v>42808</v>
          </cell>
          <cell r="AE935">
            <v>42810</v>
          </cell>
          <cell r="AF935">
            <v>42837</v>
          </cell>
          <cell r="AG935">
            <v>2</v>
          </cell>
          <cell r="AH935">
            <v>2</v>
          </cell>
          <cell r="AI935">
            <v>2</v>
          </cell>
          <cell r="AJ935">
            <v>2</v>
          </cell>
          <cell r="AK935">
            <v>1</v>
          </cell>
          <cell r="AL935" t="str">
            <v>NULL</v>
          </cell>
          <cell r="AM935">
            <v>2</v>
          </cell>
          <cell r="AN935" t="str">
            <v>Yes</v>
          </cell>
          <cell r="AO935" t="str">
            <v>ITS422830</v>
          </cell>
          <cell r="AP935" t="str">
            <v>Independent School standard inspection</v>
          </cell>
          <cell r="AQ935" t="str">
            <v>Independent Standard Inspection</v>
          </cell>
          <cell r="AR935">
            <v>41654</v>
          </cell>
          <cell r="AS935">
            <v>41656</v>
          </cell>
          <cell r="AT935">
            <v>41677</v>
          </cell>
          <cell r="AU935">
            <v>2</v>
          </cell>
          <cell r="AV935">
            <v>2</v>
          </cell>
          <cell r="AW935">
            <v>2</v>
          </cell>
          <cell r="AX935">
            <v>2</v>
          </cell>
          <cell r="AY935" t="str">
            <v>NULL</v>
          </cell>
          <cell r="AZ935" t="str">
            <v>NULL</v>
          </cell>
          <cell r="BA935" t="str">
            <v>NULL</v>
          </cell>
          <cell r="BB935" t="str">
            <v>NULL</v>
          </cell>
        </row>
        <row r="936">
          <cell r="D936">
            <v>108419</v>
          </cell>
          <cell r="E936">
            <v>3906007</v>
          </cell>
          <cell r="F936" t="str">
            <v>Gateshead Jewish Nursery School</v>
          </cell>
          <cell r="G936" t="str">
            <v>Other Independent School</v>
          </cell>
          <cell r="H936">
            <v>32980</v>
          </cell>
          <cell r="I936">
            <v>263</v>
          </cell>
          <cell r="J936" t="str">
            <v>North East, Yorkshire and the Humber</v>
          </cell>
          <cell r="K936" t="str">
            <v>North East</v>
          </cell>
          <cell r="L936" t="str">
            <v>Gateshead</v>
          </cell>
          <cell r="M936" t="str">
            <v>Gateshead</v>
          </cell>
          <cell r="N936" t="str">
            <v>NE8 1RB</v>
          </cell>
          <cell r="O936" t="str">
            <v>Does not have a sixth form</v>
          </cell>
          <cell r="P936">
            <v>2</v>
          </cell>
          <cell r="Q936">
            <v>5</v>
          </cell>
          <cell r="R936" t="str">
            <v>None</v>
          </cell>
          <cell r="S936" t="str">
            <v>Ofsted</v>
          </cell>
          <cell r="T936" t="str">
            <v>NULL</v>
          </cell>
          <cell r="U936" t="str">
            <v>NULL</v>
          </cell>
          <cell r="V936" t="str">
            <v>NULL</v>
          </cell>
          <cell r="W936" t="str">
            <v>NULL</v>
          </cell>
          <cell r="X936" t="str">
            <v>NULL</v>
          </cell>
          <cell r="Y936" t="str">
            <v>NULL</v>
          </cell>
          <cell r="Z936" t="str">
            <v>NULL</v>
          </cell>
          <cell r="AA936" t="str">
            <v>ITS422699</v>
          </cell>
          <cell r="AB936" t="str">
            <v>Independent School standard inspection</v>
          </cell>
          <cell r="AC936" t="str">
            <v>Independent Standard Inspection</v>
          </cell>
          <cell r="AD936">
            <v>41716</v>
          </cell>
          <cell r="AE936">
            <v>41718</v>
          </cell>
          <cell r="AF936">
            <v>41739</v>
          </cell>
          <cell r="AG936">
            <v>2</v>
          </cell>
          <cell r="AH936">
            <v>2</v>
          </cell>
          <cell r="AI936">
            <v>2</v>
          </cell>
          <cell r="AJ936">
            <v>2</v>
          </cell>
          <cell r="AK936" t="str">
            <v>NULL</v>
          </cell>
          <cell r="AL936" t="str">
            <v>NULL</v>
          </cell>
          <cell r="AM936" t="str">
            <v>NULL</v>
          </cell>
          <cell r="AN936" t="str">
            <v>NULL</v>
          </cell>
          <cell r="AO936" t="str">
            <v>ITS361327</v>
          </cell>
          <cell r="AP936" t="str">
            <v>S162a - LTI Inspection Historic</v>
          </cell>
          <cell r="AQ936" t="str">
            <v>Independent Standard Inspection</v>
          </cell>
          <cell r="AR936">
            <v>40526</v>
          </cell>
          <cell r="AS936">
            <v>40526</v>
          </cell>
          <cell r="AT936">
            <v>40567</v>
          </cell>
          <cell r="AU936">
            <v>2</v>
          </cell>
          <cell r="AV936">
            <v>2</v>
          </cell>
          <cell r="AW936">
            <v>2</v>
          </cell>
          <cell r="AX936" t="str">
            <v>NULL</v>
          </cell>
          <cell r="AY936" t="str">
            <v>NULL</v>
          </cell>
          <cell r="AZ936">
            <v>4</v>
          </cell>
          <cell r="BA936" t="str">
            <v>NULL</v>
          </cell>
          <cell r="BB936" t="str">
            <v>NULL</v>
          </cell>
        </row>
        <row r="937">
          <cell r="D937">
            <v>108416</v>
          </cell>
          <cell r="E937">
            <v>3906004</v>
          </cell>
          <cell r="F937" t="str">
            <v>Gateshead Jewish Primary School</v>
          </cell>
          <cell r="G937" t="str">
            <v>Other Independent School</v>
          </cell>
          <cell r="H937">
            <v>21256</v>
          </cell>
          <cell r="I937">
            <v>551</v>
          </cell>
          <cell r="J937" t="str">
            <v>North East, Yorkshire and the Humber</v>
          </cell>
          <cell r="K937" t="str">
            <v>North East</v>
          </cell>
          <cell r="L937" t="str">
            <v>Gateshead</v>
          </cell>
          <cell r="M937" t="str">
            <v>Gateshead</v>
          </cell>
          <cell r="N937" t="str">
            <v>NE8 4EA</v>
          </cell>
          <cell r="O937" t="str">
            <v>Does not have a sixth form</v>
          </cell>
          <cell r="P937">
            <v>5</v>
          </cell>
          <cell r="Q937">
            <v>11</v>
          </cell>
          <cell r="R937" t="str">
            <v>None</v>
          </cell>
          <cell r="S937" t="str">
            <v>Ofsted</v>
          </cell>
          <cell r="T937" t="str">
            <v>NULL</v>
          </cell>
          <cell r="U937" t="str">
            <v>NULL</v>
          </cell>
          <cell r="V937" t="str">
            <v>NULL</v>
          </cell>
          <cell r="W937" t="str">
            <v>NULL</v>
          </cell>
          <cell r="X937" t="str">
            <v>NULL</v>
          </cell>
          <cell r="Y937" t="str">
            <v>NULL</v>
          </cell>
          <cell r="Z937" t="str">
            <v>NULL</v>
          </cell>
          <cell r="AA937">
            <v>10010417</v>
          </cell>
          <cell r="AB937" t="str">
            <v xml:space="preserve">Independent School standard inspection - integrated </v>
          </cell>
          <cell r="AC937" t="str">
            <v>Independent Standard Inspection</v>
          </cell>
          <cell r="AD937">
            <v>42430</v>
          </cell>
          <cell r="AE937">
            <v>42432</v>
          </cell>
          <cell r="AF937">
            <v>42466</v>
          </cell>
          <cell r="AG937">
            <v>2</v>
          </cell>
          <cell r="AH937">
            <v>2</v>
          </cell>
          <cell r="AI937">
            <v>2</v>
          </cell>
          <cell r="AJ937">
            <v>2</v>
          </cell>
          <cell r="AK937">
            <v>2</v>
          </cell>
          <cell r="AL937" t="str">
            <v>NULL</v>
          </cell>
          <cell r="AM937" t="str">
            <v>NULL</v>
          </cell>
          <cell r="AN937" t="str">
            <v>Yes</v>
          </cell>
          <cell r="AO937" t="str">
            <v>ITS408706</v>
          </cell>
          <cell r="AP937" t="str">
            <v>Independent School standard inspection</v>
          </cell>
          <cell r="AQ937" t="str">
            <v>Independent Standard Inspection</v>
          </cell>
          <cell r="AR937">
            <v>41337</v>
          </cell>
          <cell r="AS937">
            <v>41339</v>
          </cell>
          <cell r="AT937">
            <v>41361</v>
          </cell>
          <cell r="AU937">
            <v>2</v>
          </cell>
          <cell r="AV937">
            <v>2</v>
          </cell>
          <cell r="AW937">
            <v>2</v>
          </cell>
          <cell r="AX937">
            <v>2</v>
          </cell>
          <cell r="AY937" t="str">
            <v>NULL</v>
          </cell>
          <cell r="AZ937" t="str">
            <v>NULL</v>
          </cell>
          <cell r="BA937" t="str">
            <v>NULL</v>
          </cell>
          <cell r="BB937" t="str">
            <v>NULL</v>
          </cell>
        </row>
        <row r="938">
          <cell r="D938">
            <v>132041</v>
          </cell>
          <cell r="E938">
            <v>2046405</v>
          </cell>
          <cell r="F938" t="str">
            <v>Getters Talmud Torah</v>
          </cell>
          <cell r="G938" t="str">
            <v>Other Independent School</v>
          </cell>
          <cell r="H938">
            <v>36546</v>
          </cell>
          <cell r="I938">
            <v>228</v>
          </cell>
          <cell r="J938" t="str">
            <v>London</v>
          </cell>
          <cell r="K938" t="str">
            <v>London</v>
          </cell>
          <cell r="L938" t="str">
            <v>Hackney</v>
          </cell>
          <cell r="M938" t="str">
            <v>Hackney North and Stoke Newington</v>
          </cell>
          <cell r="N938" t="str">
            <v>N16 5AR</v>
          </cell>
          <cell r="O938" t="str">
            <v>Does not have a sixth form</v>
          </cell>
          <cell r="P938">
            <v>3</v>
          </cell>
          <cell r="Q938">
            <v>14</v>
          </cell>
          <cell r="R938" t="str">
            <v>None</v>
          </cell>
          <cell r="S938" t="str">
            <v>Ofsted</v>
          </cell>
          <cell r="T938">
            <v>8</v>
          </cell>
          <cell r="U938">
            <v>10030886</v>
          </cell>
          <cell r="V938" t="str">
            <v>Independent school emergency inspection</v>
          </cell>
          <cell r="W938">
            <v>42758</v>
          </cell>
          <cell r="X938">
            <v>42758</v>
          </cell>
          <cell r="Y938" t="str">
            <v>NULL</v>
          </cell>
          <cell r="Z938" t="str">
            <v>NULL</v>
          </cell>
          <cell r="AA938" t="str">
            <v>ITS447171</v>
          </cell>
          <cell r="AB938" t="str">
            <v>Independent School standard inspection</v>
          </cell>
          <cell r="AC938" t="str">
            <v>Independent Standard Inspection</v>
          </cell>
          <cell r="AD938">
            <v>41982</v>
          </cell>
          <cell r="AE938">
            <v>41984</v>
          </cell>
          <cell r="AF938">
            <v>42055</v>
          </cell>
          <cell r="AG938">
            <v>4</v>
          </cell>
          <cell r="AH938">
            <v>4</v>
          </cell>
          <cell r="AI938">
            <v>4</v>
          </cell>
          <cell r="AJ938">
            <v>4</v>
          </cell>
          <cell r="AK938" t="str">
            <v>NULL</v>
          </cell>
          <cell r="AL938">
            <v>3</v>
          </cell>
          <cell r="AM938">
            <v>9</v>
          </cell>
          <cell r="AN938" t="str">
            <v>NULL</v>
          </cell>
          <cell r="AO938" t="str">
            <v>ITS364267</v>
          </cell>
          <cell r="AP938" t="str">
            <v>Independent School standard inspection</v>
          </cell>
          <cell r="AQ938" t="str">
            <v>Independent Standard Inspection</v>
          </cell>
          <cell r="AR938">
            <v>40715</v>
          </cell>
          <cell r="AS938">
            <v>40716</v>
          </cell>
          <cell r="AT938">
            <v>40735</v>
          </cell>
          <cell r="AU938">
            <v>3</v>
          </cell>
          <cell r="AV938">
            <v>3</v>
          </cell>
          <cell r="AW938">
            <v>3</v>
          </cell>
          <cell r="AX938" t="str">
            <v>NULL</v>
          </cell>
          <cell r="AY938" t="str">
            <v>NULL</v>
          </cell>
          <cell r="AZ938">
            <v>3</v>
          </cell>
          <cell r="BA938" t="str">
            <v>NULL</v>
          </cell>
          <cell r="BB938" t="str">
            <v>NULL</v>
          </cell>
        </row>
        <row r="939">
          <cell r="D939">
            <v>131337</v>
          </cell>
          <cell r="E939">
            <v>8886033</v>
          </cell>
          <cell r="F939" t="str">
            <v>Ghausia Girls' High School</v>
          </cell>
          <cell r="G939" t="str">
            <v>Other Independent School</v>
          </cell>
          <cell r="H939">
            <v>35684</v>
          </cell>
          <cell r="I939">
            <v>30</v>
          </cell>
          <cell r="J939" t="str">
            <v>North West</v>
          </cell>
          <cell r="K939" t="str">
            <v>North West</v>
          </cell>
          <cell r="L939" t="str">
            <v>Lancashire</v>
          </cell>
          <cell r="M939" t="str">
            <v>Pendle</v>
          </cell>
          <cell r="N939" t="str">
            <v>BB9 7EN</v>
          </cell>
          <cell r="O939" t="str">
            <v>Does not have a sixth form</v>
          </cell>
          <cell r="P939">
            <v>11</v>
          </cell>
          <cell r="Q939">
            <v>16</v>
          </cell>
          <cell r="R939" t="str">
            <v>None</v>
          </cell>
          <cell r="S939" t="str">
            <v>Ofsted</v>
          </cell>
          <cell r="T939" t="str">
            <v>NULL</v>
          </cell>
          <cell r="U939" t="str">
            <v>NULL</v>
          </cell>
          <cell r="V939" t="str">
            <v>NULL</v>
          </cell>
          <cell r="W939" t="str">
            <v>NULL</v>
          </cell>
          <cell r="X939" t="str">
            <v>NULL</v>
          </cell>
          <cell r="Y939" t="str">
            <v>NULL</v>
          </cell>
          <cell r="Z939" t="str">
            <v>NULL</v>
          </cell>
          <cell r="AA939">
            <v>10034539</v>
          </cell>
          <cell r="AB939" t="str">
            <v>Independent School standard inspection</v>
          </cell>
          <cell r="AC939" t="str">
            <v>Independent Standard Inspection</v>
          </cell>
          <cell r="AD939">
            <v>42899</v>
          </cell>
          <cell r="AE939">
            <v>42901</v>
          </cell>
          <cell r="AF939">
            <v>42927</v>
          </cell>
          <cell r="AG939">
            <v>3</v>
          </cell>
          <cell r="AH939">
            <v>3</v>
          </cell>
          <cell r="AI939">
            <v>3</v>
          </cell>
          <cell r="AJ939">
            <v>3</v>
          </cell>
          <cell r="AK939">
            <v>2</v>
          </cell>
          <cell r="AL939" t="str">
            <v>NULL</v>
          </cell>
          <cell r="AM939" t="str">
            <v>NULL</v>
          </cell>
          <cell r="AN939" t="str">
            <v>Yes</v>
          </cell>
          <cell r="AO939">
            <v>10007535</v>
          </cell>
          <cell r="AP939" t="str">
            <v>Independent School standard inspection</v>
          </cell>
          <cell r="AQ939" t="str">
            <v>Independent Standard Inspection</v>
          </cell>
          <cell r="AR939">
            <v>42277</v>
          </cell>
          <cell r="AS939">
            <v>42279</v>
          </cell>
          <cell r="AT939">
            <v>42327</v>
          </cell>
          <cell r="AU939">
            <v>4</v>
          </cell>
          <cell r="AV939">
            <v>4</v>
          </cell>
          <cell r="AW939">
            <v>4</v>
          </cell>
          <cell r="AX939">
            <v>4</v>
          </cell>
          <cell r="AY939">
            <v>4</v>
          </cell>
          <cell r="AZ939">
            <v>0</v>
          </cell>
          <cell r="BA939">
            <v>0</v>
          </cell>
          <cell r="BB939" t="str">
            <v>No</v>
          </cell>
        </row>
        <row r="940">
          <cell r="D940">
            <v>101086</v>
          </cell>
          <cell r="E940">
            <v>2126390</v>
          </cell>
          <cell r="F940" t="str">
            <v>Hall School Wimbledon</v>
          </cell>
          <cell r="G940" t="str">
            <v>Other Independent School</v>
          </cell>
          <cell r="H940">
            <v>33480</v>
          </cell>
          <cell r="I940">
            <v>399</v>
          </cell>
          <cell r="J940" t="str">
            <v>London</v>
          </cell>
          <cell r="K940" t="str">
            <v>London</v>
          </cell>
          <cell r="L940" t="str">
            <v>Wandsworth</v>
          </cell>
          <cell r="M940" t="str">
            <v>Putney</v>
          </cell>
          <cell r="N940" t="str">
            <v>SW15 3EQ</v>
          </cell>
          <cell r="O940" t="str">
            <v>Does not have a sixth form</v>
          </cell>
          <cell r="P940">
            <v>4</v>
          </cell>
          <cell r="Q940">
            <v>16</v>
          </cell>
          <cell r="R940" t="str">
            <v>None</v>
          </cell>
          <cell r="S940" t="str">
            <v>Ofsted</v>
          </cell>
          <cell r="T940">
            <v>1</v>
          </cell>
          <cell r="U940">
            <v>10048460</v>
          </cell>
          <cell r="V940" t="str">
            <v>Independent school Progress Monitoring inspection</v>
          </cell>
          <cell r="W940">
            <v>43159</v>
          </cell>
          <cell r="X940">
            <v>43159</v>
          </cell>
          <cell r="Y940">
            <v>43187</v>
          </cell>
          <cell r="Z940" t="str">
            <v>Met all standards that were checked</v>
          </cell>
          <cell r="AA940">
            <v>10020722</v>
          </cell>
          <cell r="AB940" t="str">
            <v>Independent School standard inspection</v>
          </cell>
          <cell r="AC940" t="str">
            <v>Independent Standard Inspection</v>
          </cell>
          <cell r="AD940">
            <v>42892</v>
          </cell>
          <cell r="AE940">
            <v>42894</v>
          </cell>
          <cell r="AF940">
            <v>42923</v>
          </cell>
          <cell r="AG940">
            <v>4</v>
          </cell>
          <cell r="AH940">
            <v>3</v>
          </cell>
          <cell r="AI940">
            <v>3</v>
          </cell>
          <cell r="AJ940">
            <v>4</v>
          </cell>
          <cell r="AK940">
            <v>4</v>
          </cell>
          <cell r="AL940">
            <v>4</v>
          </cell>
          <cell r="AM940" t="str">
            <v>NULL</v>
          </cell>
          <cell r="AN940" t="str">
            <v>No</v>
          </cell>
          <cell r="AO940" t="str">
            <v>ITS397644</v>
          </cell>
          <cell r="AP940" t="str">
            <v>Independent School standard inspection</v>
          </cell>
          <cell r="AQ940" t="str">
            <v>Independent Standard Inspection</v>
          </cell>
          <cell r="AR940">
            <v>41234</v>
          </cell>
          <cell r="AS940">
            <v>41235</v>
          </cell>
          <cell r="AT940">
            <v>41256</v>
          </cell>
          <cell r="AU940">
            <v>1</v>
          </cell>
          <cell r="AV940">
            <v>1</v>
          </cell>
          <cell r="AW940">
            <v>1</v>
          </cell>
          <cell r="AX940" t="str">
            <v>NULL</v>
          </cell>
          <cell r="AY940" t="str">
            <v>NULL</v>
          </cell>
          <cell r="AZ940">
            <v>8</v>
          </cell>
          <cell r="BA940" t="str">
            <v>NULL</v>
          </cell>
          <cell r="BB940" t="str">
            <v>NULL</v>
          </cell>
        </row>
        <row r="941">
          <cell r="D941">
            <v>100073</v>
          </cell>
          <cell r="E941">
            <v>2026264</v>
          </cell>
          <cell r="F941" t="str">
            <v>Hampstead Hill School</v>
          </cell>
          <cell r="G941" t="str">
            <v>Other Independent School</v>
          </cell>
          <cell r="H941">
            <v>25864</v>
          </cell>
          <cell r="I941">
            <v>386</v>
          </cell>
          <cell r="J941" t="str">
            <v>London</v>
          </cell>
          <cell r="K941" t="str">
            <v>London</v>
          </cell>
          <cell r="L941" t="str">
            <v>Camden</v>
          </cell>
          <cell r="M941" t="str">
            <v>Hampstead and Kilburn</v>
          </cell>
          <cell r="N941" t="str">
            <v>NW3 2PP</v>
          </cell>
          <cell r="O941" t="str">
            <v>Does not have a sixth form</v>
          </cell>
          <cell r="P941">
            <v>2</v>
          </cell>
          <cell r="Q941">
            <v>8</v>
          </cell>
          <cell r="R941" t="str">
            <v>None</v>
          </cell>
          <cell r="S941" t="str">
            <v>Ofsted</v>
          </cell>
          <cell r="T941" t="str">
            <v>NULL</v>
          </cell>
          <cell r="U941" t="str">
            <v>NULL</v>
          </cell>
          <cell r="V941" t="str">
            <v>NULL</v>
          </cell>
          <cell r="W941" t="str">
            <v>NULL</v>
          </cell>
          <cell r="X941" t="str">
            <v>NULL</v>
          </cell>
          <cell r="Y941" t="str">
            <v>NULL</v>
          </cell>
          <cell r="Z941" t="str">
            <v>NULL</v>
          </cell>
          <cell r="AA941">
            <v>10038147</v>
          </cell>
          <cell r="AB941" t="str">
            <v>Independent School standard inspection</v>
          </cell>
          <cell r="AC941" t="str">
            <v>Independent Standard Inspection</v>
          </cell>
          <cell r="AD941">
            <v>43151</v>
          </cell>
          <cell r="AE941">
            <v>43153</v>
          </cell>
          <cell r="AF941">
            <v>43173</v>
          </cell>
          <cell r="AG941">
            <v>1</v>
          </cell>
          <cell r="AH941">
            <v>1</v>
          </cell>
          <cell r="AI941">
            <v>1</v>
          </cell>
          <cell r="AJ941">
            <v>1</v>
          </cell>
          <cell r="AK941">
            <v>1</v>
          </cell>
          <cell r="AL941">
            <v>1</v>
          </cell>
          <cell r="AM941" t="str">
            <v>NULL</v>
          </cell>
          <cell r="AN941" t="str">
            <v>Yes</v>
          </cell>
          <cell r="AO941" t="str">
            <v>ITS452079</v>
          </cell>
          <cell r="AP941" t="str">
            <v>Independent School standard inspection</v>
          </cell>
          <cell r="AQ941" t="str">
            <v>Independent Standard Inspection</v>
          </cell>
          <cell r="AR941">
            <v>41975</v>
          </cell>
          <cell r="AS941">
            <v>41977</v>
          </cell>
          <cell r="AT941">
            <v>42017</v>
          </cell>
          <cell r="AU941">
            <v>2</v>
          </cell>
          <cell r="AV941">
            <v>2</v>
          </cell>
          <cell r="AW941">
            <v>2</v>
          </cell>
          <cell r="AX941">
            <v>2</v>
          </cell>
          <cell r="AY941" t="str">
            <v>NULL</v>
          </cell>
          <cell r="AZ941">
            <v>2</v>
          </cell>
          <cell r="BA941">
            <v>9</v>
          </cell>
          <cell r="BB941" t="str">
            <v>NULL</v>
          </cell>
        </row>
        <row r="942">
          <cell r="D942">
            <v>133443</v>
          </cell>
          <cell r="E942">
            <v>3186586</v>
          </cell>
          <cell r="F942" t="str">
            <v>Hampton Court House</v>
          </cell>
          <cell r="G942" t="str">
            <v>Other Independent School</v>
          </cell>
          <cell r="H942">
            <v>37140</v>
          </cell>
          <cell r="I942">
            <v>228</v>
          </cell>
          <cell r="J942" t="str">
            <v>London</v>
          </cell>
          <cell r="K942" t="str">
            <v>London</v>
          </cell>
          <cell r="L942" t="str">
            <v>Richmond upon Thames</v>
          </cell>
          <cell r="M942" t="str">
            <v>Twickenham</v>
          </cell>
          <cell r="N942" t="str">
            <v>KT8 9BS</v>
          </cell>
          <cell r="O942" t="str">
            <v>Has a sixth form</v>
          </cell>
          <cell r="P942">
            <v>3</v>
          </cell>
          <cell r="Q942">
            <v>18</v>
          </cell>
          <cell r="R942" t="str">
            <v>None</v>
          </cell>
          <cell r="S942" t="str">
            <v>Ofsted</v>
          </cell>
          <cell r="T942">
            <v>1</v>
          </cell>
          <cell r="U942" t="str">
            <v>ITS464849</v>
          </cell>
          <cell r="V942" t="str">
            <v xml:space="preserve">Independent School material change inspection - Integrated </v>
          </cell>
          <cell r="W942">
            <v>42178</v>
          </cell>
          <cell r="X942">
            <v>42178</v>
          </cell>
          <cell r="Y942" t="str">
            <v>NULL</v>
          </cell>
          <cell r="Z942" t="str">
            <v>Likely to meet relevant standards</v>
          </cell>
          <cell r="AA942" t="str">
            <v>ITS420172</v>
          </cell>
          <cell r="AB942" t="str">
            <v>Independent School standard inspection</v>
          </cell>
          <cell r="AC942" t="str">
            <v>Independent Standard Inspection</v>
          </cell>
          <cell r="AD942">
            <v>41443</v>
          </cell>
          <cell r="AE942">
            <v>41445</v>
          </cell>
          <cell r="AF942">
            <v>41465</v>
          </cell>
          <cell r="AG942">
            <v>2</v>
          </cell>
          <cell r="AH942">
            <v>2</v>
          </cell>
          <cell r="AI942">
            <v>2</v>
          </cell>
          <cell r="AJ942">
            <v>2</v>
          </cell>
          <cell r="AK942" t="str">
            <v>NULL</v>
          </cell>
          <cell r="AL942" t="str">
            <v>NULL</v>
          </cell>
          <cell r="AM942" t="str">
            <v>NULL</v>
          </cell>
          <cell r="AN942" t="str">
            <v>NULL</v>
          </cell>
          <cell r="AO942" t="str">
            <v>ITS344603</v>
          </cell>
          <cell r="AP942" t="str">
            <v>Independent School standard inspection</v>
          </cell>
          <cell r="AQ942" t="str">
            <v>Independent Standard Inspection</v>
          </cell>
          <cell r="AR942">
            <v>40197</v>
          </cell>
          <cell r="AS942">
            <v>40198</v>
          </cell>
          <cell r="AT942">
            <v>40219</v>
          </cell>
          <cell r="AU942">
            <v>3</v>
          </cell>
          <cell r="AV942">
            <v>3</v>
          </cell>
          <cell r="AW942">
            <v>3</v>
          </cell>
          <cell r="AX942" t="str">
            <v>NULL</v>
          </cell>
          <cell r="AY942" t="str">
            <v>NULL</v>
          </cell>
          <cell r="AZ942">
            <v>3</v>
          </cell>
          <cell r="BA942" t="str">
            <v>NULL</v>
          </cell>
          <cell r="BB942" t="str">
            <v>NULL</v>
          </cell>
        </row>
        <row r="943">
          <cell r="D943">
            <v>141680</v>
          </cell>
          <cell r="E943">
            <v>3526010</v>
          </cell>
          <cell r="F943" t="str">
            <v>Harpurhey Alternative Provision School</v>
          </cell>
          <cell r="G943" t="str">
            <v>Other Independent School</v>
          </cell>
          <cell r="H943">
            <v>41992</v>
          </cell>
          <cell r="I943">
            <v>57</v>
          </cell>
          <cell r="J943" t="str">
            <v>North West</v>
          </cell>
          <cell r="K943" t="str">
            <v>North West</v>
          </cell>
          <cell r="L943" t="str">
            <v>Manchester</v>
          </cell>
          <cell r="M943" t="str">
            <v>Blackley and Broughton</v>
          </cell>
          <cell r="N943" t="str">
            <v>M9 8AE</v>
          </cell>
          <cell r="O943" t="str">
            <v>Does not have a sixth form</v>
          </cell>
          <cell r="P943">
            <v>11</v>
          </cell>
          <cell r="Q943">
            <v>16</v>
          </cell>
          <cell r="R943" t="str">
            <v>None</v>
          </cell>
          <cell r="S943" t="str">
            <v>Ofsted</v>
          </cell>
          <cell r="T943">
            <v>3</v>
          </cell>
          <cell r="U943">
            <v>10044736</v>
          </cell>
          <cell r="V943" t="str">
            <v>Independent school Progress Monitoring inspection</v>
          </cell>
          <cell r="W943">
            <v>43174</v>
          </cell>
          <cell r="X943">
            <v>43174</v>
          </cell>
          <cell r="Y943" t="str">
            <v>NULL</v>
          </cell>
          <cell r="Z943" t="str">
            <v>Met all standards that were checked</v>
          </cell>
          <cell r="AA943">
            <v>10006309</v>
          </cell>
          <cell r="AB943" t="str">
            <v>Independent school standard inspection - first</v>
          </cell>
          <cell r="AC943" t="str">
            <v>Independent Standard Inspection</v>
          </cell>
          <cell r="AD943">
            <v>42710</v>
          </cell>
          <cell r="AE943">
            <v>42712</v>
          </cell>
          <cell r="AF943">
            <v>43007</v>
          </cell>
          <cell r="AG943">
            <v>4</v>
          </cell>
          <cell r="AH943">
            <v>3</v>
          </cell>
          <cell r="AI943">
            <v>3</v>
          </cell>
          <cell r="AJ943">
            <v>4</v>
          </cell>
          <cell r="AK943">
            <v>4</v>
          </cell>
          <cell r="AL943" t="str">
            <v>NULL</v>
          </cell>
          <cell r="AM943" t="str">
            <v>NULL</v>
          </cell>
          <cell r="AN943" t="str">
            <v>Yes</v>
          </cell>
          <cell r="AO943" t="str">
            <v>NULL</v>
          </cell>
          <cell r="AP943" t="str">
            <v>NULL</v>
          </cell>
          <cell r="AQ943" t="str">
            <v>NULL</v>
          </cell>
          <cell r="AR943" t="str">
            <v>NULL</v>
          </cell>
          <cell r="AS943" t="str">
            <v>NULL</v>
          </cell>
          <cell r="AT943" t="str">
            <v>NULL</v>
          </cell>
          <cell r="AU943" t="str">
            <v>NULL</v>
          </cell>
          <cell r="AV943" t="str">
            <v>NULL</v>
          </cell>
          <cell r="AW943" t="str">
            <v>NULL</v>
          </cell>
          <cell r="AX943" t="str">
            <v>NULL</v>
          </cell>
          <cell r="AY943" t="str">
            <v>NULL</v>
          </cell>
          <cell r="AZ943" t="str">
            <v>NULL</v>
          </cell>
          <cell r="BA943" t="str">
            <v>NULL</v>
          </cell>
          <cell r="BB943" t="str">
            <v>NULL</v>
          </cell>
        </row>
        <row r="944">
          <cell r="D944">
            <v>134933</v>
          </cell>
          <cell r="E944">
            <v>9196209</v>
          </cell>
          <cell r="F944" t="str">
            <v>International Stanborough School</v>
          </cell>
          <cell r="G944" t="str">
            <v>Other Independent School</v>
          </cell>
          <cell r="H944">
            <v>38393</v>
          </cell>
          <cell r="I944">
            <v>7</v>
          </cell>
          <cell r="J944" t="str">
            <v>East of England</v>
          </cell>
          <cell r="K944" t="str">
            <v>East of England</v>
          </cell>
          <cell r="L944" t="str">
            <v>Hertfordshire</v>
          </cell>
          <cell r="M944" t="str">
            <v>Watford</v>
          </cell>
          <cell r="N944" t="str">
            <v>WD25 9JT</v>
          </cell>
          <cell r="O944" t="str">
            <v>Has a sixth form</v>
          </cell>
          <cell r="P944">
            <v>11</v>
          </cell>
          <cell r="Q944">
            <v>18</v>
          </cell>
          <cell r="R944" t="str">
            <v>None</v>
          </cell>
          <cell r="S944" t="str">
            <v>Ofsted</v>
          </cell>
          <cell r="T944" t="str">
            <v>NULL</v>
          </cell>
          <cell r="U944" t="str">
            <v>NULL</v>
          </cell>
          <cell r="V944" t="str">
            <v>NULL</v>
          </cell>
          <cell r="W944" t="str">
            <v>NULL</v>
          </cell>
          <cell r="X944" t="str">
            <v>NULL</v>
          </cell>
          <cell r="Y944" t="str">
            <v>NULL</v>
          </cell>
          <cell r="Z944" t="str">
            <v>NULL</v>
          </cell>
          <cell r="AA944">
            <v>10038906</v>
          </cell>
          <cell r="AB944" t="str">
            <v>Independent School standard inspection</v>
          </cell>
          <cell r="AC944" t="str">
            <v>Independent Standard Inspection</v>
          </cell>
          <cell r="AD944">
            <v>43060</v>
          </cell>
          <cell r="AE944">
            <v>43062</v>
          </cell>
          <cell r="AF944">
            <v>43110</v>
          </cell>
          <cell r="AG944">
            <v>2</v>
          </cell>
          <cell r="AH944">
            <v>2</v>
          </cell>
          <cell r="AI944">
            <v>2</v>
          </cell>
          <cell r="AJ944">
            <v>2</v>
          </cell>
          <cell r="AK944">
            <v>1</v>
          </cell>
          <cell r="AL944" t="str">
            <v>NULL</v>
          </cell>
          <cell r="AM944" t="str">
            <v>NULL</v>
          </cell>
          <cell r="AN944" t="str">
            <v>Yes</v>
          </cell>
          <cell r="AO944">
            <v>10006085</v>
          </cell>
          <cell r="AP944" t="str">
            <v xml:space="preserve">Independent School standard inspection - integrated </v>
          </cell>
          <cell r="AQ944" t="str">
            <v>Independent Standard Inspection</v>
          </cell>
          <cell r="AR944">
            <v>42297</v>
          </cell>
          <cell r="AS944">
            <v>42299</v>
          </cell>
          <cell r="AT944">
            <v>42328</v>
          </cell>
          <cell r="AU944">
            <v>4</v>
          </cell>
          <cell r="AV944">
            <v>3</v>
          </cell>
          <cell r="AW944">
            <v>3</v>
          </cell>
          <cell r="AX944">
            <v>4</v>
          </cell>
          <cell r="AY944">
            <v>4</v>
          </cell>
          <cell r="AZ944" t="str">
            <v>NULL</v>
          </cell>
          <cell r="BA944" t="str">
            <v>NULL</v>
          </cell>
          <cell r="BB944" t="str">
            <v>No</v>
          </cell>
        </row>
        <row r="945">
          <cell r="D945">
            <v>136023</v>
          </cell>
          <cell r="E945">
            <v>8746003</v>
          </cell>
          <cell r="F945" t="str">
            <v>Iqra Academy</v>
          </cell>
          <cell r="G945" t="str">
            <v>Other Independent School</v>
          </cell>
          <cell r="H945">
            <v>40108</v>
          </cell>
          <cell r="I945">
            <v>67</v>
          </cell>
          <cell r="J945" t="str">
            <v>East of England</v>
          </cell>
          <cell r="K945" t="str">
            <v>East of England</v>
          </cell>
          <cell r="L945" t="str">
            <v>Peterborough</v>
          </cell>
          <cell r="M945" t="str">
            <v>Peterborough</v>
          </cell>
          <cell r="N945" t="str">
            <v>PE3 8YQ</v>
          </cell>
          <cell r="O945" t="str">
            <v>Has a sixth form</v>
          </cell>
          <cell r="P945">
            <v>11</v>
          </cell>
          <cell r="Q945">
            <v>19</v>
          </cell>
          <cell r="R945" t="str">
            <v>Islam</v>
          </cell>
          <cell r="S945" t="str">
            <v>Ofsted</v>
          </cell>
          <cell r="T945" t="str">
            <v>NULL</v>
          </cell>
          <cell r="U945" t="str">
            <v>NULL</v>
          </cell>
          <cell r="V945" t="str">
            <v>NULL</v>
          </cell>
          <cell r="W945" t="str">
            <v>NULL</v>
          </cell>
          <cell r="X945" t="str">
            <v>NULL</v>
          </cell>
          <cell r="Y945" t="str">
            <v>NULL</v>
          </cell>
          <cell r="Z945" t="str">
            <v>NULL</v>
          </cell>
          <cell r="AA945">
            <v>10033606</v>
          </cell>
          <cell r="AB945" t="str">
            <v>Independent School standard inspection</v>
          </cell>
          <cell r="AC945" t="str">
            <v>Independent Standard Inspection</v>
          </cell>
          <cell r="AD945">
            <v>42899</v>
          </cell>
          <cell r="AE945">
            <v>42901</v>
          </cell>
          <cell r="AF945">
            <v>42986</v>
          </cell>
          <cell r="AG945">
            <v>2</v>
          </cell>
          <cell r="AH945">
            <v>2</v>
          </cell>
          <cell r="AI945">
            <v>2</v>
          </cell>
          <cell r="AJ945">
            <v>2</v>
          </cell>
          <cell r="AK945">
            <v>2</v>
          </cell>
          <cell r="AL945" t="str">
            <v>NULL</v>
          </cell>
          <cell r="AM945" t="str">
            <v>NULL</v>
          </cell>
          <cell r="AN945" t="str">
            <v>Yes</v>
          </cell>
          <cell r="AO945" t="str">
            <v>ITS422824</v>
          </cell>
          <cell r="AP945" t="str">
            <v>Independent School standard inspection</v>
          </cell>
          <cell r="AQ945" t="str">
            <v>Independent Standard Inspection</v>
          </cell>
          <cell r="AR945">
            <v>41695</v>
          </cell>
          <cell r="AS945">
            <v>41697</v>
          </cell>
          <cell r="AT945">
            <v>41710</v>
          </cell>
          <cell r="AU945">
            <v>2</v>
          </cell>
          <cell r="AV945">
            <v>2</v>
          </cell>
          <cell r="AW945">
            <v>2</v>
          </cell>
          <cell r="AX945">
            <v>2</v>
          </cell>
          <cell r="AY945" t="str">
            <v>NULL</v>
          </cell>
          <cell r="AZ945" t="str">
            <v>NULL</v>
          </cell>
          <cell r="BA945" t="str">
            <v>NULL</v>
          </cell>
          <cell r="BB945" t="str">
            <v>NULL</v>
          </cell>
        </row>
        <row r="946">
          <cell r="D946">
            <v>141087</v>
          </cell>
          <cell r="E946">
            <v>3536002</v>
          </cell>
          <cell r="F946" t="str">
            <v>Iqra High School</v>
          </cell>
          <cell r="G946" t="str">
            <v>Other Independent School</v>
          </cell>
          <cell r="H946">
            <v>41822</v>
          </cell>
          <cell r="I946">
            <v>55</v>
          </cell>
          <cell r="J946" t="str">
            <v>North West</v>
          </cell>
          <cell r="K946" t="str">
            <v>North West</v>
          </cell>
          <cell r="L946" t="str">
            <v>Oldham</v>
          </cell>
          <cell r="M946" t="str">
            <v>Oldham East and Saddleworth</v>
          </cell>
          <cell r="N946" t="str">
            <v>OL4 1ER</v>
          </cell>
          <cell r="O946" t="str">
            <v>Does not have a sixth form</v>
          </cell>
          <cell r="P946">
            <v>11</v>
          </cell>
          <cell r="Q946">
            <v>16</v>
          </cell>
          <cell r="R946" t="str">
            <v>None</v>
          </cell>
          <cell r="S946" t="str">
            <v>Ofsted</v>
          </cell>
          <cell r="T946">
            <v>1</v>
          </cell>
          <cell r="U946">
            <v>10045496</v>
          </cell>
          <cell r="V946" t="str">
            <v>Independent school evaluation of school action plan</v>
          </cell>
          <cell r="W946">
            <v>43119</v>
          </cell>
          <cell r="X946">
            <v>43119</v>
          </cell>
          <cell r="Y946" t="str">
            <v>NULL</v>
          </cell>
          <cell r="Z946" t="str">
            <v>Action plan is not acceptable</v>
          </cell>
          <cell r="AA946">
            <v>10034034</v>
          </cell>
          <cell r="AB946" t="str">
            <v>Independent School standard inspection</v>
          </cell>
          <cell r="AC946" t="str">
            <v>Independent Standard Inspection</v>
          </cell>
          <cell r="AD946">
            <v>42892</v>
          </cell>
          <cell r="AE946">
            <v>42894</v>
          </cell>
          <cell r="AF946">
            <v>42998</v>
          </cell>
          <cell r="AG946">
            <v>4</v>
          </cell>
          <cell r="AH946">
            <v>4</v>
          </cell>
          <cell r="AI946">
            <v>4</v>
          </cell>
          <cell r="AJ946">
            <v>4</v>
          </cell>
          <cell r="AK946">
            <v>4</v>
          </cell>
          <cell r="AL946" t="str">
            <v>NULL</v>
          </cell>
          <cell r="AM946" t="str">
            <v>NULL</v>
          </cell>
          <cell r="AN946" t="str">
            <v>No</v>
          </cell>
          <cell r="AO946" t="str">
            <v>ITS463022</v>
          </cell>
          <cell r="AP946" t="str">
            <v>Independent school standard inspection - first</v>
          </cell>
          <cell r="AQ946" t="str">
            <v>Independent Standard Inspection</v>
          </cell>
          <cell r="AR946">
            <v>42123</v>
          </cell>
          <cell r="AS946">
            <v>42125</v>
          </cell>
          <cell r="AT946">
            <v>42167</v>
          </cell>
          <cell r="AU946">
            <v>4</v>
          </cell>
          <cell r="AV946">
            <v>3</v>
          </cell>
          <cell r="AW946">
            <v>3</v>
          </cell>
          <cell r="AX946">
            <v>4</v>
          </cell>
          <cell r="AY946" t="str">
            <v>NULL</v>
          </cell>
          <cell r="AZ946">
            <v>9</v>
          </cell>
          <cell r="BA946">
            <v>9</v>
          </cell>
          <cell r="BB946" t="str">
            <v>NULL</v>
          </cell>
        </row>
        <row r="947">
          <cell r="D947">
            <v>107793</v>
          </cell>
          <cell r="E947">
            <v>3826016</v>
          </cell>
          <cell r="F947" t="str">
            <v>Islamia Girls' High School</v>
          </cell>
          <cell r="G947" t="str">
            <v>Other Independent School</v>
          </cell>
          <cell r="H947">
            <v>30722</v>
          </cell>
          <cell r="I947">
            <v>17</v>
          </cell>
          <cell r="J947" t="str">
            <v>North East, Yorkshire and the Humber</v>
          </cell>
          <cell r="K947" t="str">
            <v>Yorkshire and the Humber</v>
          </cell>
          <cell r="L947" t="str">
            <v>Kirklees</v>
          </cell>
          <cell r="M947" t="str">
            <v>Huddersfield</v>
          </cell>
          <cell r="N947" t="str">
            <v>HD1 5NG</v>
          </cell>
          <cell r="O947" t="str">
            <v>Does not have a sixth form</v>
          </cell>
          <cell r="P947">
            <v>9</v>
          </cell>
          <cell r="Q947">
            <v>16</v>
          </cell>
          <cell r="R947" t="str">
            <v>None</v>
          </cell>
          <cell r="S947" t="str">
            <v>Ofsted</v>
          </cell>
          <cell r="T947">
            <v>6</v>
          </cell>
          <cell r="U947">
            <v>10044498</v>
          </cell>
          <cell r="V947" t="str">
            <v>Independent school Material Change inspection</v>
          </cell>
          <cell r="W947">
            <v>43124</v>
          </cell>
          <cell r="X947">
            <v>43124</v>
          </cell>
          <cell r="Y947">
            <v>43179</v>
          </cell>
          <cell r="Z947" t="str">
            <v>Change implemented and does not meet relevant standards</v>
          </cell>
          <cell r="AA947">
            <v>10012841</v>
          </cell>
          <cell r="AB947" t="str">
            <v>Independent School standard inspection</v>
          </cell>
          <cell r="AC947" t="str">
            <v>Independent Standard Inspection</v>
          </cell>
          <cell r="AD947">
            <v>42487</v>
          </cell>
          <cell r="AE947">
            <v>42489</v>
          </cell>
          <cell r="AF947">
            <v>42641</v>
          </cell>
          <cell r="AG947">
            <v>4</v>
          </cell>
          <cell r="AH947">
            <v>2</v>
          </cell>
          <cell r="AI947">
            <v>2</v>
          </cell>
          <cell r="AJ947">
            <v>4</v>
          </cell>
          <cell r="AK947">
            <v>4</v>
          </cell>
          <cell r="AL947" t="str">
            <v>NULL</v>
          </cell>
          <cell r="AM947" t="str">
            <v>NULL</v>
          </cell>
          <cell r="AN947" t="str">
            <v>No</v>
          </cell>
          <cell r="AO947" t="str">
            <v>ITS393370</v>
          </cell>
          <cell r="AP947" t="str">
            <v>Independent School standard inspection</v>
          </cell>
          <cell r="AQ947" t="str">
            <v>Independent Standard Inspection</v>
          </cell>
          <cell r="AR947">
            <v>41051</v>
          </cell>
          <cell r="AS947">
            <v>41052</v>
          </cell>
          <cell r="AT947">
            <v>41074</v>
          </cell>
          <cell r="AU947">
            <v>2</v>
          </cell>
          <cell r="AV947">
            <v>2</v>
          </cell>
          <cell r="AW947">
            <v>2</v>
          </cell>
          <cell r="AX947" t="str">
            <v>NULL</v>
          </cell>
          <cell r="AY947" t="str">
            <v>NULL</v>
          </cell>
          <cell r="AZ947">
            <v>8</v>
          </cell>
          <cell r="BA947" t="str">
            <v>NULL</v>
          </cell>
          <cell r="BB947" t="str">
            <v>NULL</v>
          </cell>
        </row>
        <row r="948">
          <cell r="D948">
            <v>136259</v>
          </cell>
          <cell r="E948">
            <v>8066002</v>
          </cell>
          <cell r="F948" t="str">
            <v>Keys Tees Valley College</v>
          </cell>
          <cell r="G948" t="str">
            <v>Other Independent School</v>
          </cell>
          <cell r="H948">
            <v>40507</v>
          </cell>
          <cell r="I948">
            <v>39</v>
          </cell>
          <cell r="J948" t="str">
            <v>North East, Yorkshire and the Humber</v>
          </cell>
          <cell r="K948" t="str">
            <v>North East</v>
          </cell>
          <cell r="L948" t="str">
            <v>Middlesbrough</v>
          </cell>
          <cell r="M948" t="str">
            <v>Middlesbrough</v>
          </cell>
          <cell r="N948" t="str">
            <v>TS3 8BT</v>
          </cell>
          <cell r="O948" t="str">
            <v>Has a sixth form</v>
          </cell>
          <cell r="P948">
            <v>11</v>
          </cell>
          <cell r="Q948">
            <v>19</v>
          </cell>
          <cell r="R948" t="str">
            <v>None</v>
          </cell>
          <cell r="S948" t="str">
            <v>Ofsted</v>
          </cell>
          <cell r="T948" t="str">
            <v>NULL</v>
          </cell>
          <cell r="U948" t="str">
            <v>NULL</v>
          </cell>
          <cell r="V948" t="str">
            <v>NULL</v>
          </cell>
          <cell r="W948" t="str">
            <v>NULL</v>
          </cell>
          <cell r="X948" t="str">
            <v>NULL</v>
          </cell>
          <cell r="Y948" t="str">
            <v>NULL</v>
          </cell>
          <cell r="Z948" t="str">
            <v>NULL</v>
          </cell>
          <cell r="AA948">
            <v>10043657</v>
          </cell>
          <cell r="AB948" t="str">
            <v>Independent School standard inspection</v>
          </cell>
          <cell r="AC948" t="str">
            <v>Independent Standard Inspection</v>
          </cell>
          <cell r="AD948">
            <v>43116</v>
          </cell>
          <cell r="AE948">
            <v>43118</v>
          </cell>
          <cell r="AF948">
            <v>43157</v>
          </cell>
          <cell r="AG948">
            <v>3</v>
          </cell>
          <cell r="AH948">
            <v>3</v>
          </cell>
          <cell r="AI948">
            <v>3</v>
          </cell>
          <cell r="AJ948">
            <v>3</v>
          </cell>
          <cell r="AK948">
            <v>3</v>
          </cell>
          <cell r="AL948" t="str">
            <v>NULL</v>
          </cell>
          <cell r="AM948" t="str">
            <v>NULL</v>
          </cell>
          <cell r="AN948" t="str">
            <v>Yes</v>
          </cell>
          <cell r="AO948" t="str">
            <v>ITS454297</v>
          </cell>
          <cell r="AP948" t="str">
            <v>Independent School standard inspection</v>
          </cell>
          <cell r="AQ948" t="str">
            <v>Independent Standard Inspection</v>
          </cell>
          <cell r="AR948">
            <v>42059</v>
          </cell>
          <cell r="AS948">
            <v>42061</v>
          </cell>
          <cell r="AT948">
            <v>42110</v>
          </cell>
          <cell r="AU948">
            <v>2</v>
          </cell>
          <cell r="AV948">
            <v>2</v>
          </cell>
          <cell r="AW948">
            <v>2</v>
          </cell>
          <cell r="AX948">
            <v>2</v>
          </cell>
          <cell r="AY948" t="str">
            <v>NULL</v>
          </cell>
          <cell r="AZ948">
            <v>9</v>
          </cell>
          <cell r="BA948">
            <v>9</v>
          </cell>
          <cell r="BB948" t="str">
            <v>NULL</v>
          </cell>
        </row>
        <row r="949">
          <cell r="D949">
            <v>138384</v>
          </cell>
          <cell r="E949">
            <v>3056009</v>
          </cell>
          <cell r="F949" t="str">
            <v>Kings London</v>
          </cell>
          <cell r="G949" t="str">
            <v>Other Independent School</v>
          </cell>
          <cell r="H949">
            <v>41102</v>
          </cell>
          <cell r="I949">
            <v>241</v>
          </cell>
          <cell r="J949" t="str">
            <v>London</v>
          </cell>
          <cell r="K949" t="str">
            <v>London</v>
          </cell>
          <cell r="L949" t="str">
            <v>Bromley</v>
          </cell>
          <cell r="M949" t="str">
            <v>Lewisham West and Penge</v>
          </cell>
          <cell r="N949" t="str">
            <v>BR3 4PR</v>
          </cell>
          <cell r="O949" t="str">
            <v>Has a sixth form</v>
          </cell>
          <cell r="P949">
            <v>14</v>
          </cell>
          <cell r="Q949">
            <v>25</v>
          </cell>
          <cell r="R949" t="str">
            <v>None</v>
          </cell>
          <cell r="S949" t="str">
            <v>Ofsted</v>
          </cell>
          <cell r="T949" t="str">
            <v>NULL</v>
          </cell>
          <cell r="U949" t="str">
            <v>NULL</v>
          </cell>
          <cell r="V949" t="str">
            <v>NULL</v>
          </cell>
          <cell r="W949" t="str">
            <v>NULL</v>
          </cell>
          <cell r="X949" t="str">
            <v>NULL</v>
          </cell>
          <cell r="Y949" t="str">
            <v>NULL</v>
          </cell>
          <cell r="Z949" t="str">
            <v>NULL</v>
          </cell>
          <cell r="AA949">
            <v>10020778</v>
          </cell>
          <cell r="AB949" t="str">
            <v>Independent School standard inspection</v>
          </cell>
          <cell r="AC949" t="str">
            <v>Independent Standard Inspection</v>
          </cell>
          <cell r="AD949">
            <v>43123</v>
          </cell>
          <cell r="AE949">
            <v>43125</v>
          </cell>
          <cell r="AF949">
            <v>43159</v>
          </cell>
          <cell r="AG949">
            <v>2</v>
          </cell>
          <cell r="AH949">
            <v>2</v>
          </cell>
          <cell r="AI949">
            <v>2</v>
          </cell>
          <cell r="AJ949">
            <v>2</v>
          </cell>
          <cell r="AK949">
            <v>1</v>
          </cell>
          <cell r="AL949" t="str">
            <v>NULL</v>
          </cell>
          <cell r="AM949" t="str">
            <v>NULL</v>
          </cell>
          <cell r="AN949" t="str">
            <v>Yes</v>
          </cell>
          <cell r="AO949" t="str">
            <v>ITS420250</v>
          </cell>
          <cell r="AP949" t="str">
            <v>Independent school standard inspection - first</v>
          </cell>
          <cell r="AQ949" t="str">
            <v>Independent Standard Inspection</v>
          </cell>
          <cell r="AR949">
            <v>41583</v>
          </cell>
          <cell r="AS949">
            <v>41585</v>
          </cell>
          <cell r="AT949">
            <v>41605</v>
          </cell>
          <cell r="AU949">
            <v>2</v>
          </cell>
          <cell r="AV949">
            <v>2</v>
          </cell>
          <cell r="AW949">
            <v>2</v>
          </cell>
          <cell r="AX949">
            <v>2</v>
          </cell>
          <cell r="AY949" t="str">
            <v>NULL</v>
          </cell>
          <cell r="AZ949" t="str">
            <v>NULL</v>
          </cell>
          <cell r="BA949" t="str">
            <v>NULL</v>
          </cell>
          <cell r="BB949" t="str">
            <v>NULL</v>
          </cell>
        </row>
        <row r="950">
          <cell r="D950">
            <v>138602</v>
          </cell>
          <cell r="E950">
            <v>9316010</v>
          </cell>
          <cell r="F950" t="str">
            <v>Kings Oxford</v>
          </cell>
          <cell r="G950" t="str">
            <v>Other Independent School</v>
          </cell>
          <cell r="H950">
            <v>41144</v>
          </cell>
          <cell r="I950">
            <v>289</v>
          </cell>
          <cell r="J950" t="str">
            <v>South East</v>
          </cell>
          <cell r="K950" t="str">
            <v>South East</v>
          </cell>
          <cell r="L950" t="str">
            <v>Oxfordshire</v>
          </cell>
          <cell r="M950" t="str">
            <v>Oxford East</v>
          </cell>
          <cell r="N950" t="str">
            <v>OX4 2UJ</v>
          </cell>
          <cell r="O950" t="str">
            <v>Has a sixth form</v>
          </cell>
          <cell r="P950">
            <v>15</v>
          </cell>
          <cell r="Q950">
            <v>25</v>
          </cell>
          <cell r="R950" t="str">
            <v>None</v>
          </cell>
          <cell r="S950" t="str">
            <v>Ofsted</v>
          </cell>
          <cell r="T950" t="str">
            <v>NULL</v>
          </cell>
          <cell r="U950" t="str">
            <v>NULL</v>
          </cell>
          <cell r="V950" t="str">
            <v>NULL</v>
          </cell>
          <cell r="W950" t="str">
            <v>NULL</v>
          </cell>
          <cell r="X950" t="str">
            <v>NULL</v>
          </cell>
          <cell r="Y950" t="str">
            <v>NULL</v>
          </cell>
          <cell r="Z950" t="str">
            <v>NULL</v>
          </cell>
          <cell r="AA950">
            <v>10012969</v>
          </cell>
          <cell r="AB950" t="str">
            <v>Independent School standard inspection</v>
          </cell>
          <cell r="AC950" t="str">
            <v>Independent Standard Inspection</v>
          </cell>
          <cell r="AD950">
            <v>42500</v>
          </cell>
          <cell r="AE950">
            <v>42502</v>
          </cell>
          <cell r="AF950">
            <v>42534</v>
          </cell>
          <cell r="AG950">
            <v>2</v>
          </cell>
          <cell r="AH950">
            <v>2</v>
          </cell>
          <cell r="AI950">
            <v>2</v>
          </cell>
          <cell r="AJ950">
            <v>2</v>
          </cell>
          <cell r="AK950">
            <v>2</v>
          </cell>
          <cell r="AL950" t="str">
            <v>NULL</v>
          </cell>
          <cell r="AM950">
            <v>2</v>
          </cell>
          <cell r="AN950" t="str">
            <v>Yes</v>
          </cell>
          <cell r="AO950" t="str">
            <v>ITS420266</v>
          </cell>
          <cell r="AP950" t="str">
            <v>Independent school standard inspection - first</v>
          </cell>
          <cell r="AQ950" t="str">
            <v>Independent Standard Inspection</v>
          </cell>
          <cell r="AR950">
            <v>41394</v>
          </cell>
          <cell r="AS950">
            <v>41396</v>
          </cell>
          <cell r="AT950">
            <v>41417</v>
          </cell>
          <cell r="AU950">
            <v>2</v>
          </cell>
          <cell r="AV950">
            <v>2</v>
          </cell>
          <cell r="AW950">
            <v>2</v>
          </cell>
          <cell r="AX950">
            <v>2</v>
          </cell>
          <cell r="AY950" t="str">
            <v>NULL</v>
          </cell>
          <cell r="AZ950" t="str">
            <v>NULL</v>
          </cell>
          <cell r="BA950" t="str">
            <v>NULL</v>
          </cell>
          <cell r="BB950" t="str">
            <v>NULL</v>
          </cell>
        </row>
        <row r="951">
          <cell r="D951">
            <v>104128</v>
          </cell>
          <cell r="E951">
            <v>3346009</v>
          </cell>
          <cell r="F951" t="str">
            <v>Kingswood School</v>
          </cell>
          <cell r="G951" t="str">
            <v>Other Independent School</v>
          </cell>
          <cell r="H951">
            <v>33287</v>
          </cell>
          <cell r="I951">
            <v>90</v>
          </cell>
          <cell r="J951" t="str">
            <v>West Midlands</v>
          </cell>
          <cell r="K951" t="str">
            <v>West Midlands</v>
          </cell>
          <cell r="L951" t="str">
            <v>Solihull</v>
          </cell>
          <cell r="M951" t="str">
            <v>Solihull</v>
          </cell>
          <cell r="N951" t="str">
            <v>B90 2BA</v>
          </cell>
          <cell r="O951" t="str">
            <v>Does not have a sixth form</v>
          </cell>
          <cell r="P951">
            <v>2</v>
          </cell>
          <cell r="Q951">
            <v>16</v>
          </cell>
          <cell r="R951" t="str">
            <v>None</v>
          </cell>
          <cell r="S951" t="str">
            <v>Ofsted</v>
          </cell>
          <cell r="T951" t="str">
            <v>NULL</v>
          </cell>
          <cell r="U951" t="str">
            <v>NULL</v>
          </cell>
          <cell r="V951" t="str">
            <v>NULL</v>
          </cell>
          <cell r="W951" t="str">
            <v>NULL</v>
          </cell>
          <cell r="X951" t="str">
            <v>NULL</v>
          </cell>
          <cell r="Y951" t="str">
            <v>NULL</v>
          </cell>
          <cell r="Z951" t="str">
            <v>NULL</v>
          </cell>
          <cell r="AA951" t="str">
            <v>ITS443499</v>
          </cell>
          <cell r="AB951" t="str">
            <v>Independent School standard inspection</v>
          </cell>
          <cell r="AC951" t="str">
            <v>Independent Standard Inspection</v>
          </cell>
          <cell r="AD951">
            <v>41822</v>
          </cell>
          <cell r="AE951">
            <v>41824</v>
          </cell>
          <cell r="AF951">
            <v>41897</v>
          </cell>
          <cell r="AG951">
            <v>1</v>
          </cell>
          <cell r="AH951">
            <v>1</v>
          </cell>
          <cell r="AI951">
            <v>1</v>
          </cell>
          <cell r="AJ951">
            <v>1</v>
          </cell>
          <cell r="AK951" t="str">
            <v>NULL</v>
          </cell>
          <cell r="AL951" t="str">
            <v>NULL</v>
          </cell>
          <cell r="AM951" t="str">
            <v>NULL</v>
          </cell>
          <cell r="AN951" t="str">
            <v>NULL</v>
          </cell>
          <cell r="AO951" t="str">
            <v>ITS322245</v>
          </cell>
          <cell r="AP951" t="str">
            <v>S162a - LTI Pilot Historic</v>
          </cell>
          <cell r="AQ951" t="str">
            <v>Independent Standard Inspection</v>
          </cell>
          <cell r="AR951">
            <v>39569</v>
          </cell>
          <cell r="AS951">
            <v>39569</v>
          </cell>
          <cell r="AT951">
            <v>39610</v>
          </cell>
          <cell r="AU951">
            <v>1</v>
          </cell>
          <cell r="AV951">
            <v>2</v>
          </cell>
          <cell r="AW951">
            <v>1</v>
          </cell>
          <cell r="AX951" t="str">
            <v>NULL</v>
          </cell>
          <cell r="AY951" t="str">
            <v>NULL</v>
          </cell>
          <cell r="AZ951" t="str">
            <v>NULL</v>
          </cell>
          <cell r="BA951" t="str">
            <v>NULL</v>
          </cell>
          <cell r="BB951" t="str">
            <v>NULL</v>
          </cell>
        </row>
        <row r="952">
          <cell r="D952">
            <v>136122</v>
          </cell>
          <cell r="E952">
            <v>8226015</v>
          </cell>
          <cell r="F952" t="str">
            <v>KWS Educational Services</v>
          </cell>
          <cell r="G952" t="str">
            <v>Other Independent School</v>
          </cell>
          <cell r="H952">
            <v>40324</v>
          </cell>
          <cell r="I952">
            <v>18</v>
          </cell>
          <cell r="J952" t="str">
            <v>East of England</v>
          </cell>
          <cell r="K952" t="str">
            <v>East of England</v>
          </cell>
          <cell r="L952" t="str">
            <v>Bedford</v>
          </cell>
          <cell r="M952" t="str">
            <v>Bedford</v>
          </cell>
          <cell r="N952" t="str">
            <v>MK41 9TJ</v>
          </cell>
          <cell r="O952" t="str">
            <v>Has a sixth form</v>
          </cell>
          <cell r="P952">
            <v>11</v>
          </cell>
          <cell r="Q952">
            <v>18</v>
          </cell>
          <cell r="R952" t="str">
            <v>None</v>
          </cell>
          <cell r="S952" t="str">
            <v>Ofsted</v>
          </cell>
          <cell r="T952" t="str">
            <v>NULL</v>
          </cell>
          <cell r="U952" t="str">
            <v>NULL</v>
          </cell>
          <cell r="V952" t="str">
            <v>NULL</v>
          </cell>
          <cell r="W952" t="str">
            <v>NULL</v>
          </cell>
          <cell r="X952" t="str">
            <v>NULL</v>
          </cell>
          <cell r="Y952" t="str">
            <v>NULL</v>
          </cell>
          <cell r="Z952" t="str">
            <v>NULL</v>
          </cell>
          <cell r="AA952">
            <v>10038907</v>
          </cell>
          <cell r="AB952" t="str">
            <v>Independent School standard inspection</v>
          </cell>
          <cell r="AC952" t="str">
            <v>Independent Standard Inspection</v>
          </cell>
          <cell r="AD952">
            <v>43004</v>
          </cell>
          <cell r="AE952">
            <v>43006</v>
          </cell>
          <cell r="AF952">
            <v>43046</v>
          </cell>
          <cell r="AG952">
            <v>3</v>
          </cell>
          <cell r="AH952">
            <v>3</v>
          </cell>
          <cell r="AI952">
            <v>3</v>
          </cell>
          <cell r="AJ952">
            <v>3</v>
          </cell>
          <cell r="AK952">
            <v>2</v>
          </cell>
          <cell r="AL952" t="str">
            <v>NULL</v>
          </cell>
          <cell r="AM952" t="str">
            <v>NULL</v>
          </cell>
          <cell r="AN952" t="str">
            <v>Yes</v>
          </cell>
          <cell r="AO952" t="str">
            <v>ITS447294</v>
          </cell>
          <cell r="AP952" t="str">
            <v>Independent School standard inspection</v>
          </cell>
          <cell r="AQ952" t="str">
            <v>Independent Standard Inspection</v>
          </cell>
          <cell r="AR952">
            <v>41912</v>
          </cell>
          <cell r="AS952">
            <v>41914</v>
          </cell>
          <cell r="AT952">
            <v>41933</v>
          </cell>
          <cell r="AU952">
            <v>2</v>
          </cell>
          <cell r="AV952">
            <v>2</v>
          </cell>
          <cell r="AW952">
            <v>2</v>
          </cell>
          <cell r="AX952">
            <v>2</v>
          </cell>
          <cell r="AY952" t="str">
            <v>NULL</v>
          </cell>
          <cell r="AZ952">
            <v>9</v>
          </cell>
          <cell r="BA952">
            <v>9</v>
          </cell>
          <cell r="BB952" t="str">
            <v>NULL</v>
          </cell>
        </row>
        <row r="953">
          <cell r="D953">
            <v>101065</v>
          </cell>
          <cell r="E953">
            <v>2126144</v>
          </cell>
          <cell r="F953" t="str">
            <v>Merlin School</v>
          </cell>
          <cell r="G953" t="str">
            <v>Other Independent School</v>
          </cell>
          <cell r="H953">
            <v>21284</v>
          </cell>
          <cell r="I953">
            <v>204</v>
          </cell>
          <cell r="J953" t="str">
            <v>London</v>
          </cell>
          <cell r="K953" t="str">
            <v>London</v>
          </cell>
          <cell r="L953" t="str">
            <v>Wandsworth</v>
          </cell>
          <cell r="M953" t="str">
            <v>Putney</v>
          </cell>
          <cell r="N953" t="str">
            <v>SW15 2BZ</v>
          </cell>
          <cell r="O953" t="str">
            <v>Does not have a sixth form</v>
          </cell>
          <cell r="P953">
            <v>4</v>
          </cell>
          <cell r="Q953">
            <v>8</v>
          </cell>
          <cell r="R953" t="str">
            <v>None</v>
          </cell>
          <cell r="S953" t="str">
            <v>Ofsted</v>
          </cell>
          <cell r="T953" t="str">
            <v>NULL</v>
          </cell>
          <cell r="U953" t="str">
            <v>NULL</v>
          </cell>
          <cell r="V953" t="str">
            <v>NULL</v>
          </cell>
          <cell r="W953" t="str">
            <v>NULL</v>
          </cell>
          <cell r="X953" t="str">
            <v>NULL</v>
          </cell>
          <cell r="Y953" t="str">
            <v>NULL</v>
          </cell>
          <cell r="Z953" t="str">
            <v>NULL</v>
          </cell>
          <cell r="AA953">
            <v>10008537</v>
          </cell>
          <cell r="AB953" t="str">
            <v>Independent School standard inspection</v>
          </cell>
          <cell r="AC953" t="str">
            <v>Independent Standard Inspection</v>
          </cell>
          <cell r="AD953">
            <v>43046</v>
          </cell>
          <cell r="AE953">
            <v>43048</v>
          </cell>
          <cell r="AF953">
            <v>43066</v>
          </cell>
          <cell r="AG953">
            <v>1</v>
          </cell>
          <cell r="AH953">
            <v>1</v>
          </cell>
          <cell r="AI953">
            <v>1</v>
          </cell>
          <cell r="AJ953">
            <v>1</v>
          </cell>
          <cell r="AK953">
            <v>1</v>
          </cell>
          <cell r="AL953">
            <v>1</v>
          </cell>
          <cell r="AM953" t="str">
            <v>NULL</v>
          </cell>
          <cell r="AN953" t="str">
            <v>Yes</v>
          </cell>
          <cell r="AO953" t="str">
            <v>ITS344613</v>
          </cell>
          <cell r="AP953" t="str">
            <v>S162a - LTI Inspection Historic</v>
          </cell>
          <cell r="AQ953" t="str">
            <v>Independent Standard Inspection</v>
          </cell>
          <cell r="AR953">
            <v>40255</v>
          </cell>
          <cell r="AS953">
            <v>40255</v>
          </cell>
          <cell r="AT953">
            <v>40291</v>
          </cell>
          <cell r="AU953">
            <v>1</v>
          </cell>
          <cell r="AV953">
            <v>1</v>
          </cell>
          <cell r="AW953">
            <v>2</v>
          </cell>
          <cell r="AX953" t="str">
            <v>NULL</v>
          </cell>
          <cell r="AY953" t="str">
            <v>NULL</v>
          </cell>
          <cell r="AZ953">
            <v>2</v>
          </cell>
          <cell r="BA953" t="str">
            <v>NULL</v>
          </cell>
          <cell r="BB953" t="str">
            <v>NULL</v>
          </cell>
        </row>
        <row r="954">
          <cell r="D954">
            <v>117044</v>
          </cell>
          <cell r="E954">
            <v>8856031</v>
          </cell>
          <cell r="F954" t="str">
            <v>Madinatul Uloom Al Islamiya School</v>
          </cell>
          <cell r="G954" t="str">
            <v>Other Independent School</v>
          </cell>
          <cell r="H954">
            <v>32365</v>
          </cell>
          <cell r="I954">
            <v>245</v>
          </cell>
          <cell r="J954" t="str">
            <v>West Midlands</v>
          </cell>
          <cell r="K954" t="str">
            <v>West Midlands</v>
          </cell>
          <cell r="L954" t="str">
            <v>Worcestershire</v>
          </cell>
          <cell r="M954" t="str">
            <v>Wyre Forest</v>
          </cell>
          <cell r="N954" t="str">
            <v>DY10 4BH</v>
          </cell>
          <cell r="O954" t="str">
            <v>Has a sixth form</v>
          </cell>
          <cell r="P954">
            <v>11</v>
          </cell>
          <cell r="Q954">
            <v>28</v>
          </cell>
          <cell r="R954" t="str">
            <v>None</v>
          </cell>
          <cell r="S954" t="str">
            <v>Ofsted</v>
          </cell>
          <cell r="T954">
            <v>3</v>
          </cell>
          <cell r="U954">
            <v>10044248</v>
          </cell>
          <cell r="V954" t="str">
            <v xml:space="preserve">Independent school progress monitoring inspection - Integrated </v>
          </cell>
          <cell r="W954">
            <v>43084</v>
          </cell>
          <cell r="X954">
            <v>43084</v>
          </cell>
          <cell r="Y954">
            <v>43125</v>
          </cell>
          <cell r="Z954" t="str">
            <v>Did not meet all standards that were checked</v>
          </cell>
          <cell r="AA954">
            <v>10007710</v>
          </cell>
          <cell r="AB954" t="str">
            <v xml:space="preserve">Independent School standard inspection - integrated </v>
          </cell>
          <cell r="AC954" t="str">
            <v>Independent Standard Inspection</v>
          </cell>
          <cell r="AD954">
            <v>42402</v>
          </cell>
          <cell r="AE954">
            <v>42404</v>
          </cell>
          <cell r="AF954">
            <v>42478</v>
          </cell>
          <cell r="AG954">
            <v>4</v>
          </cell>
          <cell r="AH954">
            <v>3</v>
          </cell>
          <cell r="AI954">
            <v>3</v>
          </cell>
          <cell r="AJ954">
            <v>4</v>
          </cell>
          <cell r="AK954">
            <v>3</v>
          </cell>
          <cell r="AL954" t="str">
            <v>NULL</v>
          </cell>
          <cell r="AM954">
            <v>4</v>
          </cell>
          <cell r="AN954" t="str">
            <v>No</v>
          </cell>
          <cell r="AO954" t="str">
            <v>ITS361344</v>
          </cell>
          <cell r="AP954" t="str">
            <v>Independent School standard inspection</v>
          </cell>
          <cell r="AQ954" t="str">
            <v>Independent Standard Inspection</v>
          </cell>
          <cell r="AR954">
            <v>40463</v>
          </cell>
          <cell r="AS954">
            <v>40464</v>
          </cell>
          <cell r="AT954">
            <v>40590</v>
          </cell>
          <cell r="AU954">
            <v>2</v>
          </cell>
          <cell r="AV954">
            <v>2</v>
          </cell>
          <cell r="AW954">
            <v>2</v>
          </cell>
          <cell r="AX954" t="str">
            <v>NULL</v>
          </cell>
          <cell r="AY954" t="str">
            <v>NULL</v>
          </cell>
          <cell r="AZ954">
            <v>8</v>
          </cell>
          <cell r="BA954" t="str">
            <v>NULL</v>
          </cell>
          <cell r="BB954" t="str">
            <v>NULL</v>
          </cell>
        </row>
        <row r="955">
          <cell r="D955">
            <v>136955</v>
          </cell>
          <cell r="E955">
            <v>8716002</v>
          </cell>
          <cell r="F955" t="str">
            <v>Madni Institute</v>
          </cell>
          <cell r="G955" t="str">
            <v>Other Independent School</v>
          </cell>
          <cell r="H955">
            <v>40752</v>
          </cell>
          <cell r="I955">
            <v>24</v>
          </cell>
          <cell r="J955" t="str">
            <v>South East</v>
          </cell>
          <cell r="K955" t="str">
            <v>South East</v>
          </cell>
          <cell r="L955" t="str">
            <v>Slough</v>
          </cell>
          <cell r="M955" t="str">
            <v>Slough</v>
          </cell>
          <cell r="N955" t="str">
            <v>SL1 5PR</v>
          </cell>
          <cell r="O955" t="str">
            <v>Does not have a sixth form</v>
          </cell>
          <cell r="P955">
            <v>11</v>
          </cell>
          <cell r="Q955">
            <v>16</v>
          </cell>
          <cell r="R955" t="str">
            <v>Muslim</v>
          </cell>
          <cell r="S955" t="str">
            <v>Ofsted</v>
          </cell>
          <cell r="T955" t="str">
            <v>NULL</v>
          </cell>
          <cell r="U955" t="str">
            <v>NULL</v>
          </cell>
          <cell r="V955" t="str">
            <v>NULL</v>
          </cell>
          <cell r="W955" t="str">
            <v>NULL</v>
          </cell>
          <cell r="X955" t="str">
            <v>NULL</v>
          </cell>
          <cell r="Y955" t="str">
            <v>NULL</v>
          </cell>
          <cell r="Z955" t="str">
            <v>NULL</v>
          </cell>
          <cell r="AA955">
            <v>10039165</v>
          </cell>
          <cell r="AB955" t="str">
            <v>Independent School standard inspection</v>
          </cell>
          <cell r="AC955" t="str">
            <v>Independent Standard Inspection</v>
          </cell>
          <cell r="AD955">
            <v>43039</v>
          </cell>
          <cell r="AE955">
            <v>43041</v>
          </cell>
          <cell r="AF955">
            <v>43068</v>
          </cell>
          <cell r="AG955">
            <v>2</v>
          </cell>
          <cell r="AH955">
            <v>2</v>
          </cell>
          <cell r="AI955">
            <v>2</v>
          </cell>
          <cell r="AJ955">
            <v>2</v>
          </cell>
          <cell r="AK955">
            <v>2</v>
          </cell>
          <cell r="AL955" t="str">
            <v>NULL</v>
          </cell>
          <cell r="AM955" t="str">
            <v>NULL</v>
          </cell>
          <cell r="AN955" t="str">
            <v>Yes</v>
          </cell>
          <cell r="AO955">
            <v>10007516</v>
          </cell>
          <cell r="AP955" t="str">
            <v>Independent School standard inspection</v>
          </cell>
          <cell r="AQ955" t="str">
            <v>Independent Standard Inspection</v>
          </cell>
          <cell r="AR955">
            <v>42277</v>
          </cell>
          <cell r="AS955">
            <v>42278</v>
          </cell>
          <cell r="AT955">
            <v>42317</v>
          </cell>
          <cell r="AU955">
            <v>3</v>
          </cell>
          <cell r="AV955">
            <v>3</v>
          </cell>
          <cell r="AW955">
            <v>3</v>
          </cell>
          <cell r="AX955">
            <v>3</v>
          </cell>
          <cell r="AY955">
            <v>2</v>
          </cell>
          <cell r="AZ955" t="str">
            <v>NULL</v>
          </cell>
          <cell r="BA955" t="str">
            <v>NULL</v>
          </cell>
          <cell r="BB955" t="str">
            <v>Yes</v>
          </cell>
        </row>
        <row r="956">
          <cell r="D956">
            <v>107794</v>
          </cell>
          <cell r="E956">
            <v>3826017</v>
          </cell>
          <cell r="F956" t="str">
            <v>Madni Academy</v>
          </cell>
          <cell r="G956" t="str">
            <v>Other Independent School</v>
          </cell>
          <cell r="H956">
            <v>31929</v>
          </cell>
          <cell r="I956">
            <v>211</v>
          </cell>
          <cell r="J956" t="str">
            <v>North East, Yorkshire and the Humber</v>
          </cell>
          <cell r="K956" t="str">
            <v>Yorkshire and the Humber</v>
          </cell>
          <cell r="L956" t="str">
            <v>Kirklees</v>
          </cell>
          <cell r="M956" t="str">
            <v>Dewsbury</v>
          </cell>
          <cell r="N956" t="str">
            <v>WF12 9AY</v>
          </cell>
          <cell r="O956" t="str">
            <v>Does not have a sixth form</v>
          </cell>
          <cell r="P956">
            <v>2</v>
          </cell>
          <cell r="Q956">
            <v>16</v>
          </cell>
          <cell r="R956" t="str">
            <v>None</v>
          </cell>
          <cell r="S956" t="str">
            <v>Ofsted</v>
          </cell>
          <cell r="T956" t="str">
            <v>NULL</v>
          </cell>
          <cell r="U956" t="str">
            <v>NULL</v>
          </cell>
          <cell r="V956" t="str">
            <v>NULL</v>
          </cell>
          <cell r="W956" t="str">
            <v>NULL</v>
          </cell>
          <cell r="X956" t="str">
            <v>NULL</v>
          </cell>
          <cell r="Y956" t="str">
            <v>NULL</v>
          </cell>
          <cell r="Z956" t="str">
            <v>NULL</v>
          </cell>
          <cell r="AA956">
            <v>10020762</v>
          </cell>
          <cell r="AB956" t="str">
            <v>Independent School standard inspection</v>
          </cell>
          <cell r="AC956" t="str">
            <v>Independent Standard Inspection</v>
          </cell>
          <cell r="AD956">
            <v>42654</v>
          </cell>
          <cell r="AE956">
            <v>42656</v>
          </cell>
          <cell r="AF956">
            <v>42695</v>
          </cell>
          <cell r="AG956">
            <v>2</v>
          </cell>
          <cell r="AH956">
            <v>2</v>
          </cell>
          <cell r="AI956">
            <v>2</v>
          </cell>
          <cell r="AJ956">
            <v>2</v>
          </cell>
          <cell r="AK956">
            <v>2</v>
          </cell>
          <cell r="AL956">
            <v>2</v>
          </cell>
          <cell r="AM956" t="str">
            <v>NULL</v>
          </cell>
          <cell r="AN956" t="str">
            <v>Yes</v>
          </cell>
          <cell r="AO956" t="str">
            <v>ITS422698</v>
          </cell>
          <cell r="AP956" t="str">
            <v>Independent School standard inspection</v>
          </cell>
          <cell r="AQ956" t="str">
            <v>Independent Standard Inspection</v>
          </cell>
          <cell r="AR956">
            <v>41591</v>
          </cell>
          <cell r="AS956">
            <v>41593</v>
          </cell>
          <cell r="AT956">
            <v>41614</v>
          </cell>
          <cell r="AU956">
            <v>2</v>
          </cell>
          <cell r="AV956">
            <v>2</v>
          </cell>
          <cell r="AW956">
            <v>2</v>
          </cell>
          <cell r="AX956">
            <v>2</v>
          </cell>
          <cell r="AY956" t="str">
            <v>NULL</v>
          </cell>
          <cell r="AZ956" t="str">
            <v>NULL</v>
          </cell>
          <cell r="BA956" t="str">
            <v>NULL</v>
          </cell>
          <cell r="BB956" t="str">
            <v>NULL</v>
          </cell>
        </row>
        <row r="957">
          <cell r="D957">
            <v>133285</v>
          </cell>
          <cell r="E957">
            <v>3506018</v>
          </cell>
          <cell r="F957" t="str">
            <v>Madrasatul Imam Muhammad Zakariya</v>
          </cell>
          <cell r="G957" t="str">
            <v>Other Independent School</v>
          </cell>
          <cell r="H957">
            <v>36955</v>
          </cell>
          <cell r="I957">
            <v>124</v>
          </cell>
          <cell r="J957" t="str">
            <v>North West</v>
          </cell>
          <cell r="K957" t="str">
            <v>North West</v>
          </cell>
          <cell r="L957" t="str">
            <v>Bolton</v>
          </cell>
          <cell r="M957" t="str">
            <v>Bolton North East</v>
          </cell>
          <cell r="N957" t="str">
            <v>BL1 8LX</v>
          </cell>
          <cell r="O957" t="str">
            <v>Has a sixth form</v>
          </cell>
          <cell r="P957">
            <v>11</v>
          </cell>
          <cell r="Q957">
            <v>19</v>
          </cell>
          <cell r="R957" t="str">
            <v>Islam</v>
          </cell>
          <cell r="S957" t="str">
            <v>Ofsted</v>
          </cell>
          <cell r="T957" t="str">
            <v>NULL</v>
          </cell>
          <cell r="U957" t="str">
            <v>NULL</v>
          </cell>
          <cell r="V957" t="str">
            <v>NULL</v>
          </cell>
          <cell r="W957" t="str">
            <v>NULL</v>
          </cell>
          <cell r="X957" t="str">
            <v>NULL</v>
          </cell>
          <cell r="Y957" t="str">
            <v>NULL</v>
          </cell>
          <cell r="Z957" t="str">
            <v>NULL</v>
          </cell>
          <cell r="AA957">
            <v>10007711</v>
          </cell>
          <cell r="AB957" t="str">
            <v>Independent School standard inspection</v>
          </cell>
          <cell r="AC957" t="str">
            <v>Independent Standard Inspection</v>
          </cell>
          <cell r="AD957">
            <v>42759</v>
          </cell>
          <cell r="AE957">
            <v>42761</v>
          </cell>
          <cell r="AF957">
            <v>42803</v>
          </cell>
          <cell r="AG957">
            <v>1</v>
          </cell>
          <cell r="AH957">
            <v>1</v>
          </cell>
          <cell r="AI957">
            <v>1</v>
          </cell>
          <cell r="AJ957">
            <v>1</v>
          </cell>
          <cell r="AK957">
            <v>1</v>
          </cell>
          <cell r="AL957" t="str">
            <v>NULL</v>
          </cell>
          <cell r="AM957">
            <v>1</v>
          </cell>
          <cell r="AN957" t="str">
            <v>Yes</v>
          </cell>
          <cell r="AO957" t="str">
            <v>ITS361399</v>
          </cell>
          <cell r="AP957" t="str">
            <v>S162a - LTI Inspection Historic</v>
          </cell>
          <cell r="AQ957" t="str">
            <v>Independent Standard Inspection</v>
          </cell>
          <cell r="AR957">
            <v>40492</v>
          </cell>
          <cell r="AS957">
            <v>40492</v>
          </cell>
          <cell r="AT957">
            <v>40513</v>
          </cell>
          <cell r="AU957">
            <v>1</v>
          </cell>
          <cell r="AV957">
            <v>1</v>
          </cell>
          <cell r="AW957">
            <v>1</v>
          </cell>
          <cell r="AX957" t="str">
            <v>NULL</v>
          </cell>
          <cell r="AY957" t="str">
            <v>NULL</v>
          </cell>
          <cell r="AZ957">
            <v>8</v>
          </cell>
          <cell r="BA957" t="str">
            <v>NULL</v>
          </cell>
          <cell r="BB957" t="str">
            <v>NULL</v>
          </cell>
        </row>
        <row r="958">
          <cell r="D958">
            <v>133533</v>
          </cell>
          <cell r="E958">
            <v>3026114</v>
          </cell>
          <cell r="F958" t="str">
            <v>Nancy Reuben Primary School</v>
          </cell>
          <cell r="G958" t="str">
            <v>Other Independent School</v>
          </cell>
          <cell r="H958">
            <v>37224</v>
          </cell>
          <cell r="I958">
            <v>220</v>
          </cell>
          <cell r="J958" t="str">
            <v>London</v>
          </cell>
          <cell r="K958" t="str">
            <v>London</v>
          </cell>
          <cell r="L958" t="str">
            <v>Barnet</v>
          </cell>
          <cell r="M958" t="str">
            <v>Hendon</v>
          </cell>
          <cell r="N958" t="str">
            <v>NW4 1DJ</v>
          </cell>
          <cell r="O958" t="str">
            <v>Does not have a sixth form</v>
          </cell>
          <cell r="P958">
            <v>2</v>
          </cell>
          <cell r="Q958">
            <v>11</v>
          </cell>
          <cell r="R958" t="str">
            <v>None</v>
          </cell>
          <cell r="S958" t="str">
            <v>Ofsted</v>
          </cell>
          <cell r="T958" t="str">
            <v>NULL</v>
          </cell>
          <cell r="U958" t="str">
            <v>NULL</v>
          </cell>
          <cell r="V958" t="str">
            <v>NULL</v>
          </cell>
          <cell r="W958" t="str">
            <v>NULL</v>
          </cell>
          <cell r="X958" t="str">
            <v>NULL</v>
          </cell>
          <cell r="Y958" t="str">
            <v>NULL</v>
          </cell>
          <cell r="Z958" t="str">
            <v>NULL</v>
          </cell>
          <cell r="AA958">
            <v>10038166</v>
          </cell>
          <cell r="AB958" t="str">
            <v>Independent School standard inspection</v>
          </cell>
          <cell r="AC958" t="str">
            <v>Independent Standard Inspection</v>
          </cell>
          <cell r="AD958">
            <v>43025</v>
          </cell>
          <cell r="AE958">
            <v>43027</v>
          </cell>
          <cell r="AF958">
            <v>43066</v>
          </cell>
          <cell r="AG958">
            <v>2</v>
          </cell>
          <cell r="AH958">
            <v>2</v>
          </cell>
          <cell r="AI958">
            <v>2</v>
          </cell>
          <cell r="AJ958">
            <v>2</v>
          </cell>
          <cell r="AK958">
            <v>2</v>
          </cell>
          <cell r="AL958">
            <v>3</v>
          </cell>
          <cell r="AM958" t="str">
            <v>NULL</v>
          </cell>
          <cell r="AN958" t="str">
            <v>Yes</v>
          </cell>
          <cell r="AO958" t="str">
            <v>ITS450687</v>
          </cell>
          <cell r="AP958" t="str">
            <v>Independent School standard inspection</v>
          </cell>
          <cell r="AQ958" t="str">
            <v>Independent Standard Inspection</v>
          </cell>
          <cell r="AR958">
            <v>41905</v>
          </cell>
          <cell r="AS958">
            <v>41913</v>
          </cell>
          <cell r="AT958">
            <v>41993</v>
          </cell>
          <cell r="AU958">
            <v>3</v>
          </cell>
          <cell r="AV958">
            <v>3</v>
          </cell>
          <cell r="AW958">
            <v>3</v>
          </cell>
          <cell r="AX958">
            <v>3</v>
          </cell>
          <cell r="AY958" t="str">
            <v>NULL</v>
          </cell>
          <cell r="AZ958" t="str">
            <v>NULL</v>
          </cell>
          <cell r="BA958" t="str">
            <v>NULL</v>
          </cell>
          <cell r="BB958" t="str">
            <v>NULL</v>
          </cell>
        </row>
        <row r="959">
          <cell r="D959">
            <v>136112</v>
          </cell>
          <cell r="E959">
            <v>8506075</v>
          </cell>
          <cell r="F959" t="str">
            <v>New Forest Small School</v>
          </cell>
          <cell r="G959" t="str">
            <v>Other Independent School</v>
          </cell>
          <cell r="H959">
            <v>40312</v>
          </cell>
          <cell r="I959">
            <v>75</v>
          </cell>
          <cell r="J959" t="str">
            <v>South East</v>
          </cell>
          <cell r="K959" t="str">
            <v>South East</v>
          </cell>
          <cell r="L959" t="str">
            <v>Hampshire</v>
          </cell>
          <cell r="M959" t="str">
            <v>New Forest East</v>
          </cell>
          <cell r="N959" t="str">
            <v>SO43 7BU</v>
          </cell>
          <cell r="O959" t="str">
            <v>Does not have a sixth form</v>
          </cell>
          <cell r="P959">
            <v>3</v>
          </cell>
          <cell r="Q959">
            <v>16</v>
          </cell>
          <cell r="R959" t="str">
            <v>None</v>
          </cell>
          <cell r="S959" t="str">
            <v>Ofsted</v>
          </cell>
          <cell r="T959">
            <v>2</v>
          </cell>
          <cell r="U959">
            <v>10010436</v>
          </cell>
          <cell r="V959" t="str">
            <v>Independent school evaluation of school action plan</v>
          </cell>
          <cell r="W959">
            <v>42387</v>
          </cell>
          <cell r="X959">
            <v>42387</v>
          </cell>
          <cell r="Y959" t="str">
            <v>NULL</v>
          </cell>
          <cell r="Z959" t="str">
            <v>Action plan is acceptable</v>
          </cell>
          <cell r="AA959" t="str">
            <v>ITS447181</v>
          </cell>
          <cell r="AB959" t="str">
            <v>Independent School standard inspection</v>
          </cell>
          <cell r="AC959" t="str">
            <v>Independent Standard Inspection</v>
          </cell>
          <cell r="AD959">
            <v>41983</v>
          </cell>
          <cell r="AE959">
            <v>41985</v>
          </cell>
          <cell r="AF959">
            <v>42030</v>
          </cell>
          <cell r="AG959">
            <v>3</v>
          </cell>
          <cell r="AH959">
            <v>2</v>
          </cell>
          <cell r="AI959">
            <v>2</v>
          </cell>
          <cell r="AJ959">
            <v>3</v>
          </cell>
          <cell r="AK959" t="str">
            <v>NULL</v>
          </cell>
          <cell r="AL959">
            <v>3</v>
          </cell>
          <cell r="AM959">
            <v>9</v>
          </cell>
          <cell r="AN959" t="str">
            <v>NULL</v>
          </cell>
          <cell r="AO959" t="str">
            <v>ITS366864</v>
          </cell>
          <cell r="AP959" t="str">
            <v>Independent School standard inspection</v>
          </cell>
          <cell r="AQ959" t="str">
            <v>Independent Standard Inspection</v>
          </cell>
          <cell r="AR959">
            <v>40724</v>
          </cell>
          <cell r="AS959">
            <v>40725</v>
          </cell>
          <cell r="AT959">
            <v>40852</v>
          </cell>
          <cell r="AU959">
            <v>3</v>
          </cell>
          <cell r="AV959">
            <v>3</v>
          </cell>
          <cell r="AW959">
            <v>3</v>
          </cell>
          <cell r="AX959" t="str">
            <v>NULL</v>
          </cell>
          <cell r="AY959" t="str">
            <v>NULL</v>
          </cell>
          <cell r="AZ959">
            <v>2</v>
          </cell>
          <cell r="BA959" t="str">
            <v>NULL</v>
          </cell>
          <cell r="BB959" t="str">
            <v>NULL</v>
          </cell>
        </row>
        <row r="960">
          <cell r="D960">
            <v>130274</v>
          </cell>
          <cell r="E960">
            <v>3836119</v>
          </cell>
          <cell r="F960" t="str">
            <v>New Horizon Community School</v>
          </cell>
          <cell r="G960" t="str">
            <v>Other Independent School</v>
          </cell>
          <cell r="H960">
            <v>35016</v>
          </cell>
          <cell r="I960">
            <v>61</v>
          </cell>
          <cell r="J960" t="str">
            <v>North East, Yorkshire and the Humber</v>
          </cell>
          <cell r="K960" t="str">
            <v>Yorkshire and the Humber</v>
          </cell>
          <cell r="L960" t="str">
            <v>Leeds</v>
          </cell>
          <cell r="M960" t="str">
            <v>Leeds North East</v>
          </cell>
          <cell r="N960" t="str">
            <v>LS7 4JE</v>
          </cell>
          <cell r="O960" t="str">
            <v>Does not have a sixth form</v>
          </cell>
          <cell r="P960">
            <v>11</v>
          </cell>
          <cell r="Q960">
            <v>16</v>
          </cell>
          <cell r="R960" t="str">
            <v>None</v>
          </cell>
          <cell r="S960" t="str">
            <v>Ofsted</v>
          </cell>
          <cell r="T960">
            <v>2</v>
          </cell>
          <cell r="U960">
            <v>10043250</v>
          </cell>
          <cell r="V960" t="str">
            <v>Independent school Progress Monitoring inspection</v>
          </cell>
          <cell r="W960">
            <v>43056</v>
          </cell>
          <cell r="X960">
            <v>43056</v>
          </cell>
          <cell r="Y960">
            <v>43188</v>
          </cell>
          <cell r="Z960" t="str">
            <v>Did not meet all standards that were checked</v>
          </cell>
          <cell r="AA960">
            <v>10025951</v>
          </cell>
          <cell r="AB960" t="str">
            <v>Independent School standard inspection</v>
          </cell>
          <cell r="AC960" t="str">
            <v>Independent Standard Inspection</v>
          </cell>
          <cell r="AD960">
            <v>42815</v>
          </cell>
          <cell r="AE960">
            <v>42817</v>
          </cell>
          <cell r="AF960">
            <v>42864</v>
          </cell>
          <cell r="AG960">
            <v>4</v>
          </cell>
          <cell r="AH960">
            <v>3</v>
          </cell>
          <cell r="AI960">
            <v>3</v>
          </cell>
          <cell r="AJ960">
            <v>4</v>
          </cell>
          <cell r="AK960">
            <v>4</v>
          </cell>
          <cell r="AL960" t="str">
            <v>NULL</v>
          </cell>
          <cell r="AM960" t="str">
            <v>NULL</v>
          </cell>
          <cell r="AN960" t="str">
            <v>No</v>
          </cell>
          <cell r="AO960" t="str">
            <v>ITS296850</v>
          </cell>
          <cell r="AP960" t="str">
            <v>Independent School standard inspection</v>
          </cell>
          <cell r="AQ960" t="str">
            <v>Independent Standard Inspection</v>
          </cell>
          <cell r="AR960">
            <v>39099</v>
          </cell>
          <cell r="AS960">
            <v>39100</v>
          </cell>
          <cell r="AT960">
            <v>39126</v>
          </cell>
          <cell r="AU960">
            <v>2</v>
          </cell>
          <cell r="AV960">
            <v>3</v>
          </cell>
          <cell r="AW960">
            <v>3</v>
          </cell>
          <cell r="AX960" t="str">
            <v>NULL</v>
          </cell>
          <cell r="AY960" t="str">
            <v>NULL</v>
          </cell>
          <cell r="AZ960" t="str">
            <v>NULL</v>
          </cell>
          <cell r="BA960" t="str">
            <v>NULL</v>
          </cell>
          <cell r="BB960" t="str">
            <v>NULL</v>
          </cell>
        </row>
        <row r="961">
          <cell r="D961">
            <v>110141</v>
          </cell>
          <cell r="E961">
            <v>8676004</v>
          </cell>
          <cell r="F961" t="str">
            <v>Newbold School</v>
          </cell>
          <cell r="G961" t="str">
            <v>Other Independent School</v>
          </cell>
          <cell r="H961">
            <v>21157</v>
          </cell>
          <cell r="I961">
            <v>77</v>
          </cell>
          <cell r="J961" t="str">
            <v>South East</v>
          </cell>
          <cell r="K961" t="str">
            <v>South East</v>
          </cell>
          <cell r="L961" t="str">
            <v>Bracknell Forest</v>
          </cell>
          <cell r="M961" t="str">
            <v>Windsor</v>
          </cell>
          <cell r="N961" t="str">
            <v>RG42 4AH</v>
          </cell>
          <cell r="O961" t="str">
            <v>Does not have a sixth form</v>
          </cell>
          <cell r="P961">
            <v>2</v>
          </cell>
          <cell r="Q961">
            <v>11</v>
          </cell>
          <cell r="R961" t="str">
            <v>None</v>
          </cell>
          <cell r="S961" t="str">
            <v>Ofsted</v>
          </cell>
          <cell r="T961" t="str">
            <v>NULL</v>
          </cell>
          <cell r="U961" t="str">
            <v>NULL</v>
          </cell>
          <cell r="V961" t="str">
            <v>NULL</v>
          </cell>
          <cell r="W961" t="str">
            <v>NULL</v>
          </cell>
          <cell r="X961" t="str">
            <v>NULL</v>
          </cell>
          <cell r="Y961" t="str">
            <v>NULL</v>
          </cell>
          <cell r="Z961" t="str">
            <v>NULL</v>
          </cell>
          <cell r="AA961">
            <v>10012939</v>
          </cell>
          <cell r="AB961" t="str">
            <v>Independent School standard inspection</v>
          </cell>
          <cell r="AC961" t="str">
            <v>Independent Standard Inspection</v>
          </cell>
          <cell r="AD961">
            <v>42486</v>
          </cell>
          <cell r="AE961">
            <v>42488</v>
          </cell>
          <cell r="AF961">
            <v>42508</v>
          </cell>
          <cell r="AG961">
            <v>2</v>
          </cell>
          <cell r="AH961">
            <v>2</v>
          </cell>
          <cell r="AI961">
            <v>2</v>
          </cell>
          <cell r="AJ961">
            <v>2</v>
          </cell>
          <cell r="AK961">
            <v>2</v>
          </cell>
          <cell r="AL961">
            <v>2</v>
          </cell>
          <cell r="AM961" t="str">
            <v>NULL</v>
          </cell>
          <cell r="AN961" t="str">
            <v>Yes</v>
          </cell>
          <cell r="AO961" t="str">
            <v>ITS420170</v>
          </cell>
          <cell r="AP961" t="str">
            <v>Independent School standard inspection</v>
          </cell>
          <cell r="AQ961" t="str">
            <v>Independent Standard Inspection</v>
          </cell>
          <cell r="AR961">
            <v>41415</v>
          </cell>
          <cell r="AS961">
            <v>41417</v>
          </cell>
          <cell r="AT961">
            <v>41438</v>
          </cell>
          <cell r="AU961">
            <v>3</v>
          </cell>
          <cell r="AV961">
            <v>3</v>
          </cell>
          <cell r="AW961">
            <v>3</v>
          </cell>
          <cell r="AX961">
            <v>3</v>
          </cell>
          <cell r="AY961" t="str">
            <v>NULL</v>
          </cell>
          <cell r="AZ961" t="str">
            <v>NULL</v>
          </cell>
          <cell r="BA961" t="str">
            <v>NULL</v>
          </cell>
          <cell r="BB961" t="str">
            <v>NULL</v>
          </cell>
        </row>
        <row r="962">
          <cell r="D962">
            <v>101091</v>
          </cell>
          <cell r="E962">
            <v>2126397</v>
          </cell>
          <cell r="F962" t="str">
            <v>Parkgate House School</v>
          </cell>
          <cell r="G962" t="str">
            <v>Other Independent School</v>
          </cell>
          <cell r="H962">
            <v>34645</v>
          </cell>
          <cell r="I962">
            <v>198</v>
          </cell>
          <cell r="J962" t="str">
            <v>London</v>
          </cell>
          <cell r="K962" t="str">
            <v>London</v>
          </cell>
          <cell r="L962" t="str">
            <v>Wandsworth</v>
          </cell>
          <cell r="M962" t="str">
            <v>Battersea</v>
          </cell>
          <cell r="N962" t="str">
            <v>SW4 9SD</v>
          </cell>
          <cell r="O962" t="str">
            <v>Does not have a sixth form</v>
          </cell>
          <cell r="P962">
            <v>2</v>
          </cell>
          <cell r="Q962">
            <v>11</v>
          </cell>
          <cell r="R962" t="str">
            <v>None</v>
          </cell>
          <cell r="S962" t="str">
            <v>Ofsted</v>
          </cell>
          <cell r="T962">
            <v>2</v>
          </cell>
          <cell r="U962" t="str">
            <v>ITS463725</v>
          </cell>
          <cell r="V962" t="str">
            <v>Independent school evaluation of school action plan</v>
          </cell>
          <cell r="W962">
            <v>42089</v>
          </cell>
          <cell r="X962">
            <v>42089</v>
          </cell>
          <cell r="Y962" t="str">
            <v>NULL</v>
          </cell>
          <cell r="Z962" t="str">
            <v>Action plan is acceptable</v>
          </cell>
          <cell r="AA962" t="str">
            <v>ITS443489</v>
          </cell>
          <cell r="AB962" t="str">
            <v>Independent School standard inspection</v>
          </cell>
          <cell r="AC962" t="str">
            <v>Independent Standard Inspection</v>
          </cell>
          <cell r="AD962">
            <v>41933</v>
          </cell>
          <cell r="AE962">
            <v>41935</v>
          </cell>
          <cell r="AF962">
            <v>42017</v>
          </cell>
          <cell r="AG962">
            <v>2</v>
          </cell>
          <cell r="AH962">
            <v>2</v>
          </cell>
          <cell r="AI962">
            <v>2</v>
          </cell>
          <cell r="AJ962">
            <v>2</v>
          </cell>
          <cell r="AK962" t="str">
            <v>NULL</v>
          </cell>
          <cell r="AL962">
            <v>2</v>
          </cell>
          <cell r="AM962">
            <v>9</v>
          </cell>
          <cell r="AN962" t="str">
            <v>NULL</v>
          </cell>
          <cell r="AO962" t="str">
            <v>ITS329571</v>
          </cell>
          <cell r="AP962" t="str">
            <v>S162a - LTI Inspection Historic</v>
          </cell>
          <cell r="AQ962" t="str">
            <v>Independent Standard Inspection</v>
          </cell>
          <cell r="AR962">
            <v>39708</v>
          </cell>
          <cell r="AS962">
            <v>39708</v>
          </cell>
          <cell r="AT962">
            <v>39734</v>
          </cell>
          <cell r="AU962">
            <v>2</v>
          </cell>
          <cell r="AV962">
            <v>1</v>
          </cell>
          <cell r="AW962">
            <v>2</v>
          </cell>
          <cell r="AX962" t="str">
            <v>NULL</v>
          </cell>
          <cell r="AY962" t="str">
            <v>NULL</v>
          </cell>
          <cell r="AZ962">
            <v>2</v>
          </cell>
          <cell r="BA962" t="str">
            <v>NULL</v>
          </cell>
          <cell r="BB962" t="str">
            <v>NULL</v>
          </cell>
        </row>
        <row r="963">
          <cell r="D963">
            <v>135526</v>
          </cell>
          <cell r="E963">
            <v>3566031</v>
          </cell>
          <cell r="F963" t="str">
            <v>Penarth Group School</v>
          </cell>
          <cell r="G963" t="str">
            <v>Other Independent School</v>
          </cell>
          <cell r="H963">
            <v>39518</v>
          </cell>
          <cell r="I963">
            <v>5</v>
          </cell>
          <cell r="J963" t="str">
            <v>North West</v>
          </cell>
          <cell r="K963" t="str">
            <v>North West</v>
          </cell>
          <cell r="L963" t="str">
            <v>Stockport</v>
          </cell>
          <cell r="M963" t="str">
            <v>Denton and Reddish</v>
          </cell>
          <cell r="N963" t="str">
            <v>SK5 7JG</v>
          </cell>
          <cell r="O963" t="str">
            <v>Does not have a sixth form</v>
          </cell>
          <cell r="P963">
            <v>8</v>
          </cell>
          <cell r="Q963">
            <v>16</v>
          </cell>
          <cell r="R963" t="str">
            <v>None</v>
          </cell>
          <cell r="S963" t="str">
            <v>Ofsted</v>
          </cell>
          <cell r="T963" t="str">
            <v>NULL</v>
          </cell>
          <cell r="U963" t="str">
            <v>NULL</v>
          </cell>
          <cell r="V963" t="str">
            <v>NULL</v>
          </cell>
          <cell r="W963" t="str">
            <v>NULL</v>
          </cell>
          <cell r="X963" t="str">
            <v>NULL</v>
          </cell>
          <cell r="Y963" t="str">
            <v>NULL</v>
          </cell>
          <cell r="Z963" t="str">
            <v>NULL</v>
          </cell>
          <cell r="AA963">
            <v>10040275</v>
          </cell>
          <cell r="AB963" t="str">
            <v>Independent School standard inspection</v>
          </cell>
          <cell r="AC963" t="str">
            <v>Independent Standard Inspection</v>
          </cell>
          <cell r="AD963">
            <v>43039</v>
          </cell>
          <cell r="AE963">
            <v>43041</v>
          </cell>
          <cell r="AF963">
            <v>43066</v>
          </cell>
          <cell r="AG963">
            <v>3</v>
          </cell>
          <cell r="AH963">
            <v>3</v>
          </cell>
          <cell r="AI963">
            <v>3</v>
          </cell>
          <cell r="AJ963">
            <v>3</v>
          </cell>
          <cell r="AK963">
            <v>2</v>
          </cell>
          <cell r="AL963" t="str">
            <v>NULL</v>
          </cell>
          <cell r="AM963">
            <v>2</v>
          </cell>
          <cell r="AN963" t="str">
            <v>Yes</v>
          </cell>
          <cell r="AO963">
            <v>10008045</v>
          </cell>
          <cell r="AP963" t="str">
            <v>Independent School standard inspection</v>
          </cell>
          <cell r="AQ963" t="str">
            <v>Independent Standard Inspection</v>
          </cell>
          <cell r="AR963">
            <v>42529</v>
          </cell>
          <cell r="AS963">
            <v>42530</v>
          </cell>
          <cell r="AT963">
            <v>42550</v>
          </cell>
          <cell r="AU963">
            <v>3</v>
          </cell>
          <cell r="AV963">
            <v>3</v>
          </cell>
          <cell r="AW963">
            <v>3</v>
          </cell>
          <cell r="AX963">
            <v>3</v>
          </cell>
          <cell r="AY963">
            <v>2</v>
          </cell>
          <cell r="AZ963" t="str">
            <v>NULL</v>
          </cell>
          <cell r="BA963" t="str">
            <v>NULL</v>
          </cell>
          <cell r="BB963" t="str">
            <v>Yes</v>
          </cell>
        </row>
        <row r="964">
          <cell r="D964">
            <v>137502</v>
          </cell>
          <cell r="E964">
            <v>3026001</v>
          </cell>
          <cell r="F964" t="str">
            <v>Peninim</v>
          </cell>
          <cell r="G964" t="str">
            <v>Other Independent School</v>
          </cell>
          <cell r="H964">
            <v>40798</v>
          </cell>
          <cell r="I964">
            <v>32</v>
          </cell>
          <cell r="J964" t="str">
            <v>London</v>
          </cell>
          <cell r="K964" t="str">
            <v>London</v>
          </cell>
          <cell r="L964" t="str">
            <v>Barnet</v>
          </cell>
          <cell r="M964" t="str">
            <v>Hendon</v>
          </cell>
          <cell r="N964" t="str">
            <v>NW4 2NL</v>
          </cell>
          <cell r="O964" t="str">
            <v>Does not have a sixth form</v>
          </cell>
          <cell r="P964">
            <v>2</v>
          </cell>
          <cell r="Q964">
            <v>11</v>
          </cell>
          <cell r="R964" t="str">
            <v>None</v>
          </cell>
          <cell r="S964" t="str">
            <v>Ofsted</v>
          </cell>
          <cell r="T964" t="str">
            <v>NULL</v>
          </cell>
          <cell r="U964" t="str">
            <v>NULL</v>
          </cell>
          <cell r="V964" t="str">
            <v>NULL</v>
          </cell>
          <cell r="W964" t="str">
            <v>NULL</v>
          </cell>
          <cell r="X964" t="str">
            <v>NULL</v>
          </cell>
          <cell r="Y964" t="str">
            <v>NULL</v>
          </cell>
          <cell r="Z964" t="str">
            <v>NULL</v>
          </cell>
          <cell r="AA964">
            <v>10006124</v>
          </cell>
          <cell r="AB964" t="str">
            <v>Independent School standard inspection</v>
          </cell>
          <cell r="AC964" t="str">
            <v>Independent Standard Inspection</v>
          </cell>
          <cell r="AD964">
            <v>42934</v>
          </cell>
          <cell r="AE964">
            <v>42936</v>
          </cell>
          <cell r="AF964">
            <v>42998</v>
          </cell>
          <cell r="AG964">
            <v>3</v>
          </cell>
          <cell r="AH964">
            <v>3</v>
          </cell>
          <cell r="AI964">
            <v>3</v>
          </cell>
          <cell r="AJ964">
            <v>3</v>
          </cell>
          <cell r="AK964">
            <v>2</v>
          </cell>
          <cell r="AL964">
            <v>2</v>
          </cell>
          <cell r="AM964" t="str">
            <v>NULL</v>
          </cell>
          <cell r="AN964" t="str">
            <v>Yes</v>
          </cell>
          <cell r="AO964" t="str">
            <v>ITS393285</v>
          </cell>
          <cell r="AP964" t="str">
            <v>Independent school standard inspection - first</v>
          </cell>
          <cell r="AQ964" t="str">
            <v>Independent Standard Inspection</v>
          </cell>
          <cell r="AR964">
            <v>41078</v>
          </cell>
          <cell r="AS964">
            <v>41079</v>
          </cell>
          <cell r="AT964">
            <v>41100</v>
          </cell>
          <cell r="AU964">
            <v>3</v>
          </cell>
          <cell r="AV964">
            <v>3</v>
          </cell>
          <cell r="AW964">
            <v>3</v>
          </cell>
          <cell r="AX964" t="str">
            <v>NULL</v>
          </cell>
          <cell r="AY964" t="str">
            <v>NULL</v>
          </cell>
          <cell r="AZ964">
            <v>8</v>
          </cell>
          <cell r="BA964" t="str">
            <v>NULL</v>
          </cell>
          <cell r="BB964" t="str">
            <v>NULL</v>
          </cell>
        </row>
        <row r="965">
          <cell r="D965">
            <v>134580</v>
          </cell>
          <cell r="E965">
            <v>3086068</v>
          </cell>
          <cell r="F965" t="str">
            <v>Phoenix Academy</v>
          </cell>
          <cell r="G965" t="str">
            <v>Other Independent School</v>
          </cell>
          <cell r="H965">
            <v>37862</v>
          </cell>
          <cell r="I965">
            <v>24</v>
          </cell>
          <cell r="J965" t="str">
            <v>London</v>
          </cell>
          <cell r="K965" t="str">
            <v>London</v>
          </cell>
          <cell r="L965" t="str">
            <v>Enfield</v>
          </cell>
          <cell r="M965" t="str">
            <v>Edmonton</v>
          </cell>
          <cell r="N965" t="str">
            <v>N9 8LD</v>
          </cell>
          <cell r="O965" t="str">
            <v>Has a sixth form</v>
          </cell>
          <cell r="P965">
            <v>5</v>
          </cell>
          <cell r="Q965">
            <v>18</v>
          </cell>
          <cell r="R965" t="str">
            <v>None</v>
          </cell>
          <cell r="S965" t="str">
            <v>Ofsted</v>
          </cell>
          <cell r="T965">
            <v>1</v>
          </cell>
          <cell r="U965">
            <v>10049203</v>
          </cell>
          <cell r="V965" t="str">
            <v>Independent school evaluation of school action plan</v>
          </cell>
          <cell r="W965">
            <v>43168</v>
          </cell>
          <cell r="X965">
            <v>43168</v>
          </cell>
          <cell r="Y965" t="str">
            <v>NULL</v>
          </cell>
          <cell r="Z965" t="str">
            <v>Action plan is acceptable</v>
          </cell>
          <cell r="AA965">
            <v>10038169</v>
          </cell>
          <cell r="AB965" t="str">
            <v>Independent School standard inspection</v>
          </cell>
          <cell r="AC965" t="str">
            <v>Independent Standard Inspection</v>
          </cell>
          <cell r="AD965">
            <v>43081</v>
          </cell>
          <cell r="AE965">
            <v>43083</v>
          </cell>
          <cell r="AF965">
            <v>43126</v>
          </cell>
          <cell r="AG965">
            <v>3</v>
          </cell>
          <cell r="AH965">
            <v>3</v>
          </cell>
          <cell r="AI965">
            <v>3</v>
          </cell>
          <cell r="AJ965">
            <v>3</v>
          </cell>
          <cell r="AK965">
            <v>2</v>
          </cell>
          <cell r="AL965" t="str">
            <v>NULL</v>
          </cell>
          <cell r="AM965" t="str">
            <v>NULL</v>
          </cell>
          <cell r="AN965" t="str">
            <v>Yes</v>
          </cell>
          <cell r="AO965" t="str">
            <v>ITS447172</v>
          </cell>
          <cell r="AP965" t="str">
            <v>Independent School standard inspection</v>
          </cell>
          <cell r="AQ965" t="str">
            <v>Independent Standard Inspection</v>
          </cell>
          <cell r="AR965">
            <v>41947</v>
          </cell>
          <cell r="AS965">
            <v>41949</v>
          </cell>
          <cell r="AT965">
            <v>41978</v>
          </cell>
          <cell r="AU965">
            <v>2</v>
          </cell>
          <cell r="AV965">
            <v>2</v>
          </cell>
          <cell r="AW965">
            <v>2</v>
          </cell>
          <cell r="AX965">
            <v>2</v>
          </cell>
          <cell r="AY965" t="str">
            <v>NULL</v>
          </cell>
          <cell r="AZ965">
            <v>9</v>
          </cell>
          <cell r="BA965">
            <v>2</v>
          </cell>
          <cell r="BB965" t="str">
            <v>NULL</v>
          </cell>
        </row>
        <row r="966">
          <cell r="D966">
            <v>134402</v>
          </cell>
          <cell r="E966">
            <v>2036300</v>
          </cell>
          <cell r="F966" t="str">
            <v>Right Choice Independent Special School</v>
          </cell>
          <cell r="G966" t="str">
            <v>Other Independent School</v>
          </cell>
          <cell r="H966">
            <v>37853</v>
          </cell>
          <cell r="I966">
            <v>33</v>
          </cell>
          <cell r="J966" t="str">
            <v>London</v>
          </cell>
          <cell r="K966" t="str">
            <v>London</v>
          </cell>
          <cell r="L966" t="str">
            <v>Greenwich</v>
          </cell>
          <cell r="M966" t="str">
            <v>Greenwich and Woolwich</v>
          </cell>
          <cell r="N966" t="str">
            <v>SE18 6BB</v>
          </cell>
          <cell r="O966" t="str">
            <v>Has a sixth form</v>
          </cell>
          <cell r="P966">
            <v>12</v>
          </cell>
          <cell r="Q966">
            <v>18</v>
          </cell>
          <cell r="R966" t="str">
            <v>None</v>
          </cell>
          <cell r="S966" t="str">
            <v>Ofsted</v>
          </cell>
          <cell r="T966" t="str">
            <v>NULL</v>
          </cell>
          <cell r="U966" t="str">
            <v>NULL</v>
          </cell>
          <cell r="V966" t="str">
            <v>NULL</v>
          </cell>
          <cell r="W966" t="str">
            <v>NULL</v>
          </cell>
          <cell r="X966" t="str">
            <v>NULL</v>
          </cell>
          <cell r="Y966" t="str">
            <v>NULL</v>
          </cell>
          <cell r="Z966" t="str">
            <v>NULL</v>
          </cell>
          <cell r="AA966" t="str">
            <v>ITS422763</v>
          </cell>
          <cell r="AB966" t="str">
            <v>Independent School standard inspection</v>
          </cell>
          <cell r="AC966" t="str">
            <v>Independent Standard Inspection</v>
          </cell>
          <cell r="AD966">
            <v>41716</v>
          </cell>
          <cell r="AE966">
            <v>41718</v>
          </cell>
          <cell r="AF966">
            <v>41754</v>
          </cell>
          <cell r="AG966">
            <v>2</v>
          </cell>
          <cell r="AH966">
            <v>2</v>
          </cell>
          <cell r="AI966">
            <v>2</v>
          </cell>
          <cell r="AJ966">
            <v>2</v>
          </cell>
          <cell r="AK966" t="str">
            <v>NULL</v>
          </cell>
          <cell r="AL966" t="str">
            <v>NULL</v>
          </cell>
          <cell r="AM966" t="str">
            <v>NULL</v>
          </cell>
          <cell r="AN966" t="str">
            <v>NULL</v>
          </cell>
          <cell r="AO966" t="str">
            <v>ITS344677</v>
          </cell>
          <cell r="AP966" t="str">
            <v>Independent School standard inspection</v>
          </cell>
          <cell r="AQ966" t="str">
            <v>Independent Standard Inspection</v>
          </cell>
          <cell r="AR966">
            <v>40505</v>
          </cell>
          <cell r="AS966">
            <v>40506</v>
          </cell>
          <cell r="AT966">
            <v>40527</v>
          </cell>
          <cell r="AU966">
            <v>3</v>
          </cell>
          <cell r="AV966">
            <v>3</v>
          </cell>
          <cell r="AW966">
            <v>3</v>
          </cell>
          <cell r="AX966" t="str">
            <v>NULL</v>
          </cell>
          <cell r="AY966" t="str">
            <v>NULL</v>
          </cell>
          <cell r="AZ966">
            <v>8</v>
          </cell>
          <cell r="BA966" t="str">
            <v>NULL</v>
          </cell>
          <cell r="BB966" t="str">
            <v>NULL</v>
          </cell>
        </row>
        <row r="967">
          <cell r="D967">
            <v>126132</v>
          </cell>
          <cell r="E967">
            <v>9386188</v>
          </cell>
          <cell r="F967" t="str">
            <v>Rikkyo School-in-England</v>
          </cell>
          <cell r="G967" t="str">
            <v>Other Independent School</v>
          </cell>
          <cell r="H967">
            <v>26455</v>
          </cell>
          <cell r="I967">
            <v>163</v>
          </cell>
          <cell r="J967" t="str">
            <v>South East</v>
          </cell>
          <cell r="K967" t="str">
            <v>South East</v>
          </cell>
          <cell r="L967" t="str">
            <v>West Sussex</v>
          </cell>
          <cell r="M967" t="str">
            <v>Horsham</v>
          </cell>
          <cell r="N967" t="str">
            <v>RH12 3BE</v>
          </cell>
          <cell r="O967" t="str">
            <v>Has a sixth form</v>
          </cell>
          <cell r="P967">
            <v>10</v>
          </cell>
          <cell r="Q967">
            <v>18</v>
          </cell>
          <cell r="R967" t="str">
            <v>Anglican/Christian</v>
          </cell>
          <cell r="S967" t="str">
            <v>Ofsted</v>
          </cell>
          <cell r="T967">
            <v>1</v>
          </cell>
          <cell r="U967">
            <v>10013081</v>
          </cell>
          <cell r="V967" t="str">
            <v xml:space="preserve">Independent school emergency inspection -integrated </v>
          </cell>
          <cell r="W967">
            <v>42423</v>
          </cell>
          <cell r="X967">
            <v>42424</v>
          </cell>
          <cell r="Y967" t="str">
            <v>NULL</v>
          </cell>
          <cell r="Z967" t="str">
            <v>No unmet standards</v>
          </cell>
          <cell r="AA967" t="str">
            <v>ITS446181</v>
          </cell>
          <cell r="AB967" t="str">
            <v>Independent School standard inspection</v>
          </cell>
          <cell r="AC967" t="str">
            <v>Independent Standard Inspection</v>
          </cell>
          <cell r="AD967">
            <v>41766</v>
          </cell>
          <cell r="AE967">
            <v>41768</v>
          </cell>
          <cell r="AF967">
            <v>41786</v>
          </cell>
          <cell r="AG967">
            <v>2</v>
          </cell>
          <cell r="AH967">
            <v>2</v>
          </cell>
          <cell r="AI967">
            <v>2</v>
          </cell>
          <cell r="AJ967">
            <v>2</v>
          </cell>
          <cell r="AK967" t="str">
            <v>NULL</v>
          </cell>
          <cell r="AL967" t="str">
            <v>NULL</v>
          </cell>
          <cell r="AM967" t="str">
            <v>NULL</v>
          </cell>
          <cell r="AN967" t="str">
            <v>NULL</v>
          </cell>
          <cell r="AO967" t="str">
            <v>ITS361361</v>
          </cell>
          <cell r="AP967" t="str">
            <v>Independent School standard inspection</v>
          </cell>
          <cell r="AQ967" t="str">
            <v>Independent Standard Inspection</v>
          </cell>
          <cell r="AR967">
            <v>40458</v>
          </cell>
          <cell r="AS967">
            <v>40459</v>
          </cell>
          <cell r="AT967">
            <v>40486</v>
          </cell>
          <cell r="AU967">
            <v>2</v>
          </cell>
          <cell r="AV967">
            <v>2</v>
          </cell>
          <cell r="AW967">
            <v>2</v>
          </cell>
          <cell r="AX967" t="str">
            <v>NULL</v>
          </cell>
          <cell r="AY967" t="str">
            <v>NULL</v>
          </cell>
          <cell r="AZ967">
            <v>8</v>
          </cell>
          <cell r="BA967" t="str">
            <v>NULL</v>
          </cell>
          <cell r="BB967" t="str">
            <v>NULL</v>
          </cell>
        </row>
        <row r="968">
          <cell r="D968">
            <v>136678</v>
          </cell>
          <cell r="E968">
            <v>3156589</v>
          </cell>
          <cell r="F968" t="str">
            <v>RISE Education</v>
          </cell>
          <cell r="G968" t="str">
            <v>Other Independent School</v>
          </cell>
          <cell r="H968">
            <v>40639</v>
          </cell>
          <cell r="I968">
            <v>25</v>
          </cell>
          <cell r="J968" t="str">
            <v>London</v>
          </cell>
          <cell r="K968" t="str">
            <v>London</v>
          </cell>
          <cell r="L968" t="str">
            <v>Merton</v>
          </cell>
          <cell r="M968" t="str">
            <v>Mitcham and Morden</v>
          </cell>
          <cell r="N968" t="str">
            <v>CR4 3ED</v>
          </cell>
          <cell r="O968" t="str">
            <v>Does not have a sixth form</v>
          </cell>
          <cell r="P968">
            <v>13</v>
          </cell>
          <cell r="Q968">
            <v>16</v>
          </cell>
          <cell r="R968" t="str">
            <v>None</v>
          </cell>
          <cell r="S968" t="str">
            <v>Ofsted</v>
          </cell>
          <cell r="T968" t="str">
            <v>NULL</v>
          </cell>
          <cell r="U968" t="str">
            <v>NULL</v>
          </cell>
          <cell r="V968" t="str">
            <v>NULL</v>
          </cell>
          <cell r="W968" t="str">
            <v>NULL</v>
          </cell>
          <cell r="X968" t="str">
            <v>NULL</v>
          </cell>
          <cell r="Y968" t="str">
            <v>NULL</v>
          </cell>
          <cell r="Z968" t="str">
            <v>NULL</v>
          </cell>
          <cell r="AA968" t="str">
            <v>ITS462890</v>
          </cell>
          <cell r="AB968" t="str">
            <v>Independent School standard inspection</v>
          </cell>
          <cell r="AC968" t="str">
            <v>Independent Standard Inspection</v>
          </cell>
          <cell r="AD968">
            <v>42123</v>
          </cell>
          <cell r="AE968">
            <v>42125</v>
          </cell>
          <cell r="AF968">
            <v>42164</v>
          </cell>
          <cell r="AG968">
            <v>2</v>
          </cell>
          <cell r="AH968">
            <v>2</v>
          </cell>
          <cell r="AI968">
            <v>2</v>
          </cell>
          <cell r="AJ968">
            <v>2</v>
          </cell>
          <cell r="AK968" t="str">
            <v>NULL</v>
          </cell>
          <cell r="AL968">
            <v>9</v>
          </cell>
          <cell r="AM968">
            <v>9</v>
          </cell>
          <cell r="AN968" t="str">
            <v>NULL</v>
          </cell>
          <cell r="AO968" t="str">
            <v>ITS386857</v>
          </cell>
          <cell r="AP968" t="str">
            <v>Independent School standard inspection</v>
          </cell>
          <cell r="AQ968" t="str">
            <v>Independent Standard Inspection</v>
          </cell>
          <cell r="AR968">
            <v>40968</v>
          </cell>
          <cell r="AS968">
            <v>40969</v>
          </cell>
          <cell r="AT968">
            <v>41241</v>
          </cell>
          <cell r="AU968">
            <v>3</v>
          </cell>
          <cell r="AV968">
            <v>3</v>
          </cell>
          <cell r="AW968">
            <v>3</v>
          </cell>
          <cell r="AX968" t="str">
            <v>NULL</v>
          </cell>
          <cell r="AY968" t="str">
            <v>NULL</v>
          </cell>
          <cell r="AZ968">
            <v>8</v>
          </cell>
          <cell r="BA968" t="str">
            <v>NULL</v>
          </cell>
          <cell r="BB968" t="str">
            <v>NULL</v>
          </cell>
        </row>
        <row r="969">
          <cell r="D969">
            <v>100303</v>
          </cell>
          <cell r="E969">
            <v>2116385</v>
          </cell>
          <cell r="F969" t="str">
            <v>River House Montessori School</v>
          </cell>
          <cell r="G969" t="str">
            <v>Other Independent School</v>
          </cell>
          <cell r="H969">
            <v>34725</v>
          </cell>
          <cell r="I969">
            <v>338</v>
          </cell>
          <cell r="J969" t="str">
            <v>London</v>
          </cell>
          <cell r="K969" t="str">
            <v>London</v>
          </cell>
          <cell r="L969" t="str">
            <v>Tower Hamlets</v>
          </cell>
          <cell r="M969" t="str">
            <v>Poplar and Limehouse</v>
          </cell>
          <cell r="N969" t="str">
            <v>E14 9XP</v>
          </cell>
          <cell r="O969" t="str">
            <v>Does not have a sixth form</v>
          </cell>
          <cell r="P969">
            <v>3</v>
          </cell>
          <cell r="Q969">
            <v>16</v>
          </cell>
          <cell r="R969" t="str">
            <v>None</v>
          </cell>
          <cell r="S969" t="str">
            <v>Ofsted</v>
          </cell>
          <cell r="T969">
            <v>2</v>
          </cell>
          <cell r="U969" t="str">
            <v>ITS455669</v>
          </cell>
          <cell r="V969" t="str">
            <v xml:space="preserve">Independent School material change inspection - Integrated </v>
          </cell>
          <cell r="W969">
            <v>41991</v>
          </cell>
          <cell r="X969">
            <v>41991</v>
          </cell>
          <cell r="Y969" t="str">
            <v>NULL</v>
          </cell>
          <cell r="Z969" t="str">
            <v>Likely to meet relevant standards</v>
          </cell>
          <cell r="AA969" t="str">
            <v>ITS364208</v>
          </cell>
          <cell r="AB969" t="str">
            <v>S162a - LTI Inspection Historic</v>
          </cell>
          <cell r="AC969" t="str">
            <v>Independent Standard Inspection</v>
          </cell>
          <cell r="AD969">
            <v>40626</v>
          </cell>
          <cell r="AE969">
            <v>40626</v>
          </cell>
          <cell r="AF969">
            <v>40666</v>
          </cell>
          <cell r="AG969">
            <v>2</v>
          </cell>
          <cell r="AH969">
            <v>2</v>
          </cell>
          <cell r="AI969">
            <v>2</v>
          </cell>
          <cell r="AJ969" t="str">
            <v>NULL</v>
          </cell>
          <cell r="AK969" t="str">
            <v>NULL</v>
          </cell>
          <cell r="AL969">
            <v>2</v>
          </cell>
          <cell r="AM969" t="str">
            <v>NULL</v>
          </cell>
          <cell r="AN969" t="str">
            <v>NULL</v>
          </cell>
          <cell r="AO969" t="str">
            <v>ITS320377</v>
          </cell>
          <cell r="AP969" t="str">
            <v>Independent School standard inspection</v>
          </cell>
          <cell r="AQ969" t="str">
            <v>Independent Standard Inspection</v>
          </cell>
          <cell r="AR969">
            <v>39464</v>
          </cell>
          <cell r="AS969">
            <v>39465</v>
          </cell>
          <cell r="AT969">
            <v>39486</v>
          </cell>
          <cell r="AU969">
            <v>2</v>
          </cell>
          <cell r="AV969">
            <v>2</v>
          </cell>
          <cell r="AW969">
            <v>2</v>
          </cell>
          <cell r="AX969" t="str">
            <v>NULL</v>
          </cell>
          <cell r="AY969" t="str">
            <v>NULL</v>
          </cell>
          <cell r="AZ969" t="str">
            <v>NULL</v>
          </cell>
          <cell r="BA969" t="str">
            <v>NULL</v>
          </cell>
          <cell r="BB969" t="str">
            <v>NULL</v>
          </cell>
        </row>
        <row r="970">
          <cell r="D970">
            <v>118987</v>
          </cell>
          <cell r="E970">
            <v>8866041</v>
          </cell>
          <cell r="F970" t="str">
            <v>St Joseph's Convent Independent Preparatory School</v>
          </cell>
          <cell r="G970" t="str">
            <v>Other Independent School</v>
          </cell>
          <cell r="H970">
            <v>20821</v>
          </cell>
          <cell r="I970">
            <v>107</v>
          </cell>
          <cell r="J970" t="str">
            <v>South East</v>
          </cell>
          <cell r="K970" t="str">
            <v>South East</v>
          </cell>
          <cell r="L970" t="str">
            <v>Kent</v>
          </cell>
          <cell r="M970" t="str">
            <v>Gravesham</v>
          </cell>
          <cell r="N970" t="str">
            <v>DA12 1NR</v>
          </cell>
          <cell r="O970" t="str">
            <v>Does not have a sixth form</v>
          </cell>
          <cell r="P970">
            <v>3</v>
          </cell>
          <cell r="Q970">
            <v>11</v>
          </cell>
          <cell r="R970" t="str">
            <v>None</v>
          </cell>
          <cell r="S970" t="str">
            <v>Ofsted</v>
          </cell>
          <cell r="T970">
            <v>2</v>
          </cell>
          <cell r="U970">
            <v>10025691</v>
          </cell>
          <cell r="V970" t="str">
            <v>Independent school Progress Monitoring inspection</v>
          </cell>
          <cell r="W970">
            <v>42697</v>
          </cell>
          <cell r="X970">
            <v>42697</v>
          </cell>
          <cell r="Y970">
            <v>42747</v>
          </cell>
          <cell r="Z970" t="str">
            <v>Met all standards that were checked</v>
          </cell>
          <cell r="AA970">
            <v>10006336</v>
          </cell>
          <cell r="AB970" t="str">
            <v>Independent School standard inspection</v>
          </cell>
          <cell r="AC970" t="str">
            <v>Independent Standard Inspection</v>
          </cell>
          <cell r="AD970">
            <v>42515</v>
          </cell>
          <cell r="AE970">
            <v>42517</v>
          </cell>
          <cell r="AF970">
            <v>42552</v>
          </cell>
          <cell r="AG970">
            <v>4</v>
          </cell>
          <cell r="AH970">
            <v>3</v>
          </cell>
          <cell r="AI970">
            <v>3</v>
          </cell>
          <cell r="AJ970">
            <v>4</v>
          </cell>
          <cell r="AK970">
            <v>4</v>
          </cell>
          <cell r="AL970">
            <v>4</v>
          </cell>
          <cell r="AM970" t="str">
            <v>NULL</v>
          </cell>
          <cell r="AN970" t="str">
            <v>No</v>
          </cell>
          <cell r="AO970" t="str">
            <v>ITS385097</v>
          </cell>
          <cell r="AP970" t="str">
            <v>Independent School standard inspection</v>
          </cell>
          <cell r="AQ970" t="str">
            <v>Independent Standard Inspection</v>
          </cell>
          <cell r="AR970">
            <v>40885</v>
          </cell>
          <cell r="AS970">
            <v>40886</v>
          </cell>
          <cell r="AT970">
            <v>40922</v>
          </cell>
          <cell r="AU970">
            <v>2</v>
          </cell>
          <cell r="AV970">
            <v>2</v>
          </cell>
          <cell r="AW970">
            <v>2</v>
          </cell>
          <cell r="AX970" t="str">
            <v>NULL</v>
          </cell>
          <cell r="AY970" t="str">
            <v>NULL</v>
          </cell>
          <cell r="AZ970">
            <v>2</v>
          </cell>
          <cell r="BA970" t="str">
            <v>NULL</v>
          </cell>
          <cell r="BB970" t="str">
            <v>NULL</v>
          </cell>
        </row>
        <row r="971">
          <cell r="D971">
            <v>101383</v>
          </cell>
          <cell r="E971">
            <v>3026077</v>
          </cell>
          <cell r="F971" t="str">
            <v>St Martin's School</v>
          </cell>
          <cell r="G971" t="str">
            <v>Other Independent School</v>
          </cell>
          <cell r="H971">
            <v>21117</v>
          </cell>
          <cell r="I971">
            <v>76</v>
          </cell>
          <cell r="J971" t="str">
            <v>London</v>
          </cell>
          <cell r="K971" t="str">
            <v>London</v>
          </cell>
          <cell r="L971" t="str">
            <v>Barnet</v>
          </cell>
          <cell r="M971" t="str">
            <v>Hendon</v>
          </cell>
          <cell r="N971" t="str">
            <v>NW7 3RG</v>
          </cell>
          <cell r="O971" t="str">
            <v>Does not have a sixth form</v>
          </cell>
          <cell r="P971">
            <v>3</v>
          </cell>
          <cell r="Q971">
            <v>11</v>
          </cell>
          <cell r="R971" t="str">
            <v>None</v>
          </cell>
          <cell r="S971" t="str">
            <v>Ofsted</v>
          </cell>
          <cell r="T971" t="str">
            <v>NULL</v>
          </cell>
          <cell r="U971" t="str">
            <v>NULL</v>
          </cell>
          <cell r="V971" t="str">
            <v>NULL</v>
          </cell>
          <cell r="W971" t="str">
            <v>NULL</v>
          </cell>
          <cell r="X971" t="str">
            <v>NULL</v>
          </cell>
          <cell r="Y971" t="str">
            <v>NULL</v>
          </cell>
          <cell r="Z971" t="str">
            <v>NULL</v>
          </cell>
          <cell r="AA971">
            <v>10035780</v>
          </cell>
          <cell r="AB971" t="str">
            <v>Independent School standard inspection</v>
          </cell>
          <cell r="AC971" t="str">
            <v>Independent Standard Inspection</v>
          </cell>
          <cell r="AD971">
            <v>43011</v>
          </cell>
          <cell r="AE971">
            <v>43013</v>
          </cell>
          <cell r="AF971">
            <v>43048</v>
          </cell>
          <cell r="AG971">
            <v>2</v>
          </cell>
          <cell r="AH971">
            <v>2</v>
          </cell>
          <cell r="AI971">
            <v>2</v>
          </cell>
          <cell r="AJ971">
            <v>2</v>
          </cell>
          <cell r="AK971">
            <v>1</v>
          </cell>
          <cell r="AL971">
            <v>2</v>
          </cell>
          <cell r="AM971" t="str">
            <v>NULL</v>
          </cell>
          <cell r="AN971" t="str">
            <v>Yes</v>
          </cell>
          <cell r="AO971" t="str">
            <v>ITS454242</v>
          </cell>
          <cell r="AP971" t="str">
            <v>Independent School standard inspection</v>
          </cell>
          <cell r="AQ971" t="str">
            <v>Independent Standard Inspection</v>
          </cell>
          <cell r="AR971">
            <v>42193</v>
          </cell>
          <cell r="AS971">
            <v>42195</v>
          </cell>
          <cell r="AT971">
            <v>42283</v>
          </cell>
          <cell r="AU971">
            <v>4</v>
          </cell>
          <cell r="AV971">
            <v>2</v>
          </cell>
          <cell r="AW971">
            <v>2</v>
          </cell>
          <cell r="AX971">
            <v>4</v>
          </cell>
          <cell r="AY971" t="str">
            <v>NULL</v>
          </cell>
          <cell r="AZ971">
            <v>4</v>
          </cell>
          <cell r="BA971">
            <v>9</v>
          </cell>
          <cell r="BB971" t="str">
            <v>NULL</v>
          </cell>
        </row>
        <row r="972">
          <cell r="D972">
            <v>113940</v>
          </cell>
          <cell r="E972">
            <v>8376003</v>
          </cell>
          <cell r="F972" t="str">
            <v>St Martin's School</v>
          </cell>
          <cell r="G972" t="str">
            <v>Other Independent School</v>
          </cell>
          <cell r="H972">
            <v>21108</v>
          </cell>
          <cell r="I972">
            <v>90</v>
          </cell>
          <cell r="J972" t="str">
            <v>South West</v>
          </cell>
          <cell r="K972" t="str">
            <v>South West</v>
          </cell>
          <cell r="L972" t="str">
            <v>Bournemouth</v>
          </cell>
          <cell r="M972" t="str">
            <v>Bournemouth West</v>
          </cell>
          <cell r="N972" t="str">
            <v>BH3 7NA</v>
          </cell>
          <cell r="O972" t="str">
            <v>Does not have a sixth form</v>
          </cell>
          <cell r="P972">
            <v>3</v>
          </cell>
          <cell r="Q972">
            <v>11</v>
          </cell>
          <cell r="R972" t="str">
            <v>Church of England</v>
          </cell>
          <cell r="S972" t="str">
            <v>Ofsted</v>
          </cell>
          <cell r="T972" t="str">
            <v>NULL</v>
          </cell>
          <cell r="U972" t="str">
            <v>NULL</v>
          </cell>
          <cell r="V972" t="str">
            <v>NULL</v>
          </cell>
          <cell r="W972" t="str">
            <v>NULL</v>
          </cell>
          <cell r="X972" t="str">
            <v>NULL</v>
          </cell>
          <cell r="Y972" t="str">
            <v>NULL</v>
          </cell>
          <cell r="Z972" t="str">
            <v>NULL</v>
          </cell>
          <cell r="AA972">
            <v>10033883</v>
          </cell>
          <cell r="AB972" t="str">
            <v>Independent School standard inspection</v>
          </cell>
          <cell r="AC972" t="str">
            <v>Independent Standard Inspection</v>
          </cell>
          <cell r="AD972">
            <v>43004</v>
          </cell>
          <cell r="AE972">
            <v>43006</v>
          </cell>
          <cell r="AF972">
            <v>43038</v>
          </cell>
          <cell r="AG972">
            <v>2</v>
          </cell>
          <cell r="AH972">
            <v>2</v>
          </cell>
          <cell r="AI972">
            <v>2</v>
          </cell>
          <cell r="AJ972">
            <v>2</v>
          </cell>
          <cell r="AK972">
            <v>2</v>
          </cell>
          <cell r="AL972">
            <v>3</v>
          </cell>
          <cell r="AM972" t="str">
            <v>NULL</v>
          </cell>
          <cell r="AN972" t="str">
            <v>Yes</v>
          </cell>
          <cell r="AO972" t="str">
            <v>ITS443458</v>
          </cell>
          <cell r="AP972" t="str">
            <v>Independent School standard inspection</v>
          </cell>
          <cell r="AQ972" t="str">
            <v>Independent Standard Inspection</v>
          </cell>
          <cell r="AR972">
            <v>41793</v>
          </cell>
          <cell r="AS972">
            <v>41795</v>
          </cell>
          <cell r="AT972">
            <v>41814</v>
          </cell>
          <cell r="AU972">
            <v>2</v>
          </cell>
          <cell r="AV972">
            <v>2</v>
          </cell>
          <cell r="AW972">
            <v>2</v>
          </cell>
          <cell r="AX972">
            <v>2</v>
          </cell>
          <cell r="AY972" t="str">
            <v>NULL</v>
          </cell>
          <cell r="AZ972" t="str">
            <v>NULL</v>
          </cell>
          <cell r="BA972" t="str">
            <v>NULL</v>
          </cell>
          <cell r="BB972" t="str">
            <v>NULL</v>
          </cell>
        </row>
        <row r="973">
          <cell r="D973">
            <v>116567</v>
          </cell>
          <cell r="E973">
            <v>8526003</v>
          </cell>
          <cell r="F973" t="str">
            <v>St Mary's Independent School</v>
          </cell>
          <cell r="G973" t="str">
            <v>Other Independent School</v>
          </cell>
          <cell r="H973">
            <v>17168</v>
          </cell>
          <cell r="I973">
            <v>252</v>
          </cell>
          <cell r="J973" t="str">
            <v>South East</v>
          </cell>
          <cell r="K973" t="str">
            <v>South East</v>
          </cell>
          <cell r="L973" t="str">
            <v>Southampton</v>
          </cell>
          <cell r="M973" t="str">
            <v>Southampton, Itchen</v>
          </cell>
          <cell r="N973" t="str">
            <v>SO18 4DJ</v>
          </cell>
          <cell r="O973" t="str">
            <v>Does not have a sixth form</v>
          </cell>
          <cell r="P973">
            <v>3</v>
          </cell>
          <cell r="Q973">
            <v>16</v>
          </cell>
          <cell r="R973" t="str">
            <v>None</v>
          </cell>
          <cell r="S973" t="str">
            <v>Ofsted</v>
          </cell>
          <cell r="T973" t="str">
            <v>NULL</v>
          </cell>
          <cell r="U973" t="str">
            <v>NULL</v>
          </cell>
          <cell r="V973" t="str">
            <v>NULL</v>
          </cell>
          <cell r="W973" t="str">
            <v>NULL</v>
          </cell>
          <cell r="X973" t="str">
            <v>NULL</v>
          </cell>
          <cell r="Y973" t="str">
            <v>NULL</v>
          </cell>
          <cell r="Z973" t="str">
            <v>NULL</v>
          </cell>
          <cell r="AA973" t="str">
            <v>ITS408714</v>
          </cell>
          <cell r="AB973" t="str">
            <v>Independent School standard inspection</v>
          </cell>
          <cell r="AC973" t="str">
            <v>Independent Standard Inspection</v>
          </cell>
          <cell r="AD973">
            <v>41331</v>
          </cell>
          <cell r="AE973">
            <v>41333</v>
          </cell>
          <cell r="AF973">
            <v>41354</v>
          </cell>
          <cell r="AG973">
            <v>2</v>
          </cell>
          <cell r="AH973">
            <v>2</v>
          </cell>
          <cell r="AI973">
            <v>2</v>
          </cell>
          <cell r="AJ973">
            <v>2</v>
          </cell>
          <cell r="AK973" t="str">
            <v>NULL</v>
          </cell>
          <cell r="AL973" t="str">
            <v>NULL</v>
          </cell>
          <cell r="AM973" t="str">
            <v>NULL</v>
          </cell>
          <cell r="AN973" t="str">
            <v>NULL</v>
          </cell>
          <cell r="AO973" t="str">
            <v>ITS341955</v>
          </cell>
          <cell r="AP973" t="str">
            <v>S162a - LTI Inspection Historic</v>
          </cell>
          <cell r="AQ973" t="str">
            <v>Independent Standard Inspection</v>
          </cell>
          <cell r="AR973">
            <v>40078</v>
          </cell>
          <cell r="AS973">
            <v>40078</v>
          </cell>
          <cell r="AT973">
            <v>40117</v>
          </cell>
          <cell r="AU973">
            <v>3</v>
          </cell>
          <cell r="AV973">
            <v>2</v>
          </cell>
          <cell r="AW973">
            <v>2</v>
          </cell>
          <cell r="AX973" t="str">
            <v>NULL</v>
          </cell>
          <cell r="AY973" t="str">
            <v>NULL</v>
          </cell>
          <cell r="AZ973">
            <v>3</v>
          </cell>
          <cell r="BA973" t="str">
            <v>NULL</v>
          </cell>
          <cell r="BB973" t="str">
            <v>NULL</v>
          </cell>
        </row>
        <row r="974">
          <cell r="D974">
            <v>100300</v>
          </cell>
          <cell r="E974">
            <v>2046388</v>
          </cell>
          <cell r="F974" t="str">
            <v>Tayyibah Girls' School</v>
          </cell>
          <cell r="G974" t="str">
            <v>Other Independent School</v>
          </cell>
          <cell r="H974">
            <v>33903</v>
          </cell>
          <cell r="I974">
            <v>183</v>
          </cell>
          <cell r="J974" t="str">
            <v>London</v>
          </cell>
          <cell r="K974" t="str">
            <v>London</v>
          </cell>
          <cell r="L974" t="str">
            <v>Hackney</v>
          </cell>
          <cell r="M974" t="str">
            <v>Hackney North and Stoke Newington</v>
          </cell>
          <cell r="N974" t="str">
            <v>N16 6JJ</v>
          </cell>
          <cell r="O974" t="str">
            <v>Has a sixth form</v>
          </cell>
          <cell r="P974">
            <v>4</v>
          </cell>
          <cell r="Q974">
            <v>18</v>
          </cell>
          <cell r="R974" t="str">
            <v>None</v>
          </cell>
          <cell r="S974" t="str">
            <v>Ofsted</v>
          </cell>
          <cell r="T974">
            <v>4</v>
          </cell>
          <cell r="U974">
            <v>10048517</v>
          </cell>
          <cell r="V974" t="str">
            <v>Independent school Progress Monitoring inspection</v>
          </cell>
          <cell r="W974">
            <v>43166</v>
          </cell>
          <cell r="X974">
            <v>43166</v>
          </cell>
          <cell r="Y974" t="str">
            <v>NULL</v>
          </cell>
          <cell r="Z974" t="str">
            <v>Did not meet all standards that were checked</v>
          </cell>
          <cell r="AA974">
            <v>10017856</v>
          </cell>
          <cell r="AB974" t="str">
            <v>Independent School standard inspection</v>
          </cell>
          <cell r="AC974" t="str">
            <v>Independent Standard Inspection</v>
          </cell>
          <cell r="AD974">
            <v>42634</v>
          </cell>
          <cell r="AE974">
            <v>42636</v>
          </cell>
          <cell r="AF974">
            <v>42716</v>
          </cell>
          <cell r="AG974">
            <v>4</v>
          </cell>
          <cell r="AH974">
            <v>3</v>
          </cell>
          <cell r="AI974">
            <v>3</v>
          </cell>
          <cell r="AJ974">
            <v>4</v>
          </cell>
          <cell r="AK974">
            <v>4</v>
          </cell>
          <cell r="AL974" t="str">
            <v>NULL</v>
          </cell>
          <cell r="AM974">
            <v>4</v>
          </cell>
          <cell r="AN974" t="str">
            <v>No</v>
          </cell>
          <cell r="AO974" t="str">
            <v>ITS361317</v>
          </cell>
          <cell r="AP974" t="str">
            <v>Independent School standard inspection</v>
          </cell>
          <cell r="AQ974" t="str">
            <v>Independent Standard Inspection</v>
          </cell>
          <cell r="AR974">
            <v>40513</v>
          </cell>
          <cell r="AS974">
            <v>40514</v>
          </cell>
          <cell r="AT974">
            <v>40535</v>
          </cell>
          <cell r="AU974">
            <v>2</v>
          </cell>
          <cell r="AV974">
            <v>2</v>
          </cell>
          <cell r="AW974">
            <v>2</v>
          </cell>
          <cell r="AX974" t="str">
            <v>NULL</v>
          </cell>
          <cell r="AY974" t="str">
            <v>NULL</v>
          </cell>
          <cell r="AZ974">
            <v>8</v>
          </cell>
          <cell r="BA974" t="str">
            <v>NULL</v>
          </cell>
          <cell r="BB974" t="str">
            <v>NULL</v>
          </cell>
        </row>
        <row r="975">
          <cell r="D975">
            <v>131291</v>
          </cell>
          <cell r="E975">
            <v>2026396</v>
          </cell>
          <cell r="F975" t="str">
            <v>The Academy School</v>
          </cell>
          <cell r="G975" t="str">
            <v>Other Independent School</v>
          </cell>
          <cell r="H975">
            <v>35585</v>
          </cell>
          <cell r="I975">
            <v>85</v>
          </cell>
          <cell r="J975" t="str">
            <v>London</v>
          </cell>
          <cell r="K975" t="str">
            <v>London</v>
          </cell>
          <cell r="L975" t="str">
            <v>Camden</v>
          </cell>
          <cell r="M975" t="str">
            <v>Hampstead and Kilburn</v>
          </cell>
          <cell r="N975" t="str">
            <v>NW3 1NG</v>
          </cell>
          <cell r="O975" t="str">
            <v>Does not have a sixth form</v>
          </cell>
          <cell r="P975">
            <v>6</v>
          </cell>
          <cell r="Q975">
            <v>14</v>
          </cell>
          <cell r="R975" t="str">
            <v>None</v>
          </cell>
          <cell r="S975" t="str">
            <v>Ofsted</v>
          </cell>
          <cell r="T975" t="str">
            <v>NULL</v>
          </cell>
          <cell r="U975" t="str">
            <v>NULL</v>
          </cell>
          <cell r="V975" t="str">
            <v>NULL</v>
          </cell>
          <cell r="W975" t="str">
            <v>NULL</v>
          </cell>
          <cell r="X975" t="str">
            <v>NULL</v>
          </cell>
          <cell r="Y975" t="str">
            <v>NULL</v>
          </cell>
          <cell r="Z975" t="str">
            <v>NULL</v>
          </cell>
          <cell r="AA975">
            <v>10008533</v>
          </cell>
          <cell r="AB975" t="str">
            <v>Independent School standard inspection</v>
          </cell>
          <cell r="AC975" t="str">
            <v>Independent Standard Inspection</v>
          </cell>
          <cell r="AD975">
            <v>42752</v>
          </cell>
          <cell r="AE975">
            <v>42754</v>
          </cell>
          <cell r="AF975">
            <v>42823</v>
          </cell>
          <cell r="AG975">
            <v>1</v>
          </cell>
          <cell r="AH975">
            <v>1</v>
          </cell>
          <cell r="AI975">
            <v>1</v>
          </cell>
          <cell r="AJ975">
            <v>1</v>
          </cell>
          <cell r="AK975">
            <v>1</v>
          </cell>
          <cell r="AL975" t="str">
            <v>NULL</v>
          </cell>
          <cell r="AM975" t="str">
            <v>NULL</v>
          </cell>
          <cell r="AN975" t="str">
            <v>Yes</v>
          </cell>
          <cell r="AO975" t="str">
            <v>ITS341936</v>
          </cell>
          <cell r="AP975" t="str">
            <v>S162a - LTI Inspection Historic</v>
          </cell>
          <cell r="AQ975" t="str">
            <v>Independent Standard Inspection</v>
          </cell>
          <cell r="AR975">
            <v>40121</v>
          </cell>
          <cell r="AS975">
            <v>40121</v>
          </cell>
          <cell r="AT975">
            <v>40142</v>
          </cell>
          <cell r="AU975">
            <v>2</v>
          </cell>
          <cell r="AV975">
            <v>2</v>
          </cell>
          <cell r="AW975">
            <v>2</v>
          </cell>
          <cell r="AX975" t="str">
            <v>NULL</v>
          </cell>
          <cell r="AY975" t="str">
            <v>NULL</v>
          </cell>
          <cell r="AZ975">
            <v>8</v>
          </cell>
          <cell r="BA975" t="str">
            <v>NULL</v>
          </cell>
          <cell r="BB975" t="str">
            <v>NULL</v>
          </cell>
        </row>
        <row r="976">
          <cell r="D976">
            <v>115808</v>
          </cell>
          <cell r="E976">
            <v>9166068</v>
          </cell>
          <cell r="F976" t="str">
            <v>The Acorn School</v>
          </cell>
          <cell r="G976" t="str">
            <v>Other Independent School</v>
          </cell>
          <cell r="H976">
            <v>33625</v>
          </cell>
          <cell r="I976">
            <v>63</v>
          </cell>
          <cell r="J976" t="str">
            <v>South West</v>
          </cell>
          <cell r="K976" t="str">
            <v>South West</v>
          </cell>
          <cell r="L976" t="str">
            <v>Gloucestershire</v>
          </cell>
          <cell r="M976" t="str">
            <v>Stroud</v>
          </cell>
          <cell r="N976" t="str">
            <v>GL6 0BP</v>
          </cell>
          <cell r="O976" t="str">
            <v>Has a sixth form</v>
          </cell>
          <cell r="P976">
            <v>6</v>
          </cell>
          <cell r="Q976">
            <v>18</v>
          </cell>
          <cell r="R976" t="str">
            <v>None</v>
          </cell>
          <cell r="S976" t="str">
            <v>Ofsted</v>
          </cell>
          <cell r="T976">
            <v>1</v>
          </cell>
          <cell r="U976">
            <v>10045376</v>
          </cell>
          <cell r="V976" t="str">
            <v>Independent school emergency inspection</v>
          </cell>
          <cell r="W976">
            <v>43145</v>
          </cell>
          <cell r="X976">
            <v>43145</v>
          </cell>
          <cell r="Y976">
            <v>43171</v>
          </cell>
          <cell r="Z976" t="str">
            <v xml:space="preserve">Did not meet all standards that were checked </v>
          </cell>
          <cell r="AA976">
            <v>10012958</v>
          </cell>
          <cell r="AB976" t="str">
            <v>Independent School standard inspection</v>
          </cell>
          <cell r="AC976" t="str">
            <v>Independent Standard Inspection</v>
          </cell>
          <cell r="AD976">
            <v>42542</v>
          </cell>
          <cell r="AE976">
            <v>42544</v>
          </cell>
          <cell r="AF976">
            <v>42632</v>
          </cell>
          <cell r="AG976">
            <v>2</v>
          </cell>
          <cell r="AH976">
            <v>2</v>
          </cell>
          <cell r="AI976">
            <v>2</v>
          </cell>
          <cell r="AJ976">
            <v>2</v>
          </cell>
          <cell r="AK976">
            <v>2</v>
          </cell>
          <cell r="AL976" t="str">
            <v>NULL</v>
          </cell>
          <cell r="AM976">
            <v>2</v>
          </cell>
          <cell r="AN976" t="str">
            <v>Yes</v>
          </cell>
          <cell r="AO976" t="str">
            <v>ITS393346</v>
          </cell>
          <cell r="AP976" t="str">
            <v>Independent School standard inspection</v>
          </cell>
          <cell r="AQ976" t="str">
            <v>Independent Standard Inspection</v>
          </cell>
          <cell r="AR976">
            <v>41045</v>
          </cell>
          <cell r="AS976">
            <v>41046</v>
          </cell>
          <cell r="AT976">
            <v>41074</v>
          </cell>
          <cell r="AU976">
            <v>1</v>
          </cell>
          <cell r="AV976">
            <v>1</v>
          </cell>
          <cell r="AW976">
            <v>1</v>
          </cell>
          <cell r="AX976" t="str">
            <v>NULL</v>
          </cell>
          <cell r="AY976" t="str">
            <v>NULL</v>
          </cell>
          <cell r="AZ976">
            <v>8</v>
          </cell>
          <cell r="BA976" t="str">
            <v>NULL</v>
          </cell>
          <cell r="BB976" t="str">
            <v>NULL</v>
          </cell>
        </row>
        <row r="977">
          <cell r="D977">
            <v>101168</v>
          </cell>
          <cell r="E977">
            <v>2136215</v>
          </cell>
          <cell r="F977" t="str">
            <v>The American School in London</v>
          </cell>
          <cell r="G977" t="str">
            <v>Other Independent School</v>
          </cell>
          <cell r="H977">
            <v>21244</v>
          </cell>
          <cell r="I977">
            <v>1364</v>
          </cell>
          <cell r="J977" t="str">
            <v>London</v>
          </cell>
          <cell r="K977" t="str">
            <v>London</v>
          </cell>
          <cell r="L977" t="str">
            <v>Westminster</v>
          </cell>
          <cell r="M977" t="str">
            <v>Westminster North</v>
          </cell>
          <cell r="N977" t="str">
            <v>NW8 0NP</v>
          </cell>
          <cell r="O977" t="str">
            <v>Has a sixth form</v>
          </cell>
          <cell r="P977">
            <v>4</v>
          </cell>
          <cell r="Q977">
            <v>18</v>
          </cell>
          <cell r="R977" t="str">
            <v>None</v>
          </cell>
          <cell r="S977" t="str">
            <v>Ofsted</v>
          </cell>
          <cell r="T977" t="str">
            <v>NULL</v>
          </cell>
          <cell r="U977" t="str">
            <v>NULL</v>
          </cell>
          <cell r="V977" t="str">
            <v>NULL</v>
          </cell>
          <cell r="W977" t="str">
            <v>NULL</v>
          </cell>
          <cell r="X977" t="str">
            <v>NULL</v>
          </cell>
          <cell r="Y977" t="str">
            <v>NULL</v>
          </cell>
          <cell r="Z977" t="str">
            <v>NULL</v>
          </cell>
          <cell r="AA977" t="str">
            <v>ITS408703</v>
          </cell>
          <cell r="AB977" t="str">
            <v>Independent School standard inspection</v>
          </cell>
          <cell r="AC977" t="str">
            <v>Independent Standard Inspection</v>
          </cell>
          <cell r="AD977">
            <v>41324</v>
          </cell>
          <cell r="AE977">
            <v>41326</v>
          </cell>
          <cell r="AF977">
            <v>41346</v>
          </cell>
          <cell r="AG977">
            <v>1</v>
          </cell>
          <cell r="AH977">
            <v>1</v>
          </cell>
          <cell r="AI977">
            <v>1</v>
          </cell>
          <cell r="AJ977">
            <v>1</v>
          </cell>
          <cell r="AK977" t="str">
            <v>NULL</v>
          </cell>
          <cell r="AL977" t="str">
            <v>NULL</v>
          </cell>
          <cell r="AM977" t="str">
            <v>NULL</v>
          </cell>
          <cell r="AN977" t="str">
            <v>NULL</v>
          </cell>
          <cell r="AO977" t="str">
            <v>ITS333811</v>
          </cell>
          <cell r="AP977" t="str">
            <v>Independent School standard inspection</v>
          </cell>
          <cell r="AQ977" t="str">
            <v>Independent Standard Inspection</v>
          </cell>
          <cell r="AR977">
            <v>40127</v>
          </cell>
          <cell r="AS977">
            <v>40128</v>
          </cell>
          <cell r="AT977">
            <v>40149</v>
          </cell>
          <cell r="AU977">
            <v>1</v>
          </cell>
          <cell r="AV977">
            <v>1</v>
          </cell>
          <cell r="AW977">
            <v>1</v>
          </cell>
          <cell r="AX977" t="str">
            <v>NULL</v>
          </cell>
          <cell r="AY977" t="str">
            <v>NULL</v>
          </cell>
          <cell r="AZ977">
            <v>1</v>
          </cell>
          <cell r="BA977" t="str">
            <v>NULL</v>
          </cell>
          <cell r="BB977" t="str">
            <v>NULL</v>
          </cell>
        </row>
        <row r="978">
          <cell r="D978">
            <v>102455</v>
          </cell>
          <cell r="E978">
            <v>3126054</v>
          </cell>
          <cell r="F978" t="str">
            <v>The Hall School</v>
          </cell>
          <cell r="G978" t="str">
            <v>Other Independent School</v>
          </cell>
          <cell r="H978">
            <v>21103</v>
          </cell>
          <cell r="I978">
            <v>57</v>
          </cell>
          <cell r="J978" t="str">
            <v>London</v>
          </cell>
          <cell r="K978" t="str">
            <v>London</v>
          </cell>
          <cell r="L978" t="str">
            <v>Hillingdon</v>
          </cell>
          <cell r="M978" t="str">
            <v>Ruislip, Northwood and Pinner</v>
          </cell>
          <cell r="N978" t="str">
            <v>HA6 2RB</v>
          </cell>
          <cell r="O978" t="str">
            <v>Does not have a sixth form</v>
          </cell>
          <cell r="P978">
            <v>1</v>
          </cell>
          <cell r="Q978">
            <v>7</v>
          </cell>
          <cell r="R978" t="str">
            <v>None</v>
          </cell>
          <cell r="S978" t="str">
            <v>Ofsted</v>
          </cell>
          <cell r="T978" t="str">
            <v>NULL</v>
          </cell>
          <cell r="U978" t="str">
            <v>NULL</v>
          </cell>
          <cell r="V978" t="str">
            <v>NULL</v>
          </cell>
          <cell r="W978" t="str">
            <v>NULL</v>
          </cell>
          <cell r="X978" t="str">
            <v>NULL</v>
          </cell>
          <cell r="Y978" t="str">
            <v>NULL</v>
          </cell>
          <cell r="Z978" t="str">
            <v>NULL</v>
          </cell>
          <cell r="AA978" t="str">
            <v>ITS341952</v>
          </cell>
          <cell r="AB978" t="str">
            <v>S162a - LTI Inspection Historic</v>
          </cell>
          <cell r="AC978" t="str">
            <v>Independent Standard Inspection</v>
          </cell>
          <cell r="AD978">
            <v>40102</v>
          </cell>
          <cell r="AE978">
            <v>40102</v>
          </cell>
          <cell r="AF978">
            <v>40240</v>
          </cell>
          <cell r="AG978">
            <v>1</v>
          </cell>
          <cell r="AH978">
            <v>1</v>
          </cell>
          <cell r="AI978">
            <v>1</v>
          </cell>
          <cell r="AJ978" t="str">
            <v>NULL</v>
          </cell>
          <cell r="AK978" t="str">
            <v>NULL</v>
          </cell>
          <cell r="AL978">
            <v>1</v>
          </cell>
          <cell r="AM978" t="str">
            <v>NULL</v>
          </cell>
          <cell r="AN978" t="str">
            <v>NULL</v>
          </cell>
          <cell r="AO978" t="str">
            <v>ITS301549</v>
          </cell>
          <cell r="AP978" t="str">
            <v>Independent School standard inspection</v>
          </cell>
          <cell r="AQ978" t="str">
            <v>Independent Standard Inspection</v>
          </cell>
          <cell r="AR978">
            <v>39120</v>
          </cell>
          <cell r="AS978">
            <v>39121</v>
          </cell>
          <cell r="AT978">
            <v>39147</v>
          </cell>
          <cell r="AU978">
            <v>2</v>
          </cell>
          <cell r="AV978">
            <v>2</v>
          </cell>
          <cell r="AW978">
            <v>2</v>
          </cell>
          <cell r="AX978" t="str">
            <v>NULL</v>
          </cell>
          <cell r="AY978" t="str">
            <v>NULL</v>
          </cell>
          <cell r="AZ978" t="str">
            <v>NULL</v>
          </cell>
          <cell r="BA978" t="str">
            <v>NULL</v>
          </cell>
          <cell r="BB978" t="str">
            <v>NULL</v>
          </cell>
        </row>
        <row r="979">
          <cell r="D979">
            <v>102950</v>
          </cell>
          <cell r="E979">
            <v>3186078</v>
          </cell>
          <cell r="F979" t="str">
            <v>The Harrodian School</v>
          </cell>
          <cell r="G979" t="str">
            <v>Other Independent School</v>
          </cell>
          <cell r="H979">
            <v>34256</v>
          </cell>
          <cell r="I979">
            <v>974</v>
          </cell>
          <cell r="J979" t="str">
            <v>London</v>
          </cell>
          <cell r="K979" t="str">
            <v>London</v>
          </cell>
          <cell r="L979" t="str">
            <v>Richmond upon Thames</v>
          </cell>
          <cell r="M979" t="str">
            <v>Richmond Park</v>
          </cell>
          <cell r="N979" t="str">
            <v>SW13 9QN</v>
          </cell>
          <cell r="O979" t="str">
            <v>Has a sixth form</v>
          </cell>
          <cell r="P979">
            <v>4</v>
          </cell>
          <cell r="Q979">
            <v>18</v>
          </cell>
          <cell r="R979" t="str">
            <v>None</v>
          </cell>
          <cell r="S979" t="str">
            <v>Ofsted</v>
          </cell>
          <cell r="T979" t="str">
            <v>NULL</v>
          </cell>
          <cell r="U979" t="str">
            <v>NULL</v>
          </cell>
          <cell r="V979" t="str">
            <v>NULL</v>
          </cell>
          <cell r="W979" t="str">
            <v>NULL</v>
          </cell>
          <cell r="X979" t="str">
            <v>NULL</v>
          </cell>
          <cell r="Y979" t="str">
            <v>NULL</v>
          </cell>
          <cell r="Z979" t="str">
            <v>NULL</v>
          </cell>
          <cell r="AA979" t="str">
            <v>ITS387062</v>
          </cell>
          <cell r="AB979" t="str">
            <v>Independent School standard inspection</v>
          </cell>
          <cell r="AC979" t="str">
            <v>Independent Standard Inspection</v>
          </cell>
          <cell r="AD979">
            <v>40940</v>
          </cell>
          <cell r="AE979">
            <v>40941</v>
          </cell>
          <cell r="AF979">
            <v>41241</v>
          </cell>
          <cell r="AG979">
            <v>2</v>
          </cell>
          <cell r="AH979">
            <v>2</v>
          </cell>
          <cell r="AI979">
            <v>2</v>
          </cell>
          <cell r="AJ979" t="str">
            <v>NULL</v>
          </cell>
          <cell r="AK979" t="str">
            <v>NULL</v>
          </cell>
          <cell r="AL979">
            <v>8</v>
          </cell>
          <cell r="AM979" t="str">
            <v>NULL</v>
          </cell>
          <cell r="AN979" t="str">
            <v>NULL</v>
          </cell>
          <cell r="AO979" t="str">
            <v>ITS329561</v>
          </cell>
          <cell r="AP979" t="str">
            <v>S162a - LTI Inspection Historic</v>
          </cell>
          <cell r="AQ979" t="str">
            <v>Independent Standard Inspection</v>
          </cell>
          <cell r="AR979">
            <v>39707</v>
          </cell>
          <cell r="AS979">
            <v>39707</v>
          </cell>
          <cell r="AT979">
            <v>39736</v>
          </cell>
          <cell r="AU979">
            <v>2</v>
          </cell>
          <cell r="AV979">
            <v>2</v>
          </cell>
          <cell r="AW979">
            <v>2</v>
          </cell>
          <cell r="AX979" t="str">
            <v>NULL</v>
          </cell>
          <cell r="AY979" t="str">
            <v>NULL</v>
          </cell>
          <cell r="AZ979">
            <v>2</v>
          </cell>
          <cell r="BA979" t="str">
            <v>NULL</v>
          </cell>
          <cell r="BB979" t="str">
            <v>NULL</v>
          </cell>
        </row>
        <row r="980">
          <cell r="D980">
            <v>137561</v>
          </cell>
          <cell r="E980">
            <v>8566011</v>
          </cell>
          <cell r="F980" t="str">
            <v>The Imam Muhammad Adam Institute  School</v>
          </cell>
          <cell r="G980" t="str">
            <v>Other Independent School</v>
          </cell>
          <cell r="H980">
            <v>40819</v>
          </cell>
          <cell r="I980">
            <v>304</v>
          </cell>
          <cell r="J980" t="str">
            <v>East Midlands</v>
          </cell>
          <cell r="K980" t="str">
            <v>East Midlands</v>
          </cell>
          <cell r="L980" t="str">
            <v>Leicester</v>
          </cell>
          <cell r="M980" t="str">
            <v>Leicester South</v>
          </cell>
          <cell r="N980" t="str">
            <v>LE5 5AY</v>
          </cell>
          <cell r="O980" t="str">
            <v>Does not have a sixth form</v>
          </cell>
          <cell r="P980">
            <v>5</v>
          </cell>
          <cell r="Q980">
            <v>16</v>
          </cell>
          <cell r="R980" t="str">
            <v>None</v>
          </cell>
          <cell r="S980" t="str">
            <v>Ofsted</v>
          </cell>
          <cell r="T980" t="str">
            <v>NULL</v>
          </cell>
          <cell r="U980" t="str">
            <v>NULL</v>
          </cell>
          <cell r="V980" t="str">
            <v>NULL</v>
          </cell>
          <cell r="W980" t="str">
            <v>NULL</v>
          </cell>
          <cell r="X980" t="str">
            <v>NULL</v>
          </cell>
          <cell r="Y980" t="str">
            <v>NULL</v>
          </cell>
          <cell r="Z980" t="str">
            <v>NULL</v>
          </cell>
          <cell r="AA980">
            <v>10006106</v>
          </cell>
          <cell r="AB980" t="str">
            <v>Independent School standard inspection</v>
          </cell>
          <cell r="AC980" t="str">
            <v>Independent Standard Inspection</v>
          </cell>
          <cell r="AD980">
            <v>42395</v>
          </cell>
          <cell r="AE980">
            <v>42397</v>
          </cell>
          <cell r="AF980">
            <v>42439</v>
          </cell>
          <cell r="AG980">
            <v>2</v>
          </cell>
          <cell r="AH980">
            <v>2</v>
          </cell>
          <cell r="AI980">
            <v>2</v>
          </cell>
          <cell r="AJ980">
            <v>2</v>
          </cell>
          <cell r="AK980">
            <v>1</v>
          </cell>
          <cell r="AL980" t="str">
            <v>NULL</v>
          </cell>
          <cell r="AM980" t="str">
            <v>NULL</v>
          </cell>
          <cell r="AN980" t="str">
            <v>Yes</v>
          </cell>
          <cell r="AO980" t="str">
            <v>ITS397684</v>
          </cell>
          <cell r="AP980" t="str">
            <v>Independent school standard inspection - first</v>
          </cell>
          <cell r="AQ980" t="str">
            <v>Independent Standard Inspection</v>
          </cell>
          <cell r="AR980">
            <v>41171</v>
          </cell>
          <cell r="AS980">
            <v>41172</v>
          </cell>
          <cell r="AT980">
            <v>41192</v>
          </cell>
          <cell r="AU980">
            <v>3</v>
          </cell>
          <cell r="AV980">
            <v>3</v>
          </cell>
          <cell r="AW980">
            <v>3</v>
          </cell>
          <cell r="AX980" t="str">
            <v>NULL</v>
          </cell>
          <cell r="AY980" t="str">
            <v>NULL</v>
          </cell>
          <cell r="AZ980">
            <v>8</v>
          </cell>
          <cell r="BA980" t="str">
            <v>NULL</v>
          </cell>
          <cell r="BB980" t="str">
            <v>NULL</v>
          </cell>
        </row>
        <row r="981">
          <cell r="D981">
            <v>101958</v>
          </cell>
          <cell r="E981">
            <v>3076070</v>
          </cell>
          <cell r="F981" t="str">
            <v>The Japanese School</v>
          </cell>
          <cell r="G981" t="str">
            <v>Other Independent School</v>
          </cell>
          <cell r="H981">
            <v>28079</v>
          </cell>
          <cell r="I981">
            <v>348</v>
          </cell>
          <cell r="J981" t="str">
            <v>London</v>
          </cell>
          <cell r="K981" t="str">
            <v>London</v>
          </cell>
          <cell r="L981" t="str">
            <v>Ealing</v>
          </cell>
          <cell r="M981" t="str">
            <v>Ealing Central and Acton</v>
          </cell>
          <cell r="N981" t="str">
            <v>W3 9PU</v>
          </cell>
          <cell r="O981" t="str">
            <v>Does not have a sixth form</v>
          </cell>
          <cell r="P981">
            <v>6</v>
          </cell>
          <cell r="Q981">
            <v>15</v>
          </cell>
          <cell r="R981" t="str">
            <v>None</v>
          </cell>
          <cell r="S981" t="str">
            <v>Ofsted</v>
          </cell>
          <cell r="T981">
            <v>2</v>
          </cell>
          <cell r="U981">
            <v>10044930</v>
          </cell>
          <cell r="V981" t="str">
            <v>Independent school Progress Monitoring inspection</v>
          </cell>
          <cell r="W981">
            <v>43115</v>
          </cell>
          <cell r="X981">
            <v>43115</v>
          </cell>
          <cell r="Y981">
            <v>43166</v>
          </cell>
          <cell r="Z981" t="str">
            <v>Did not meet all standards that were checked</v>
          </cell>
          <cell r="AA981">
            <v>10034364</v>
          </cell>
          <cell r="AB981" t="str">
            <v>Independent School standard inspection</v>
          </cell>
          <cell r="AC981" t="str">
            <v>Independent Standard Inspection</v>
          </cell>
          <cell r="AD981">
            <v>42920</v>
          </cell>
          <cell r="AE981">
            <v>42922</v>
          </cell>
          <cell r="AF981">
            <v>42989</v>
          </cell>
          <cell r="AG981">
            <v>3</v>
          </cell>
          <cell r="AH981">
            <v>2</v>
          </cell>
          <cell r="AI981">
            <v>2</v>
          </cell>
          <cell r="AJ981">
            <v>3</v>
          </cell>
          <cell r="AK981">
            <v>2</v>
          </cell>
          <cell r="AL981" t="str">
            <v>NULL</v>
          </cell>
          <cell r="AM981" t="str">
            <v>NULL</v>
          </cell>
          <cell r="AN981" t="str">
            <v>Yes</v>
          </cell>
          <cell r="AO981" t="str">
            <v>ITS447186</v>
          </cell>
          <cell r="AP981" t="str">
            <v>Independent School standard inspection</v>
          </cell>
          <cell r="AQ981" t="str">
            <v>Independent Standard Inspection</v>
          </cell>
          <cell r="AR981">
            <v>41912</v>
          </cell>
          <cell r="AS981">
            <v>41914</v>
          </cell>
          <cell r="AT981">
            <v>42039</v>
          </cell>
          <cell r="AU981">
            <v>3</v>
          </cell>
          <cell r="AV981">
            <v>3</v>
          </cell>
          <cell r="AW981">
            <v>3</v>
          </cell>
          <cell r="AX981">
            <v>3</v>
          </cell>
          <cell r="AY981" t="str">
            <v>NULL</v>
          </cell>
          <cell r="AZ981">
            <v>9</v>
          </cell>
          <cell r="BA981">
            <v>9</v>
          </cell>
          <cell r="BB981" t="str">
            <v>NULL</v>
          </cell>
        </row>
        <row r="982">
          <cell r="D982">
            <v>135334</v>
          </cell>
          <cell r="E982">
            <v>3106083</v>
          </cell>
          <cell r="F982" t="str">
            <v>Khalsa College London</v>
          </cell>
          <cell r="G982" t="str">
            <v>Other Independent School</v>
          </cell>
          <cell r="H982">
            <v>39287</v>
          </cell>
          <cell r="I982">
            <v>0</v>
          </cell>
          <cell r="J982" t="str">
            <v>London</v>
          </cell>
          <cell r="K982" t="str">
            <v>London</v>
          </cell>
          <cell r="L982" t="str">
            <v>Harrow</v>
          </cell>
          <cell r="M982" t="str">
            <v>Harrow West</v>
          </cell>
          <cell r="N982" t="str">
            <v>HA1 4ES</v>
          </cell>
          <cell r="O982" t="str">
            <v>Has a sixth form</v>
          </cell>
          <cell r="P982">
            <v>11</v>
          </cell>
          <cell r="Q982">
            <v>18</v>
          </cell>
          <cell r="R982" t="str">
            <v>None</v>
          </cell>
          <cell r="S982" t="str">
            <v>Ofsted</v>
          </cell>
          <cell r="T982" t="str">
            <v>NULL</v>
          </cell>
          <cell r="U982" t="str">
            <v>NULL</v>
          </cell>
          <cell r="V982" t="str">
            <v>NULL</v>
          </cell>
          <cell r="W982" t="str">
            <v>NULL</v>
          </cell>
          <cell r="X982" t="str">
            <v>NULL</v>
          </cell>
          <cell r="Y982" t="str">
            <v>NULL</v>
          </cell>
          <cell r="Z982" t="str">
            <v>NULL</v>
          </cell>
          <cell r="AA982" t="str">
            <v>ITS454276</v>
          </cell>
          <cell r="AB982" t="str">
            <v>Independent School standard inspection</v>
          </cell>
          <cell r="AC982" t="str">
            <v>Independent Standard Inspection</v>
          </cell>
          <cell r="AD982">
            <v>42081</v>
          </cell>
          <cell r="AE982">
            <v>42083</v>
          </cell>
          <cell r="AF982">
            <v>42121</v>
          </cell>
          <cell r="AG982">
            <v>2</v>
          </cell>
          <cell r="AH982">
            <v>2</v>
          </cell>
          <cell r="AI982">
            <v>2</v>
          </cell>
          <cell r="AJ982">
            <v>2</v>
          </cell>
          <cell r="AK982" t="str">
            <v>NULL</v>
          </cell>
          <cell r="AL982">
            <v>9</v>
          </cell>
          <cell r="AM982">
            <v>2</v>
          </cell>
          <cell r="AN982" t="str">
            <v>NULL</v>
          </cell>
          <cell r="AO982" t="str">
            <v>ITS385123</v>
          </cell>
          <cell r="AP982" t="str">
            <v>Independent School standard inspection</v>
          </cell>
          <cell r="AQ982" t="str">
            <v>Independent Standard Inspection</v>
          </cell>
          <cell r="AR982">
            <v>40835</v>
          </cell>
          <cell r="AS982">
            <v>40836</v>
          </cell>
          <cell r="AT982">
            <v>40857</v>
          </cell>
          <cell r="AU982">
            <v>2</v>
          </cell>
          <cell r="AV982">
            <v>2</v>
          </cell>
          <cell r="AW982">
            <v>2</v>
          </cell>
          <cell r="AX982" t="str">
            <v>NULL</v>
          </cell>
          <cell r="AY982" t="str">
            <v>NULL</v>
          </cell>
          <cell r="AZ982">
            <v>8</v>
          </cell>
          <cell r="BA982" t="str">
            <v>NULL</v>
          </cell>
          <cell r="BB982" t="str">
            <v>NULL</v>
          </cell>
        </row>
        <row r="983">
          <cell r="D983">
            <v>141242</v>
          </cell>
          <cell r="E983">
            <v>3306017</v>
          </cell>
          <cell r="F983" t="str">
            <v>Kimichi School</v>
          </cell>
          <cell r="G983" t="str">
            <v>Other Independent School</v>
          </cell>
          <cell r="H983">
            <v>41872</v>
          </cell>
          <cell r="I983">
            <v>16</v>
          </cell>
          <cell r="J983" t="str">
            <v>West Midlands</v>
          </cell>
          <cell r="K983" t="str">
            <v>West Midlands</v>
          </cell>
          <cell r="L983" t="str">
            <v>Birmingham</v>
          </cell>
          <cell r="M983" t="str">
            <v>Birmingham, Yardley</v>
          </cell>
          <cell r="N983" t="str">
            <v>B27 6LL</v>
          </cell>
          <cell r="O983" t="str">
            <v>Does not have a sixth form</v>
          </cell>
          <cell r="P983">
            <v>9</v>
          </cell>
          <cell r="Q983">
            <v>16</v>
          </cell>
          <cell r="R983" t="str">
            <v>None</v>
          </cell>
          <cell r="S983" t="str">
            <v>Ofsted</v>
          </cell>
          <cell r="T983">
            <v>2</v>
          </cell>
          <cell r="U983">
            <v>10044189</v>
          </cell>
          <cell r="V983" t="str">
            <v>Independent school Material Change inspection</v>
          </cell>
          <cell r="W983">
            <v>43164</v>
          </cell>
          <cell r="X983">
            <v>43164</v>
          </cell>
          <cell r="Y983" t="str">
            <v>NULL</v>
          </cell>
          <cell r="Z983" t="str">
            <v>Likely to meet relevant standards</v>
          </cell>
          <cell r="AA983" t="str">
            <v>ITS462986</v>
          </cell>
          <cell r="AB983" t="str">
            <v>Independent school standard inspection - first</v>
          </cell>
          <cell r="AC983" t="str">
            <v>Independent Standard Inspection</v>
          </cell>
          <cell r="AD983">
            <v>42130</v>
          </cell>
          <cell r="AE983">
            <v>42131</v>
          </cell>
          <cell r="AF983">
            <v>42160</v>
          </cell>
          <cell r="AG983">
            <v>2</v>
          </cell>
          <cell r="AH983">
            <v>2</v>
          </cell>
          <cell r="AI983">
            <v>2</v>
          </cell>
          <cell r="AJ983">
            <v>2</v>
          </cell>
          <cell r="AK983" t="str">
            <v>NULL</v>
          </cell>
          <cell r="AL983">
            <v>9</v>
          </cell>
          <cell r="AM983">
            <v>9</v>
          </cell>
          <cell r="AN983" t="str">
            <v>NULL</v>
          </cell>
          <cell r="AO983" t="str">
            <v>NULL</v>
          </cell>
          <cell r="AP983" t="str">
            <v>NULL</v>
          </cell>
          <cell r="AQ983" t="str">
            <v>NULL</v>
          </cell>
          <cell r="AR983" t="str">
            <v>NULL</v>
          </cell>
          <cell r="AS983" t="str">
            <v>NULL</v>
          </cell>
          <cell r="AT983" t="str">
            <v>NULL</v>
          </cell>
          <cell r="AU983" t="str">
            <v>NULL</v>
          </cell>
          <cell r="AV983" t="str">
            <v>NULL</v>
          </cell>
          <cell r="AW983" t="str">
            <v>NULL</v>
          </cell>
          <cell r="AX983" t="str">
            <v>NULL</v>
          </cell>
          <cell r="AY983" t="str">
            <v>NULL</v>
          </cell>
          <cell r="AZ983" t="str">
            <v>NULL</v>
          </cell>
          <cell r="BA983" t="str">
            <v>NULL</v>
          </cell>
          <cell r="BB983" t="str">
            <v>NULL</v>
          </cell>
        </row>
        <row r="984">
          <cell r="D984">
            <v>140330</v>
          </cell>
          <cell r="E984">
            <v>8616011</v>
          </cell>
          <cell r="F984" t="str">
            <v>Kinetic Academy</v>
          </cell>
          <cell r="G984" t="str">
            <v>Other Independent School</v>
          </cell>
          <cell r="H984">
            <v>41584</v>
          </cell>
          <cell r="I984">
            <v>11</v>
          </cell>
          <cell r="J984" t="str">
            <v>West Midlands</v>
          </cell>
          <cell r="K984" t="str">
            <v>West Midlands</v>
          </cell>
          <cell r="L984" t="str">
            <v>Stoke-on-Trent</v>
          </cell>
          <cell r="M984" t="str">
            <v>Stoke-on-Trent South</v>
          </cell>
          <cell r="N984" t="str">
            <v>ST3 7DJ</v>
          </cell>
          <cell r="O984" t="str">
            <v>Does not have a sixth form</v>
          </cell>
          <cell r="P984">
            <v>11</v>
          </cell>
          <cell r="Q984">
            <v>16</v>
          </cell>
          <cell r="R984" t="str">
            <v>None</v>
          </cell>
          <cell r="S984" t="str">
            <v>Ofsted</v>
          </cell>
          <cell r="T984" t="str">
            <v>NULL</v>
          </cell>
          <cell r="U984" t="str">
            <v>NULL</v>
          </cell>
          <cell r="V984" t="str">
            <v>NULL</v>
          </cell>
          <cell r="W984" t="str">
            <v>NULL</v>
          </cell>
          <cell r="X984" t="str">
            <v>NULL</v>
          </cell>
          <cell r="Y984" t="str">
            <v>NULL</v>
          </cell>
          <cell r="Z984" t="str">
            <v>NULL</v>
          </cell>
          <cell r="AA984">
            <v>10038847</v>
          </cell>
          <cell r="AB984" t="str">
            <v>Independent School standard inspection</v>
          </cell>
          <cell r="AC984" t="str">
            <v>Independent Standard Inspection</v>
          </cell>
          <cell r="AD984">
            <v>43039</v>
          </cell>
          <cell r="AE984">
            <v>43041</v>
          </cell>
          <cell r="AF984">
            <v>43059</v>
          </cell>
          <cell r="AG984">
            <v>2</v>
          </cell>
          <cell r="AH984">
            <v>2</v>
          </cell>
          <cell r="AI984">
            <v>2</v>
          </cell>
          <cell r="AJ984">
            <v>1</v>
          </cell>
          <cell r="AK984">
            <v>2</v>
          </cell>
          <cell r="AL984" t="str">
            <v>NULL</v>
          </cell>
          <cell r="AM984" t="str">
            <v>NULL</v>
          </cell>
          <cell r="AN984" t="str">
            <v>Yes</v>
          </cell>
          <cell r="AO984" t="str">
            <v>ITS447298</v>
          </cell>
          <cell r="AP984" t="str">
            <v>Independent school standard inspection - first</v>
          </cell>
          <cell r="AQ984" t="str">
            <v>Independent Standard Inspection</v>
          </cell>
          <cell r="AR984">
            <v>41926</v>
          </cell>
          <cell r="AS984">
            <v>41928</v>
          </cell>
          <cell r="AT984">
            <v>41953</v>
          </cell>
          <cell r="AU984">
            <v>2</v>
          </cell>
          <cell r="AV984">
            <v>2</v>
          </cell>
          <cell r="AW984">
            <v>2</v>
          </cell>
          <cell r="AX984">
            <v>1</v>
          </cell>
          <cell r="AY984" t="str">
            <v>NULL</v>
          </cell>
          <cell r="AZ984">
            <v>9</v>
          </cell>
          <cell r="BA984">
            <v>9</v>
          </cell>
          <cell r="BB984" t="str">
            <v>NULL</v>
          </cell>
        </row>
        <row r="985">
          <cell r="D985">
            <v>134905</v>
          </cell>
          <cell r="E985">
            <v>8566019</v>
          </cell>
          <cell r="F985" t="str">
            <v>Leicester International School</v>
          </cell>
          <cell r="G985" t="str">
            <v>Other Independent School</v>
          </cell>
          <cell r="H985">
            <v>38373</v>
          </cell>
          <cell r="I985">
            <v>154</v>
          </cell>
          <cell r="J985" t="str">
            <v>East Midlands</v>
          </cell>
          <cell r="K985" t="str">
            <v>East Midlands</v>
          </cell>
          <cell r="L985" t="str">
            <v>Leicester</v>
          </cell>
          <cell r="M985" t="str">
            <v>Leicester South</v>
          </cell>
          <cell r="N985" t="str">
            <v>LE2 0AA</v>
          </cell>
          <cell r="O985" t="str">
            <v>Does not have a sixth form</v>
          </cell>
          <cell r="P985">
            <v>5</v>
          </cell>
          <cell r="Q985">
            <v>14</v>
          </cell>
          <cell r="R985" t="str">
            <v>None</v>
          </cell>
          <cell r="S985" t="str">
            <v>Ofsted</v>
          </cell>
          <cell r="T985">
            <v>1</v>
          </cell>
          <cell r="U985">
            <v>10045000</v>
          </cell>
          <cell r="V985" t="str">
            <v>Independent school evaluation of school action plan</v>
          </cell>
          <cell r="W985">
            <v>43090</v>
          </cell>
          <cell r="X985">
            <v>43090</v>
          </cell>
          <cell r="Y985" t="str">
            <v>NULL</v>
          </cell>
          <cell r="Z985" t="str">
            <v>Action plan is not acceptable</v>
          </cell>
          <cell r="AA985">
            <v>10020836</v>
          </cell>
          <cell r="AB985" t="str">
            <v>Independent School standard inspection</v>
          </cell>
          <cell r="AC985" t="str">
            <v>Independent Standard Inspection</v>
          </cell>
          <cell r="AD985">
            <v>42920</v>
          </cell>
          <cell r="AE985">
            <v>42922</v>
          </cell>
          <cell r="AF985">
            <v>42998</v>
          </cell>
          <cell r="AG985">
            <v>4</v>
          </cell>
          <cell r="AH985">
            <v>3</v>
          </cell>
          <cell r="AI985">
            <v>3</v>
          </cell>
          <cell r="AJ985">
            <v>4</v>
          </cell>
          <cell r="AK985">
            <v>4</v>
          </cell>
          <cell r="AL985" t="str">
            <v>NULL</v>
          </cell>
          <cell r="AM985" t="str">
            <v>NULL</v>
          </cell>
          <cell r="AN985" t="str">
            <v>No</v>
          </cell>
          <cell r="AO985" t="str">
            <v>ITS332466</v>
          </cell>
          <cell r="AP985" t="str">
            <v>Independent School standard inspection</v>
          </cell>
          <cell r="AQ985" t="str">
            <v>Independent Standard Inspection</v>
          </cell>
          <cell r="AR985">
            <v>39869</v>
          </cell>
          <cell r="AS985">
            <v>39870</v>
          </cell>
          <cell r="AT985">
            <v>39892</v>
          </cell>
          <cell r="AU985">
            <v>3</v>
          </cell>
          <cell r="AV985">
            <v>3</v>
          </cell>
          <cell r="AW985">
            <v>3</v>
          </cell>
          <cell r="AX985" t="str">
            <v>NULL</v>
          </cell>
          <cell r="AY985" t="str">
            <v>NULL</v>
          </cell>
          <cell r="AZ985">
            <v>3</v>
          </cell>
          <cell r="BA985" t="str">
            <v>NULL</v>
          </cell>
          <cell r="BB985" t="str">
            <v>NULL</v>
          </cell>
        </row>
        <row r="986">
          <cell r="D986">
            <v>120335</v>
          </cell>
          <cell r="E986">
            <v>8566007</v>
          </cell>
          <cell r="F986" t="str">
            <v>Leicester Islamic Academy</v>
          </cell>
          <cell r="G986" t="str">
            <v>Other Independent School</v>
          </cell>
          <cell r="H986">
            <v>30223</v>
          </cell>
          <cell r="I986">
            <v>289</v>
          </cell>
          <cell r="J986" t="str">
            <v>East Midlands</v>
          </cell>
          <cell r="K986" t="str">
            <v>East Midlands</v>
          </cell>
          <cell r="L986" t="str">
            <v>Leicester</v>
          </cell>
          <cell r="M986" t="str">
            <v>Leicester South</v>
          </cell>
          <cell r="N986" t="str">
            <v>LE2 2PJ</v>
          </cell>
          <cell r="O986" t="str">
            <v>Does not have a sixth form</v>
          </cell>
          <cell r="P986">
            <v>3</v>
          </cell>
          <cell r="Q986">
            <v>11</v>
          </cell>
          <cell r="R986" t="str">
            <v>Islam</v>
          </cell>
          <cell r="S986" t="str">
            <v>Ofsted</v>
          </cell>
          <cell r="T986" t="str">
            <v>NULL</v>
          </cell>
          <cell r="U986" t="str">
            <v>NULL</v>
          </cell>
          <cell r="V986" t="str">
            <v>NULL</v>
          </cell>
          <cell r="W986" t="str">
            <v>NULL</v>
          </cell>
          <cell r="X986" t="str">
            <v>NULL</v>
          </cell>
          <cell r="Y986" t="str">
            <v>NULL</v>
          </cell>
          <cell r="Z986" t="str">
            <v>NULL</v>
          </cell>
          <cell r="AA986">
            <v>10039180</v>
          </cell>
          <cell r="AB986" t="str">
            <v>Independent School standard inspection</v>
          </cell>
          <cell r="AC986" t="str">
            <v>Independent Standard Inspection</v>
          </cell>
          <cell r="AD986">
            <v>43060</v>
          </cell>
          <cell r="AE986">
            <v>43062</v>
          </cell>
          <cell r="AF986">
            <v>43081</v>
          </cell>
          <cell r="AG986">
            <v>2</v>
          </cell>
          <cell r="AH986">
            <v>2</v>
          </cell>
          <cell r="AI986">
            <v>2</v>
          </cell>
          <cell r="AJ986">
            <v>2</v>
          </cell>
          <cell r="AK986">
            <v>2</v>
          </cell>
          <cell r="AL986">
            <v>2</v>
          </cell>
          <cell r="AM986" t="str">
            <v>NULL</v>
          </cell>
          <cell r="AN986" t="str">
            <v>Yes</v>
          </cell>
          <cell r="AO986">
            <v>10007693</v>
          </cell>
          <cell r="AP986" t="str">
            <v>Independent School standard inspection</v>
          </cell>
          <cell r="AQ986" t="str">
            <v>Independent Standard Inspection</v>
          </cell>
          <cell r="AR986">
            <v>42284</v>
          </cell>
          <cell r="AS986">
            <v>42286</v>
          </cell>
          <cell r="AT986">
            <v>42327</v>
          </cell>
          <cell r="AU986">
            <v>4</v>
          </cell>
          <cell r="AV986">
            <v>3</v>
          </cell>
          <cell r="AW986">
            <v>3</v>
          </cell>
          <cell r="AX986">
            <v>4</v>
          </cell>
          <cell r="AY986">
            <v>4</v>
          </cell>
          <cell r="AZ986">
            <v>4</v>
          </cell>
          <cell r="BA986" t="str">
            <v>NULL</v>
          </cell>
          <cell r="BB986" t="str">
            <v>No</v>
          </cell>
        </row>
        <row r="987">
          <cell r="D987">
            <v>120329</v>
          </cell>
          <cell r="E987">
            <v>8566003</v>
          </cell>
          <cell r="F987" t="str">
            <v>Leicester Preparatory School</v>
          </cell>
          <cell r="G987" t="str">
            <v>Other Independent School</v>
          </cell>
          <cell r="H987">
            <v>21157</v>
          </cell>
          <cell r="I987">
            <v>80</v>
          </cell>
          <cell r="J987" t="str">
            <v>East Midlands</v>
          </cell>
          <cell r="K987" t="str">
            <v>East Midlands</v>
          </cell>
          <cell r="L987" t="str">
            <v>Leicester</v>
          </cell>
          <cell r="M987" t="str">
            <v>Leicester South</v>
          </cell>
          <cell r="N987" t="str">
            <v>LE2 2AA</v>
          </cell>
          <cell r="O987" t="str">
            <v>Does not have a sixth form</v>
          </cell>
          <cell r="P987">
            <v>3</v>
          </cell>
          <cell r="Q987">
            <v>11</v>
          </cell>
          <cell r="R987" t="str">
            <v>None</v>
          </cell>
          <cell r="S987" t="str">
            <v>Ofsted</v>
          </cell>
          <cell r="T987" t="str">
            <v>NULL</v>
          </cell>
          <cell r="U987" t="str">
            <v>NULL</v>
          </cell>
          <cell r="V987" t="str">
            <v>NULL</v>
          </cell>
          <cell r="W987" t="str">
            <v>NULL</v>
          </cell>
          <cell r="X987" t="str">
            <v>NULL</v>
          </cell>
          <cell r="Y987" t="str">
            <v>NULL</v>
          </cell>
          <cell r="Z987" t="str">
            <v>NULL</v>
          </cell>
          <cell r="AA987" t="str">
            <v>ITS462912</v>
          </cell>
          <cell r="AB987" t="str">
            <v>Independent School standard inspection</v>
          </cell>
          <cell r="AC987" t="str">
            <v>Independent Standard Inspection</v>
          </cell>
          <cell r="AD987">
            <v>42123</v>
          </cell>
          <cell r="AE987">
            <v>42125</v>
          </cell>
          <cell r="AF987">
            <v>42158</v>
          </cell>
          <cell r="AG987">
            <v>2</v>
          </cell>
          <cell r="AH987">
            <v>2</v>
          </cell>
          <cell r="AI987">
            <v>2</v>
          </cell>
          <cell r="AJ987">
            <v>2</v>
          </cell>
          <cell r="AK987" t="str">
            <v>NULL</v>
          </cell>
          <cell r="AL987">
            <v>1</v>
          </cell>
          <cell r="AM987">
            <v>9</v>
          </cell>
          <cell r="AN987" t="str">
            <v>NULL</v>
          </cell>
          <cell r="AO987" t="str">
            <v>ITS393333</v>
          </cell>
          <cell r="AP987" t="str">
            <v>Independent School standard inspection</v>
          </cell>
          <cell r="AQ987" t="str">
            <v>Independent Standard Inspection</v>
          </cell>
          <cell r="AR987">
            <v>40988</v>
          </cell>
          <cell r="AS987">
            <v>40989</v>
          </cell>
          <cell r="AT987">
            <v>41031</v>
          </cell>
          <cell r="AU987">
            <v>2</v>
          </cell>
          <cell r="AV987">
            <v>2</v>
          </cell>
          <cell r="AW987">
            <v>2</v>
          </cell>
          <cell r="AX987" t="str">
            <v>NULL</v>
          </cell>
          <cell r="AY987" t="str">
            <v>NULL</v>
          </cell>
          <cell r="AZ987">
            <v>8</v>
          </cell>
          <cell r="BA987" t="str">
            <v>NULL</v>
          </cell>
          <cell r="BB987" t="str">
            <v>NULL</v>
          </cell>
        </row>
        <row r="988">
          <cell r="D988">
            <v>101087</v>
          </cell>
          <cell r="E988">
            <v>2126391</v>
          </cell>
          <cell r="F988" t="str">
            <v>Lion House School</v>
          </cell>
          <cell r="G988" t="str">
            <v>Other Independent School</v>
          </cell>
          <cell r="H988">
            <v>33983</v>
          </cell>
          <cell r="I988">
            <v>88</v>
          </cell>
          <cell r="J988" t="str">
            <v>London</v>
          </cell>
          <cell r="K988" t="str">
            <v>London</v>
          </cell>
          <cell r="L988" t="str">
            <v>Wandsworth</v>
          </cell>
          <cell r="M988" t="str">
            <v>Putney</v>
          </cell>
          <cell r="N988" t="str">
            <v>SW15 6EH</v>
          </cell>
          <cell r="O988" t="str">
            <v>Does not have a sixth form</v>
          </cell>
          <cell r="P988">
            <v>5</v>
          </cell>
          <cell r="Q988">
            <v>7</v>
          </cell>
          <cell r="R988" t="str">
            <v>None</v>
          </cell>
          <cell r="S988" t="str">
            <v>Ofsted</v>
          </cell>
          <cell r="T988" t="str">
            <v>NULL</v>
          </cell>
          <cell r="U988" t="str">
            <v>NULL</v>
          </cell>
          <cell r="V988" t="str">
            <v>NULL</v>
          </cell>
          <cell r="W988" t="str">
            <v>NULL</v>
          </cell>
          <cell r="X988" t="str">
            <v>NULL</v>
          </cell>
          <cell r="Y988" t="str">
            <v>NULL</v>
          </cell>
          <cell r="Z988" t="str">
            <v>NULL</v>
          </cell>
          <cell r="AA988" t="str">
            <v>ITS443488</v>
          </cell>
          <cell r="AB988" t="str">
            <v>Independent School standard inspection</v>
          </cell>
          <cell r="AC988" t="str">
            <v>Independent Standard Inspection</v>
          </cell>
          <cell r="AD988">
            <v>41779</v>
          </cell>
          <cell r="AE988">
            <v>41781</v>
          </cell>
          <cell r="AF988">
            <v>41801</v>
          </cell>
          <cell r="AG988">
            <v>1</v>
          </cell>
          <cell r="AH988">
            <v>1</v>
          </cell>
          <cell r="AI988">
            <v>1</v>
          </cell>
          <cell r="AJ988">
            <v>1</v>
          </cell>
          <cell r="AK988" t="str">
            <v>NULL</v>
          </cell>
          <cell r="AL988" t="str">
            <v>NULL</v>
          </cell>
          <cell r="AM988" t="str">
            <v>NULL</v>
          </cell>
          <cell r="AN988" t="str">
            <v>NULL</v>
          </cell>
          <cell r="AO988" t="str">
            <v>ITS322031</v>
          </cell>
          <cell r="AP988" t="str">
            <v>S162a - LTI Pilot Historic</v>
          </cell>
          <cell r="AQ988" t="str">
            <v>Independent Standard Inspection</v>
          </cell>
          <cell r="AR988">
            <v>39559</v>
          </cell>
          <cell r="AS988">
            <v>39559</v>
          </cell>
          <cell r="AT988">
            <v>39582</v>
          </cell>
          <cell r="AU988">
            <v>1</v>
          </cell>
          <cell r="AV988">
            <v>1</v>
          </cell>
          <cell r="AW988">
            <v>2</v>
          </cell>
          <cell r="AX988" t="str">
            <v>NULL</v>
          </cell>
          <cell r="AY988" t="str">
            <v>NULL</v>
          </cell>
          <cell r="AZ988" t="str">
            <v>NULL</v>
          </cell>
          <cell r="BA988" t="str">
            <v>NULL</v>
          </cell>
          <cell r="BB988" t="str">
            <v>NULL</v>
          </cell>
        </row>
        <row r="989">
          <cell r="D989">
            <v>105598</v>
          </cell>
          <cell r="E989">
            <v>3526041</v>
          </cell>
          <cell r="F989" t="str">
            <v>Manchester Muslim Preparatory School</v>
          </cell>
          <cell r="G989" t="str">
            <v>Other Independent School</v>
          </cell>
          <cell r="H989">
            <v>34277</v>
          </cell>
          <cell r="I989">
            <v>165</v>
          </cell>
          <cell r="J989" t="str">
            <v>North West</v>
          </cell>
          <cell r="K989" t="str">
            <v>North West</v>
          </cell>
          <cell r="L989" t="str">
            <v>Manchester</v>
          </cell>
          <cell r="M989" t="str">
            <v>Manchester, Withington</v>
          </cell>
          <cell r="N989" t="str">
            <v>M20 4BA</v>
          </cell>
          <cell r="O989" t="str">
            <v>Does not have a sixth form</v>
          </cell>
          <cell r="P989">
            <v>3</v>
          </cell>
          <cell r="Q989">
            <v>11</v>
          </cell>
          <cell r="R989" t="str">
            <v>Islam</v>
          </cell>
          <cell r="S989" t="str">
            <v>Ofsted</v>
          </cell>
          <cell r="T989" t="str">
            <v>NULL</v>
          </cell>
          <cell r="U989" t="str">
            <v>NULL</v>
          </cell>
          <cell r="V989" t="str">
            <v>NULL</v>
          </cell>
          <cell r="W989" t="str">
            <v>NULL</v>
          </cell>
          <cell r="X989" t="str">
            <v>NULL</v>
          </cell>
          <cell r="Y989" t="str">
            <v>NULL</v>
          </cell>
          <cell r="Z989" t="str">
            <v>NULL</v>
          </cell>
          <cell r="AA989">
            <v>10043368</v>
          </cell>
          <cell r="AB989" t="str">
            <v>Independent School standard inspection</v>
          </cell>
          <cell r="AC989" t="str">
            <v>Independent Standard Inspection</v>
          </cell>
          <cell r="AD989">
            <v>43137</v>
          </cell>
          <cell r="AE989">
            <v>43139</v>
          </cell>
          <cell r="AF989">
            <v>43172</v>
          </cell>
          <cell r="AG989">
            <v>2</v>
          </cell>
          <cell r="AH989">
            <v>2</v>
          </cell>
          <cell r="AI989">
            <v>2</v>
          </cell>
          <cell r="AJ989">
            <v>2</v>
          </cell>
          <cell r="AK989">
            <v>1</v>
          </cell>
          <cell r="AL989">
            <v>2</v>
          </cell>
          <cell r="AM989" t="str">
            <v>NULL</v>
          </cell>
          <cell r="AN989" t="str">
            <v>Yes</v>
          </cell>
          <cell r="AO989">
            <v>10007691</v>
          </cell>
          <cell r="AP989" t="str">
            <v>Independent School standard inspection</v>
          </cell>
          <cell r="AQ989" t="str">
            <v>Independent Standard Inspection</v>
          </cell>
          <cell r="AR989">
            <v>42290</v>
          </cell>
          <cell r="AS989">
            <v>42292</v>
          </cell>
          <cell r="AT989">
            <v>42328</v>
          </cell>
          <cell r="AU989">
            <v>2</v>
          </cell>
          <cell r="AV989">
            <v>2</v>
          </cell>
          <cell r="AW989">
            <v>2</v>
          </cell>
          <cell r="AX989">
            <v>2</v>
          </cell>
          <cell r="AY989">
            <v>2</v>
          </cell>
          <cell r="AZ989">
            <v>2</v>
          </cell>
          <cell r="BA989" t="str">
            <v>NULL</v>
          </cell>
          <cell r="BB989" t="str">
            <v>Yes</v>
          </cell>
        </row>
        <row r="990">
          <cell r="D990">
            <v>141968</v>
          </cell>
          <cell r="E990">
            <v>3556002</v>
          </cell>
          <cell r="F990" t="str">
            <v>Manchester Senior Girls School</v>
          </cell>
          <cell r="G990" t="str">
            <v>Other Independent School</v>
          </cell>
          <cell r="H990">
            <v>42108</v>
          </cell>
          <cell r="I990">
            <v>108</v>
          </cell>
          <cell r="J990" t="str">
            <v>North West</v>
          </cell>
          <cell r="K990" t="str">
            <v>North West</v>
          </cell>
          <cell r="L990" t="str">
            <v>Salford</v>
          </cell>
          <cell r="M990" t="str">
            <v>Blackley and Broughton</v>
          </cell>
          <cell r="N990" t="str">
            <v>M7 4GB</v>
          </cell>
          <cell r="O990" t="str">
            <v>Does not have a sixth form</v>
          </cell>
          <cell r="P990">
            <v>11</v>
          </cell>
          <cell r="Q990">
            <v>16</v>
          </cell>
          <cell r="R990" t="str">
            <v>None</v>
          </cell>
          <cell r="S990" t="str">
            <v>Ofsted</v>
          </cell>
          <cell r="T990" t="str">
            <v>NULL</v>
          </cell>
          <cell r="U990" t="str">
            <v>NULL</v>
          </cell>
          <cell r="V990" t="str">
            <v>NULL</v>
          </cell>
          <cell r="W990" t="str">
            <v>NULL</v>
          </cell>
          <cell r="X990" t="str">
            <v>NULL</v>
          </cell>
          <cell r="Y990" t="str">
            <v>NULL</v>
          </cell>
          <cell r="Z990" t="str">
            <v>NULL</v>
          </cell>
          <cell r="AA990">
            <v>10008628</v>
          </cell>
          <cell r="AB990" t="str">
            <v>Independent school standard inspection - first</v>
          </cell>
          <cell r="AC990" t="str">
            <v>Independent Standard Inspection</v>
          </cell>
          <cell r="AD990">
            <v>42556</v>
          </cell>
          <cell r="AE990">
            <v>42558</v>
          </cell>
          <cell r="AF990">
            <v>42627</v>
          </cell>
          <cell r="AG990">
            <v>2</v>
          </cell>
          <cell r="AH990">
            <v>2</v>
          </cell>
          <cell r="AI990">
            <v>2</v>
          </cell>
          <cell r="AJ990">
            <v>2</v>
          </cell>
          <cell r="AK990">
            <v>1</v>
          </cell>
          <cell r="AL990" t="str">
            <v>NULL</v>
          </cell>
          <cell r="AM990" t="str">
            <v>NULL</v>
          </cell>
          <cell r="AN990" t="str">
            <v>Yes</v>
          </cell>
          <cell r="AO990" t="str">
            <v>NULL</v>
          </cell>
          <cell r="AP990" t="str">
            <v>NULL</v>
          </cell>
          <cell r="AQ990" t="str">
            <v>NULL</v>
          </cell>
          <cell r="AR990" t="str">
            <v>NULL</v>
          </cell>
          <cell r="AS990" t="str">
            <v>NULL</v>
          </cell>
          <cell r="AT990" t="str">
            <v>NULL</v>
          </cell>
          <cell r="AU990" t="str">
            <v>NULL</v>
          </cell>
          <cell r="AV990" t="str">
            <v>NULL</v>
          </cell>
          <cell r="AW990" t="str">
            <v>NULL</v>
          </cell>
          <cell r="AX990" t="str">
            <v>NULL</v>
          </cell>
          <cell r="AY990" t="str">
            <v>NULL</v>
          </cell>
          <cell r="AZ990" t="str">
            <v>NULL</v>
          </cell>
          <cell r="BA990" t="str">
            <v>NULL</v>
          </cell>
          <cell r="BB990" t="str">
            <v>NULL</v>
          </cell>
        </row>
        <row r="991">
          <cell r="D991">
            <v>135948</v>
          </cell>
          <cell r="E991">
            <v>3526067</v>
          </cell>
          <cell r="F991" t="str">
            <v>Manchester Settlement</v>
          </cell>
          <cell r="G991" t="str">
            <v>Other Independent School</v>
          </cell>
          <cell r="H991">
            <v>40037</v>
          </cell>
          <cell r="I991">
            <v>24</v>
          </cell>
          <cell r="J991" t="str">
            <v>North West</v>
          </cell>
          <cell r="K991" t="str">
            <v>North West</v>
          </cell>
          <cell r="L991" t="str">
            <v>Manchester</v>
          </cell>
          <cell r="M991" t="str">
            <v>Manchester Central</v>
          </cell>
          <cell r="N991" t="str">
            <v>M11 1JG</v>
          </cell>
          <cell r="O991" t="str">
            <v>Does not have a sixth form</v>
          </cell>
          <cell r="P991">
            <v>13</v>
          </cell>
          <cell r="Q991">
            <v>16</v>
          </cell>
          <cell r="R991" t="str">
            <v>None</v>
          </cell>
          <cell r="S991" t="str">
            <v>Ofsted</v>
          </cell>
          <cell r="T991" t="str">
            <v>NULL</v>
          </cell>
          <cell r="U991" t="str">
            <v>NULL</v>
          </cell>
          <cell r="V991" t="str">
            <v>NULL</v>
          </cell>
          <cell r="W991" t="str">
            <v>NULL</v>
          </cell>
          <cell r="X991" t="str">
            <v>NULL</v>
          </cell>
          <cell r="Y991" t="str">
            <v>NULL</v>
          </cell>
          <cell r="Z991" t="str">
            <v>NULL</v>
          </cell>
          <cell r="AA991">
            <v>10020756</v>
          </cell>
          <cell r="AB991" t="str">
            <v>Independent School standard inspection</v>
          </cell>
          <cell r="AC991" t="str">
            <v>Independent Standard Inspection</v>
          </cell>
          <cell r="AD991">
            <v>42689</v>
          </cell>
          <cell r="AE991">
            <v>42691</v>
          </cell>
          <cell r="AF991">
            <v>42751</v>
          </cell>
          <cell r="AG991">
            <v>3</v>
          </cell>
          <cell r="AH991">
            <v>3</v>
          </cell>
          <cell r="AI991">
            <v>3</v>
          </cell>
          <cell r="AJ991">
            <v>3</v>
          </cell>
          <cell r="AK991">
            <v>3</v>
          </cell>
          <cell r="AL991" t="str">
            <v>NULL</v>
          </cell>
          <cell r="AM991" t="str">
            <v>NULL</v>
          </cell>
          <cell r="AN991" t="str">
            <v>Yes</v>
          </cell>
          <cell r="AO991" t="str">
            <v>ITS422810</v>
          </cell>
          <cell r="AP991" t="str">
            <v>Independent School standard inspection</v>
          </cell>
          <cell r="AQ991" t="str">
            <v>Independent Standard Inspection</v>
          </cell>
          <cell r="AR991">
            <v>41618</v>
          </cell>
          <cell r="AS991">
            <v>41620</v>
          </cell>
          <cell r="AT991">
            <v>41652</v>
          </cell>
          <cell r="AU991">
            <v>2</v>
          </cell>
          <cell r="AV991">
            <v>2</v>
          </cell>
          <cell r="AW991">
            <v>2</v>
          </cell>
          <cell r="AX991">
            <v>2</v>
          </cell>
          <cell r="AY991" t="str">
            <v>NULL</v>
          </cell>
          <cell r="AZ991" t="str">
            <v>NULL</v>
          </cell>
          <cell r="BA991" t="str">
            <v>NULL</v>
          </cell>
          <cell r="BB991" t="str">
            <v>NULL</v>
          </cell>
        </row>
        <row r="992">
          <cell r="D992">
            <v>110930</v>
          </cell>
          <cell r="E992">
            <v>8736017</v>
          </cell>
          <cell r="F992" t="str">
            <v>Markus Alexander Bernhardt</v>
          </cell>
          <cell r="G992" t="str">
            <v>Other Independent School</v>
          </cell>
          <cell r="H992">
            <v>32412</v>
          </cell>
          <cell r="I992">
            <v>216</v>
          </cell>
          <cell r="J992" t="str">
            <v>East of England</v>
          </cell>
          <cell r="K992" t="str">
            <v>East of England</v>
          </cell>
          <cell r="L992" t="str">
            <v>Cambridgeshire</v>
          </cell>
          <cell r="M992" t="str">
            <v>Cambridge</v>
          </cell>
          <cell r="N992" t="str">
            <v>CB2 1JE</v>
          </cell>
          <cell r="O992" t="str">
            <v>Has a sixth form</v>
          </cell>
          <cell r="P992">
            <v>14</v>
          </cell>
          <cell r="Q992">
            <v>20</v>
          </cell>
          <cell r="R992" t="str">
            <v>None</v>
          </cell>
          <cell r="S992" t="str">
            <v>Ofsted</v>
          </cell>
          <cell r="T992" t="str">
            <v>NULL</v>
          </cell>
          <cell r="U992" t="str">
            <v>NULL</v>
          </cell>
          <cell r="V992" t="str">
            <v>NULL</v>
          </cell>
          <cell r="W992" t="str">
            <v>NULL</v>
          </cell>
          <cell r="X992" t="str">
            <v>NULL</v>
          </cell>
          <cell r="Y992" t="str">
            <v>NULL</v>
          </cell>
          <cell r="Z992" t="str">
            <v>NULL</v>
          </cell>
          <cell r="AA992">
            <v>10008885</v>
          </cell>
          <cell r="AB992" t="str">
            <v>Independent School standard inspection</v>
          </cell>
          <cell r="AC992" t="str">
            <v>Independent Standard Inspection</v>
          </cell>
          <cell r="AD992">
            <v>42682</v>
          </cell>
          <cell r="AE992">
            <v>42684</v>
          </cell>
          <cell r="AF992">
            <v>42726</v>
          </cell>
          <cell r="AG992">
            <v>1</v>
          </cell>
          <cell r="AH992">
            <v>1</v>
          </cell>
          <cell r="AI992">
            <v>1</v>
          </cell>
          <cell r="AJ992">
            <v>1</v>
          </cell>
          <cell r="AK992">
            <v>1</v>
          </cell>
          <cell r="AL992" t="str">
            <v>NULL</v>
          </cell>
          <cell r="AM992">
            <v>1</v>
          </cell>
          <cell r="AN992" t="str">
            <v>Yes</v>
          </cell>
          <cell r="AO992" t="str">
            <v>ITS334301</v>
          </cell>
          <cell r="AP992" t="str">
            <v xml:space="preserve">Independent School standard inspection - integrated </v>
          </cell>
          <cell r="AQ992" t="str">
            <v>Independent Standard Inspection</v>
          </cell>
          <cell r="AR992">
            <v>40155</v>
          </cell>
          <cell r="AS992">
            <v>40156</v>
          </cell>
          <cell r="AT992">
            <v>40190</v>
          </cell>
          <cell r="AU992">
            <v>1</v>
          </cell>
          <cell r="AV992">
            <v>1</v>
          </cell>
          <cell r="AW992">
            <v>1</v>
          </cell>
          <cell r="AX992" t="str">
            <v>NULL</v>
          </cell>
          <cell r="AY992" t="str">
            <v>NULL</v>
          </cell>
          <cell r="AZ992">
            <v>8</v>
          </cell>
          <cell r="BA992" t="str">
            <v>NULL</v>
          </cell>
          <cell r="BB992" t="str">
            <v>NULL</v>
          </cell>
        </row>
        <row r="993">
          <cell r="D993">
            <v>135819</v>
          </cell>
          <cell r="E993">
            <v>8696016</v>
          </cell>
          <cell r="F993" t="str">
            <v>Newbury Hall School</v>
          </cell>
          <cell r="G993" t="str">
            <v>Other Independent School</v>
          </cell>
          <cell r="H993">
            <v>39898</v>
          </cell>
          <cell r="I993">
            <v>13</v>
          </cell>
          <cell r="J993" t="str">
            <v>South East</v>
          </cell>
          <cell r="K993" t="str">
            <v>South East</v>
          </cell>
          <cell r="L993" t="str">
            <v>West Berkshire</v>
          </cell>
          <cell r="M993" t="str">
            <v>Newbury</v>
          </cell>
          <cell r="N993" t="str">
            <v>RG14 6AD</v>
          </cell>
          <cell r="O993" t="str">
            <v>Has a sixth form</v>
          </cell>
          <cell r="P993">
            <v>13</v>
          </cell>
          <cell r="Q993">
            <v>18</v>
          </cell>
          <cell r="R993" t="str">
            <v>None</v>
          </cell>
          <cell r="S993" t="str">
            <v>Ofsted</v>
          </cell>
          <cell r="T993">
            <v>4</v>
          </cell>
          <cell r="U993">
            <v>10044097</v>
          </cell>
          <cell r="V993" t="str">
            <v xml:space="preserve">Independent school progress monitoring inspection - Integrated </v>
          </cell>
          <cell r="W993">
            <v>43075</v>
          </cell>
          <cell r="X993">
            <v>43075</v>
          </cell>
          <cell r="Y993">
            <v>43108</v>
          </cell>
          <cell r="Z993" t="str">
            <v>Did not meet all standards that were checked</v>
          </cell>
          <cell r="AA993">
            <v>10012909</v>
          </cell>
          <cell r="AB993" t="str">
            <v xml:space="preserve">Independent School standard inspection - integrated </v>
          </cell>
          <cell r="AC993" t="str">
            <v>Independent Standard Inspection</v>
          </cell>
          <cell r="AD993">
            <v>42507</v>
          </cell>
          <cell r="AE993">
            <v>42509</v>
          </cell>
          <cell r="AF993">
            <v>42549</v>
          </cell>
          <cell r="AG993">
            <v>4</v>
          </cell>
          <cell r="AH993">
            <v>3</v>
          </cell>
          <cell r="AI993">
            <v>3</v>
          </cell>
          <cell r="AJ993">
            <v>4</v>
          </cell>
          <cell r="AK993">
            <v>4</v>
          </cell>
          <cell r="AL993" t="str">
            <v>NULL</v>
          </cell>
          <cell r="AM993">
            <v>4</v>
          </cell>
          <cell r="AN993" t="str">
            <v>No</v>
          </cell>
          <cell r="AO993" t="str">
            <v>ITS420230</v>
          </cell>
          <cell r="AP993" t="str">
            <v>Independent School standard inspection</v>
          </cell>
          <cell r="AQ993" t="str">
            <v>Independent Standard Inspection</v>
          </cell>
          <cell r="AR993">
            <v>41408</v>
          </cell>
          <cell r="AS993">
            <v>41410</v>
          </cell>
          <cell r="AT993">
            <v>41432</v>
          </cell>
          <cell r="AU993">
            <v>4</v>
          </cell>
          <cell r="AV993">
            <v>3</v>
          </cell>
          <cell r="AW993">
            <v>3</v>
          </cell>
          <cell r="AX993">
            <v>4</v>
          </cell>
          <cell r="AY993" t="str">
            <v>NULL</v>
          </cell>
          <cell r="AZ993" t="str">
            <v>NULL</v>
          </cell>
          <cell r="BA993" t="str">
            <v>NULL</v>
          </cell>
          <cell r="BB993" t="str">
            <v>NULL</v>
          </cell>
        </row>
        <row r="994">
          <cell r="D994">
            <v>142069</v>
          </cell>
          <cell r="E994">
            <v>8256044</v>
          </cell>
          <cell r="F994" t="str">
            <v>The Chalfonts Independent Grammar</v>
          </cell>
          <cell r="G994" t="str">
            <v>Other Independent School</v>
          </cell>
          <cell r="H994">
            <v>42130</v>
          </cell>
          <cell r="I994">
            <v>32</v>
          </cell>
          <cell r="J994" t="str">
            <v>South East</v>
          </cell>
          <cell r="K994" t="str">
            <v>South East</v>
          </cell>
          <cell r="L994" t="str">
            <v>Buckinghamshire</v>
          </cell>
          <cell r="M994" t="str">
            <v>Chesham and Amersham</v>
          </cell>
          <cell r="N994" t="str">
            <v>HP8 4AD</v>
          </cell>
          <cell r="O994" t="str">
            <v>Has a sixth form</v>
          </cell>
          <cell r="P994">
            <v>11</v>
          </cell>
          <cell r="Q994">
            <v>18</v>
          </cell>
          <cell r="R994" t="str">
            <v>None</v>
          </cell>
          <cell r="S994" t="str">
            <v>Ofsted</v>
          </cell>
          <cell r="T994" t="str">
            <v>NULL</v>
          </cell>
          <cell r="U994" t="str">
            <v>NULL</v>
          </cell>
          <cell r="V994" t="str">
            <v>NULL</v>
          </cell>
          <cell r="W994" t="str">
            <v>NULL</v>
          </cell>
          <cell r="X994" t="str">
            <v>NULL</v>
          </cell>
          <cell r="Y994" t="str">
            <v>NULL</v>
          </cell>
          <cell r="Z994" t="str">
            <v>NULL</v>
          </cell>
          <cell r="AA994">
            <v>10010521</v>
          </cell>
          <cell r="AB994" t="str">
            <v>Independent school standard inspection - first</v>
          </cell>
          <cell r="AC994" t="str">
            <v>Independent Standard Inspection</v>
          </cell>
          <cell r="AD994">
            <v>42696</v>
          </cell>
          <cell r="AE994">
            <v>42698</v>
          </cell>
          <cell r="AF994">
            <v>42751</v>
          </cell>
          <cell r="AG994">
            <v>2</v>
          </cell>
          <cell r="AH994">
            <v>2</v>
          </cell>
          <cell r="AI994">
            <v>2</v>
          </cell>
          <cell r="AJ994">
            <v>2</v>
          </cell>
          <cell r="AK994">
            <v>2</v>
          </cell>
          <cell r="AL994" t="str">
            <v>NULL</v>
          </cell>
          <cell r="AM994" t="str">
            <v>NULL</v>
          </cell>
          <cell r="AN994" t="str">
            <v>Yes</v>
          </cell>
          <cell r="AO994" t="str">
            <v>NULL</v>
          </cell>
          <cell r="AP994" t="str">
            <v>NULL</v>
          </cell>
          <cell r="AQ994" t="str">
            <v>NULL</v>
          </cell>
          <cell r="AR994" t="str">
            <v>NULL</v>
          </cell>
          <cell r="AS994" t="str">
            <v>NULL</v>
          </cell>
          <cell r="AT994" t="str">
            <v>NULL</v>
          </cell>
          <cell r="AU994" t="str">
            <v>NULL</v>
          </cell>
          <cell r="AV994" t="str">
            <v>NULL</v>
          </cell>
          <cell r="AW994" t="str">
            <v>NULL</v>
          </cell>
          <cell r="AX994" t="str">
            <v>NULL</v>
          </cell>
          <cell r="AY994" t="str">
            <v>NULL</v>
          </cell>
          <cell r="AZ994" t="str">
            <v>NULL</v>
          </cell>
          <cell r="BA994" t="str">
            <v>NULL</v>
          </cell>
          <cell r="BB994" t="str">
            <v>NULL</v>
          </cell>
        </row>
        <row r="995">
          <cell r="D995">
            <v>140487</v>
          </cell>
          <cell r="E995">
            <v>8926017</v>
          </cell>
          <cell r="F995" t="str">
            <v>Nisai Learning Hub (Nottingham)</v>
          </cell>
          <cell r="G995" t="str">
            <v>Other Independent School</v>
          </cell>
          <cell r="H995">
            <v>41614</v>
          </cell>
          <cell r="I995">
            <v>20</v>
          </cell>
          <cell r="J995" t="str">
            <v>East Midlands</v>
          </cell>
          <cell r="K995" t="str">
            <v>East Midlands</v>
          </cell>
          <cell r="L995" t="str">
            <v>Nottingham</v>
          </cell>
          <cell r="M995" t="str">
            <v>Nottingham South</v>
          </cell>
          <cell r="N995" t="str">
            <v>NG1 1GD</v>
          </cell>
          <cell r="O995" t="str">
            <v>Has a sixth form</v>
          </cell>
          <cell r="P995">
            <v>12</v>
          </cell>
          <cell r="Q995">
            <v>19</v>
          </cell>
          <cell r="R995" t="str">
            <v>None</v>
          </cell>
          <cell r="S995" t="str">
            <v>Ofsted</v>
          </cell>
          <cell r="T995">
            <v>2</v>
          </cell>
          <cell r="U995">
            <v>10025845</v>
          </cell>
          <cell r="V995" t="str">
            <v>Independent school evaluation of school action plan</v>
          </cell>
          <cell r="W995">
            <v>42692</v>
          </cell>
          <cell r="X995">
            <v>42692</v>
          </cell>
          <cell r="Y995" t="str">
            <v>NULL</v>
          </cell>
          <cell r="Z995" t="str">
            <v>Action plan is acceptable</v>
          </cell>
          <cell r="AA995" t="str">
            <v>ITS447302</v>
          </cell>
          <cell r="AB995" t="str">
            <v>Independent school standard inspection - first</v>
          </cell>
          <cell r="AC995" t="str">
            <v>Independent Standard Inspection</v>
          </cell>
          <cell r="AD995">
            <v>41961</v>
          </cell>
          <cell r="AE995">
            <v>41963</v>
          </cell>
          <cell r="AF995">
            <v>41983</v>
          </cell>
          <cell r="AG995">
            <v>2</v>
          </cell>
          <cell r="AH995">
            <v>2</v>
          </cell>
          <cell r="AI995">
            <v>2</v>
          </cell>
          <cell r="AJ995">
            <v>2</v>
          </cell>
          <cell r="AK995" t="str">
            <v>NULL</v>
          </cell>
          <cell r="AL995">
            <v>9</v>
          </cell>
          <cell r="AM995">
            <v>2</v>
          </cell>
          <cell r="AN995" t="str">
            <v>NULL</v>
          </cell>
          <cell r="AO995" t="str">
            <v>NULL</v>
          </cell>
          <cell r="AP995" t="str">
            <v>NULL</v>
          </cell>
          <cell r="AQ995" t="str">
            <v>NULL</v>
          </cell>
          <cell r="AR995" t="str">
            <v>NULL</v>
          </cell>
          <cell r="AS995" t="str">
            <v>NULL</v>
          </cell>
          <cell r="AT995" t="str">
            <v>NULL</v>
          </cell>
          <cell r="AU995" t="str">
            <v>NULL</v>
          </cell>
          <cell r="AV995" t="str">
            <v>NULL</v>
          </cell>
          <cell r="AW995" t="str">
            <v>NULL</v>
          </cell>
          <cell r="AX995" t="str">
            <v>NULL</v>
          </cell>
          <cell r="AY995" t="str">
            <v>NULL</v>
          </cell>
          <cell r="AZ995" t="str">
            <v>NULL</v>
          </cell>
          <cell r="BA995" t="str">
            <v>NULL</v>
          </cell>
          <cell r="BB995" t="str">
            <v>NULL</v>
          </cell>
        </row>
        <row r="996">
          <cell r="D996">
            <v>133517</v>
          </cell>
          <cell r="E996">
            <v>3206061</v>
          </cell>
          <cell r="F996" t="str">
            <v>Noor Ul Islam Primary School</v>
          </cell>
          <cell r="G996" t="str">
            <v>Other Independent School</v>
          </cell>
          <cell r="H996">
            <v>37209</v>
          </cell>
          <cell r="I996">
            <v>166</v>
          </cell>
          <cell r="J996" t="str">
            <v>London</v>
          </cell>
          <cell r="K996" t="str">
            <v>London</v>
          </cell>
          <cell r="L996" t="str">
            <v>Waltham Forest</v>
          </cell>
          <cell r="M996" t="str">
            <v>Leyton and Wanstead</v>
          </cell>
          <cell r="N996" t="str">
            <v>E10 6QW</v>
          </cell>
          <cell r="O996" t="str">
            <v>Does not have a sixth form</v>
          </cell>
          <cell r="P996">
            <v>4</v>
          </cell>
          <cell r="Q996">
            <v>11</v>
          </cell>
          <cell r="R996" t="str">
            <v>Islam</v>
          </cell>
          <cell r="S996" t="str">
            <v>Ofsted</v>
          </cell>
          <cell r="T996" t="str">
            <v>NULL</v>
          </cell>
          <cell r="U996" t="str">
            <v>NULL</v>
          </cell>
          <cell r="V996" t="str">
            <v>NULL</v>
          </cell>
          <cell r="W996" t="str">
            <v>NULL</v>
          </cell>
          <cell r="X996" t="str">
            <v>NULL</v>
          </cell>
          <cell r="Y996" t="str">
            <v>NULL</v>
          </cell>
          <cell r="Z996" t="str">
            <v>NULL</v>
          </cell>
          <cell r="AA996">
            <v>10012847</v>
          </cell>
          <cell r="AB996" t="str">
            <v>Independent School standard inspection</v>
          </cell>
          <cell r="AC996" t="str">
            <v>Independent Standard Inspection</v>
          </cell>
          <cell r="AD996">
            <v>43116</v>
          </cell>
          <cell r="AE996">
            <v>43118</v>
          </cell>
          <cell r="AF996">
            <v>43171</v>
          </cell>
          <cell r="AG996">
            <v>2</v>
          </cell>
          <cell r="AH996">
            <v>2</v>
          </cell>
          <cell r="AI996">
            <v>2</v>
          </cell>
          <cell r="AJ996">
            <v>2</v>
          </cell>
          <cell r="AK996">
            <v>2</v>
          </cell>
          <cell r="AL996">
            <v>2</v>
          </cell>
          <cell r="AM996" t="str">
            <v>NULL</v>
          </cell>
          <cell r="AN996" t="str">
            <v>Yes</v>
          </cell>
          <cell r="AO996" t="str">
            <v>ITS364274</v>
          </cell>
          <cell r="AP996" t="str">
            <v>S162a - LTI Inspection Historic</v>
          </cell>
          <cell r="AQ996" t="str">
            <v>Independent Standard Inspection</v>
          </cell>
          <cell r="AR996">
            <v>40689</v>
          </cell>
          <cell r="AS996">
            <v>40689</v>
          </cell>
          <cell r="AT996">
            <v>40722</v>
          </cell>
          <cell r="AU996">
            <v>2</v>
          </cell>
          <cell r="AV996">
            <v>2</v>
          </cell>
          <cell r="AW996">
            <v>2</v>
          </cell>
          <cell r="AX996" t="str">
            <v>NULL</v>
          </cell>
          <cell r="AY996" t="str">
            <v>NULL</v>
          </cell>
          <cell r="AZ996">
            <v>2</v>
          </cell>
          <cell r="BA996" t="str">
            <v>NULL</v>
          </cell>
          <cell r="BB996" t="str">
            <v>NULL</v>
          </cell>
        </row>
        <row r="997">
          <cell r="D997">
            <v>137892</v>
          </cell>
          <cell r="E997">
            <v>8616007</v>
          </cell>
          <cell r="F997" t="str">
            <v>Phoenix U16 Independent School</v>
          </cell>
          <cell r="G997" t="str">
            <v>Other Independent School</v>
          </cell>
          <cell r="H997">
            <v>40949</v>
          </cell>
          <cell r="I997">
            <v>25</v>
          </cell>
          <cell r="J997" t="str">
            <v>West Midlands</v>
          </cell>
          <cell r="K997" t="str">
            <v>West Midlands</v>
          </cell>
          <cell r="L997" t="str">
            <v>Stoke-on-Trent</v>
          </cell>
          <cell r="M997" t="str">
            <v>Stoke-on-Trent Central</v>
          </cell>
          <cell r="N997" t="str">
            <v>ST1 4AF</v>
          </cell>
          <cell r="O997" t="str">
            <v>Does not have a sixth form</v>
          </cell>
          <cell r="P997">
            <v>14</v>
          </cell>
          <cell r="Q997">
            <v>16</v>
          </cell>
          <cell r="R997" t="str">
            <v>None</v>
          </cell>
          <cell r="S997" t="str">
            <v>Ofsted</v>
          </cell>
          <cell r="T997" t="str">
            <v>NULL</v>
          </cell>
          <cell r="U997" t="str">
            <v>NULL</v>
          </cell>
          <cell r="V997" t="str">
            <v>NULL</v>
          </cell>
          <cell r="W997" t="str">
            <v>NULL</v>
          </cell>
          <cell r="X997" t="str">
            <v>NULL</v>
          </cell>
          <cell r="Y997" t="str">
            <v>NULL</v>
          </cell>
          <cell r="Z997" t="str">
            <v>NULL</v>
          </cell>
          <cell r="AA997">
            <v>10026111</v>
          </cell>
          <cell r="AB997" t="str">
            <v>Independent School standard inspection</v>
          </cell>
          <cell r="AC997" t="str">
            <v>Independent Standard Inspection</v>
          </cell>
          <cell r="AD997">
            <v>43123</v>
          </cell>
          <cell r="AE997">
            <v>43125</v>
          </cell>
          <cell r="AF997">
            <v>43145</v>
          </cell>
          <cell r="AG997">
            <v>2</v>
          </cell>
          <cell r="AH997">
            <v>2</v>
          </cell>
          <cell r="AI997">
            <v>2</v>
          </cell>
          <cell r="AJ997">
            <v>2</v>
          </cell>
          <cell r="AK997">
            <v>2</v>
          </cell>
          <cell r="AL997" t="str">
            <v>NULL</v>
          </cell>
          <cell r="AM997" t="str">
            <v>NULL</v>
          </cell>
          <cell r="AN997" t="str">
            <v>Yes</v>
          </cell>
          <cell r="AO997" t="str">
            <v>ITS408678</v>
          </cell>
          <cell r="AP997" t="str">
            <v>Independent school standard inspection - first</v>
          </cell>
          <cell r="AQ997" t="str">
            <v>Independent Standard Inspection</v>
          </cell>
          <cell r="AR997">
            <v>41353</v>
          </cell>
          <cell r="AS997">
            <v>41354</v>
          </cell>
          <cell r="AT997">
            <v>41383</v>
          </cell>
          <cell r="AU997">
            <v>2</v>
          </cell>
          <cell r="AV997">
            <v>2</v>
          </cell>
          <cell r="AW997">
            <v>2</v>
          </cell>
          <cell r="AX997">
            <v>2</v>
          </cell>
          <cell r="AY997" t="str">
            <v>NULL</v>
          </cell>
          <cell r="AZ997" t="str">
            <v>NULL</v>
          </cell>
          <cell r="BA997" t="str">
            <v>NULL</v>
          </cell>
          <cell r="BB997" t="str">
            <v>NULL</v>
          </cell>
        </row>
        <row r="998">
          <cell r="D998">
            <v>105997</v>
          </cell>
          <cell r="E998">
            <v>3516012</v>
          </cell>
          <cell r="F998" t="str">
            <v>Prestwich Preparatory School</v>
          </cell>
          <cell r="G998" t="str">
            <v>Other Independent School</v>
          </cell>
          <cell r="H998">
            <v>3654</v>
          </cell>
          <cell r="I998">
            <v>94</v>
          </cell>
          <cell r="J998" t="str">
            <v>North West</v>
          </cell>
          <cell r="K998" t="str">
            <v>North West</v>
          </cell>
          <cell r="L998" t="str">
            <v>Bury</v>
          </cell>
          <cell r="M998" t="str">
            <v>Bury South</v>
          </cell>
          <cell r="N998" t="str">
            <v>M25 1PZ</v>
          </cell>
          <cell r="O998" t="str">
            <v>Does not have a sixth form</v>
          </cell>
          <cell r="P998">
            <v>3</v>
          </cell>
          <cell r="Q998">
            <v>11</v>
          </cell>
          <cell r="R998" t="str">
            <v>None</v>
          </cell>
          <cell r="S998" t="str">
            <v>Ofsted</v>
          </cell>
          <cell r="T998">
            <v>3</v>
          </cell>
          <cell r="U998">
            <v>10048503</v>
          </cell>
          <cell r="V998" t="str">
            <v>Independent school evaluation of school action plan</v>
          </cell>
          <cell r="W998">
            <v>43133</v>
          </cell>
          <cell r="X998">
            <v>43133</v>
          </cell>
          <cell r="Y998" t="str">
            <v>NULL</v>
          </cell>
          <cell r="Z998" t="str">
            <v>Action plan is not acceptable</v>
          </cell>
          <cell r="AA998">
            <v>10026000</v>
          </cell>
          <cell r="AB998" t="str">
            <v>Independent School standard inspection</v>
          </cell>
          <cell r="AC998" t="str">
            <v>Independent Standard Inspection</v>
          </cell>
          <cell r="AD998">
            <v>42773</v>
          </cell>
          <cell r="AE998">
            <v>42775</v>
          </cell>
          <cell r="AF998">
            <v>42857</v>
          </cell>
          <cell r="AG998">
            <v>4</v>
          </cell>
          <cell r="AH998">
            <v>3</v>
          </cell>
          <cell r="AI998">
            <v>3</v>
          </cell>
          <cell r="AJ998">
            <v>4</v>
          </cell>
          <cell r="AK998">
            <v>2</v>
          </cell>
          <cell r="AL998">
            <v>3</v>
          </cell>
          <cell r="AM998" t="str">
            <v>NULL</v>
          </cell>
          <cell r="AN998" t="str">
            <v>Yes</v>
          </cell>
          <cell r="AO998" t="str">
            <v>ITS386822</v>
          </cell>
          <cell r="AP998" t="str">
            <v>Independent School standard inspection</v>
          </cell>
          <cell r="AQ998" t="str">
            <v>Independent Standard Inspection</v>
          </cell>
          <cell r="AR998">
            <v>40988</v>
          </cell>
          <cell r="AS998">
            <v>40989</v>
          </cell>
          <cell r="AT998">
            <v>41018</v>
          </cell>
          <cell r="AU998">
            <v>2</v>
          </cell>
          <cell r="AV998">
            <v>2</v>
          </cell>
          <cell r="AW998">
            <v>2</v>
          </cell>
          <cell r="AX998" t="str">
            <v>NULL</v>
          </cell>
          <cell r="AY998" t="str">
            <v>NULL</v>
          </cell>
          <cell r="AZ998">
            <v>2</v>
          </cell>
          <cell r="BA998" t="str">
            <v>NULL</v>
          </cell>
          <cell r="BB998" t="str">
            <v>NULL</v>
          </cell>
        </row>
        <row r="999">
          <cell r="D999">
            <v>118225</v>
          </cell>
          <cell r="E999">
            <v>9216041</v>
          </cell>
          <cell r="F999" t="str">
            <v>Priory School</v>
          </cell>
          <cell r="G999" t="str">
            <v>Other Independent School</v>
          </cell>
          <cell r="H999">
            <v>33996</v>
          </cell>
          <cell r="I999">
            <v>139</v>
          </cell>
          <cell r="J999" t="str">
            <v>South East</v>
          </cell>
          <cell r="K999" t="str">
            <v>South East</v>
          </cell>
          <cell r="L999" t="str">
            <v>Isle of Wight</v>
          </cell>
          <cell r="M999" t="str">
            <v>Isle of Wight</v>
          </cell>
          <cell r="N999" t="str">
            <v>PO32 6LP</v>
          </cell>
          <cell r="O999" t="str">
            <v>Has a sixth form</v>
          </cell>
          <cell r="P999">
            <v>5</v>
          </cell>
          <cell r="Q999">
            <v>18</v>
          </cell>
          <cell r="R999" t="str">
            <v>None</v>
          </cell>
          <cell r="S999" t="str">
            <v>Ofsted</v>
          </cell>
          <cell r="T999" t="str">
            <v>NULL</v>
          </cell>
          <cell r="U999" t="str">
            <v>NULL</v>
          </cell>
          <cell r="V999" t="str">
            <v>NULL</v>
          </cell>
          <cell r="W999" t="str">
            <v>NULL</v>
          </cell>
          <cell r="X999" t="str">
            <v>NULL</v>
          </cell>
          <cell r="Y999" t="str">
            <v>NULL</v>
          </cell>
          <cell r="Z999" t="str">
            <v>NULL</v>
          </cell>
          <cell r="AA999" t="str">
            <v>ITS397611</v>
          </cell>
          <cell r="AB999" t="str">
            <v>Independent School standard inspection</v>
          </cell>
          <cell r="AC999" t="str">
            <v>Independent Standard Inspection</v>
          </cell>
          <cell r="AD999">
            <v>41247</v>
          </cell>
          <cell r="AE999">
            <v>41248</v>
          </cell>
          <cell r="AF999">
            <v>41264</v>
          </cell>
          <cell r="AG999">
            <v>2</v>
          </cell>
          <cell r="AH999">
            <v>2</v>
          </cell>
          <cell r="AI999">
            <v>2</v>
          </cell>
          <cell r="AJ999" t="str">
            <v>NULL</v>
          </cell>
          <cell r="AK999" t="str">
            <v>NULL</v>
          </cell>
          <cell r="AL999">
            <v>8</v>
          </cell>
          <cell r="AM999" t="str">
            <v>NULL</v>
          </cell>
          <cell r="AN999" t="str">
            <v>NULL</v>
          </cell>
          <cell r="AO999" t="str">
            <v>ITS333830</v>
          </cell>
          <cell r="AP999" t="str">
            <v>Independent School standard inspection</v>
          </cell>
          <cell r="AQ999" t="str">
            <v>Independent Standard Inspection</v>
          </cell>
          <cell r="AR999">
            <v>39946</v>
          </cell>
          <cell r="AS999">
            <v>39947</v>
          </cell>
          <cell r="AT999">
            <v>39974</v>
          </cell>
          <cell r="AU999">
            <v>3</v>
          </cell>
          <cell r="AV999">
            <v>3</v>
          </cell>
          <cell r="AW999">
            <v>3</v>
          </cell>
          <cell r="AX999" t="str">
            <v>NULL</v>
          </cell>
          <cell r="AY999" t="str">
            <v>NULL</v>
          </cell>
          <cell r="AZ999">
            <v>4</v>
          </cell>
          <cell r="BA999" t="str">
            <v>NULL</v>
          </cell>
          <cell r="BB999" t="str">
            <v>NULL</v>
          </cell>
        </row>
        <row r="1000">
          <cell r="D1000">
            <v>131031</v>
          </cell>
          <cell r="E1000">
            <v>3166068</v>
          </cell>
          <cell r="F1000" t="str">
            <v>Promised Land Academy</v>
          </cell>
          <cell r="G1000" t="str">
            <v>Other Independent School</v>
          </cell>
          <cell r="H1000">
            <v>38681</v>
          </cell>
          <cell r="I1000">
            <v>26</v>
          </cell>
          <cell r="J1000" t="str">
            <v>London</v>
          </cell>
          <cell r="K1000" t="str">
            <v>London</v>
          </cell>
          <cell r="L1000" t="str">
            <v>Newham</v>
          </cell>
          <cell r="M1000" t="str">
            <v>West Ham</v>
          </cell>
          <cell r="N1000" t="str">
            <v>E13 8SR</v>
          </cell>
          <cell r="O1000" t="str">
            <v>Does not have a sixth form</v>
          </cell>
          <cell r="P1000">
            <v>4</v>
          </cell>
          <cell r="Q1000">
            <v>16</v>
          </cell>
          <cell r="R1000" t="str">
            <v>None</v>
          </cell>
          <cell r="S1000" t="str">
            <v>Ofsted</v>
          </cell>
          <cell r="T1000" t="str">
            <v>NULL</v>
          </cell>
          <cell r="U1000" t="str">
            <v>NULL</v>
          </cell>
          <cell r="V1000" t="str">
            <v>NULL</v>
          </cell>
          <cell r="W1000" t="str">
            <v>NULL</v>
          </cell>
          <cell r="X1000" t="str">
            <v>NULL</v>
          </cell>
          <cell r="Y1000" t="str">
            <v>NULL</v>
          </cell>
          <cell r="Z1000" t="str">
            <v>NULL</v>
          </cell>
          <cell r="AA1000">
            <v>10026282</v>
          </cell>
          <cell r="AB1000" t="str">
            <v>Independent School standard inspection</v>
          </cell>
          <cell r="AC1000" t="str">
            <v>Independent Standard Inspection</v>
          </cell>
          <cell r="AD1000">
            <v>43117</v>
          </cell>
          <cell r="AE1000">
            <v>43119</v>
          </cell>
          <cell r="AF1000">
            <v>43178</v>
          </cell>
          <cell r="AG1000">
            <v>4</v>
          </cell>
          <cell r="AH1000">
            <v>4</v>
          </cell>
          <cell r="AI1000">
            <v>4</v>
          </cell>
          <cell r="AJ1000">
            <v>4</v>
          </cell>
          <cell r="AK1000">
            <v>4</v>
          </cell>
          <cell r="AL1000" t="str">
            <v>NULL</v>
          </cell>
          <cell r="AM1000" t="str">
            <v>NULL</v>
          </cell>
          <cell r="AN1000" t="str">
            <v>No</v>
          </cell>
          <cell r="AO1000" t="str">
            <v>ITS408717</v>
          </cell>
          <cell r="AP1000" t="str">
            <v>Independent School standard inspection</v>
          </cell>
          <cell r="AQ1000" t="str">
            <v>Independent Standard Inspection</v>
          </cell>
          <cell r="AR1000">
            <v>41310</v>
          </cell>
          <cell r="AS1000">
            <v>41312</v>
          </cell>
          <cell r="AT1000">
            <v>41338</v>
          </cell>
          <cell r="AU1000">
            <v>2</v>
          </cell>
          <cell r="AV1000">
            <v>2</v>
          </cell>
          <cell r="AW1000">
            <v>2</v>
          </cell>
          <cell r="AX1000">
            <v>2</v>
          </cell>
          <cell r="AY1000" t="str">
            <v>NULL</v>
          </cell>
          <cell r="AZ1000" t="str">
            <v>NULL</v>
          </cell>
          <cell r="BA1000" t="str">
            <v>NULL</v>
          </cell>
          <cell r="BB1000" t="str">
            <v>NULL</v>
          </cell>
        </row>
        <row r="1001">
          <cell r="D1001">
            <v>134575</v>
          </cell>
          <cell r="E1001">
            <v>3546006</v>
          </cell>
          <cell r="F1001" t="str">
            <v>Rochdale Islamic Academy</v>
          </cell>
          <cell r="G1001" t="str">
            <v>Other Independent School</v>
          </cell>
          <cell r="H1001">
            <v>37862</v>
          </cell>
          <cell r="I1001">
            <v>157</v>
          </cell>
          <cell r="J1001" t="str">
            <v>North West</v>
          </cell>
          <cell r="K1001" t="str">
            <v>North West</v>
          </cell>
          <cell r="L1001" t="str">
            <v>Rochdale</v>
          </cell>
          <cell r="M1001" t="str">
            <v>Rochdale</v>
          </cell>
          <cell r="N1001" t="str">
            <v>OL12 0HZ</v>
          </cell>
          <cell r="O1001" t="str">
            <v>Does not have a sixth form</v>
          </cell>
          <cell r="P1001">
            <v>11</v>
          </cell>
          <cell r="Q1001">
            <v>16</v>
          </cell>
          <cell r="R1001" t="str">
            <v>None</v>
          </cell>
          <cell r="S1001" t="str">
            <v>Ofsted</v>
          </cell>
          <cell r="T1001" t="str">
            <v>NULL</v>
          </cell>
          <cell r="U1001" t="str">
            <v>NULL</v>
          </cell>
          <cell r="V1001" t="str">
            <v>NULL</v>
          </cell>
          <cell r="W1001" t="str">
            <v>NULL</v>
          </cell>
          <cell r="X1001" t="str">
            <v>NULL</v>
          </cell>
          <cell r="Y1001" t="str">
            <v>NULL</v>
          </cell>
          <cell r="Z1001" t="str">
            <v>NULL</v>
          </cell>
          <cell r="AA1001">
            <v>10034026</v>
          </cell>
          <cell r="AB1001" t="str">
            <v>Independent School standard inspection</v>
          </cell>
          <cell r="AC1001" t="str">
            <v>Independent Standard Inspection</v>
          </cell>
          <cell r="AD1001">
            <v>42906</v>
          </cell>
          <cell r="AE1001">
            <v>42908</v>
          </cell>
          <cell r="AF1001">
            <v>42930</v>
          </cell>
          <cell r="AG1001">
            <v>2</v>
          </cell>
          <cell r="AH1001">
            <v>2</v>
          </cell>
          <cell r="AI1001">
            <v>2</v>
          </cell>
          <cell r="AJ1001">
            <v>2</v>
          </cell>
          <cell r="AK1001">
            <v>2</v>
          </cell>
          <cell r="AL1001" t="str">
            <v>NULL</v>
          </cell>
          <cell r="AM1001" t="str">
            <v>NULL</v>
          </cell>
          <cell r="AN1001" t="str">
            <v>Yes</v>
          </cell>
          <cell r="AO1001" t="str">
            <v>ITS463344</v>
          </cell>
          <cell r="AP1001" t="str">
            <v>Independent School standard inspection</v>
          </cell>
          <cell r="AQ1001" t="str">
            <v>Independent Standard Inspection</v>
          </cell>
          <cell r="AR1001">
            <v>42136</v>
          </cell>
          <cell r="AS1001">
            <v>42138</v>
          </cell>
          <cell r="AT1001">
            <v>42173</v>
          </cell>
          <cell r="AU1001">
            <v>3</v>
          </cell>
          <cell r="AV1001">
            <v>3</v>
          </cell>
          <cell r="AW1001">
            <v>3</v>
          </cell>
          <cell r="AX1001">
            <v>3</v>
          </cell>
          <cell r="AY1001" t="str">
            <v>NULL</v>
          </cell>
          <cell r="AZ1001">
            <v>9</v>
          </cell>
          <cell r="BA1001">
            <v>9</v>
          </cell>
          <cell r="BB1001" t="str">
            <v>NULL</v>
          </cell>
        </row>
        <row r="1002">
          <cell r="D1002">
            <v>139331</v>
          </cell>
          <cell r="E1002">
            <v>2096000</v>
          </cell>
          <cell r="F1002" t="str">
            <v>Rose House Montessori School</v>
          </cell>
          <cell r="G1002" t="str">
            <v>Other Independent School</v>
          </cell>
          <cell r="H1002">
            <v>41330</v>
          </cell>
          <cell r="I1002">
            <v>26</v>
          </cell>
          <cell r="J1002" t="str">
            <v>London</v>
          </cell>
          <cell r="K1002" t="str">
            <v>London</v>
          </cell>
          <cell r="L1002" t="str">
            <v>Lewisham</v>
          </cell>
          <cell r="M1002" t="str">
            <v>Lewisham West and Penge</v>
          </cell>
          <cell r="N1002" t="str">
            <v>SE23 2UJ</v>
          </cell>
          <cell r="O1002" t="str">
            <v>Does not have a sixth form</v>
          </cell>
          <cell r="P1002">
            <v>2</v>
          </cell>
          <cell r="Q1002">
            <v>11</v>
          </cell>
          <cell r="R1002" t="str">
            <v>None</v>
          </cell>
          <cell r="S1002" t="str">
            <v>Ofsted</v>
          </cell>
          <cell r="T1002" t="str">
            <v>NULL</v>
          </cell>
          <cell r="U1002" t="str">
            <v>NULL</v>
          </cell>
          <cell r="V1002" t="str">
            <v>NULL</v>
          </cell>
          <cell r="W1002" t="str">
            <v>NULL</v>
          </cell>
          <cell r="X1002" t="str">
            <v>NULL</v>
          </cell>
          <cell r="Y1002" t="str">
            <v>NULL</v>
          </cell>
          <cell r="Z1002" t="str">
            <v>NULL</v>
          </cell>
          <cell r="AA1002">
            <v>10026297</v>
          </cell>
          <cell r="AB1002" t="str">
            <v>Independent School standard inspection</v>
          </cell>
          <cell r="AC1002" t="str">
            <v>Independent Standard Inspection</v>
          </cell>
          <cell r="AD1002">
            <v>43046</v>
          </cell>
          <cell r="AE1002">
            <v>43048</v>
          </cell>
          <cell r="AF1002">
            <v>43080</v>
          </cell>
          <cell r="AG1002">
            <v>2</v>
          </cell>
          <cell r="AH1002">
            <v>2</v>
          </cell>
          <cell r="AI1002">
            <v>2</v>
          </cell>
          <cell r="AJ1002">
            <v>2</v>
          </cell>
          <cell r="AK1002">
            <v>2</v>
          </cell>
          <cell r="AL1002">
            <v>2</v>
          </cell>
          <cell r="AM1002" t="str">
            <v>NULL</v>
          </cell>
          <cell r="AN1002" t="str">
            <v>Yes</v>
          </cell>
          <cell r="AO1002" t="str">
            <v>ITS422861</v>
          </cell>
          <cell r="AP1002" t="str">
            <v>Independent school standard inspection - first</v>
          </cell>
          <cell r="AQ1002" t="str">
            <v>Independent Standard Inspection</v>
          </cell>
          <cell r="AR1002">
            <v>41660</v>
          </cell>
          <cell r="AS1002">
            <v>41662</v>
          </cell>
          <cell r="AT1002">
            <v>41682</v>
          </cell>
          <cell r="AU1002">
            <v>2</v>
          </cell>
          <cell r="AV1002">
            <v>2</v>
          </cell>
          <cell r="AW1002">
            <v>2</v>
          </cell>
          <cell r="AX1002">
            <v>2</v>
          </cell>
          <cell r="AY1002" t="str">
            <v>NULL</v>
          </cell>
          <cell r="AZ1002" t="str">
            <v>NULL</v>
          </cell>
          <cell r="BA1002" t="str">
            <v>NULL</v>
          </cell>
          <cell r="BB1002" t="str">
            <v>NULL</v>
          </cell>
        </row>
        <row r="1003">
          <cell r="D1003">
            <v>103573</v>
          </cell>
          <cell r="E1003">
            <v>3306048</v>
          </cell>
          <cell r="F1003" t="str">
            <v>Rosslyn School</v>
          </cell>
          <cell r="G1003" t="str">
            <v>Other Independent School</v>
          </cell>
          <cell r="H1003">
            <v>21110</v>
          </cell>
          <cell r="I1003">
            <v>90</v>
          </cell>
          <cell r="J1003" t="str">
            <v>West Midlands</v>
          </cell>
          <cell r="K1003" t="str">
            <v>West Midlands</v>
          </cell>
          <cell r="L1003" t="str">
            <v>Birmingham</v>
          </cell>
          <cell r="M1003" t="str">
            <v>Birmingham, Hall Green</v>
          </cell>
          <cell r="N1003" t="str">
            <v>B28 9JB</v>
          </cell>
          <cell r="O1003" t="str">
            <v>Does not have a sixth form</v>
          </cell>
          <cell r="P1003">
            <v>3</v>
          </cell>
          <cell r="Q1003">
            <v>11</v>
          </cell>
          <cell r="R1003" t="str">
            <v>None</v>
          </cell>
          <cell r="S1003" t="str">
            <v>Ofsted</v>
          </cell>
          <cell r="T1003" t="str">
            <v>NULL</v>
          </cell>
          <cell r="U1003" t="str">
            <v>NULL</v>
          </cell>
          <cell r="V1003" t="str">
            <v>NULL</v>
          </cell>
          <cell r="W1003" t="str">
            <v>NULL</v>
          </cell>
          <cell r="X1003" t="str">
            <v>NULL</v>
          </cell>
          <cell r="Y1003" t="str">
            <v>NULL</v>
          </cell>
          <cell r="Z1003" t="str">
            <v>NULL</v>
          </cell>
          <cell r="AA1003">
            <v>10020734</v>
          </cell>
          <cell r="AB1003" t="str">
            <v>Independent School standard inspection</v>
          </cell>
          <cell r="AC1003" t="str">
            <v>Independent Standard Inspection</v>
          </cell>
          <cell r="AD1003">
            <v>43046</v>
          </cell>
          <cell r="AE1003">
            <v>43048</v>
          </cell>
          <cell r="AF1003">
            <v>43139</v>
          </cell>
          <cell r="AG1003">
            <v>2</v>
          </cell>
          <cell r="AH1003">
            <v>2</v>
          </cell>
          <cell r="AI1003">
            <v>2</v>
          </cell>
          <cell r="AJ1003">
            <v>2</v>
          </cell>
          <cell r="AK1003">
            <v>1</v>
          </cell>
          <cell r="AL1003">
            <v>2</v>
          </cell>
          <cell r="AM1003" t="str">
            <v>NULL</v>
          </cell>
          <cell r="AN1003" t="str">
            <v>Yes</v>
          </cell>
          <cell r="AO1003" t="str">
            <v>ITS385077</v>
          </cell>
          <cell r="AP1003" t="str">
            <v>Independent School standard inspection</v>
          </cell>
          <cell r="AQ1003" t="str">
            <v>Independent Standard Inspection</v>
          </cell>
          <cell r="AR1003">
            <v>40800</v>
          </cell>
          <cell r="AS1003">
            <v>40801</v>
          </cell>
          <cell r="AT1003">
            <v>40821</v>
          </cell>
          <cell r="AU1003">
            <v>2</v>
          </cell>
          <cell r="AV1003">
            <v>2</v>
          </cell>
          <cell r="AW1003">
            <v>2</v>
          </cell>
          <cell r="AX1003" t="str">
            <v>NULL</v>
          </cell>
          <cell r="AY1003" t="str">
            <v>NULL</v>
          </cell>
          <cell r="AZ1003">
            <v>2</v>
          </cell>
          <cell r="BA1003" t="str">
            <v>NULL</v>
          </cell>
          <cell r="BB1003" t="str">
            <v>NULL</v>
          </cell>
        </row>
        <row r="1004">
          <cell r="D1004">
            <v>137950</v>
          </cell>
          <cell r="E1004">
            <v>8036008</v>
          </cell>
          <cell r="F1004" t="str">
            <v>Ashwicke Hall School</v>
          </cell>
          <cell r="G1004" t="str">
            <v>Other Independent School</v>
          </cell>
          <cell r="H1004">
            <v>40970</v>
          </cell>
          <cell r="I1004">
            <v>71</v>
          </cell>
          <cell r="J1004" t="str">
            <v>South West</v>
          </cell>
          <cell r="K1004" t="str">
            <v>South West</v>
          </cell>
          <cell r="L1004" t="str">
            <v>South Gloucestershire</v>
          </cell>
          <cell r="M1004" t="str">
            <v>Thornbury and Yate</v>
          </cell>
          <cell r="N1004" t="str">
            <v>SN14 8AG</v>
          </cell>
          <cell r="O1004" t="str">
            <v>Has a sixth form</v>
          </cell>
          <cell r="P1004">
            <v>10</v>
          </cell>
          <cell r="Q1004">
            <v>18</v>
          </cell>
          <cell r="R1004" t="str">
            <v>None</v>
          </cell>
          <cell r="S1004" t="str">
            <v>Ofsted</v>
          </cell>
          <cell r="T1004">
            <v>2</v>
          </cell>
          <cell r="U1004">
            <v>10043512</v>
          </cell>
          <cell r="V1004" t="str">
            <v>Independent school Progress Monitoring inspection</v>
          </cell>
          <cell r="W1004">
            <v>43143</v>
          </cell>
          <cell r="X1004">
            <v>43143</v>
          </cell>
          <cell r="Y1004">
            <v>43180</v>
          </cell>
          <cell r="Z1004" t="str">
            <v>Did not meet all standards that were checked</v>
          </cell>
          <cell r="AA1004">
            <v>10026042</v>
          </cell>
          <cell r="AB1004" t="str">
            <v xml:space="preserve">Independent School standard inspection - integrated </v>
          </cell>
          <cell r="AC1004" t="str">
            <v>Independent Standard Inspection</v>
          </cell>
          <cell r="AD1004">
            <v>42858</v>
          </cell>
          <cell r="AE1004">
            <v>42860</v>
          </cell>
          <cell r="AF1004">
            <v>42908</v>
          </cell>
          <cell r="AG1004">
            <v>4</v>
          </cell>
          <cell r="AH1004">
            <v>3</v>
          </cell>
          <cell r="AI1004">
            <v>3</v>
          </cell>
          <cell r="AJ1004">
            <v>4</v>
          </cell>
          <cell r="AK1004">
            <v>3</v>
          </cell>
          <cell r="AL1004" t="str">
            <v>NULL</v>
          </cell>
          <cell r="AM1004" t="str">
            <v>NULL</v>
          </cell>
          <cell r="AN1004" t="str">
            <v>No</v>
          </cell>
          <cell r="AO1004" t="str">
            <v>ITS408681</v>
          </cell>
          <cell r="AP1004" t="str">
            <v>Independent school standard inspection - first</v>
          </cell>
          <cell r="AQ1004" t="str">
            <v>Independent Standard Inspection</v>
          </cell>
          <cell r="AR1004">
            <v>41323</v>
          </cell>
          <cell r="AS1004">
            <v>41325</v>
          </cell>
          <cell r="AT1004">
            <v>41345</v>
          </cell>
          <cell r="AU1004">
            <v>2</v>
          </cell>
          <cell r="AV1004">
            <v>2</v>
          </cell>
          <cell r="AW1004">
            <v>2</v>
          </cell>
          <cell r="AX1004">
            <v>2</v>
          </cell>
          <cell r="AY1004" t="str">
            <v>NULL</v>
          </cell>
          <cell r="AZ1004" t="str">
            <v>NULL</v>
          </cell>
          <cell r="BA1004" t="str">
            <v>NULL</v>
          </cell>
          <cell r="BB1004" t="str">
            <v>NULL</v>
          </cell>
        </row>
        <row r="1005">
          <cell r="D1005">
            <v>102357</v>
          </cell>
          <cell r="E1005">
            <v>3116054</v>
          </cell>
          <cell r="F1005" t="str">
            <v>St Mary's Hare Park School</v>
          </cell>
          <cell r="G1005" t="str">
            <v>Other Independent School</v>
          </cell>
          <cell r="H1005">
            <v>21115</v>
          </cell>
          <cell r="I1005">
            <v>180</v>
          </cell>
          <cell r="J1005" t="str">
            <v>London</v>
          </cell>
          <cell r="K1005" t="str">
            <v>London</v>
          </cell>
          <cell r="L1005" t="str">
            <v>Havering</v>
          </cell>
          <cell r="M1005" t="str">
            <v>Romford</v>
          </cell>
          <cell r="N1005" t="str">
            <v>RM2 6HH</v>
          </cell>
          <cell r="O1005" t="str">
            <v>Does not have a sixth form</v>
          </cell>
          <cell r="P1005">
            <v>2</v>
          </cell>
          <cell r="Q1005">
            <v>11</v>
          </cell>
          <cell r="R1005" t="str">
            <v>None</v>
          </cell>
          <cell r="S1005" t="str">
            <v>Ofsted</v>
          </cell>
          <cell r="T1005" t="str">
            <v>NULL</v>
          </cell>
          <cell r="U1005" t="str">
            <v>NULL</v>
          </cell>
          <cell r="V1005" t="str">
            <v>NULL</v>
          </cell>
          <cell r="W1005" t="str">
            <v>NULL</v>
          </cell>
          <cell r="X1005" t="str">
            <v>NULL</v>
          </cell>
          <cell r="Y1005" t="str">
            <v>NULL</v>
          </cell>
          <cell r="Z1005" t="str">
            <v>NULL</v>
          </cell>
          <cell r="AA1005" t="str">
            <v>ITS443495</v>
          </cell>
          <cell r="AB1005" t="str">
            <v>Independent School standard inspection</v>
          </cell>
          <cell r="AC1005" t="str">
            <v>Independent Standard Inspection</v>
          </cell>
          <cell r="AD1005">
            <v>42163</v>
          </cell>
          <cell r="AE1005">
            <v>42165</v>
          </cell>
          <cell r="AF1005">
            <v>42200</v>
          </cell>
          <cell r="AG1005">
            <v>1</v>
          </cell>
          <cell r="AH1005">
            <v>1</v>
          </cell>
          <cell r="AI1005">
            <v>1</v>
          </cell>
          <cell r="AJ1005">
            <v>1</v>
          </cell>
          <cell r="AK1005" t="str">
            <v>NULL</v>
          </cell>
          <cell r="AL1005">
            <v>1</v>
          </cell>
          <cell r="AM1005">
            <v>9</v>
          </cell>
          <cell r="AN1005" t="str">
            <v>NULL</v>
          </cell>
          <cell r="AO1005" t="str">
            <v>ITS329559</v>
          </cell>
          <cell r="AP1005" t="str">
            <v>S162a - LTI Inspection Historic</v>
          </cell>
          <cell r="AQ1005" t="str">
            <v>Independent Standard Inspection</v>
          </cell>
          <cell r="AR1005">
            <v>39709</v>
          </cell>
          <cell r="AS1005">
            <v>39709</v>
          </cell>
          <cell r="AT1005">
            <v>39729</v>
          </cell>
          <cell r="AU1005">
            <v>1</v>
          </cell>
          <cell r="AV1005">
            <v>1</v>
          </cell>
          <cell r="AW1005">
            <v>2</v>
          </cell>
          <cell r="AX1005" t="str">
            <v>NULL</v>
          </cell>
          <cell r="AY1005" t="str">
            <v>NULL</v>
          </cell>
          <cell r="AZ1005">
            <v>1</v>
          </cell>
          <cell r="BA1005" t="str">
            <v>NULL</v>
          </cell>
          <cell r="BB1005" t="str">
            <v>NULL</v>
          </cell>
        </row>
        <row r="1006">
          <cell r="D1006">
            <v>116594</v>
          </cell>
          <cell r="E1006">
            <v>8506062</v>
          </cell>
          <cell r="F1006" t="str">
            <v>St Michael's School</v>
          </cell>
          <cell r="G1006" t="str">
            <v>Other Independent School</v>
          </cell>
          <cell r="H1006">
            <v>33568</v>
          </cell>
          <cell r="I1006">
            <v>121</v>
          </cell>
          <cell r="J1006" t="str">
            <v>South East</v>
          </cell>
          <cell r="K1006" t="str">
            <v>South East</v>
          </cell>
          <cell r="L1006" t="str">
            <v>Hampshire</v>
          </cell>
          <cell r="M1006" t="str">
            <v>North West Hampshire</v>
          </cell>
          <cell r="N1006" t="str">
            <v>RG20 9JW</v>
          </cell>
          <cell r="O1006" t="str">
            <v>Has a sixth form</v>
          </cell>
          <cell r="P1006">
            <v>4</v>
          </cell>
          <cell r="Q1006">
            <v>18</v>
          </cell>
          <cell r="R1006" t="str">
            <v>Roman Catholic</v>
          </cell>
          <cell r="S1006" t="str">
            <v>Ofsted</v>
          </cell>
          <cell r="T1006" t="str">
            <v>NULL</v>
          </cell>
          <cell r="U1006" t="str">
            <v>NULL</v>
          </cell>
          <cell r="V1006" t="str">
            <v>NULL</v>
          </cell>
          <cell r="W1006" t="str">
            <v>NULL</v>
          </cell>
          <cell r="X1006" t="str">
            <v>NULL</v>
          </cell>
          <cell r="Y1006" t="str">
            <v>NULL</v>
          </cell>
          <cell r="Z1006" t="str">
            <v>NULL</v>
          </cell>
          <cell r="AA1006">
            <v>10006334</v>
          </cell>
          <cell r="AB1006" t="str">
            <v xml:space="preserve">Independent School standard inspection - integrated </v>
          </cell>
          <cell r="AC1006" t="str">
            <v>Independent Standard Inspection</v>
          </cell>
          <cell r="AD1006">
            <v>43018</v>
          </cell>
          <cell r="AE1006">
            <v>43020</v>
          </cell>
          <cell r="AF1006">
            <v>43060</v>
          </cell>
          <cell r="AG1006">
            <v>4</v>
          </cell>
          <cell r="AH1006">
            <v>2</v>
          </cell>
          <cell r="AI1006">
            <v>2</v>
          </cell>
          <cell r="AJ1006">
            <v>4</v>
          </cell>
          <cell r="AK1006">
            <v>4</v>
          </cell>
          <cell r="AL1006" t="str">
            <v>NULL</v>
          </cell>
          <cell r="AM1006">
            <v>4</v>
          </cell>
          <cell r="AN1006" t="str">
            <v>No</v>
          </cell>
          <cell r="AO1006" t="str">
            <v>ITS385189</v>
          </cell>
          <cell r="AP1006" t="str">
            <v xml:space="preserve">Independent School standard inspection - integrated </v>
          </cell>
          <cell r="AQ1006" t="str">
            <v>Independent Standard Inspection</v>
          </cell>
          <cell r="AR1006">
            <v>40834</v>
          </cell>
          <cell r="AS1006">
            <v>40835</v>
          </cell>
          <cell r="AT1006">
            <v>40866</v>
          </cell>
          <cell r="AU1006">
            <v>3</v>
          </cell>
          <cell r="AV1006">
            <v>2</v>
          </cell>
          <cell r="AW1006">
            <v>2</v>
          </cell>
          <cell r="AX1006" t="str">
            <v>NULL</v>
          </cell>
          <cell r="AY1006" t="str">
            <v>NULL</v>
          </cell>
          <cell r="AZ1006">
            <v>4</v>
          </cell>
          <cell r="BA1006" t="str">
            <v>NULL</v>
          </cell>
          <cell r="BB1006" t="str">
            <v>NULL</v>
          </cell>
        </row>
        <row r="1007">
          <cell r="D1007">
            <v>100516</v>
          </cell>
          <cell r="E1007">
            <v>2076104</v>
          </cell>
          <cell r="F1007" t="str">
            <v>St Philip's School</v>
          </cell>
          <cell r="G1007" t="str">
            <v>Other Independent School</v>
          </cell>
          <cell r="H1007">
            <v>21115</v>
          </cell>
          <cell r="I1007">
            <v>106</v>
          </cell>
          <cell r="J1007" t="str">
            <v>London</v>
          </cell>
          <cell r="K1007" t="str">
            <v>London</v>
          </cell>
          <cell r="L1007" t="str">
            <v>Kensington and Chelsea</v>
          </cell>
          <cell r="M1007" t="str">
            <v>Kensington</v>
          </cell>
          <cell r="N1007" t="str">
            <v>SW7 4NE</v>
          </cell>
          <cell r="O1007" t="str">
            <v>Does not have a sixth form</v>
          </cell>
          <cell r="P1007">
            <v>7</v>
          </cell>
          <cell r="Q1007">
            <v>13</v>
          </cell>
          <cell r="R1007" t="str">
            <v>Roman Catholic</v>
          </cell>
          <cell r="S1007" t="str">
            <v>Ofsted</v>
          </cell>
          <cell r="T1007" t="str">
            <v>NULL</v>
          </cell>
          <cell r="U1007" t="str">
            <v>NULL</v>
          </cell>
          <cell r="V1007" t="str">
            <v>NULL</v>
          </cell>
          <cell r="W1007" t="str">
            <v>NULL</v>
          </cell>
          <cell r="X1007" t="str">
            <v>NULL</v>
          </cell>
          <cell r="Y1007" t="str">
            <v>NULL</v>
          </cell>
          <cell r="Z1007" t="str">
            <v>NULL</v>
          </cell>
          <cell r="AA1007" t="str">
            <v>ITS420169</v>
          </cell>
          <cell r="AB1007" t="str">
            <v>Independent School standard inspection</v>
          </cell>
          <cell r="AC1007" t="str">
            <v>Independent Standard Inspection</v>
          </cell>
          <cell r="AD1007">
            <v>41408</v>
          </cell>
          <cell r="AE1007">
            <v>41410</v>
          </cell>
          <cell r="AF1007">
            <v>41457</v>
          </cell>
          <cell r="AG1007">
            <v>2</v>
          </cell>
          <cell r="AH1007">
            <v>1</v>
          </cell>
          <cell r="AI1007">
            <v>1</v>
          </cell>
          <cell r="AJ1007">
            <v>2</v>
          </cell>
          <cell r="AK1007" t="str">
            <v>NULL</v>
          </cell>
          <cell r="AL1007" t="str">
            <v>NULL</v>
          </cell>
          <cell r="AM1007" t="str">
            <v>NULL</v>
          </cell>
          <cell r="AN1007" t="str">
            <v>NULL</v>
          </cell>
          <cell r="AO1007" t="str">
            <v>ITS344583</v>
          </cell>
          <cell r="AP1007" t="str">
            <v>S162a - LTI Inspection Historic</v>
          </cell>
          <cell r="AQ1007" t="str">
            <v>Independent Standard Inspection</v>
          </cell>
          <cell r="AR1007">
            <v>40192</v>
          </cell>
          <cell r="AS1007">
            <v>40192</v>
          </cell>
          <cell r="AT1007">
            <v>40213</v>
          </cell>
          <cell r="AU1007">
            <v>1</v>
          </cell>
          <cell r="AV1007">
            <v>1</v>
          </cell>
          <cell r="AW1007">
            <v>2</v>
          </cell>
          <cell r="AX1007" t="str">
            <v>NULL</v>
          </cell>
          <cell r="AY1007" t="str">
            <v>NULL</v>
          </cell>
          <cell r="AZ1007">
            <v>8</v>
          </cell>
          <cell r="BA1007" t="str">
            <v>NULL</v>
          </cell>
          <cell r="BB1007" t="str">
            <v>NULL</v>
          </cell>
        </row>
        <row r="1008">
          <cell r="D1008">
            <v>113944</v>
          </cell>
          <cell r="E1008">
            <v>8376004</v>
          </cell>
          <cell r="F1008" t="str">
            <v>St Thomas Garnet's School</v>
          </cell>
          <cell r="G1008" t="str">
            <v>Other Independent School</v>
          </cell>
          <cell r="H1008">
            <v>29172</v>
          </cell>
          <cell r="I1008">
            <v>131</v>
          </cell>
          <cell r="J1008" t="str">
            <v>South West</v>
          </cell>
          <cell r="K1008" t="str">
            <v>South West</v>
          </cell>
          <cell r="L1008" t="str">
            <v>Bournemouth</v>
          </cell>
          <cell r="M1008" t="str">
            <v>Bournemouth East</v>
          </cell>
          <cell r="N1008" t="str">
            <v>BH5 2BH</v>
          </cell>
          <cell r="O1008" t="str">
            <v>Does not have a sixth form</v>
          </cell>
          <cell r="P1008">
            <v>3</v>
          </cell>
          <cell r="Q1008">
            <v>11</v>
          </cell>
          <cell r="R1008" t="str">
            <v>Roman Catholic</v>
          </cell>
          <cell r="S1008" t="str">
            <v>Ofsted</v>
          </cell>
          <cell r="T1008" t="str">
            <v>NULL</v>
          </cell>
          <cell r="U1008" t="str">
            <v>NULL</v>
          </cell>
          <cell r="V1008" t="str">
            <v>NULL</v>
          </cell>
          <cell r="W1008" t="str">
            <v>NULL</v>
          </cell>
          <cell r="X1008" t="str">
            <v>NULL</v>
          </cell>
          <cell r="Y1008" t="str">
            <v>NULL</v>
          </cell>
          <cell r="Z1008" t="str">
            <v>NULL</v>
          </cell>
          <cell r="AA1008">
            <v>10033884</v>
          </cell>
          <cell r="AB1008" t="str">
            <v>Independent School standard inspection</v>
          </cell>
          <cell r="AC1008" t="str">
            <v>Independent Standard Inspection</v>
          </cell>
          <cell r="AD1008">
            <v>42997</v>
          </cell>
          <cell r="AE1008">
            <v>42999</v>
          </cell>
          <cell r="AF1008">
            <v>43021</v>
          </cell>
          <cell r="AG1008">
            <v>2</v>
          </cell>
          <cell r="AH1008">
            <v>2</v>
          </cell>
          <cell r="AI1008">
            <v>2</v>
          </cell>
          <cell r="AJ1008">
            <v>2</v>
          </cell>
          <cell r="AK1008">
            <v>2</v>
          </cell>
          <cell r="AL1008">
            <v>2</v>
          </cell>
          <cell r="AM1008" t="str">
            <v>NULL</v>
          </cell>
          <cell r="AN1008" t="str">
            <v>Yes</v>
          </cell>
          <cell r="AO1008" t="str">
            <v>ITS443459</v>
          </cell>
          <cell r="AP1008" t="str">
            <v>Independent School standard inspection</v>
          </cell>
          <cell r="AQ1008" t="str">
            <v>Independent Standard Inspection</v>
          </cell>
          <cell r="AR1008">
            <v>41814</v>
          </cell>
          <cell r="AS1008">
            <v>41816</v>
          </cell>
          <cell r="AT1008">
            <v>41835</v>
          </cell>
          <cell r="AU1008">
            <v>2</v>
          </cell>
          <cell r="AV1008">
            <v>2</v>
          </cell>
          <cell r="AW1008">
            <v>2</v>
          </cell>
          <cell r="AX1008">
            <v>2</v>
          </cell>
          <cell r="AY1008" t="str">
            <v>NULL</v>
          </cell>
          <cell r="AZ1008" t="str">
            <v>NULL</v>
          </cell>
          <cell r="BA1008" t="str">
            <v>NULL</v>
          </cell>
          <cell r="BB1008" t="str">
            <v>NULL</v>
          </cell>
        </row>
        <row r="1009">
          <cell r="D1009">
            <v>107795</v>
          </cell>
          <cell r="E1009">
            <v>3826018</v>
          </cell>
          <cell r="F1009" t="str">
            <v>The Branch Christian School</v>
          </cell>
          <cell r="G1009" t="str">
            <v>Other Independent School</v>
          </cell>
          <cell r="H1009">
            <v>34674</v>
          </cell>
          <cell r="I1009">
            <v>21</v>
          </cell>
          <cell r="J1009" t="str">
            <v>North East, Yorkshire and the Humber</v>
          </cell>
          <cell r="K1009" t="str">
            <v>Yorkshire and the Humber</v>
          </cell>
          <cell r="L1009" t="str">
            <v>Kirklees</v>
          </cell>
          <cell r="M1009" t="str">
            <v>Dewsbury</v>
          </cell>
          <cell r="N1009" t="str">
            <v>WF13 4LA</v>
          </cell>
          <cell r="O1009" t="str">
            <v>Has a sixth form</v>
          </cell>
          <cell r="P1009">
            <v>3</v>
          </cell>
          <cell r="Q1009">
            <v>18</v>
          </cell>
          <cell r="R1009" t="str">
            <v>Christian</v>
          </cell>
          <cell r="S1009" t="str">
            <v>Ofsted</v>
          </cell>
          <cell r="T1009" t="str">
            <v>NULL</v>
          </cell>
          <cell r="U1009" t="str">
            <v>NULL</v>
          </cell>
          <cell r="V1009" t="str">
            <v>NULL</v>
          </cell>
          <cell r="W1009" t="str">
            <v>NULL</v>
          </cell>
          <cell r="X1009" t="str">
            <v>NULL</v>
          </cell>
          <cell r="Y1009" t="str">
            <v>NULL</v>
          </cell>
          <cell r="Z1009" t="str">
            <v>NULL</v>
          </cell>
          <cell r="AA1009">
            <v>10008555</v>
          </cell>
          <cell r="AB1009" t="str">
            <v>Independent School standard inspection</v>
          </cell>
          <cell r="AC1009" t="str">
            <v>Independent Standard Inspection</v>
          </cell>
          <cell r="AD1009">
            <v>42409</v>
          </cell>
          <cell r="AE1009">
            <v>42411</v>
          </cell>
          <cell r="AF1009">
            <v>42437</v>
          </cell>
          <cell r="AG1009">
            <v>2</v>
          </cell>
          <cell r="AH1009">
            <v>2</v>
          </cell>
          <cell r="AI1009">
            <v>2</v>
          </cell>
          <cell r="AJ1009">
            <v>2</v>
          </cell>
          <cell r="AK1009">
            <v>2</v>
          </cell>
          <cell r="AL1009">
            <v>3</v>
          </cell>
          <cell r="AM1009" t="str">
            <v>NULL</v>
          </cell>
          <cell r="AN1009" t="str">
            <v>Yes</v>
          </cell>
          <cell r="AO1009" t="str">
            <v>ITS344458</v>
          </cell>
          <cell r="AP1009" t="str">
            <v>S162a - LTI Inspection Historic</v>
          </cell>
          <cell r="AQ1009" t="str">
            <v>Independent Standard Inspection</v>
          </cell>
          <cell r="AR1009">
            <v>40233</v>
          </cell>
          <cell r="AS1009">
            <v>40233</v>
          </cell>
          <cell r="AT1009">
            <v>40254</v>
          </cell>
          <cell r="AU1009">
            <v>2</v>
          </cell>
          <cell r="AV1009">
            <v>2</v>
          </cell>
          <cell r="AW1009">
            <v>2</v>
          </cell>
          <cell r="AX1009" t="str">
            <v>NULL</v>
          </cell>
          <cell r="AY1009" t="str">
            <v>NULL</v>
          </cell>
          <cell r="AZ1009">
            <v>2</v>
          </cell>
          <cell r="BA1009" t="str">
            <v>NULL</v>
          </cell>
          <cell r="BB1009" t="str">
            <v>NULL</v>
          </cell>
        </row>
        <row r="1010">
          <cell r="D1010">
            <v>130243</v>
          </cell>
          <cell r="E1010">
            <v>2066383</v>
          </cell>
          <cell r="F1010" t="str">
            <v>The Children's House Upper School</v>
          </cell>
          <cell r="G1010" t="str">
            <v>Other Independent School</v>
          </cell>
          <cell r="H1010">
            <v>38601</v>
          </cell>
          <cell r="I1010">
            <v>69</v>
          </cell>
          <cell r="J1010" t="str">
            <v>London</v>
          </cell>
          <cell r="K1010" t="str">
            <v>London</v>
          </cell>
          <cell r="L1010" t="str">
            <v>Islington</v>
          </cell>
          <cell r="M1010" t="str">
            <v>Islington North</v>
          </cell>
          <cell r="N1010" t="str">
            <v>N1 4PB</v>
          </cell>
          <cell r="O1010" t="str">
            <v>Does not have a sixth form</v>
          </cell>
          <cell r="P1010">
            <v>5</v>
          </cell>
          <cell r="Q1010">
            <v>7</v>
          </cell>
          <cell r="R1010" t="str">
            <v>None</v>
          </cell>
          <cell r="S1010" t="str">
            <v>Ofsted</v>
          </cell>
          <cell r="T1010" t="str">
            <v>NULL</v>
          </cell>
          <cell r="U1010" t="str">
            <v>NULL</v>
          </cell>
          <cell r="V1010" t="str">
            <v>NULL</v>
          </cell>
          <cell r="W1010" t="str">
            <v>NULL</v>
          </cell>
          <cell r="X1010" t="str">
            <v>NULL</v>
          </cell>
          <cell r="Y1010" t="str">
            <v>NULL</v>
          </cell>
          <cell r="Z1010" t="str">
            <v>NULL</v>
          </cell>
          <cell r="AA1010">
            <v>10006034</v>
          </cell>
          <cell r="AB1010" t="str">
            <v>Independent School standard inspection</v>
          </cell>
          <cell r="AC1010" t="str">
            <v>Independent Standard Inspection</v>
          </cell>
          <cell r="AD1010">
            <v>42444</v>
          </cell>
          <cell r="AE1010">
            <v>42446</v>
          </cell>
          <cell r="AF1010">
            <v>42542</v>
          </cell>
          <cell r="AG1010">
            <v>2</v>
          </cell>
          <cell r="AH1010">
            <v>2</v>
          </cell>
          <cell r="AI1010">
            <v>2</v>
          </cell>
          <cell r="AJ1010">
            <v>2</v>
          </cell>
          <cell r="AK1010">
            <v>2</v>
          </cell>
          <cell r="AL1010">
            <v>1</v>
          </cell>
          <cell r="AM1010" t="str">
            <v>NULL</v>
          </cell>
          <cell r="AN1010" t="str">
            <v>Yes</v>
          </cell>
          <cell r="AO1010" t="str">
            <v>ITS333840</v>
          </cell>
          <cell r="AP1010" t="str">
            <v>S162a - LTI Inspection Historic</v>
          </cell>
          <cell r="AQ1010" t="str">
            <v>Independent Standard Inspection</v>
          </cell>
          <cell r="AR1010">
            <v>39946</v>
          </cell>
          <cell r="AS1010">
            <v>39946</v>
          </cell>
          <cell r="AT1010">
            <v>39974</v>
          </cell>
          <cell r="AU1010">
            <v>1</v>
          </cell>
          <cell r="AV1010">
            <v>1</v>
          </cell>
          <cell r="AW1010">
            <v>1</v>
          </cell>
          <cell r="AX1010" t="str">
            <v>NULL</v>
          </cell>
          <cell r="AY1010" t="str">
            <v>NULL</v>
          </cell>
          <cell r="AZ1010">
            <v>1</v>
          </cell>
          <cell r="BA1010" t="str">
            <v>NULL</v>
          </cell>
          <cell r="BB1010" t="str">
            <v>NULL</v>
          </cell>
        </row>
        <row r="1011">
          <cell r="D1011">
            <v>115436</v>
          </cell>
          <cell r="E1011">
            <v>8816041</v>
          </cell>
          <cell r="F1011" t="str">
            <v>The Christian School (Takeley)</v>
          </cell>
          <cell r="G1011" t="str">
            <v>Other Independent School</v>
          </cell>
          <cell r="H1011">
            <v>32801</v>
          </cell>
          <cell r="I1011">
            <v>53</v>
          </cell>
          <cell r="J1011" t="str">
            <v>East of England</v>
          </cell>
          <cell r="K1011" t="str">
            <v>East of England</v>
          </cell>
          <cell r="L1011" t="str">
            <v>Essex</v>
          </cell>
          <cell r="M1011" t="str">
            <v>Saffron Walden</v>
          </cell>
          <cell r="N1011" t="str">
            <v>CM22 6QH</v>
          </cell>
          <cell r="O1011" t="str">
            <v>Does not have a sixth form</v>
          </cell>
          <cell r="P1011">
            <v>3</v>
          </cell>
          <cell r="Q1011">
            <v>16</v>
          </cell>
          <cell r="R1011" t="str">
            <v>Christian</v>
          </cell>
          <cell r="S1011" t="str">
            <v>Ofsted</v>
          </cell>
          <cell r="T1011">
            <v>1</v>
          </cell>
          <cell r="U1011">
            <v>10048937</v>
          </cell>
          <cell r="V1011" t="str">
            <v>Independent school evaluation of school action plan</v>
          </cell>
          <cell r="W1011">
            <v>43164</v>
          </cell>
          <cell r="X1011">
            <v>43164</v>
          </cell>
          <cell r="Y1011" t="str">
            <v>NULL</v>
          </cell>
          <cell r="Z1011" t="str">
            <v>Action plan is not acceptable</v>
          </cell>
          <cell r="AA1011">
            <v>10040367</v>
          </cell>
          <cell r="AB1011" t="str">
            <v>Independent School standard inspection</v>
          </cell>
          <cell r="AC1011" t="str">
            <v>Independent Standard Inspection</v>
          </cell>
          <cell r="AD1011">
            <v>43074</v>
          </cell>
          <cell r="AE1011">
            <v>43076</v>
          </cell>
          <cell r="AF1011">
            <v>43124</v>
          </cell>
          <cell r="AG1011">
            <v>3</v>
          </cell>
          <cell r="AH1011">
            <v>2</v>
          </cell>
          <cell r="AI1011">
            <v>2</v>
          </cell>
          <cell r="AJ1011">
            <v>3</v>
          </cell>
          <cell r="AK1011">
            <v>2</v>
          </cell>
          <cell r="AL1011">
            <v>2</v>
          </cell>
          <cell r="AM1011" t="str">
            <v>NULL</v>
          </cell>
          <cell r="AN1011" t="str">
            <v>Yes</v>
          </cell>
          <cell r="AO1011" t="str">
            <v>NULL</v>
          </cell>
          <cell r="AP1011" t="str">
            <v>NULL</v>
          </cell>
          <cell r="AQ1011" t="str">
            <v>NULL</v>
          </cell>
          <cell r="AR1011" t="str">
            <v>NULL</v>
          </cell>
          <cell r="AS1011" t="str">
            <v>NULL</v>
          </cell>
          <cell r="AT1011" t="str">
            <v>NULL</v>
          </cell>
          <cell r="AU1011" t="str">
            <v>NULL</v>
          </cell>
          <cell r="AV1011" t="str">
            <v>NULL</v>
          </cell>
          <cell r="AW1011" t="str">
            <v>NULL</v>
          </cell>
          <cell r="AX1011" t="str">
            <v>NULL</v>
          </cell>
          <cell r="AY1011" t="str">
            <v>NULL</v>
          </cell>
          <cell r="AZ1011" t="str">
            <v>NULL</v>
          </cell>
          <cell r="BA1011" t="str">
            <v>NULL</v>
          </cell>
          <cell r="BB1011" t="str">
            <v>NULL</v>
          </cell>
        </row>
        <row r="1012">
          <cell r="D1012">
            <v>139601</v>
          </cell>
          <cell r="E1012">
            <v>2116006</v>
          </cell>
          <cell r="F1012" t="str">
            <v>The Complete Works Independent School</v>
          </cell>
          <cell r="G1012" t="str">
            <v>Other Independent School</v>
          </cell>
          <cell r="H1012">
            <v>41393</v>
          </cell>
          <cell r="I1012">
            <v>35</v>
          </cell>
          <cell r="J1012" t="str">
            <v>London</v>
          </cell>
          <cell r="K1012" t="str">
            <v>London</v>
          </cell>
          <cell r="L1012" t="str">
            <v>Tower Hamlets</v>
          </cell>
          <cell r="M1012" t="str">
            <v>Bethnal Green and Bow</v>
          </cell>
          <cell r="N1012" t="str">
            <v>E1 6LP</v>
          </cell>
          <cell r="O1012" t="str">
            <v>Does not have a sixth form</v>
          </cell>
          <cell r="P1012">
            <v>5</v>
          </cell>
          <cell r="Q1012">
            <v>16</v>
          </cell>
          <cell r="R1012" t="str">
            <v>None</v>
          </cell>
          <cell r="S1012" t="str">
            <v>Ofsted</v>
          </cell>
          <cell r="T1012">
            <v>1</v>
          </cell>
          <cell r="U1012">
            <v>10039172</v>
          </cell>
          <cell r="V1012" t="str">
            <v>Independent school Material Change inspection</v>
          </cell>
          <cell r="W1012">
            <v>42919</v>
          </cell>
          <cell r="X1012">
            <v>42919</v>
          </cell>
          <cell r="Y1012">
            <v>42998</v>
          </cell>
          <cell r="Z1012" t="str">
            <v>Change implemented and meets relevant standards</v>
          </cell>
          <cell r="AA1012" t="str">
            <v>ITS429469</v>
          </cell>
          <cell r="AB1012" t="str">
            <v>Independent school standard inspection - first</v>
          </cell>
          <cell r="AC1012" t="str">
            <v>Independent Standard Inspection</v>
          </cell>
          <cell r="AD1012">
            <v>41681</v>
          </cell>
          <cell r="AE1012">
            <v>41683</v>
          </cell>
          <cell r="AF1012">
            <v>41703</v>
          </cell>
          <cell r="AG1012">
            <v>2</v>
          </cell>
          <cell r="AH1012">
            <v>2</v>
          </cell>
          <cell r="AI1012">
            <v>2</v>
          </cell>
          <cell r="AJ1012">
            <v>2</v>
          </cell>
          <cell r="AK1012" t="str">
            <v>NULL</v>
          </cell>
          <cell r="AL1012" t="str">
            <v>NULL</v>
          </cell>
          <cell r="AM1012" t="str">
            <v>NULL</v>
          </cell>
          <cell r="AN1012" t="str">
            <v>NULL</v>
          </cell>
          <cell r="AO1012" t="str">
            <v>NULL</v>
          </cell>
          <cell r="AP1012" t="str">
            <v>NULL</v>
          </cell>
          <cell r="AQ1012" t="str">
            <v>NULL</v>
          </cell>
          <cell r="AR1012" t="str">
            <v>NULL</v>
          </cell>
          <cell r="AS1012" t="str">
            <v>NULL</v>
          </cell>
          <cell r="AT1012" t="str">
            <v>NULL</v>
          </cell>
          <cell r="AU1012" t="str">
            <v>NULL</v>
          </cell>
          <cell r="AV1012" t="str">
            <v>NULL</v>
          </cell>
          <cell r="AW1012" t="str">
            <v>NULL</v>
          </cell>
          <cell r="AX1012" t="str">
            <v>NULL</v>
          </cell>
          <cell r="AY1012" t="str">
            <v>NULL</v>
          </cell>
          <cell r="AZ1012" t="str">
            <v>NULL</v>
          </cell>
          <cell r="BA1012" t="str">
            <v>NULL</v>
          </cell>
          <cell r="BB1012" t="str">
            <v>NULL</v>
          </cell>
        </row>
        <row r="1013">
          <cell r="D1013">
            <v>139417</v>
          </cell>
          <cell r="E1013">
            <v>3156001</v>
          </cell>
          <cell r="F1013" t="str">
            <v>The London Acorn School</v>
          </cell>
          <cell r="G1013" t="str">
            <v>Other Independent School</v>
          </cell>
          <cell r="H1013">
            <v>41347</v>
          </cell>
          <cell r="I1013">
            <v>51</v>
          </cell>
          <cell r="J1013" t="str">
            <v>London</v>
          </cell>
          <cell r="K1013" t="str">
            <v>London</v>
          </cell>
          <cell r="L1013" t="str">
            <v>Merton</v>
          </cell>
          <cell r="M1013" t="str">
            <v>Mitcham and Morden</v>
          </cell>
          <cell r="N1013" t="str">
            <v>SM4 5JD</v>
          </cell>
          <cell r="O1013" t="str">
            <v>Does not have a sixth form</v>
          </cell>
          <cell r="P1013">
            <v>3</v>
          </cell>
          <cell r="Q1013">
            <v>14</v>
          </cell>
          <cell r="R1013" t="str">
            <v>None</v>
          </cell>
          <cell r="S1013" t="str">
            <v>Ofsted</v>
          </cell>
          <cell r="T1013" t="str">
            <v>NULL</v>
          </cell>
          <cell r="U1013" t="str">
            <v>NULL</v>
          </cell>
          <cell r="V1013" t="str">
            <v>NULL</v>
          </cell>
          <cell r="W1013" t="str">
            <v>NULL</v>
          </cell>
          <cell r="X1013" t="str">
            <v>NULL</v>
          </cell>
          <cell r="Y1013" t="str">
            <v>NULL</v>
          </cell>
          <cell r="Z1013" t="str">
            <v>NULL</v>
          </cell>
          <cell r="AA1013">
            <v>10026299</v>
          </cell>
          <cell r="AB1013" t="str">
            <v>Independent School standard inspection</v>
          </cell>
          <cell r="AC1013" t="str">
            <v>Independent Standard Inspection</v>
          </cell>
          <cell r="AD1013">
            <v>43060</v>
          </cell>
          <cell r="AE1013">
            <v>43062</v>
          </cell>
          <cell r="AF1013">
            <v>43126</v>
          </cell>
          <cell r="AG1013">
            <v>2</v>
          </cell>
          <cell r="AH1013">
            <v>2</v>
          </cell>
          <cell r="AI1013">
            <v>2</v>
          </cell>
          <cell r="AJ1013">
            <v>2</v>
          </cell>
          <cell r="AK1013">
            <v>2</v>
          </cell>
          <cell r="AL1013">
            <v>2</v>
          </cell>
          <cell r="AM1013" t="str">
            <v>NULL</v>
          </cell>
          <cell r="AN1013" t="str">
            <v>Yes</v>
          </cell>
          <cell r="AO1013" t="str">
            <v>ITS422865</v>
          </cell>
          <cell r="AP1013" t="str">
            <v>Independent school standard inspection - first</v>
          </cell>
          <cell r="AQ1013" t="str">
            <v>Independent Standard Inspection</v>
          </cell>
          <cell r="AR1013">
            <v>41667</v>
          </cell>
          <cell r="AS1013">
            <v>41669</v>
          </cell>
          <cell r="AT1013">
            <v>41703</v>
          </cell>
          <cell r="AU1013">
            <v>1</v>
          </cell>
          <cell r="AV1013">
            <v>1</v>
          </cell>
          <cell r="AW1013">
            <v>1</v>
          </cell>
          <cell r="AX1013">
            <v>2</v>
          </cell>
          <cell r="AY1013" t="str">
            <v>NULL</v>
          </cell>
          <cell r="AZ1013" t="str">
            <v>NULL</v>
          </cell>
          <cell r="BA1013" t="str">
            <v>NULL</v>
          </cell>
          <cell r="BB1013" t="str">
            <v>NULL</v>
          </cell>
        </row>
        <row r="1014">
          <cell r="D1014">
            <v>135689</v>
          </cell>
          <cell r="E1014">
            <v>9356226</v>
          </cell>
          <cell r="F1014" t="str">
            <v>The Meadows Montessori School</v>
          </cell>
          <cell r="G1014" t="str">
            <v>Other Independent School</v>
          </cell>
          <cell r="H1014">
            <v>39692</v>
          </cell>
          <cell r="I1014">
            <v>58</v>
          </cell>
          <cell r="J1014" t="str">
            <v>East of England</v>
          </cell>
          <cell r="K1014" t="str">
            <v>East of England</v>
          </cell>
          <cell r="L1014" t="str">
            <v>Suffolk</v>
          </cell>
          <cell r="M1014" t="str">
            <v>Central Suffolk and North Ipswich</v>
          </cell>
          <cell r="N1014" t="str">
            <v>IP1 6AR</v>
          </cell>
          <cell r="O1014" t="str">
            <v>Does not have a sixth form</v>
          </cell>
          <cell r="P1014">
            <v>3</v>
          </cell>
          <cell r="Q1014">
            <v>11</v>
          </cell>
          <cell r="R1014" t="str">
            <v>None</v>
          </cell>
          <cell r="S1014" t="str">
            <v>Ofsted</v>
          </cell>
          <cell r="T1014" t="str">
            <v>NULL</v>
          </cell>
          <cell r="U1014" t="str">
            <v>NULL</v>
          </cell>
          <cell r="V1014" t="str">
            <v>NULL</v>
          </cell>
          <cell r="W1014" t="str">
            <v>NULL</v>
          </cell>
          <cell r="X1014" t="str">
            <v>NULL</v>
          </cell>
          <cell r="Y1014" t="str">
            <v>NULL</v>
          </cell>
          <cell r="Z1014" t="str">
            <v>NULL</v>
          </cell>
          <cell r="AA1014">
            <v>10008596</v>
          </cell>
          <cell r="AB1014" t="str">
            <v>Independent School standard inspection</v>
          </cell>
          <cell r="AC1014" t="str">
            <v>Independent Standard Inspection</v>
          </cell>
          <cell r="AD1014">
            <v>42626</v>
          </cell>
          <cell r="AE1014">
            <v>42628</v>
          </cell>
          <cell r="AF1014">
            <v>42675</v>
          </cell>
          <cell r="AG1014">
            <v>2</v>
          </cell>
          <cell r="AH1014">
            <v>2</v>
          </cell>
          <cell r="AI1014">
            <v>2</v>
          </cell>
          <cell r="AJ1014">
            <v>2</v>
          </cell>
          <cell r="AK1014">
            <v>1</v>
          </cell>
          <cell r="AL1014">
            <v>2</v>
          </cell>
          <cell r="AM1014" t="str">
            <v>NULL</v>
          </cell>
          <cell r="AN1014" t="str">
            <v>Yes</v>
          </cell>
          <cell r="AO1014" t="str">
            <v>ITS408737</v>
          </cell>
          <cell r="AP1014" t="str">
            <v>Independent School standard inspection</v>
          </cell>
          <cell r="AQ1014" t="str">
            <v>Independent Standard Inspection</v>
          </cell>
          <cell r="AR1014">
            <v>41337</v>
          </cell>
          <cell r="AS1014">
            <v>41339</v>
          </cell>
          <cell r="AT1014">
            <v>41359</v>
          </cell>
          <cell r="AU1014">
            <v>3</v>
          </cell>
          <cell r="AV1014">
            <v>3</v>
          </cell>
          <cell r="AW1014">
            <v>3</v>
          </cell>
          <cell r="AX1014">
            <v>3</v>
          </cell>
          <cell r="AY1014" t="str">
            <v>NULL</v>
          </cell>
          <cell r="AZ1014" t="str">
            <v>NULL</v>
          </cell>
          <cell r="BA1014" t="str">
            <v>NULL</v>
          </cell>
          <cell r="BB1014" t="str">
            <v>NULL</v>
          </cell>
        </row>
        <row r="1015">
          <cell r="D1015">
            <v>139771</v>
          </cell>
          <cell r="E1015">
            <v>8926016</v>
          </cell>
          <cell r="F1015" t="str">
            <v>Tlg Nottingham</v>
          </cell>
          <cell r="G1015" t="str">
            <v>Other Independent School</v>
          </cell>
          <cell r="H1015">
            <v>41428</v>
          </cell>
          <cell r="I1015">
            <v>5</v>
          </cell>
          <cell r="J1015" t="str">
            <v>East Midlands</v>
          </cell>
          <cell r="K1015" t="str">
            <v>East Midlands</v>
          </cell>
          <cell r="L1015" t="str">
            <v>Nottingham</v>
          </cell>
          <cell r="M1015" t="str">
            <v>Nottingham North</v>
          </cell>
          <cell r="N1015" t="str">
            <v>NG5 5HN</v>
          </cell>
          <cell r="O1015" t="str">
            <v>Does not have a sixth form</v>
          </cell>
          <cell r="P1015">
            <v>11</v>
          </cell>
          <cell r="Q1015">
            <v>16</v>
          </cell>
          <cell r="R1015" t="str">
            <v>None</v>
          </cell>
          <cell r="S1015" t="str">
            <v>Ofsted</v>
          </cell>
          <cell r="T1015" t="str">
            <v>NULL</v>
          </cell>
          <cell r="U1015" t="str">
            <v>NULL</v>
          </cell>
          <cell r="V1015" t="str">
            <v>NULL</v>
          </cell>
          <cell r="W1015" t="str">
            <v>NULL</v>
          </cell>
          <cell r="X1015" t="str">
            <v>NULL</v>
          </cell>
          <cell r="Y1015" t="str">
            <v>NULL</v>
          </cell>
          <cell r="Z1015" t="str">
            <v>NULL</v>
          </cell>
          <cell r="AA1015">
            <v>10033531</v>
          </cell>
          <cell r="AB1015" t="str">
            <v>Independent School standard inspection</v>
          </cell>
          <cell r="AC1015" t="str">
            <v>Independent Standard Inspection</v>
          </cell>
          <cell r="AD1015">
            <v>43137</v>
          </cell>
          <cell r="AE1015">
            <v>43139</v>
          </cell>
          <cell r="AF1015">
            <v>43173</v>
          </cell>
          <cell r="AG1015">
            <v>2</v>
          </cell>
          <cell r="AH1015">
            <v>2</v>
          </cell>
          <cell r="AI1015">
            <v>2</v>
          </cell>
          <cell r="AJ1015">
            <v>2</v>
          </cell>
          <cell r="AK1015">
            <v>2</v>
          </cell>
          <cell r="AL1015" t="str">
            <v>NULL</v>
          </cell>
          <cell r="AM1015" t="str">
            <v>NULL</v>
          </cell>
          <cell r="AN1015" t="str">
            <v>Yes</v>
          </cell>
          <cell r="AO1015" t="str">
            <v>ITS443007</v>
          </cell>
          <cell r="AP1015" t="str">
            <v>Independent school standard inspection - first</v>
          </cell>
          <cell r="AQ1015" t="str">
            <v>Independent Standard Inspection</v>
          </cell>
          <cell r="AR1015">
            <v>41794</v>
          </cell>
          <cell r="AS1015">
            <v>41796</v>
          </cell>
          <cell r="AT1015">
            <v>41816</v>
          </cell>
          <cell r="AU1015">
            <v>2</v>
          </cell>
          <cell r="AV1015">
            <v>2</v>
          </cell>
          <cell r="AW1015">
            <v>2</v>
          </cell>
          <cell r="AX1015">
            <v>2</v>
          </cell>
          <cell r="AY1015" t="str">
            <v>NULL</v>
          </cell>
          <cell r="AZ1015" t="str">
            <v>NULL</v>
          </cell>
          <cell r="BA1015" t="str">
            <v>NULL</v>
          </cell>
          <cell r="BB1015" t="str">
            <v>NULL</v>
          </cell>
        </row>
        <row r="1016">
          <cell r="D1016">
            <v>139962</v>
          </cell>
          <cell r="E1016">
            <v>3306015</v>
          </cell>
          <cell r="F1016" t="str">
            <v>TLG - South East Birmingham</v>
          </cell>
          <cell r="G1016" t="str">
            <v>Other Independent School</v>
          </cell>
          <cell r="H1016">
            <v>41473</v>
          </cell>
          <cell r="I1016">
            <v>5</v>
          </cell>
          <cell r="J1016" t="str">
            <v>West Midlands</v>
          </cell>
          <cell r="K1016" t="str">
            <v>West Midlands</v>
          </cell>
          <cell r="L1016" t="str">
            <v>Birmingham</v>
          </cell>
          <cell r="M1016" t="str">
            <v>Birmingham, Selly Oak</v>
          </cell>
          <cell r="N1016" t="str">
            <v>B14 4BN</v>
          </cell>
          <cell r="O1016" t="str">
            <v>Does not have a sixth form</v>
          </cell>
          <cell r="P1016">
            <v>11</v>
          </cell>
          <cell r="Q1016">
            <v>16</v>
          </cell>
          <cell r="R1016" t="str">
            <v>None</v>
          </cell>
          <cell r="S1016" t="str">
            <v>Ofsted</v>
          </cell>
          <cell r="T1016" t="str">
            <v>NULL</v>
          </cell>
          <cell r="U1016" t="str">
            <v>NULL</v>
          </cell>
          <cell r="V1016" t="str">
            <v>NULL</v>
          </cell>
          <cell r="W1016" t="str">
            <v>NULL</v>
          </cell>
          <cell r="X1016" t="str">
            <v>NULL</v>
          </cell>
          <cell r="Y1016" t="str">
            <v>NULL</v>
          </cell>
          <cell r="Z1016" t="str">
            <v>NULL</v>
          </cell>
          <cell r="AA1016">
            <v>10033583</v>
          </cell>
          <cell r="AB1016" t="str">
            <v>Independent School standard inspection</v>
          </cell>
          <cell r="AC1016" t="str">
            <v>Independent Standard Inspection</v>
          </cell>
          <cell r="AD1016">
            <v>43144</v>
          </cell>
          <cell r="AE1016">
            <v>43146</v>
          </cell>
          <cell r="AF1016">
            <v>43174</v>
          </cell>
          <cell r="AG1016">
            <v>2</v>
          </cell>
          <cell r="AH1016">
            <v>2</v>
          </cell>
          <cell r="AI1016">
            <v>2</v>
          </cell>
          <cell r="AJ1016">
            <v>2</v>
          </cell>
          <cell r="AK1016">
            <v>2</v>
          </cell>
          <cell r="AL1016" t="str">
            <v>NULL</v>
          </cell>
          <cell r="AM1016" t="str">
            <v>NULL</v>
          </cell>
          <cell r="AN1016" t="str">
            <v>Yes</v>
          </cell>
          <cell r="AO1016" t="str">
            <v>ITS443019</v>
          </cell>
          <cell r="AP1016" t="str">
            <v>Independent school standard inspection - first</v>
          </cell>
          <cell r="AQ1016" t="str">
            <v>Independent Standard Inspection</v>
          </cell>
          <cell r="AR1016">
            <v>41835</v>
          </cell>
          <cell r="AS1016">
            <v>41837</v>
          </cell>
          <cell r="AT1016">
            <v>41898</v>
          </cell>
          <cell r="AU1016">
            <v>2</v>
          </cell>
          <cell r="AV1016">
            <v>2</v>
          </cell>
          <cell r="AW1016">
            <v>2</v>
          </cell>
          <cell r="AX1016">
            <v>2</v>
          </cell>
          <cell r="AY1016" t="str">
            <v>NULL</v>
          </cell>
          <cell r="AZ1016" t="str">
            <v>NULL</v>
          </cell>
          <cell r="BA1016" t="str">
            <v>NULL</v>
          </cell>
          <cell r="BB1016" t="str">
            <v>NULL</v>
          </cell>
        </row>
        <row r="1017">
          <cell r="D1017">
            <v>136242</v>
          </cell>
          <cell r="E1017">
            <v>3526070</v>
          </cell>
          <cell r="F1017" t="str">
            <v>TLG Manchester</v>
          </cell>
          <cell r="G1017" t="str">
            <v>Other Independent School</v>
          </cell>
          <cell r="H1017">
            <v>40458</v>
          </cell>
          <cell r="I1017">
            <v>10</v>
          </cell>
          <cell r="J1017" t="str">
            <v>North West</v>
          </cell>
          <cell r="K1017" t="str">
            <v>North West</v>
          </cell>
          <cell r="L1017" t="str">
            <v>Manchester</v>
          </cell>
          <cell r="M1017" t="str">
            <v>Blackley and Broughton</v>
          </cell>
          <cell r="N1017" t="str">
            <v>M9 5US</v>
          </cell>
          <cell r="O1017" t="str">
            <v>Does not have a sixth form</v>
          </cell>
          <cell r="P1017">
            <v>11</v>
          </cell>
          <cell r="Q1017">
            <v>16</v>
          </cell>
          <cell r="R1017" t="str">
            <v>None</v>
          </cell>
          <cell r="S1017" t="str">
            <v>Ofsted</v>
          </cell>
          <cell r="T1017" t="str">
            <v>NULL</v>
          </cell>
          <cell r="U1017" t="str">
            <v>NULL</v>
          </cell>
          <cell r="V1017" t="str">
            <v>NULL</v>
          </cell>
          <cell r="W1017" t="str">
            <v>NULL</v>
          </cell>
          <cell r="X1017" t="str">
            <v>NULL</v>
          </cell>
          <cell r="Y1017" t="str">
            <v>NULL</v>
          </cell>
          <cell r="Z1017" t="str">
            <v>NULL</v>
          </cell>
          <cell r="AA1017" t="str">
            <v>ITS454292</v>
          </cell>
          <cell r="AB1017" t="str">
            <v>Independent School standard inspection</v>
          </cell>
          <cell r="AC1017" t="str">
            <v>Independent Standard Inspection</v>
          </cell>
          <cell r="AD1017">
            <v>42073</v>
          </cell>
          <cell r="AE1017">
            <v>42075</v>
          </cell>
          <cell r="AF1017">
            <v>42118</v>
          </cell>
          <cell r="AG1017">
            <v>2</v>
          </cell>
          <cell r="AH1017">
            <v>2</v>
          </cell>
          <cell r="AI1017">
            <v>2</v>
          </cell>
          <cell r="AJ1017">
            <v>2</v>
          </cell>
          <cell r="AK1017" t="str">
            <v>NULL</v>
          </cell>
          <cell r="AL1017">
            <v>9</v>
          </cell>
          <cell r="AM1017">
            <v>9</v>
          </cell>
          <cell r="AN1017" t="str">
            <v>NULL</v>
          </cell>
          <cell r="AO1017" t="str">
            <v>ITS385127</v>
          </cell>
          <cell r="AP1017" t="str">
            <v>Independent School standard inspection</v>
          </cell>
          <cell r="AQ1017" t="str">
            <v>Independent Standard Inspection</v>
          </cell>
          <cell r="AR1017">
            <v>40870</v>
          </cell>
          <cell r="AS1017">
            <v>40871</v>
          </cell>
          <cell r="AT1017">
            <v>40892</v>
          </cell>
          <cell r="AU1017">
            <v>2</v>
          </cell>
          <cell r="AV1017">
            <v>2</v>
          </cell>
          <cell r="AW1017">
            <v>2</v>
          </cell>
          <cell r="AX1017" t="str">
            <v>NULL</v>
          </cell>
          <cell r="AY1017" t="str">
            <v>NULL</v>
          </cell>
          <cell r="AZ1017">
            <v>8</v>
          </cell>
          <cell r="BA1017" t="str">
            <v>NULL</v>
          </cell>
          <cell r="BB1017" t="str">
            <v>NULL</v>
          </cell>
        </row>
        <row r="1018">
          <cell r="D1018">
            <v>134427</v>
          </cell>
          <cell r="E1018">
            <v>3806118</v>
          </cell>
          <cell r="F1018" t="str">
            <v>TLG Bradford</v>
          </cell>
          <cell r="G1018" t="str">
            <v>Other Independent School</v>
          </cell>
          <cell r="H1018">
            <v>37862</v>
          </cell>
          <cell r="I1018">
            <v>9</v>
          </cell>
          <cell r="J1018" t="str">
            <v>North East, Yorkshire and the Humber</v>
          </cell>
          <cell r="K1018" t="str">
            <v>Yorkshire and the Humber</v>
          </cell>
          <cell r="L1018" t="str">
            <v>Bradford</v>
          </cell>
          <cell r="M1018" t="str">
            <v>Bradford East</v>
          </cell>
          <cell r="N1018" t="str">
            <v>BD5 8HH</v>
          </cell>
          <cell r="O1018" t="str">
            <v>Does not have a sixth form</v>
          </cell>
          <cell r="P1018">
            <v>11</v>
          </cell>
          <cell r="Q1018">
            <v>16</v>
          </cell>
          <cell r="R1018" t="str">
            <v>None</v>
          </cell>
          <cell r="S1018" t="str">
            <v>Ofsted</v>
          </cell>
          <cell r="T1018" t="str">
            <v>NULL</v>
          </cell>
          <cell r="U1018" t="str">
            <v>NULL</v>
          </cell>
          <cell r="V1018" t="str">
            <v>NULL</v>
          </cell>
          <cell r="W1018" t="str">
            <v>NULL</v>
          </cell>
          <cell r="X1018" t="str">
            <v>NULL</v>
          </cell>
          <cell r="Y1018" t="str">
            <v>NULL</v>
          </cell>
          <cell r="Z1018" t="str">
            <v>NULL</v>
          </cell>
          <cell r="AA1018">
            <v>10008553</v>
          </cell>
          <cell r="AB1018" t="str">
            <v>Independent School standard inspection</v>
          </cell>
          <cell r="AC1018" t="str">
            <v>Independent Standard Inspection</v>
          </cell>
          <cell r="AD1018">
            <v>42451</v>
          </cell>
          <cell r="AE1018">
            <v>42453</v>
          </cell>
          <cell r="AF1018">
            <v>42489</v>
          </cell>
          <cell r="AG1018">
            <v>2</v>
          </cell>
          <cell r="AH1018">
            <v>2</v>
          </cell>
          <cell r="AI1018">
            <v>2</v>
          </cell>
          <cell r="AJ1018">
            <v>2</v>
          </cell>
          <cell r="AK1018">
            <v>2</v>
          </cell>
          <cell r="AL1018" t="str">
            <v>NULL</v>
          </cell>
          <cell r="AM1018" t="str">
            <v>NULL</v>
          </cell>
          <cell r="AN1018" t="str">
            <v>Yes</v>
          </cell>
          <cell r="AO1018" t="str">
            <v>ITS348728</v>
          </cell>
          <cell r="AP1018" t="str">
            <v>S162a - LTI Inspection Historic</v>
          </cell>
          <cell r="AQ1018" t="str">
            <v>Independent Standard Inspection</v>
          </cell>
          <cell r="AR1018">
            <v>40295</v>
          </cell>
          <cell r="AS1018">
            <v>40295</v>
          </cell>
          <cell r="AT1018">
            <v>40317</v>
          </cell>
          <cell r="AU1018">
            <v>2</v>
          </cell>
          <cell r="AV1018">
            <v>2</v>
          </cell>
          <cell r="AW1018">
            <v>2</v>
          </cell>
          <cell r="AX1018" t="str">
            <v>NULL</v>
          </cell>
          <cell r="AY1018" t="str">
            <v>NULL</v>
          </cell>
          <cell r="AZ1018">
            <v>8</v>
          </cell>
          <cell r="BA1018" t="str">
            <v>NULL</v>
          </cell>
          <cell r="BB1018" t="str">
            <v>NULL</v>
          </cell>
        </row>
        <row r="1019">
          <cell r="D1019">
            <v>137574</v>
          </cell>
          <cell r="E1019">
            <v>8616006</v>
          </cell>
          <cell r="F1019" t="str">
            <v>Unity School</v>
          </cell>
          <cell r="G1019" t="str">
            <v>Other Independent School</v>
          </cell>
          <cell r="H1019">
            <v>40834</v>
          </cell>
          <cell r="I1019">
            <v>7</v>
          </cell>
          <cell r="J1019" t="str">
            <v>West Midlands</v>
          </cell>
          <cell r="K1019" t="str">
            <v>West Midlands</v>
          </cell>
          <cell r="L1019" t="str">
            <v>Stoke-on-Trent</v>
          </cell>
          <cell r="M1019" t="str">
            <v>Stoke-on-Trent Central</v>
          </cell>
          <cell r="N1019" t="str">
            <v>ST1 4EU</v>
          </cell>
          <cell r="O1019" t="str">
            <v>Does not have a sixth form</v>
          </cell>
          <cell r="P1019">
            <v>13</v>
          </cell>
          <cell r="Q1019">
            <v>16</v>
          </cell>
          <cell r="R1019" t="str">
            <v>None</v>
          </cell>
          <cell r="S1019" t="str">
            <v>Ofsted</v>
          </cell>
          <cell r="T1019" t="str">
            <v>NULL</v>
          </cell>
          <cell r="U1019" t="str">
            <v>NULL</v>
          </cell>
          <cell r="V1019" t="str">
            <v>NULL</v>
          </cell>
          <cell r="W1019" t="str">
            <v>NULL</v>
          </cell>
          <cell r="X1019" t="str">
            <v>NULL</v>
          </cell>
          <cell r="Y1019" t="str">
            <v>NULL</v>
          </cell>
          <cell r="Z1019" t="str">
            <v>NULL</v>
          </cell>
          <cell r="AA1019">
            <v>10006068</v>
          </cell>
          <cell r="AB1019" t="str">
            <v>Independent School standard inspection</v>
          </cell>
          <cell r="AC1019" t="str">
            <v>Independent Standard Inspection</v>
          </cell>
          <cell r="AD1019">
            <v>43018</v>
          </cell>
          <cell r="AE1019">
            <v>43020</v>
          </cell>
          <cell r="AF1019">
            <v>43047</v>
          </cell>
          <cell r="AG1019">
            <v>2</v>
          </cell>
          <cell r="AH1019">
            <v>2</v>
          </cell>
          <cell r="AI1019">
            <v>2</v>
          </cell>
          <cell r="AJ1019">
            <v>2</v>
          </cell>
          <cell r="AK1019">
            <v>2</v>
          </cell>
          <cell r="AL1019" t="str">
            <v>NULL</v>
          </cell>
          <cell r="AM1019" t="str">
            <v>NULL</v>
          </cell>
          <cell r="AN1019" t="str">
            <v>Yes</v>
          </cell>
          <cell r="AO1019" t="str">
            <v>ITS397690</v>
          </cell>
          <cell r="AP1019" t="str">
            <v>Independent school standard inspection - first</v>
          </cell>
          <cell r="AQ1019" t="str">
            <v>Independent Standard Inspection</v>
          </cell>
          <cell r="AR1019">
            <v>41185</v>
          </cell>
          <cell r="AS1019">
            <v>41186</v>
          </cell>
          <cell r="AT1019">
            <v>41207</v>
          </cell>
          <cell r="AU1019">
            <v>2</v>
          </cell>
          <cell r="AV1019">
            <v>2</v>
          </cell>
          <cell r="AW1019">
            <v>2</v>
          </cell>
          <cell r="AX1019" t="str">
            <v>NULL</v>
          </cell>
          <cell r="AY1019" t="str">
            <v>NULL</v>
          </cell>
          <cell r="AZ1019">
            <v>8</v>
          </cell>
          <cell r="BA1019" t="str">
            <v>NULL</v>
          </cell>
          <cell r="BB1019" t="str">
            <v>NULL</v>
          </cell>
        </row>
        <row r="1020">
          <cell r="D1020">
            <v>138516</v>
          </cell>
          <cell r="E1020">
            <v>2046006</v>
          </cell>
          <cell r="F1020" t="str">
            <v>Vishnitz Girls School</v>
          </cell>
          <cell r="G1020" t="str">
            <v>Other Independent School</v>
          </cell>
          <cell r="H1020">
            <v>41123</v>
          </cell>
          <cell r="I1020">
            <v>172</v>
          </cell>
          <cell r="J1020" t="str">
            <v>London</v>
          </cell>
          <cell r="K1020" t="str">
            <v>London</v>
          </cell>
          <cell r="L1020" t="str">
            <v>Hackney</v>
          </cell>
          <cell r="M1020" t="str">
            <v>Hackney North and Stoke Newington</v>
          </cell>
          <cell r="N1020" t="str">
            <v>N16 5DL</v>
          </cell>
          <cell r="O1020" t="str">
            <v>Does not have a sixth form</v>
          </cell>
          <cell r="P1020">
            <v>3</v>
          </cell>
          <cell r="Q1020">
            <v>8</v>
          </cell>
          <cell r="R1020" t="str">
            <v>Orthodox Jewish</v>
          </cell>
          <cell r="S1020" t="str">
            <v>Ofsted</v>
          </cell>
          <cell r="T1020" t="str">
            <v>NULL</v>
          </cell>
          <cell r="U1020" t="str">
            <v>NULL</v>
          </cell>
          <cell r="V1020" t="str">
            <v>NULL</v>
          </cell>
          <cell r="W1020" t="str">
            <v>NULL</v>
          </cell>
          <cell r="X1020" t="str">
            <v>NULL</v>
          </cell>
          <cell r="Y1020" t="str">
            <v>NULL</v>
          </cell>
          <cell r="Z1020" t="str">
            <v>NULL</v>
          </cell>
          <cell r="AA1020">
            <v>10020725</v>
          </cell>
          <cell r="AB1020" t="str">
            <v>Independent School standard inspection</v>
          </cell>
          <cell r="AC1020" t="str">
            <v>Independent Standard Inspection</v>
          </cell>
          <cell r="AD1020">
            <v>43046</v>
          </cell>
          <cell r="AE1020">
            <v>43048</v>
          </cell>
          <cell r="AF1020">
            <v>43123</v>
          </cell>
          <cell r="AG1020">
            <v>4</v>
          </cell>
          <cell r="AH1020">
            <v>2</v>
          </cell>
          <cell r="AI1020">
            <v>2</v>
          </cell>
          <cell r="AJ1020">
            <v>4</v>
          </cell>
          <cell r="AK1020">
            <v>3</v>
          </cell>
          <cell r="AL1020">
            <v>3</v>
          </cell>
          <cell r="AM1020" t="str">
            <v>NULL</v>
          </cell>
          <cell r="AN1020" t="str">
            <v>Yes</v>
          </cell>
          <cell r="AO1020" t="str">
            <v>ITS420258</v>
          </cell>
          <cell r="AP1020" t="str">
            <v>Independent school standard inspection - first</v>
          </cell>
          <cell r="AQ1020" t="str">
            <v>Independent Standard Inspection</v>
          </cell>
          <cell r="AR1020">
            <v>41457</v>
          </cell>
          <cell r="AS1020">
            <v>41459</v>
          </cell>
          <cell r="AT1020">
            <v>41508</v>
          </cell>
          <cell r="AU1020">
            <v>2</v>
          </cell>
          <cell r="AV1020">
            <v>2</v>
          </cell>
          <cell r="AW1020">
            <v>2</v>
          </cell>
          <cell r="AX1020">
            <v>2</v>
          </cell>
          <cell r="AY1020" t="str">
            <v>NULL</v>
          </cell>
          <cell r="AZ1020" t="str">
            <v>NULL</v>
          </cell>
          <cell r="BA1020" t="str">
            <v>NULL</v>
          </cell>
          <cell r="BB1020" t="str">
            <v>NULL</v>
          </cell>
        </row>
        <row r="1021">
          <cell r="D1021">
            <v>108307</v>
          </cell>
          <cell r="E1021">
            <v>3846116</v>
          </cell>
          <cell r="F1021" t="str">
            <v>Wakefield Independent School</v>
          </cell>
          <cell r="G1021" t="str">
            <v>Other Independent School</v>
          </cell>
          <cell r="H1021">
            <v>29472</v>
          </cell>
          <cell r="I1021">
            <v>180</v>
          </cell>
          <cell r="J1021" t="str">
            <v>North East, Yorkshire and the Humber</v>
          </cell>
          <cell r="K1021" t="str">
            <v>Yorkshire and the Humber</v>
          </cell>
          <cell r="L1021" t="str">
            <v>Wakefield</v>
          </cell>
          <cell r="M1021" t="str">
            <v>Hemsworth</v>
          </cell>
          <cell r="N1021" t="str">
            <v>WF4 1QG</v>
          </cell>
          <cell r="O1021" t="str">
            <v>Has a sixth form</v>
          </cell>
          <cell r="P1021">
            <v>2</v>
          </cell>
          <cell r="Q1021">
            <v>17</v>
          </cell>
          <cell r="R1021" t="str">
            <v>None</v>
          </cell>
          <cell r="S1021" t="str">
            <v>Ofsted</v>
          </cell>
          <cell r="T1021">
            <v>2</v>
          </cell>
          <cell r="U1021">
            <v>10048768</v>
          </cell>
          <cell r="V1021" t="str">
            <v>Independent school evaluation of school action plan</v>
          </cell>
          <cell r="W1021">
            <v>43157</v>
          </cell>
          <cell r="X1021">
            <v>43157</v>
          </cell>
          <cell r="Y1021" t="str">
            <v>NULL</v>
          </cell>
          <cell r="Z1021" t="str">
            <v>Action plan is acceptable</v>
          </cell>
          <cell r="AA1021">
            <v>10006062</v>
          </cell>
          <cell r="AB1021" t="str">
            <v>Independent School standard inspection</v>
          </cell>
          <cell r="AC1021" t="str">
            <v>Independent Standard Inspection</v>
          </cell>
          <cell r="AD1021">
            <v>42486</v>
          </cell>
          <cell r="AE1021">
            <v>42488</v>
          </cell>
          <cell r="AF1021">
            <v>42510</v>
          </cell>
          <cell r="AG1021">
            <v>2</v>
          </cell>
          <cell r="AH1021">
            <v>2</v>
          </cell>
          <cell r="AI1021">
            <v>2</v>
          </cell>
          <cell r="AJ1021">
            <v>2</v>
          </cell>
          <cell r="AK1021">
            <v>1</v>
          </cell>
          <cell r="AL1021">
            <v>2</v>
          </cell>
          <cell r="AM1021" t="str">
            <v>NULL</v>
          </cell>
          <cell r="AN1021" t="str">
            <v>Yes</v>
          </cell>
          <cell r="AO1021" t="str">
            <v>ITS397593</v>
          </cell>
          <cell r="AP1021" t="str">
            <v>Independent School standard inspection</v>
          </cell>
          <cell r="AQ1021" t="str">
            <v>Independent Standard Inspection</v>
          </cell>
          <cell r="AR1021">
            <v>41178</v>
          </cell>
          <cell r="AS1021">
            <v>41179</v>
          </cell>
          <cell r="AT1021">
            <v>41200</v>
          </cell>
          <cell r="AU1021">
            <v>2</v>
          </cell>
          <cell r="AV1021">
            <v>2</v>
          </cell>
          <cell r="AW1021">
            <v>2</v>
          </cell>
          <cell r="AX1021" t="str">
            <v>NULL</v>
          </cell>
          <cell r="AY1021" t="str">
            <v>NULL</v>
          </cell>
          <cell r="AZ1021">
            <v>8</v>
          </cell>
          <cell r="BA1021" t="str">
            <v>NULL</v>
          </cell>
          <cell r="BB1021" t="str">
            <v>NULL</v>
          </cell>
        </row>
        <row r="1022">
          <cell r="D1022">
            <v>134579</v>
          </cell>
          <cell r="E1022">
            <v>3206064</v>
          </cell>
          <cell r="F1022" t="str">
            <v>Walthamstow Montessori School</v>
          </cell>
          <cell r="G1022" t="str">
            <v>Other Independent School</v>
          </cell>
          <cell r="H1022">
            <v>37859</v>
          </cell>
          <cell r="I1022">
            <v>141</v>
          </cell>
          <cell r="J1022" t="str">
            <v>London</v>
          </cell>
          <cell r="K1022" t="str">
            <v>London</v>
          </cell>
          <cell r="L1022" t="str">
            <v>Waltham Forest</v>
          </cell>
          <cell r="M1022" t="str">
            <v>Walthamstow</v>
          </cell>
          <cell r="N1022" t="str">
            <v>E17 5DA</v>
          </cell>
          <cell r="O1022" t="str">
            <v>Does not have a sixth form</v>
          </cell>
          <cell r="P1022">
            <v>3</v>
          </cell>
          <cell r="Q1022">
            <v>11</v>
          </cell>
          <cell r="R1022" t="str">
            <v>None</v>
          </cell>
          <cell r="S1022" t="str">
            <v>Ofsted</v>
          </cell>
          <cell r="T1022">
            <v>1</v>
          </cell>
          <cell r="U1022">
            <v>10043398</v>
          </cell>
          <cell r="V1022" t="str">
            <v>Independent school evaluation of school action plan</v>
          </cell>
          <cell r="W1022">
            <v>43039</v>
          </cell>
          <cell r="X1022">
            <v>43039</v>
          </cell>
          <cell r="Y1022" t="str">
            <v>NULL</v>
          </cell>
          <cell r="Z1022" t="str">
            <v>Action plan is not acceptable</v>
          </cell>
          <cell r="AA1022">
            <v>10008548</v>
          </cell>
          <cell r="AB1022" t="str">
            <v>Independent School standard inspection</v>
          </cell>
          <cell r="AC1022" t="str">
            <v>Independent Standard Inspection</v>
          </cell>
          <cell r="AD1022">
            <v>42893</v>
          </cell>
          <cell r="AE1022">
            <v>42895</v>
          </cell>
          <cell r="AF1022">
            <v>42990</v>
          </cell>
          <cell r="AG1022">
            <v>4</v>
          </cell>
          <cell r="AH1022">
            <v>4</v>
          </cell>
          <cell r="AI1022">
            <v>4</v>
          </cell>
          <cell r="AJ1022">
            <v>4</v>
          </cell>
          <cell r="AK1022">
            <v>4</v>
          </cell>
          <cell r="AL1022">
            <v>4</v>
          </cell>
          <cell r="AM1022" t="str">
            <v>NULL</v>
          </cell>
          <cell r="AN1022" t="str">
            <v>No</v>
          </cell>
          <cell r="AO1022" t="str">
            <v>ITS345368</v>
          </cell>
          <cell r="AP1022" t="str">
            <v>S162a - LTI Inspection Historic</v>
          </cell>
          <cell r="AQ1022" t="str">
            <v>Independent Standard Inspection</v>
          </cell>
          <cell r="AR1022">
            <v>40260</v>
          </cell>
          <cell r="AS1022">
            <v>40260</v>
          </cell>
          <cell r="AT1022">
            <v>40302</v>
          </cell>
          <cell r="AU1022">
            <v>2</v>
          </cell>
          <cell r="AV1022">
            <v>2</v>
          </cell>
          <cell r="AW1022">
            <v>2</v>
          </cell>
          <cell r="AX1022" t="str">
            <v>NULL</v>
          </cell>
          <cell r="AY1022" t="str">
            <v>NULL</v>
          </cell>
          <cell r="AZ1022">
            <v>1</v>
          </cell>
          <cell r="BA1022" t="str">
            <v>NULL</v>
          </cell>
          <cell r="BB1022" t="str">
            <v>NULL</v>
          </cell>
        </row>
        <row r="1023">
          <cell r="D1023">
            <v>142338</v>
          </cell>
          <cell r="E1023">
            <v>3306019</v>
          </cell>
          <cell r="F1023" t="str">
            <v>Riverside Education</v>
          </cell>
          <cell r="G1023" t="str">
            <v>Other Independent School</v>
          </cell>
          <cell r="H1023">
            <v>42251</v>
          </cell>
          <cell r="I1023">
            <v>40</v>
          </cell>
          <cell r="J1023" t="str">
            <v>West Midlands</v>
          </cell>
          <cell r="K1023" t="str">
            <v>West Midlands</v>
          </cell>
          <cell r="L1023" t="str">
            <v>Birmingham</v>
          </cell>
          <cell r="M1023" t="str">
            <v>Birmingham, Yardley</v>
          </cell>
          <cell r="N1023" t="str">
            <v>B33 9BF</v>
          </cell>
          <cell r="O1023" t="str">
            <v>Has a sixth form</v>
          </cell>
          <cell r="P1023">
            <v>14</v>
          </cell>
          <cell r="Q1023">
            <v>19</v>
          </cell>
          <cell r="R1023" t="str">
            <v>None</v>
          </cell>
          <cell r="S1023" t="str">
            <v>Ofsted</v>
          </cell>
          <cell r="T1023">
            <v>1</v>
          </cell>
          <cell r="U1023">
            <v>10040404</v>
          </cell>
          <cell r="V1023" t="str">
            <v>Independent school Material Change inspection</v>
          </cell>
          <cell r="W1023">
            <v>43013</v>
          </cell>
          <cell r="X1023">
            <v>43013</v>
          </cell>
          <cell r="Y1023">
            <v>43116</v>
          </cell>
          <cell r="Z1023" t="str">
            <v>Likely to meet relevant standards</v>
          </cell>
          <cell r="AA1023">
            <v>10012983</v>
          </cell>
          <cell r="AB1023" t="str">
            <v>Independent school standard inspection - first</v>
          </cell>
          <cell r="AC1023" t="str">
            <v>Independent Standard Inspection</v>
          </cell>
          <cell r="AD1023">
            <v>42892</v>
          </cell>
          <cell r="AE1023">
            <v>42894</v>
          </cell>
          <cell r="AF1023">
            <v>42983</v>
          </cell>
          <cell r="AG1023">
            <v>3</v>
          </cell>
          <cell r="AH1023">
            <v>3</v>
          </cell>
          <cell r="AI1023">
            <v>3</v>
          </cell>
          <cell r="AJ1023">
            <v>2</v>
          </cell>
          <cell r="AK1023">
            <v>2</v>
          </cell>
          <cell r="AL1023" t="str">
            <v>NULL</v>
          </cell>
          <cell r="AM1023">
            <v>3</v>
          </cell>
          <cell r="AN1023" t="str">
            <v>Yes</v>
          </cell>
          <cell r="AO1023" t="str">
            <v>NULL</v>
          </cell>
          <cell r="AP1023" t="str">
            <v>NULL</v>
          </cell>
          <cell r="AQ1023" t="str">
            <v>NULL</v>
          </cell>
          <cell r="AR1023" t="str">
            <v>NULL</v>
          </cell>
          <cell r="AS1023" t="str">
            <v>NULL</v>
          </cell>
          <cell r="AT1023" t="str">
            <v>NULL</v>
          </cell>
          <cell r="AU1023" t="str">
            <v>NULL</v>
          </cell>
          <cell r="AV1023" t="str">
            <v>NULL</v>
          </cell>
          <cell r="AW1023" t="str">
            <v>NULL</v>
          </cell>
          <cell r="AX1023" t="str">
            <v>NULL</v>
          </cell>
          <cell r="AY1023" t="str">
            <v>NULL</v>
          </cell>
          <cell r="AZ1023" t="str">
            <v>NULL</v>
          </cell>
          <cell r="BA1023" t="str">
            <v>NULL</v>
          </cell>
          <cell r="BB1023" t="str">
            <v>NULL</v>
          </cell>
        </row>
        <row r="1024">
          <cell r="D1024">
            <v>142408</v>
          </cell>
          <cell r="E1024">
            <v>2026004</v>
          </cell>
          <cell r="F1024" t="str">
            <v>Ecole Jeannine Manuel</v>
          </cell>
          <cell r="G1024" t="str">
            <v>Other Independent School</v>
          </cell>
          <cell r="H1024">
            <v>42255</v>
          </cell>
          <cell r="I1024">
            <v>295</v>
          </cell>
          <cell r="J1024" t="str">
            <v>London</v>
          </cell>
          <cell r="K1024" t="str">
            <v>London</v>
          </cell>
          <cell r="L1024" t="str">
            <v>Camden</v>
          </cell>
          <cell r="M1024" t="str">
            <v>Holborn and St Pancras</v>
          </cell>
          <cell r="N1024" t="str">
            <v>WC1B 3DN</v>
          </cell>
          <cell r="O1024" t="str">
            <v>Has a sixth form</v>
          </cell>
          <cell r="P1024">
            <v>3</v>
          </cell>
          <cell r="Q1024">
            <v>18</v>
          </cell>
          <cell r="R1024" t="str">
            <v>None</v>
          </cell>
          <cell r="S1024" t="str">
            <v>Ofsted</v>
          </cell>
          <cell r="T1024" t="str">
            <v>NULL</v>
          </cell>
          <cell r="U1024" t="str">
            <v>NULL</v>
          </cell>
          <cell r="V1024" t="str">
            <v>NULL</v>
          </cell>
          <cell r="W1024" t="str">
            <v>NULL</v>
          </cell>
          <cell r="X1024" t="str">
            <v>NULL</v>
          </cell>
          <cell r="Y1024" t="str">
            <v>NULL</v>
          </cell>
          <cell r="Z1024" t="str">
            <v>NULL</v>
          </cell>
          <cell r="AA1024">
            <v>10012978</v>
          </cell>
          <cell r="AB1024" t="str">
            <v>Independent school standard inspection - first</v>
          </cell>
          <cell r="AC1024" t="str">
            <v>Independent Standard Inspection</v>
          </cell>
          <cell r="AD1024">
            <v>42717</v>
          </cell>
          <cell r="AE1024">
            <v>42719</v>
          </cell>
          <cell r="AF1024">
            <v>42766</v>
          </cell>
          <cell r="AG1024">
            <v>2</v>
          </cell>
          <cell r="AH1024">
            <v>2</v>
          </cell>
          <cell r="AI1024">
            <v>2</v>
          </cell>
          <cell r="AJ1024">
            <v>2</v>
          </cell>
          <cell r="AK1024">
            <v>2</v>
          </cell>
          <cell r="AL1024">
            <v>2</v>
          </cell>
          <cell r="AM1024" t="str">
            <v>NULL</v>
          </cell>
          <cell r="AN1024" t="str">
            <v>Yes</v>
          </cell>
          <cell r="AO1024" t="str">
            <v>NULL</v>
          </cell>
          <cell r="AP1024" t="str">
            <v>NULL</v>
          </cell>
          <cell r="AQ1024" t="str">
            <v>NULL</v>
          </cell>
          <cell r="AR1024" t="str">
            <v>NULL</v>
          </cell>
          <cell r="AS1024" t="str">
            <v>NULL</v>
          </cell>
          <cell r="AT1024" t="str">
            <v>NULL</v>
          </cell>
          <cell r="AU1024" t="str">
            <v>NULL</v>
          </cell>
          <cell r="AV1024" t="str">
            <v>NULL</v>
          </cell>
          <cell r="AW1024" t="str">
            <v>NULL</v>
          </cell>
          <cell r="AX1024" t="str">
            <v>NULL</v>
          </cell>
          <cell r="AY1024" t="str">
            <v>NULL</v>
          </cell>
          <cell r="AZ1024" t="str">
            <v>NULL</v>
          </cell>
          <cell r="BA1024" t="str">
            <v>NULL</v>
          </cell>
          <cell r="BB1024" t="str">
            <v>NULL</v>
          </cell>
        </row>
        <row r="1025">
          <cell r="D1025">
            <v>142411</v>
          </cell>
          <cell r="E1025">
            <v>8876009</v>
          </cell>
          <cell r="F1025" t="str">
            <v>Manorway Academy</v>
          </cell>
          <cell r="G1025" t="str">
            <v>Other Independent Special School</v>
          </cell>
          <cell r="H1025">
            <v>42262</v>
          </cell>
          <cell r="I1025">
            <v>4</v>
          </cell>
          <cell r="J1025" t="str">
            <v>South East</v>
          </cell>
          <cell r="K1025" t="str">
            <v>South East</v>
          </cell>
          <cell r="L1025" t="str">
            <v>Medway</v>
          </cell>
          <cell r="M1025" t="str">
            <v>Rochester and Strood</v>
          </cell>
          <cell r="N1025" t="str">
            <v>ME4 6BA</v>
          </cell>
          <cell r="O1025" t="str">
            <v>Not applicable</v>
          </cell>
          <cell r="P1025">
            <v>8</v>
          </cell>
          <cell r="Q1025">
            <v>16</v>
          </cell>
          <cell r="R1025" t="str">
            <v>None</v>
          </cell>
          <cell r="S1025" t="str">
            <v>Ofsted</v>
          </cell>
          <cell r="T1025">
            <v>1</v>
          </cell>
          <cell r="U1025">
            <v>10018055</v>
          </cell>
          <cell r="V1025" t="str">
            <v>Independent school Material Change inspection</v>
          </cell>
          <cell r="W1025">
            <v>42537</v>
          </cell>
          <cell r="X1025">
            <v>42537</v>
          </cell>
          <cell r="Y1025" t="str">
            <v>NULL</v>
          </cell>
          <cell r="Z1025" t="str">
            <v>Likely to meet relevant standards</v>
          </cell>
          <cell r="AA1025">
            <v>10013000</v>
          </cell>
          <cell r="AB1025" t="str">
            <v>Independent school standard inspection - first</v>
          </cell>
          <cell r="AC1025" t="str">
            <v>Independent Standard Inspection</v>
          </cell>
          <cell r="AD1025">
            <v>42535</v>
          </cell>
          <cell r="AE1025">
            <v>42536</v>
          </cell>
          <cell r="AF1025">
            <v>42570</v>
          </cell>
          <cell r="AG1025">
            <v>3</v>
          </cell>
          <cell r="AH1025">
            <v>3</v>
          </cell>
          <cell r="AI1025">
            <v>3</v>
          </cell>
          <cell r="AJ1025">
            <v>3</v>
          </cell>
          <cell r="AK1025">
            <v>2</v>
          </cell>
          <cell r="AL1025" t="str">
            <v>NULL</v>
          </cell>
          <cell r="AM1025" t="str">
            <v>NULL</v>
          </cell>
          <cell r="AN1025" t="str">
            <v>Yes</v>
          </cell>
          <cell r="AO1025" t="str">
            <v>NULL</v>
          </cell>
          <cell r="AP1025" t="str">
            <v>NULL</v>
          </cell>
          <cell r="AQ1025" t="str">
            <v>NULL</v>
          </cell>
          <cell r="AR1025" t="str">
            <v>NULL</v>
          </cell>
          <cell r="AS1025" t="str">
            <v>NULL</v>
          </cell>
          <cell r="AT1025" t="str">
            <v>NULL</v>
          </cell>
          <cell r="AU1025" t="str">
            <v>NULL</v>
          </cell>
          <cell r="AV1025" t="str">
            <v>NULL</v>
          </cell>
          <cell r="AW1025" t="str">
            <v>NULL</v>
          </cell>
          <cell r="AX1025" t="str">
            <v>NULL</v>
          </cell>
          <cell r="AY1025" t="str">
            <v>NULL</v>
          </cell>
          <cell r="AZ1025" t="str">
            <v>NULL</v>
          </cell>
          <cell r="BA1025" t="str">
            <v>NULL</v>
          </cell>
          <cell r="BB1025" t="str">
            <v>NULL</v>
          </cell>
        </row>
        <row r="1026">
          <cell r="D1026">
            <v>142413</v>
          </cell>
          <cell r="E1026">
            <v>9196001</v>
          </cell>
          <cell r="F1026" t="str">
            <v>Garden City Montessori School</v>
          </cell>
          <cell r="G1026" t="str">
            <v>Other Independent School</v>
          </cell>
          <cell r="H1026">
            <v>42269</v>
          </cell>
          <cell r="I1026">
            <v>25</v>
          </cell>
          <cell r="J1026" t="str">
            <v>East of England</v>
          </cell>
          <cell r="K1026" t="str">
            <v>East of England</v>
          </cell>
          <cell r="L1026" t="str">
            <v>Hertfordshire</v>
          </cell>
          <cell r="M1026" t="str">
            <v>North East Hertfordshire</v>
          </cell>
          <cell r="N1026" t="str">
            <v>SG6 4UE</v>
          </cell>
          <cell r="O1026" t="str">
            <v>Does not have a sixth form</v>
          </cell>
          <cell r="P1026">
            <v>2</v>
          </cell>
          <cell r="Q1026">
            <v>12</v>
          </cell>
          <cell r="R1026" t="str">
            <v>None</v>
          </cell>
          <cell r="S1026" t="str">
            <v>Ofsted</v>
          </cell>
          <cell r="T1026">
            <v>3</v>
          </cell>
          <cell r="U1026">
            <v>10043074</v>
          </cell>
          <cell r="V1026" t="str">
            <v>Independent school Progress Monitoring inspection</v>
          </cell>
          <cell r="W1026">
            <v>43056</v>
          </cell>
          <cell r="X1026">
            <v>43056</v>
          </cell>
          <cell r="Y1026">
            <v>43082</v>
          </cell>
          <cell r="Z1026" t="str">
            <v>Met all standards that were checked</v>
          </cell>
          <cell r="AA1026">
            <v>10012985</v>
          </cell>
          <cell r="AB1026" t="str">
            <v>Independent school standard inspection - first</v>
          </cell>
          <cell r="AC1026" t="str">
            <v>Independent Standard Inspection</v>
          </cell>
          <cell r="AD1026">
            <v>42787</v>
          </cell>
          <cell r="AE1026">
            <v>42789</v>
          </cell>
          <cell r="AF1026">
            <v>42822</v>
          </cell>
          <cell r="AG1026">
            <v>3</v>
          </cell>
          <cell r="AH1026">
            <v>3</v>
          </cell>
          <cell r="AI1026">
            <v>3</v>
          </cell>
          <cell r="AJ1026">
            <v>3</v>
          </cell>
          <cell r="AK1026">
            <v>2</v>
          </cell>
          <cell r="AL1026">
            <v>2</v>
          </cell>
          <cell r="AM1026" t="str">
            <v>NULL</v>
          </cell>
          <cell r="AN1026" t="str">
            <v>Yes</v>
          </cell>
          <cell r="AO1026" t="str">
            <v>NULL</v>
          </cell>
          <cell r="AP1026" t="str">
            <v>NULL</v>
          </cell>
          <cell r="AQ1026" t="str">
            <v>NULL</v>
          </cell>
          <cell r="AR1026" t="str">
            <v>NULL</v>
          </cell>
          <cell r="AS1026" t="str">
            <v>NULL</v>
          </cell>
          <cell r="AT1026" t="str">
            <v>NULL</v>
          </cell>
          <cell r="AU1026" t="str">
            <v>NULL</v>
          </cell>
          <cell r="AV1026" t="str">
            <v>NULL</v>
          </cell>
          <cell r="AW1026" t="str">
            <v>NULL</v>
          </cell>
          <cell r="AX1026" t="str">
            <v>NULL</v>
          </cell>
          <cell r="AY1026" t="str">
            <v>NULL</v>
          </cell>
          <cell r="AZ1026" t="str">
            <v>NULL</v>
          </cell>
          <cell r="BA1026" t="str">
            <v>NULL</v>
          </cell>
          <cell r="BB1026" t="str">
            <v>NULL</v>
          </cell>
        </row>
        <row r="1027">
          <cell r="D1027">
            <v>142675</v>
          </cell>
          <cell r="E1027">
            <v>3516004</v>
          </cell>
          <cell r="F1027" t="str">
            <v>Excel and Exceed Centre</v>
          </cell>
          <cell r="G1027" t="str">
            <v>Other Independent Special School</v>
          </cell>
          <cell r="H1027">
            <v>42593</v>
          </cell>
          <cell r="I1027">
            <v>40</v>
          </cell>
          <cell r="J1027" t="str">
            <v>North West</v>
          </cell>
          <cell r="K1027" t="str">
            <v>North West</v>
          </cell>
          <cell r="L1027" t="str">
            <v>Bury</v>
          </cell>
          <cell r="M1027" t="str">
            <v>Bury North</v>
          </cell>
          <cell r="N1027" t="str">
            <v>BL8 2BS</v>
          </cell>
          <cell r="O1027" t="str">
            <v>Has a sixth form</v>
          </cell>
          <cell r="P1027">
            <v>12</v>
          </cell>
          <cell r="Q1027">
            <v>19</v>
          </cell>
          <cell r="R1027" t="str">
            <v>None</v>
          </cell>
          <cell r="S1027" t="str">
            <v>Ofsted</v>
          </cell>
          <cell r="T1027" t="str">
            <v>NULL</v>
          </cell>
          <cell r="U1027" t="str">
            <v>NULL</v>
          </cell>
          <cell r="V1027" t="str">
            <v>NULL</v>
          </cell>
          <cell r="W1027" t="str">
            <v>NULL</v>
          </cell>
          <cell r="X1027" t="str">
            <v>NULL</v>
          </cell>
          <cell r="Y1027" t="str">
            <v>NULL</v>
          </cell>
          <cell r="Z1027" t="str">
            <v>NULL</v>
          </cell>
          <cell r="AA1027">
            <v>10034042</v>
          </cell>
          <cell r="AB1027" t="str">
            <v>Independent school standard inspection - first</v>
          </cell>
          <cell r="AC1027" t="str">
            <v>Independent Standard Inspection</v>
          </cell>
          <cell r="AD1027">
            <v>42912</v>
          </cell>
          <cell r="AE1027">
            <v>42914</v>
          </cell>
          <cell r="AF1027">
            <v>42940</v>
          </cell>
          <cell r="AG1027">
            <v>2</v>
          </cell>
          <cell r="AH1027">
            <v>2</v>
          </cell>
          <cell r="AI1027">
            <v>2</v>
          </cell>
          <cell r="AJ1027">
            <v>2</v>
          </cell>
          <cell r="AK1027">
            <v>2</v>
          </cell>
          <cell r="AL1027" t="str">
            <v>NULL</v>
          </cell>
          <cell r="AM1027">
            <v>2</v>
          </cell>
          <cell r="AN1027" t="str">
            <v>Yes</v>
          </cell>
          <cell r="AO1027" t="str">
            <v>NULL</v>
          </cell>
          <cell r="AP1027" t="str">
            <v>NULL</v>
          </cell>
          <cell r="AQ1027" t="str">
            <v>NULL</v>
          </cell>
          <cell r="AR1027" t="str">
            <v>NULL</v>
          </cell>
          <cell r="AS1027" t="str">
            <v>NULL</v>
          </cell>
          <cell r="AT1027" t="str">
            <v>NULL</v>
          </cell>
          <cell r="AU1027" t="str">
            <v>NULL</v>
          </cell>
          <cell r="AV1027" t="str">
            <v>NULL</v>
          </cell>
          <cell r="AW1027" t="str">
            <v>NULL</v>
          </cell>
          <cell r="AX1027" t="str">
            <v>NULL</v>
          </cell>
          <cell r="AY1027" t="str">
            <v>NULL</v>
          </cell>
          <cell r="AZ1027" t="str">
            <v>NULL</v>
          </cell>
          <cell r="BA1027" t="str">
            <v>NULL</v>
          </cell>
          <cell r="BB1027" t="str">
            <v>NULL</v>
          </cell>
        </row>
        <row r="1028">
          <cell r="D1028">
            <v>142763</v>
          </cell>
          <cell r="E1028">
            <v>8786065</v>
          </cell>
          <cell r="F1028" t="str">
            <v>Highgate Hill House School</v>
          </cell>
          <cell r="G1028" t="str">
            <v>Other Independent Special School</v>
          </cell>
          <cell r="H1028">
            <v>42513</v>
          </cell>
          <cell r="I1028">
            <v>0</v>
          </cell>
          <cell r="J1028" t="str">
            <v>South West</v>
          </cell>
          <cell r="K1028" t="str">
            <v>South West</v>
          </cell>
          <cell r="L1028" t="str">
            <v>Devon</v>
          </cell>
          <cell r="M1028" t="str">
            <v>North Cornwall</v>
          </cell>
          <cell r="N1028" t="str">
            <v>EX22 6TJ</v>
          </cell>
          <cell r="O1028" t="str">
            <v>Not applicable</v>
          </cell>
          <cell r="P1028">
            <v>5</v>
          </cell>
          <cell r="Q1028">
            <v>16</v>
          </cell>
          <cell r="R1028" t="str">
            <v>None</v>
          </cell>
          <cell r="S1028" t="str">
            <v>Ofsted</v>
          </cell>
          <cell r="T1028" t="str">
            <v>NULL</v>
          </cell>
          <cell r="U1028" t="str">
            <v>NULL</v>
          </cell>
          <cell r="V1028" t="str">
            <v>NULL</v>
          </cell>
          <cell r="W1028" t="str">
            <v>NULL</v>
          </cell>
          <cell r="X1028" t="str">
            <v>NULL</v>
          </cell>
          <cell r="Y1028" t="str">
            <v>NULL</v>
          </cell>
          <cell r="Z1028" t="str">
            <v>NULL</v>
          </cell>
          <cell r="AA1028">
            <v>10033896</v>
          </cell>
          <cell r="AB1028" t="str">
            <v>Independent school standard inspection - first</v>
          </cell>
          <cell r="AC1028" t="str">
            <v>Independent Standard Inspection</v>
          </cell>
          <cell r="AD1028">
            <v>43026</v>
          </cell>
          <cell r="AE1028">
            <v>43028</v>
          </cell>
          <cell r="AF1028">
            <v>43052</v>
          </cell>
          <cell r="AG1028">
            <v>2</v>
          </cell>
          <cell r="AH1028">
            <v>2</v>
          </cell>
          <cell r="AI1028">
            <v>2</v>
          </cell>
          <cell r="AJ1028">
            <v>2</v>
          </cell>
          <cell r="AK1028">
            <v>2</v>
          </cell>
          <cell r="AL1028" t="str">
            <v>NULL</v>
          </cell>
          <cell r="AM1028" t="str">
            <v>NULL</v>
          </cell>
          <cell r="AN1028" t="str">
            <v>Yes</v>
          </cell>
          <cell r="AO1028" t="str">
            <v>NULL</v>
          </cell>
          <cell r="AP1028" t="str">
            <v>NULL</v>
          </cell>
          <cell r="AQ1028" t="str">
            <v>NULL</v>
          </cell>
          <cell r="AR1028" t="str">
            <v>NULL</v>
          </cell>
          <cell r="AS1028" t="str">
            <v>NULL</v>
          </cell>
          <cell r="AT1028" t="str">
            <v>NULL</v>
          </cell>
          <cell r="AU1028" t="str">
            <v>NULL</v>
          </cell>
          <cell r="AV1028" t="str">
            <v>NULL</v>
          </cell>
          <cell r="AW1028" t="str">
            <v>NULL</v>
          </cell>
          <cell r="AX1028" t="str">
            <v>NULL</v>
          </cell>
          <cell r="AY1028" t="str">
            <v>NULL</v>
          </cell>
          <cell r="AZ1028" t="str">
            <v>NULL</v>
          </cell>
          <cell r="BA1028" t="str">
            <v>NULL</v>
          </cell>
          <cell r="BB1028" t="str">
            <v>NULL</v>
          </cell>
        </row>
        <row r="1029">
          <cell r="D1029">
            <v>142773</v>
          </cell>
          <cell r="E1029">
            <v>3536003</v>
          </cell>
          <cell r="F1029" t="str">
            <v>Blackstone Secondary School</v>
          </cell>
          <cell r="G1029" t="str">
            <v>Other Independent School</v>
          </cell>
          <cell r="H1029">
            <v>42446</v>
          </cell>
          <cell r="I1029">
            <v>13</v>
          </cell>
          <cell r="J1029" t="str">
            <v>North West</v>
          </cell>
          <cell r="K1029" t="str">
            <v>North West</v>
          </cell>
          <cell r="L1029" t="str">
            <v>Oldham</v>
          </cell>
          <cell r="M1029" t="str">
            <v>Oldham West and Royton</v>
          </cell>
          <cell r="N1029" t="str">
            <v>OL9 6JN</v>
          </cell>
          <cell r="O1029" t="str">
            <v>Does not have a sixth form</v>
          </cell>
          <cell r="P1029">
            <v>11</v>
          </cell>
          <cell r="Q1029">
            <v>16</v>
          </cell>
          <cell r="R1029" t="str">
            <v>None</v>
          </cell>
          <cell r="S1029" t="str">
            <v>Ofsted</v>
          </cell>
          <cell r="T1029">
            <v>2</v>
          </cell>
          <cell r="U1029">
            <v>10043777</v>
          </cell>
          <cell r="V1029" t="str">
            <v>Independent school Progress Monitoring inspection</v>
          </cell>
          <cell r="W1029">
            <v>43111</v>
          </cell>
          <cell r="X1029">
            <v>43111</v>
          </cell>
          <cell r="Y1029">
            <v>43143</v>
          </cell>
          <cell r="Z1029" t="str">
            <v>Met all standards that were checked</v>
          </cell>
          <cell r="AA1029">
            <v>10021744</v>
          </cell>
          <cell r="AB1029" t="str">
            <v>Independent school standard inspection - first</v>
          </cell>
          <cell r="AC1029" t="str">
            <v>Independent Standard Inspection</v>
          </cell>
          <cell r="AD1029">
            <v>42822</v>
          </cell>
          <cell r="AE1029">
            <v>42824</v>
          </cell>
          <cell r="AF1029">
            <v>42867</v>
          </cell>
          <cell r="AG1029">
            <v>4</v>
          </cell>
          <cell r="AH1029">
            <v>3</v>
          </cell>
          <cell r="AI1029">
            <v>3</v>
          </cell>
          <cell r="AJ1029">
            <v>4</v>
          </cell>
          <cell r="AK1029">
            <v>4</v>
          </cell>
          <cell r="AL1029" t="str">
            <v>NULL</v>
          </cell>
          <cell r="AM1029" t="str">
            <v>NULL</v>
          </cell>
          <cell r="AN1029" t="str">
            <v>No</v>
          </cell>
          <cell r="AO1029" t="str">
            <v>NULL</v>
          </cell>
          <cell r="AP1029" t="str">
            <v>NULL</v>
          </cell>
          <cell r="AQ1029" t="str">
            <v>NULL</v>
          </cell>
          <cell r="AR1029" t="str">
            <v>NULL</v>
          </cell>
          <cell r="AS1029" t="str">
            <v>NULL</v>
          </cell>
          <cell r="AT1029" t="str">
            <v>NULL</v>
          </cell>
          <cell r="AU1029" t="str">
            <v>NULL</v>
          </cell>
          <cell r="AV1029" t="str">
            <v>NULL</v>
          </cell>
          <cell r="AW1029" t="str">
            <v>NULL</v>
          </cell>
          <cell r="AX1029" t="str">
            <v>NULL</v>
          </cell>
          <cell r="AY1029" t="str">
            <v>NULL</v>
          </cell>
          <cell r="AZ1029" t="str">
            <v>NULL</v>
          </cell>
          <cell r="BA1029" t="str">
            <v>NULL</v>
          </cell>
          <cell r="BB1029" t="str">
            <v>NULL</v>
          </cell>
        </row>
        <row r="1030">
          <cell r="D1030">
            <v>142776</v>
          </cell>
          <cell r="E1030">
            <v>8736054</v>
          </cell>
          <cell r="F1030" t="str">
            <v>Landmark International School</v>
          </cell>
          <cell r="G1030" t="str">
            <v>Other Independent School</v>
          </cell>
          <cell r="H1030">
            <v>42577</v>
          </cell>
          <cell r="I1030">
            <v>48</v>
          </cell>
          <cell r="J1030" t="str">
            <v>East of England</v>
          </cell>
          <cell r="K1030" t="str">
            <v>East of England</v>
          </cell>
          <cell r="L1030" t="str">
            <v>Cambridgeshire</v>
          </cell>
          <cell r="M1030" t="str">
            <v>South East Cambridgeshire</v>
          </cell>
          <cell r="N1030" t="str">
            <v>CB21 5EP</v>
          </cell>
          <cell r="O1030" t="str">
            <v>Does not have a sixth form</v>
          </cell>
          <cell r="P1030">
            <v>6</v>
          </cell>
          <cell r="Q1030">
            <v>16</v>
          </cell>
          <cell r="R1030" t="str">
            <v>None</v>
          </cell>
          <cell r="S1030" t="str">
            <v>Ofsted</v>
          </cell>
          <cell r="T1030" t="str">
            <v>NULL</v>
          </cell>
          <cell r="U1030" t="str">
            <v>NULL</v>
          </cell>
          <cell r="V1030" t="str">
            <v>NULL</v>
          </cell>
          <cell r="W1030" t="str">
            <v>NULL</v>
          </cell>
          <cell r="X1030" t="str">
            <v>NULL</v>
          </cell>
          <cell r="Y1030" t="str">
            <v>NULL</v>
          </cell>
          <cell r="Z1030" t="str">
            <v>NULL</v>
          </cell>
          <cell r="AA1030">
            <v>10033610</v>
          </cell>
          <cell r="AB1030" t="str">
            <v>Independent school standard inspection - first</v>
          </cell>
          <cell r="AC1030" t="str">
            <v>Independent Standard Inspection</v>
          </cell>
          <cell r="AD1030">
            <v>42815</v>
          </cell>
          <cell r="AE1030">
            <v>42817</v>
          </cell>
          <cell r="AF1030">
            <v>42858</v>
          </cell>
          <cell r="AG1030">
            <v>2</v>
          </cell>
          <cell r="AH1030">
            <v>2</v>
          </cell>
          <cell r="AI1030">
            <v>2</v>
          </cell>
          <cell r="AJ1030">
            <v>2</v>
          </cell>
          <cell r="AK1030">
            <v>2</v>
          </cell>
          <cell r="AL1030" t="str">
            <v>NULL</v>
          </cell>
          <cell r="AM1030" t="str">
            <v>NULL</v>
          </cell>
          <cell r="AN1030" t="str">
            <v>Yes</v>
          </cell>
          <cell r="AO1030" t="str">
            <v>NULL</v>
          </cell>
          <cell r="AP1030" t="str">
            <v>NULL</v>
          </cell>
          <cell r="AQ1030" t="str">
            <v>NULL</v>
          </cell>
          <cell r="AR1030" t="str">
            <v>NULL</v>
          </cell>
          <cell r="AS1030" t="str">
            <v>NULL</v>
          </cell>
          <cell r="AT1030" t="str">
            <v>NULL</v>
          </cell>
          <cell r="AU1030" t="str">
            <v>NULL</v>
          </cell>
          <cell r="AV1030" t="str">
            <v>NULL</v>
          </cell>
          <cell r="AW1030" t="str">
            <v>NULL</v>
          </cell>
          <cell r="AX1030" t="str">
            <v>NULL</v>
          </cell>
          <cell r="AY1030" t="str">
            <v>NULL</v>
          </cell>
          <cell r="AZ1030" t="str">
            <v>NULL</v>
          </cell>
          <cell r="BA1030" t="str">
            <v>NULL</v>
          </cell>
          <cell r="BB1030" t="str">
            <v>NULL</v>
          </cell>
        </row>
        <row r="1031">
          <cell r="D1031">
            <v>142779</v>
          </cell>
          <cell r="E1031">
            <v>8556037</v>
          </cell>
          <cell r="F1031" t="str">
            <v>ASPIRE: Lifeskills Learning Centre</v>
          </cell>
          <cell r="G1031" t="str">
            <v>Other Independent Special School</v>
          </cell>
          <cell r="H1031">
            <v>42804</v>
          </cell>
          <cell r="I1031" t="str">
            <v>NULL</v>
          </cell>
          <cell r="J1031" t="str">
            <v>East Midlands</v>
          </cell>
          <cell r="K1031" t="str">
            <v>East Midlands</v>
          </cell>
          <cell r="L1031" t="str">
            <v>Leicestershire</v>
          </cell>
          <cell r="M1031" t="str">
            <v>Loughborough</v>
          </cell>
          <cell r="N1031" t="str">
            <v>LE11 3EB</v>
          </cell>
          <cell r="O1031" t="str">
            <v>Not applicable</v>
          </cell>
          <cell r="P1031">
            <v>11</v>
          </cell>
          <cell r="Q1031">
            <v>19</v>
          </cell>
          <cell r="R1031" t="str">
            <v>None</v>
          </cell>
          <cell r="S1031" t="str">
            <v>Ofsted</v>
          </cell>
          <cell r="T1031">
            <v>3</v>
          </cell>
          <cell r="U1031">
            <v>10030998</v>
          </cell>
          <cell r="V1031" t="str">
            <v>Independent School Pre-registration Inspection</v>
          </cell>
          <cell r="W1031">
            <v>42787</v>
          </cell>
          <cell r="X1031">
            <v>42787</v>
          </cell>
          <cell r="Y1031" t="str">
            <v>NULL</v>
          </cell>
          <cell r="Z1031" t="str">
            <v>Operating without registration and likely to meet all standards</v>
          </cell>
          <cell r="AA1031" t="str">
            <v>NULL</v>
          </cell>
          <cell r="AB1031" t="str">
            <v>NULL</v>
          </cell>
          <cell r="AC1031" t="str">
            <v>NULL</v>
          </cell>
          <cell r="AD1031" t="str">
            <v>NULL</v>
          </cell>
          <cell r="AE1031" t="str">
            <v>NULL</v>
          </cell>
          <cell r="AF1031" t="str">
            <v>NULL</v>
          </cell>
          <cell r="AG1031" t="str">
            <v>NULL</v>
          </cell>
          <cell r="AH1031" t="str">
            <v>NULL</v>
          </cell>
          <cell r="AI1031" t="str">
            <v>NULL</v>
          </cell>
          <cell r="AJ1031" t="str">
            <v>NULL</v>
          </cell>
          <cell r="AK1031" t="str">
            <v>NULL</v>
          </cell>
          <cell r="AL1031" t="str">
            <v>NULL</v>
          </cell>
          <cell r="AM1031" t="str">
            <v>NULL</v>
          </cell>
          <cell r="AN1031" t="str">
            <v>NULL</v>
          </cell>
          <cell r="AO1031" t="str">
            <v>NULL</v>
          </cell>
          <cell r="AP1031" t="str">
            <v>NULL</v>
          </cell>
          <cell r="AQ1031" t="str">
            <v>NULL</v>
          </cell>
          <cell r="AR1031" t="str">
            <v>NULL</v>
          </cell>
          <cell r="AS1031" t="str">
            <v>NULL</v>
          </cell>
          <cell r="AT1031" t="str">
            <v>NULL</v>
          </cell>
          <cell r="AU1031" t="str">
            <v>NULL</v>
          </cell>
          <cell r="AV1031" t="str">
            <v>NULL</v>
          </cell>
          <cell r="AW1031" t="str">
            <v>NULL</v>
          </cell>
          <cell r="AX1031" t="str">
            <v>NULL</v>
          </cell>
          <cell r="AY1031" t="str">
            <v>NULL</v>
          </cell>
          <cell r="AZ1031" t="str">
            <v>NULL</v>
          </cell>
          <cell r="BA1031" t="str">
            <v>NULL</v>
          </cell>
          <cell r="BB1031" t="str">
            <v>NULL</v>
          </cell>
        </row>
        <row r="1032">
          <cell r="D1032">
            <v>143049</v>
          </cell>
          <cell r="E1032">
            <v>3926005</v>
          </cell>
          <cell r="F1032" t="str">
            <v>TLG Newcastle</v>
          </cell>
          <cell r="G1032" t="str">
            <v>Other Independent School</v>
          </cell>
          <cell r="H1032">
            <v>42811</v>
          </cell>
          <cell r="I1032" t="str">
            <v>NULL</v>
          </cell>
          <cell r="J1032" t="str">
            <v>North East, Yorkshire and the Humber</v>
          </cell>
          <cell r="K1032" t="str">
            <v>North East</v>
          </cell>
          <cell r="L1032" t="str">
            <v>North Tyneside</v>
          </cell>
          <cell r="M1032" t="str">
            <v>North Tyneside</v>
          </cell>
          <cell r="N1032" t="str">
            <v>NE12 8UZ</v>
          </cell>
          <cell r="O1032" t="str">
            <v>Does not have a sixth form</v>
          </cell>
          <cell r="P1032">
            <v>11</v>
          </cell>
          <cell r="Q1032">
            <v>16</v>
          </cell>
          <cell r="R1032" t="str">
            <v>None</v>
          </cell>
          <cell r="S1032" t="str">
            <v>Ofsted</v>
          </cell>
          <cell r="T1032" t="str">
            <v>NULL</v>
          </cell>
          <cell r="U1032" t="str">
            <v>NULL</v>
          </cell>
          <cell r="V1032" t="str">
            <v>NULL</v>
          </cell>
          <cell r="W1032" t="str">
            <v>NULL</v>
          </cell>
          <cell r="X1032" t="str">
            <v>NULL</v>
          </cell>
          <cell r="Y1032" t="str">
            <v>NULL</v>
          </cell>
          <cell r="Z1032" t="str">
            <v>NULL</v>
          </cell>
          <cell r="AA1032">
            <v>10043660</v>
          </cell>
          <cell r="AB1032" t="str">
            <v>Independent school standard inspection - first</v>
          </cell>
          <cell r="AC1032" t="str">
            <v>Independent Standard Inspection</v>
          </cell>
          <cell r="AD1032">
            <v>43137</v>
          </cell>
          <cell r="AE1032">
            <v>43138</v>
          </cell>
          <cell r="AF1032">
            <v>43174</v>
          </cell>
          <cell r="AG1032">
            <v>2</v>
          </cell>
          <cell r="AH1032">
            <v>2</v>
          </cell>
          <cell r="AI1032">
            <v>2</v>
          </cell>
          <cell r="AJ1032">
            <v>1</v>
          </cell>
          <cell r="AK1032">
            <v>2</v>
          </cell>
          <cell r="AL1032" t="str">
            <v>NULL</v>
          </cell>
          <cell r="AM1032" t="str">
            <v>NULL</v>
          </cell>
          <cell r="AN1032" t="str">
            <v>Yes</v>
          </cell>
          <cell r="AO1032" t="str">
            <v>NULL</v>
          </cell>
          <cell r="AP1032" t="str">
            <v>NULL</v>
          </cell>
          <cell r="AQ1032" t="str">
            <v>NULL</v>
          </cell>
          <cell r="AR1032" t="str">
            <v>NULL</v>
          </cell>
          <cell r="AS1032" t="str">
            <v>NULL</v>
          </cell>
          <cell r="AT1032" t="str">
            <v>NULL</v>
          </cell>
          <cell r="AU1032" t="str">
            <v>NULL</v>
          </cell>
          <cell r="AV1032" t="str">
            <v>NULL</v>
          </cell>
          <cell r="AW1032" t="str">
            <v>NULL</v>
          </cell>
          <cell r="AX1032" t="str">
            <v>NULL</v>
          </cell>
          <cell r="AY1032" t="str">
            <v>NULL</v>
          </cell>
          <cell r="AZ1032" t="str">
            <v>NULL</v>
          </cell>
          <cell r="BA1032" t="str">
            <v>NULL</v>
          </cell>
          <cell r="BB1032" t="str">
            <v>NULL</v>
          </cell>
        </row>
        <row r="1033">
          <cell r="D1033">
            <v>143081</v>
          </cell>
          <cell r="E1033">
            <v>9356009</v>
          </cell>
          <cell r="F1033" t="str">
            <v>Horatio House Independent School</v>
          </cell>
          <cell r="G1033" t="str">
            <v>Other Independent School</v>
          </cell>
          <cell r="H1033">
            <v>42592</v>
          </cell>
          <cell r="I1033">
            <v>24</v>
          </cell>
          <cell r="J1033" t="str">
            <v>East of England</v>
          </cell>
          <cell r="K1033" t="str">
            <v>East of England</v>
          </cell>
          <cell r="L1033" t="str">
            <v>Suffolk</v>
          </cell>
          <cell r="M1033" t="str">
            <v>Waveney</v>
          </cell>
          <cell r="N1033" t="str">
            <v>NR32 5LL</v>
          </cell>
          <cell r="O1033" t="str">
            <v>Does not have a sixth form</v>
          </cell>
          <cell r="P1033">
            <v>11</v>
          </cell>
          <cell r="Q1033">
            <v>16</v>
          </cell>
          <cell r="R1033" t="str">
            <v>None</v>
          </cell>
          <cell r="S1033" t="str">
            <v>Ofsted</v>
          </cell>
          <cell r="T1033">
            <v>2</v>
          </cell>
          <cell r="U1033">
            <v>10047095</v>
          </cell>
          <cell r="V1033" t="str">
            <v>Independent school evaluation of school action plan</v>
          </cell>
          <cell r="W1033">
            <v>43136</v>
          </cell>
          <cell r="X1033">
            <v>43136</v>
          </cell>
          <cell r="Y1033" t="str">
            <v>NULL</v>
          </cell>
          <cell r="Z1033" t="str">
            <v>Action plan is not acceptable</v>
          </cell>
          <cell r="AA1033">
            <v>10033611</v>
          </cell>
          <cell r="AB1033" t="str">
            <v>Independent school standard inspection - first</v>
          </cell>
          <cell r="AC1033" t="str">
            <v>Independent Standard Inspection</v>
          </cell>
          <cell r="AD1033">
            <v>42899</v>
          </cell>
          <cell r="AE1033">
            <v>42901</v>
          </cell>
          <cell r="AF1033">
            <v>42936</v>
          </cell>
          <cell r="AG1033">
            <v>3</v>
          </cell>
          <cell r="AH1033">
            <v>3</v>
          </cell>
          <cell r="AI1033">
            <v>3</v>
          </cell>
          <cell r="AJ1033">
            <v>3</v>
          </cell>
          <cell r="AK1033">
            <v>3</v>
          </cell>
          <cell r="AL1033" t="str">
            <v>NULL</v>
          </cell>
          <cell r="AM1033" t="str">
            <v>NULL</v>
          </cell>
          <cell r="AN1033" t="str">
            <v>Yes</v>
          </cell>
          <cell r="AO1033" t="str">
            <v>NULL</v>
          </cell>
          <cell r="AP1033" t="str">
            <v>NULL</v>
          </cell>
          <cell r="AQ1033" t="str">
            <v>NULL</v>
          </cell>
          <cell r="AR1033" t="str">
            <v>NULL</v>
          </cell>
          <cell r="AS1033" t="str">
            <v>NULL</v>
          </cell>
          <cell r="AT1033" t="str">
            <v>NULL</v>
          </cell>
          <cell r="AU1033" t="str">
            <v>NULL</v>
          </cell>
          <cell r="AV1033" t="str">
            <v>NULL</v>
          </cell>
          <cell r="AW1033" t="str">
            <v>NULL</v>
          </cell>
          <cell r="AX1033" t="str">
            <v>NULL</v>
          </cell>
          <cell r="AY1033" t="str">
            <v>NULL</v>
          </cell>
          <cell r="AZ1033" t="str">
            <v>NULL</v>
          </cell>
          <cell r="BA1033" t="str">
            <v>NULL</v>
          </cell>
          <cell r="BB1033" t="str">
            <v>NULL</v>
          </cell>
        </row>
        <row r="1034">
          <cell r="D1034">
            <v>143098</v>
          </cell>
          <cell r="E1034">
            <v>3816018</v>
          </cell>
          <cell r="F1034" t="str">
            <v>Columbus House</v>
          </cell>
          <cell r="G1034" t="str">
            <v>Other Independent School</v>
          </cell>
          <cell r="H1034">
            <v>42633</v>
          </cell>
          <cell r="I1034">
            <v>2</v>
          </cell>
          <cell r="J1034" t="str">
            <v>North East, Yorkshire and the Humber</v>
          </cell>
          <cell r="K1034" t="str">
            <v>Yorkshire and the Humber</v>
          </cell>
          <cell r="L1034" t="str">
            <v>Calderdale</v>
          </cell>
          <cell r="M1034" t="str">
            <v>Halifax</v>
          </cell>
          <cell r="N1034" t="str">
            <v>HX2 0TX</v>
          </cell>
          <cell r="O1034" t="str">
            <v>Does not have a sixth form</v>
          </cell>
          <cell r="P1034">
            <v>8</v>
          </cell>
          <cell r="Q1034">
            <v>13</v>
          </cell>
          <cell r="R1034" t="str">
            <v>None</v>
          </cell>
          <cell r="S1034" t="str">
            <v>Ofsted</v>
          </cell>
          <cell r="T1034">
            <v>2</v>
          </cell>
          <cell r="U1034">
            <v>10038730</v>
          </cell>
          <cell r="V1034" t="str">
            <v>Independent school Progress Monitoring inspection</v>
          </cell>
          <cell r="W1034">
            <v>42906</v>
          </cell>
          <cell r="X1034">
            <v>42906</v>
          </cell>
          <cell r="Y1034">
            <v>42940</v>
          </cell>
          <cell r="Z1034" t="str">
            <v>Met all standards that were checked</v>
          </cell>
          <cell r="AA1034">
            <v>10025946</v>
          </cell>
          <cell r="AB1034" t="str">
            <v>Independent school standard inspection - first</v>
          </cell>
          <cell r="AC1034" t="str">
            <v>Independent Standard Inspection</v>
          </cell>
          <cell r="AD1034">
            <v>42703</v>
          </cell>
          <cell r="AE1034">
            <v>42705</v>
          </cell>
          <cell r="AF1034">
            <v>42751</v>
          </cell>
          <cell r="AG1034">
            <v>3</v>
          </cell>
          <cell r="AH1034">
            <v>3</v>
          </cell>
          <cell r="AI1034">
            <v>3</v>
          </cell>
          <cell r="AJ1034">
            <v>3</v>
          </cell>
          <cell r="AK1034">
            <v>2</v>
          </cell>
          <cell r="AL1034" t="str">
            <v>NULL</v>
          </cell>
          <cell r="AM1034" t="str">
            <v>NULL</v>
          </cell>
          <cell r="AN1034" t="str">
            <v>Yes</v>
          </cell>
          <cell r="AO1034" t="str">
            <v>NULL</v>
          </cell>
          <cell r="AP1034" t="str">
            <v>NULL</v>
          </cell>
          <cell r="AQ1034" t="str">
            <v>NULL</v>
          </cell>
          <cell r="AR1034" t="str">
            <v>NULL</v>
          </cell>
          <cell r="AS1034" t="str">
            <v>NULL</v>
          </cell>
          <cell r="AT1034" t="str">
            <v>NULL</v>
          </cell>
          <cell r="AU1034" t="str">
            <v>NULL</v>
          </cell>
          <cell r="AV1034" t="str">
            <v>NULL</v>
          </cell>
          <cell r="AW1034" t="str">
            <v>NULL</v>
          </cell>
          <cell r="AX1034" t="str">
            <v>NULL</v>
          </cell>
          <cell r="AY1034" t="str">
            <v>NULL</v>
          </cell>
          <cell r="AZ1034" t="str">
            <v>NULL</v>
          </cell>
          <cell r="BA1034" t="str">
            <v>NULL</v>
          </cell>
          <cell r="BB1034" t="str">
            <v>NULL</v>
          </cell>
        </row>
        <row r="1035">
          <cell r="D1035">
            <v>143102</v>
          </cell>
          <cell r="E1035">
            <v>3846005</v>
          </cell>
          <cell r="F1035" t="str">
            <v>Tlg Wakefield</v>
          </cell>
          <cell r="G1035" t="str">
            <v>Other Independent School</v>
          </cell>
          <cell r="H1035">
            <v>42929</v>
          </cell>
          <cell r="I1035" t="str">
            <v>NULL</v>
          </cell>
          <cell r="J1035" t="str">
            <v>North East, Yorkshire and the Humber</v>
          </cell>
          <cell r="K1035" t="str">
            <v>Yorkshire and the Humber</v>
          </cell>
          <cell r="L1035" t="str">
            <v>Wakefield</v>
          </cell>
          <cell r="M1035" t="str">
            <v>Normanton, Pontefract and Castleford</v>
          </cell>
          <cell r="N1035" t="str">
            <v>WF6 1NT</v>
          </cell>
          <cell r="O1035" t="str">
            <v>Does not have a sixth form</v>
          </cell>
          <cell r="P1035">
            <v>11</v>
          </cell>
          <cell r="Q1035">
            <v>16</v>
          </cell>
          <cell r="R1035" t="str">
            <v>Christian</v>
          </cell>
          <cell r="S1035" t="str">
            <v>Ofsted</v>
          </cell>
          <cell r="T1035">
            <v>2</v>
          </cell>
          <cell r="U1035">
            <v>10030838</v>
          </cell>
          <cell r="V1035" t="str">
            <v>Independent School Pre-registration Inspection</v>
          </cell>
          <cell r="W1035">
            <v>42776</v>
          </cell>
          <cell r="X1035">
            <v>42776</v>
          </cell>
          <cell r="Y1035" t="str">
            <v>NULL</v>
          </cell>
          <cell r="Z1035" t="str">
            <v>Likely to meet all standards</v>
          </cell>
          <cell r="AA1035" t="str">
            <v>NULL</v>
          </cell>
          <cell r="AB1035" t="str">
            <v>NULL</v>
          </cell>
          <cell r="AC1035" t="str">
            <v>NULL</v>
          </cell>
          <cell r="AD1035" t="str">
            <v>NULL</v>
          </cell>
          <cell r="AE1035" t="str">
            <v>NULL</v>
          </cell>
          <cell r="AF1035" t="str">
            <v>NULL</v>
          </cell>
          <cell r="AG1035" t="str">
            <v>NULL</v>
          </cell>
          <cell r="AH1035" t="str">
            <v>NULL</v>
          </cell>
          <cell r="AI1035" t="str">
            <v>NULL</v>
          </cell>
          <cell r="AJ1035" t="str">
            <v>NULL</v>
          </cell>
          <cell r="AK1035" t="str">
            <v>NULL</v>
          </cell>
          <cell r="AL1035" t="str">
            <v>NULL</v>
          </cell>
          <cell r="AM1035" t="str">
            <v>NULL</v>
          </cell>
          <cell r="AN1035" t="str">
            <v>NULL</v>
          </cell>
          <cell r="AO1035" t="str">
            <v>NULL</v>
          </cell>
          <cell r="AP1035" t="str">
            <v>NULL</v>
          </cell>
          <cell r="AQ1035" t="str">
            <v>NULL</v>
          </cell>
          <cell r="AR1035" t="str">
            <v>NULL</v>
          </cell>
          <cell r="AS1035" t="str">
            <v>NULL</v>
          </cell>
          <cell r="AT1035" t="str">
            <v>NULL</v>
          </cell>
          <cell r="AU1035" t="str">
            <v>NULL</v>
          </cell>
          <cell r="AV1035" t="str">
            <v>NULL</v>
          </cell>
          <cell r="AW1035" t="str">
            <v>NULL</v>
          </cell>
          <cell r="AX1035" t="str">
            <v>NULL</v>
          </cell>
          <cell r="AY1035" t="str">
            <v>NULL</v>
          </cell>
          <cell r="AZ1035" t="str">
            <v>NULL</v>
          </cell>
          <cell r="BA1035" t="str">
            <v>NULL</v>
          </cell>
          <cell r="BB1035" t="str">
            <v>NULL</v>
          </cell>
        </row>
        <row r="1036">
          <cell r="D1036">
            <v>143105</v>
          </cell>
          <cell r="E1036">
            <v>3316004</v>
          </cell>
          <cell r="F1036" t="str">
            <v>The National Mathematics and Science College</v>
          </cell>
          <cell r="G1036" t="str">
            <v>Other Independent School</v>
          </cell>
          <cell r="H1036">
            <v>42565</v>
          </cell>
          <cell r="I1036">
            <v>18</v>
          </cell>
          <cell r="J1036" t="str">
            <v>West Midlands</v>
          </cell>
          <cell r="K1036" t="str">
            <v>West Midlands</v>
          </cell>
          <cell r="L1036" t="str">
            <v>Coventry</v>
          </cell>
          <cell r="M1036" t="str">
            <v>Coventry South</v>
          </cell>
          <cell r="N1036" t="str">
            <v>CV4 8JB</v>
          </cell>
          <cell r="O1036" t="str">
            <v>Has a sixth form</v>
          </cell>
          <cell r="P1036">
            <v>15</v>
          </cell>
          <cell r="Q1036">
            <v>19</v>
          </cell>
          <cell r="R1036" t="str">
            <v>None</v>
          </cell>
          <cell r="S1036" t="str">
            <v>Ofsted</v>
          </cell>
          <cell r="T1036" t="str">
            <v>NULL</v>
          </cell>
          <cell r="U1036" t="str">
            <v>NULL</v>
          </cell>
          <cell r="V1036" t="str">
            <v>NULL</v>
          </cell>
          <cell r="W1036" t="str">
            <v>NULL</v>
          </cell>
          <cell r="X1036" t="str">
            <v>NULL</v>
          </cell>
          <cell r="Y1036" t="str">
            <v>NULL</v>
          </cell>
          <cell r="Z1036" t="str">
            <v>NULL</v>
          </cell>
          <cell r="AA1036" t="str">
            <v>NULL</v>
          </cell>
          <cell r="AB1036" t="str">
            <v>NULL</v>
          </cell>
          <cell r="AC1036" t="str">
            <v>NULL</v>
          </cell>
          <cell r="AD1036" t="str">
            <v>NULL</v>
          </cell>
          <cell r="AE1036" t="str">
            <v>NULL</v>
          </cell>
          <cell r="AF1036" t="str">
            <v>NULL</v>
          </cell>
          <cell r="AG1036" t="str">
            <v>NULL</v>
          </cell>
          <cell r="AH1036" t="str">
            <v>NULL</v>
          </cell>
          <cell r="AI1036" t="str">
            <v>NULL</v>
          </cell>
          <cell r="AJ1036" t="str">
            <v>NULL</v>
          </cell>
          <cell r="AK1036" t="str">
            <v>NULL</v>
          </cell>
          <cell r="AL1036" t="str">
            <v>NULL</v>
          </cell>
          <cell r="AM1036" t="str">
            <v>NULL</v>
          </cell>
          <cell r="AN1036" t="str">
            <v>NULL</v>
          </cell>
          <cell r="AO1036" t="str">
            <v>NULL</v>
          </cell>
          <cell r="AP1036" t="str">
            <v>NULL</v>
          </cell>
          <cell r="AQ1036" t="str">
            <v>NULL</v>
          </cell>
          <cell r="AR1036" t="str">
            <v>NULL</v>
          </cell>
          <cell r="AS1036" t="str">
            <v>NULL</v>
          </cell>
          <cell r="AT1036" t="str">
            <v>NULL</v>
          </cell>
          <cell r="AU1036" t="str">
            <v>NULL</v>
          </cell>
          <cell r="AV1036" t="str">
            <v>NULL</v>
          </cell>
          <cell r="AW1036" t="str">
            <v>NULL</v>
          </cell>
          <cell r="AX1036" t="str">
            <v>NULL</v>
          </cell>
          <cell r="AY1036" t="str">
            <v>NULL</v>
          </cell>
          <cell r="AZ1036" t="str">
            <v>NULL</v>
          </cell>
          <cell r="BA1036" t="str">
            <v>NULL</v>
          </cell>
          <cell r="BB1036" t="str">
            <v>NULL</v>
          </cell>
        </row>
        <row r="1037">
          <cell r="D1037">
            <v>144516</v>
          </cell>
          <cell r="E1037">
            <v>2076013</v>
          </cell>
          <cell r="F1037" t="str">
            <v>Wetherby Kensington</v>
          </cell>
          <cell r="G1037" t="str">
            <v>Other Independent School</v>
          </cell>
          <cell r="H1037">
            <v>42953</v>
          </cell>
          <cell r="I1037" t="str">
            <v>NULL</v>
          </cell>
          <cell r="J1037" t="str">
            <v>London</v>
          </cell>
          <cell r="K1037" t="str">
            <v>London</v>
          </cell>
          <cell r="L1037" t="str">
            <v>Kensington and Chelsea</v>
          </cell>
          <cell r="M1037" t="str">
            <v>Kensington</v>
          </cell>
          <cell r="N1037" t="str">
            <v>SW5 0JN</v>
          </cell>
          <cell r="O1037" t="str">
            <v>Does not have a sixth form</v>
          </cell>
          <cell r="P1037">
            <v>4</v>
          </cell>
          <cell r="Q1037">
            <v>8</v>
          </cell>
          <cell r="R1037" t="str">
            <v>None</v>
          </cell>
          <cell r="S1037" t="str">
            <v>Ofsted</v>
          </cell>
          <cell r="T1037">
            <v>1</v>
          </cell>
          <cell r="U1037">
            <v>10037584</v>
          </cell>
          <cell r="V1037" t="str">
            <v>Independent School Pre-registration Inspection</v>
          </cell>
          <cell r="W1037">
            <v>42914</v>
          </cell>
          <cell r="X1037">
            <v>42914</v>
          </cell>
          <cell r="Y1037" t="str">
            <v>NULL</v>
          </cell>
          <cell r="Z1037" t="str">
            <v>Likely to meet all standards</v>
          </cell>
          <cell r="AA1037" t="str">
            <v>NULL</v>
          </cell>
          <cell r="AB1037" t="str">
            <v>NULL</v>
          </cell>
          <cell r="AC1037" t="str">
            <v>NULL</v>
          </cell>
          <cell r="AD1037" t="str">
            <v>NULL</v>
          </cell>
          <cell r="AE1037" t="str">
            <v>NULL</v>
          </cell>
          <cell r="AF1037" t="str">
            <v>NULL</v>
          </cell>
          <cell r="AG1037" t="str">
            <v>NULL</v>
          </cell>
          <cell r="AH1037" t="str">
            <v>NULL</v>
          </cell>
          <cell r="AI1037" t="str">
            <v>NULL</v>
          </cell>
          <cell r="AJ1037" t="str">
            <v>NULL</v>
          </cell>
          <cell r="AK1037" t="str">
            <v>NULL</v>
          </cell>
          <cell r="AL1037" t="str">
            <v>NULL</v>
          </cell>
          <cell r="AM1037" t="str">
            <v>NULL</v>
          </cell>
          <cell r="AN1037" t="str">
            <v>NULL</v>
          </cell>
          <cell r="AO1037" t="str">
            <v>NULL</v>
          </cell>
          <cell r="AP1037" t="str">
            <v>NULL</v>
          </cell>
          <cell r="AQ1037" t="str">
            <v>NULL</v>
          </cell>
          <cell r="AR1037" t="str">
            <v>NULL</v>
          </cell>
          <cell r="AS1037" t="str">
            <v>NULL</v>
          </cell>
          <cell r="AT1037" t="str">
            <v>NULL</v>
          </cell>
          <cell r="AU1037" t="str">
            <v>NULL</v>
          </cell>
          <cell r="AV1037" t="str">
            <v>NULL</v>
          </cell>
          <cell r="AW1037" t="str">
            <v>NULL</v>
          </cell>
          <cell r="AX1037" t="str">
            <v>NULL</v>
          </cell>
          <cell r="AY1037" t="str">
            <v>NULL</v>
          </cell>
          <cell r="AZ1037" t="str">
            <v>NULL</v>
          </cell>
          <cell r="BA1037" t="str">
            <v>NULL</v>
          </cell>
          <cell r="BB1037" t="str">
            <v>NULL</v>
          </cell>
        </row>
        <row r="1038">
          <cell r="D1038">
            <v>144619</v>
          </cell>
          <cell r="E1038">
            <v>8556040</v>
          </cell>
          <cell r="F1038" t="str">
            <v>Clovelly House School</v>
          </cell>
          <cell r="G1038" t="str">
            <v>Other Independent Special School</v>
          </cell>
          <cell r="H1038">
            <v>42968</v>
          </cell>
          <cell r="I1038" t="str">
            <v>NULL</v>
          </cell>
          <cell r="J1038" t="str">
            <v>East Midlands</v>
          </cell>
          <cell r="K1038" t="str">
            <v>East Midlands</v>
          </cell>
          <cell r="L1038" t="str">
            <v>Leicestershire</v>
          </cell>
          <cell r="M1038" t="str">
            <v>Bosworth</v>
          </cell>
          <cell r="N1038" t="str">
            <v>LE67 1AP</v>
          </cell>
          <cell r="O1038" t="str">
            <v>Not applicable</v>
          </cell>
          <cell r="P1038">
            <v>10</v>
          </cell>
          <cell r="Q1038">
            <v>18</v>
          </cell>
          <cell r="R1038" t="str">
            <v>None</v>
          </cell>
          <cell r="S1038" t="str">
            <v>Ofsted</v>
          </cell>
          <cell r="T1038">
            <v>2</v>
          </cell>
          <cell r="U1038">
            <v>10039858</v>
          </cell>
          <cell r="V1038" t="str">
            <v>Independent School Pre-registration Inspection</v>
          </cell>
          <cell r="W1038">
            <v>42941</v>
          </cell>
          <cell r="X1038">
            <v>42941</v>
          </cell>
          <cell r="Y1038" t="str">
            <v>NULL</v>
          </cell>
          <cell r="Z1038" t="str">
            <v>Likely to meet all standards</v>
          </cell>
          <cell r="AA1038" t="str">
            <v>NULL</v>
          </cell>
          <cell r="AB1038" t="str">
            <v>NULL</v>
          </cell>
          <cell r="AC1038" t="str">
            <v>NULL</v>
          </cell>
          <cell r="AD1038" t="str">
            <v>NULL</v>
          </cell>
          <cell r="AE1038" t="str">
            <v>NULL</v>
          </cell>
          <cell r="AF1038" t="str">
            <v>NULL</v>
          </cell>
          <cell r="AG1038" t="str">
            <v>NULL</v>
          </cell>
          <cell r="AH1038" t="str">
            <v>NULL</v>
          </cell>
          <cell r="AI1038" t="str">
            <v>NULL</v>
          </cell>
          <cell r="AJ1038" t="str">
            <v>NULL</v>
          </cell>
          <cell r="AK1038" t="str">
            <v>NULL</v>
          </cell>
          <cell r="AL1038" t="str">
            <v>NULL</v>
          </cell>
          <cell r="AM1038" t="str">
            <v>NULL</v>
          </cell>
          <cell r="AN1038" t="str">
            <v>NULL</v>
          </cell>
          <cell r="AO1038" t="str">
            <v>NULL</v>
          </cell>
          <cell r="AP1038" t="str">
            <v>NULL</v>
          </cell>
          <cell r="AQ1038" t="str">
            <v>NULL</v>
          </cell>
          <cell r="AR1038" t="str">
            <v>NULL</v>
          </cell>
          <cell r="AS1038" t="str">
            <v>NULL</v>
          </cell>
          <cell r="AT1038" t="str">
            <v>NULL</v>
          </cell>
          <cell r="AU1038" t="str">
            <v>NULL</v>
          </cell>
          <cell r="AV1038" t="str">
            <v>NULL</v>
          </cell>
          <cell r="AW1038" t="str">
            <v>NULL</v>
          </cell>
          <cell r="AX1038" t="str">
            <v>NULL</v>
          </cell>
          <cell r="AY1038" t="str">
            <v>NULL</v>
          </cell>
          <cell r="AZ1038" t="str">
            <v>NULL</v>
          </cell>
          <cell r="BA1038" t="str">
            <v>NULL</v>
          </cell>
          <cell r="BB1038" t="str">
            <v>NULL</v>
          </cell>
        </row>
        <row r="1039">
          <cell r="D1039">
            <v>144620</v>
          </cell>
          <cell r="E1039">
            <v>3836005</v>
          </cell>
          <cell r="F1039" t="str">
            <v>Beechtree Steiner Initiative</v>
          </cell>
          <cell r="G1039" t="str">
            <v>Other Independent School</v>
          </cell>
          <cell r="H1039">
            <v>42971</v>
          </cell>
          <cell r="I1039" t="str">
            <v>NULL</v>
          </cell>
          <cell r="J1039" t="str">
            <v>North East, Yorkshire and the Humber</v>
          </cell>
          <cell r="K1039" t="str">
            <v>Yorkshire and the Humber</v>
          </cell>
          <cell r="L1039" t="str">
            <v>Leeds</v>
          </cell>
          <cell r="M1039" t="str">
            <v>Leeds North East</v>
          </cell>
          <cell r="N1039" t="str">
            <v>LS7 4HZ</v>
          </cell>
          <cell r="O1039" t="str">
            <v>Does not have a sixth form</v>
          </cell>
          <cell r="P1039">
            <v>2</v>
          </cell>
          <cell r="Q1039">
            <v>9</v>
          </cell>
          <cell r="R1039" t="str">
            <v>None</v>
          </cell>
          <cell r="S1039" t="str">
            <v>Ofsted</v>
          </cell>
          <cell r="T1039">
            <v>1</v>
          </cell>
          <cell r="U1039">
            <v>10038141</v>
          </cell>
          <cell r="V1039" t="str">
            <v>Independent School Pre-registration Inspection</v>
          </cell>
          <cell r="W1039">
            <v>42934</v>
          </cell>
          <cell r="X1039">
            <v>42934</v>
          </cell>
          <cell r="Y1039" t="str">
            <v>NULL</v>
          </cell>
          <cell r="Z1039" t="str">
            <v>Likely to meet all standards</v>
          </cell>
          <cell r="AA1039" t="str">
            <v>NULL</v>
          </cell>
          <cell r="AB1039" t="str">
            <v>NULL</v>
          </cell>
          <cell r="AC1039" t="str">
            <v>NULL</v>
          </cell>
          <cell r="AD1039" t="str">
            <v>NULL</v>
          </cell>
          <cell r="AE1039" t="str">
            <v>NULL</v>
          </cell>
          <cell r="AF1039" t="str">
            <v>NULL</v>
          </cell>
          <cell r="AG1039" t="str">
            <v>NULL</v>
          </cell>
          <cell r="AH1039" t="str">
            <v>NULL</v>
          </cell>
          <cell r="AI1039" t="str">
            <v>NULL</v>
          </cell>
          <cell r="AJ1039" t="str">
            <v>NULL</v>
          </cell>
          <cell r="AK1039" t="str">
            <v>NULL</v>
          </cell>
          <cell r="AL1039" t="str">
            <v>NULL</v>
          </cell>
          <cell r="AM1039" t="str">
            <v>NULL</v>
          </cell>
          <cell r="AN1039" t="str">
            <v>NULL</v>
          </cell>
          <cell r="AO1039" t="str">
            <v>NULL</v>
          </cell>
          <cell r="AP1039" t="str">
            <v>NULL</v>
          </cell>
          <cell r="AQ1039" t="str">
            <v>NULL</v>
          </cell>
          <cell r="AR1039" t="str">
            <v>NULL</v>
          </cell>
          <cell r="AS1039" t="str">
            <v>NULL</v>
          </cell>
          <cell r="AT1039" t="str">
            <v>NULL</v>
          </cell>
          <cell r="AU1039" t="str">
            <v>NULL</v>
          </cell>
          <cell r="AV1039" t="str">
            <v>NULL</v>
          </cell>
          <cell r="AW1039" t="str">
            <v>NULL</v>
          </cell>
          <cell r="AX1039" t="str">
            <v>NULL</v>
          </cell>
          <cell r="AY1039" t="str">
            <v>NULL</v>
          </cell>
          <cell r="AZ1039" t="str">
            <v>NULL</v>
          </cell>
          <cell r="BA1039" t="str">
            <v>NULL</v>
          </cell>
          <cell r="BB1039" t="str">
            <v>NULL</v>
          </cell>
        </row>
        <row r="1040">
          <cell r="D1040">
            <v>144717</v>
          </cell>
          <cell r="E1040">
            <v>8846016</v>
          </cell>
          <cell r="F1040" t="str">
            <v>Hidelow Grange School</v>
          </cell>
          <cell r="G1040" t="str">
            <v>Other Independent School</v>
          </cell>
          <cell r="H1040">
            <v>42948</v>
          </cell>
          <cell r="I1040" t="str">
            <v>NULL</v>
          </cell>
          <cell r="J1040" t="str">
            <v>West Midlands</v>
          </cell>
          <cell r="K1040" t="str">
            <v>West Midlands</v>
          </cell>
          <cell r="L1040" t="str">
            <v>Herefordshire</v>
          </cell>
          <cell r="M1040" t="str">
            <v>North Herefordshire</v>
          </cell>
          <cell r="N1040" t="str">
            <v>WR6 5AH</v>
          </cell>
          <cell r="O1040" t="str">
            <v>Has a sixth form</v>
          </cell>
          <cell r="P1040">
            <v>11</v>
          </cell>
          <cell r="Q1040">
            <v>18</v>
          </cell>
          <cell r="R1040" t="str">
            <v>None</v>
          </cell>
          <cell r="S1040" t="str">
            <v>Ofsted</v>
          </cell>
          <cell r="T1040">
            <v>1</v>
          </cell>
          <cell r="U1040">
            <v>10037583</v>
          </cell>
          <cell r="V1040" t="str">
            <v>Independent School Pre-registration Inspection</v>
          </cell>
          <cell r="W1040">
            <v>42899</v>
          </cell>
          <cell r="X1040">
            <v>42899</v>
          </cell>
          <cell r="Y1040" t="str">
            <v>NULL</v>
          </cell>
          <cell r="Z1040" t="str">
            <v>Likely to meet all standards</v>
          </cell>
          <cell r="AA1040" t="str">
            <v>NULL</v>
          </cell>
          <cell r="AB1040" t="str">
            <v>NULL</v>
          </cell>
          <cell r="AC1040" t="str">
            <v>NULL</v>
          </cell>
          <cell r="AD1040" t="str">
            <v>NULL</v>
          </cell>
          <cell r="AE1040" t="str">
            <v>NULL</v>
          </cell>
          <cell r="AF1040" t="str">
            <v>NULL</v>
          </cell>
          <cell r="AG1040" t="str">
            <v>NULL</v>
          </cell>
          <cell r="AH1040" t="str">
            <v>NULL</v>
          </cell>
          <cell r="AI1040" t="str">
            <v>NULL</v>
          </cell>
          <cell r="AJ1040" t="str">
            <v>NULL</v>
          </cell>
          <cell r="AK1040" t="str">
            <v>NULL</v>
          </cell>
          <cell r="AL1040" t="str">
            <v>NULL</v>
          </cell>
          <cell r="AM1040" t="str">
            <v>NULL</v>
          </cell>
          <cell r="AN1040" t="str">
            <v>NULL</v>
          </cell>
          <cell r="AO1040" t="str">
            <v>NULL</v>
          </cell>
          <cell r="AP1040" t="str">
            <v>NULL</v>
          </cell>
          <cell r="AQ1040" t="str">
            <v>NULL</v>
          </cell>
          <cell r="AR1040" t="str">
            <v>NULL</v>
          </cell>
          <cell r="AS1040" t="str">
            <v>NULL</v>
          </cell>
          <cell r="AT1040" t="str">
            <v>NULL</v>
          </cell>
          <cell r="AU1040" t="str">
            <v>NULL</v>
          </cell>
          <cell r="AV1040" t="str">
            <v>NULL</v>
          </cell>
          <cell r="AW1040" t="str">
            <v>NULL</v>
          </cell>
          <cell r="AX1040" t="str">
            <v>NULL</v>
          </cell>
          <cell r="AY1040" t="str">
            <v>NULL</v>
          </cell>
          <cell r="AZ1040" t="str">
            <v>NULL</v>
          </cell>
          <cell r="BA1040" t="str">
            <v>NULL</v>
          </cell>
          <cell r="BB1040" t="str">
            <v>NULL</v>
          </cell>
        </row>
        <row r="1041">
          <cell r="D1041">
            <v>144725</v>
          </cell>
          <cell r="E1041">
            <v>3426002</v>
          </cell>
          <cell r="F1041" t="str">
            <v>Crossley Manor</v>
          </cell>
          <cell r="G1041" t="str">
            <v>Other Independent Special School</v>
          </cell>
          <cell r="H1041">
            <v>42978</v>
          </cell>
          <cell r="I1041" t="str">
            <v>NULL</v>
          </cell>
          <cell r="J1041" t="str">
            <v>North West</v>
          </cell>
          <cell r="K1041" t="str">
            <v>North West</v>
          </cell>
          <cell r="L1041" t="str">
            <v>St Helens</v>
          </cell>
          <cell r="M1041" t="str">
            <v>St Helens South and Whiston</v>
          </cell>
          <cell r="N1041" t="str">
            <v>L35 6NE</v>
          </cell>
          <cell r="O1041" t="str">
            <v>Has a sixth form</v>
          </cell>
          <cell r="P1041">
            <v>5</v>
          </cell>
          <cell r="Q1041">
            <v>19</v>
          </cell>
          <cell r="R1041" t="str">
            <v>None</v>
          </cell>
          <cell r="S1041" t="str">
            <v>Ofsted</v>
          </cell>
          <cell r="T1041">
            <v>1</v>
          </cell>
          <cell r="U1041">
            <v>10039493</v>
          </cell>
          <cell r="V1041" t="str">
            <v>Independent School Pre-registration Inspection</v>
          </cell>
          <cell r="W1041">
            <v>42954</v>
          </cell>
          <cell r="X1041">
            <v>42954</v>
          </cell>
          <cell r="Y1041" t="str">
            <v>NULL</v>
          </cell>
          <cell r="Z1041" t="str">
            <v>Likely to meet all standards</v>
          </cell>
          <cell r="AA1041" t="str">
            <v>NULL</v>
          </cell>
          <cell r="AB1041" t="str">
            <v>NULL</v>
          </cell>
          <cell r="AC1041" t="str">
            <v>NULL</v>
          </cell>
          <cell r="AD1041" t="str">
            <v>NULL</v>
          </cell>
          <cell r="AE1041" t="str">
            <v>NULL</v>
          </cell>
          <cell r="AF1041" t="str">
            <v>NULL</v>
          </cell>
          <cell r="AG1041" t="str">
            <v>NULL</v>
          </cell>
          <cell r="AH1041" t="str">
            <v>NULL</v>
          </cell>
          <cell r="AI1041" t="str">
            <v>NULL</v>
          </cell>
          <cell r="AJ1041" t="str">
            <v>NULL</v>
          </cell>
          <cell r="AK1041" t="str">
            <v>NULL</v>
          </cell>
          <cell r="AL1041" t="str">
            <v>NULL</v>
          </cell>
          <cell r="AM1041" t="str">
            <v>NULL</v>
          </cell>
          <cell r="AN1041" t="str">
            <v>NULL</v>
          </cell>
          <cell r="AO1041" t="str">
            <v>NULL</v>
          </cell>
          <cell r="AP1041" t="str">
            <v>NULL</v>
          </cell>
          <cell r="AQ1041" t="str">
            <v>NULL</v>
          </cell>
          <cell r="AR1041" t="str">
            <v>NULL</v>
          </cell>
          <cell r="AS1041" t="str">
            <v>NULL</v>
          </cell>
          <cell r="AT1041" t="str">
            <v>NULL</v>
          </cell>
          <cell r="AU1041" t="str">
            <v>NULL</v>
          </cell>
          <cell r="AV1041" t="str">
            <v>NULL</v>
          </cell>
          <cell r="AW1041" t="str">
            <v>NULL</v>
          </cell>
          <cell r="AX1041" t="str">
            <v>NULL</v>
          </cell>
          <cell r="AY1041" t="str">
            <v>NULL</v>
          </cell>
          <cell r="AZ1041" t="str">
            <v>NULL</v>
          </cell>
          <cell r="BA1041" t="str">
            <v>NULL</v>
          </cell>
          <cell r="BB1041" t="str">
            <v>NULL</v>
          </cell>
        </row>
        <row r="1042">
          <cell r="D1042">
            <v>144726</v>
          </cell>
          <cell r="E1042">
            <v>9196008</v>
          </cell>
          <cell r="F1042" t="str">
            <v>Rhodes Wood Hospital School</v>
          </cell>
          <cell r="G1042" t="str">
            <v>Other Independent Special School</v>
          </cell>
          <cell r="H1042">
            <v>42948</v>
          </cell>
          <cell r="I1042" t="str">
            <v>NULL</v>
          </cell>
          <cell r="J1042" t="str">
            <v>East of England</v>
          </cell>
          <cell r="K1042" t="str">
            <v>East of England</v>
          </cell>
          <cell r="L1042" t="str">
            <v>Hertfordshire</v>
          </cell>
          <cell r="M1042" t="str">
            <v>Welwyn Hatfield</v>
          </cell>
          <cell r="N1042" t="str">
            <v>AL9 6NN</v>
          </cell>
          <cell r="O1042" t="str">
            <v>Has a sixth form</v>
          </cell>
          <cell r="P1042">
            <v>7</v>
          </cell>
          <cell r="Q1042">
            <v>19</v>
          </cell>
          <cell r="R1042" t="str">
            <v>None</v>
          </cell>
          <cell r="S1042" t="str">
            <v>Ofsted</v>
          </cell>
          <cell r="T1042">
            <v>1</v>
          </cell>
          <cell r="U1042">
            <v>10038396</v>
          </cell>
          <cell r="V1042" t="str">
            <v>Independent School Pre-registration Inspection</v>
          </cell>
          <cell r="W1042">
            <v>42934</v>
          </cell>
          <cell r="X1042">
            <v>42934</v>
          </cell>
          <cell r="Y1042" t="str">
            <v>NULL</v>
          </cell>
          <cell r="Z1042" t="str">
            <v>Likely to meet all standards</v>
          </cell>
          <cell r="AA1042" t="str">
            <v>NULL</v>
          </cell>
          <cell r="AB1042" t="str">
            <v>NULL</v>
          </cell>
          <cell r="AC1042" t="str">
            <v>NULL</v>
          </cell>
          <cell r="AD1042" t="str">
            <v>NULL</v>
          </cell>
          <cell r="AE1042" t="str">
            <v>NULL</v>
          </cell>
          <cell r="AF1042" t="str">
            <v>NULL</v>
          </cell>
          <cell r="AG1042" t="str">
            <v>NULL</v>
          </cell>
          <cell r="AH1042" t="str">
            <v>NULL</v>
          </cell>
          <cell r="AI1042" t="str">
            <v>NULL</v>
          </cell>
          <cell r="AJ1042" t="str">
            <v>NULL</v>
          </cell>
          <cell r="AK1042" t="str">
            <v>NULL</v>
          </cell>
          <cell r="AL1042" t="str">
            <v>NULL</v>
          </cell>
          <cell r="AM1042" t="str">
            <v>NULL</v>
          </cell>
          <cell r="AN1042" t="str">
            <v>NULL</v>
          </cell>
          <cell r="AO1042" t="str">
            <v>NULL</v>
          </cell>
          <cell r="AP1042" t="str">
            <v>NULL</v>
          </cell>
          <cell r="AQ1042" t="str">
            <v>NULL</v>
          </cell>
          <cell r="AR1042" t="str">
            <v>NULL</v>
          </cell>
          <cell r="AS1042" t="str">
            <v>NULL</v>
          </cell>
          <cell r="AT1042" t="str">
            <v>NULL</v>
          </cell>
          <cell r="AU1042" t="str">
            <v>NULL</v>
          </cell>
          <cell r="AV1042" t="str">
            <v>NULL</v>
          </cell>
          <cell r="AW1042" t="str">
            <v>NULL</v>
          </cell>
          <cell r="AX1042" t="str">
            <v>NULL</v>
          </cell>
          <cell r="AY1042" t="str">
            <v>NULL</v>
          </cell>
          <cell r="AZ1042" t="str">
            <v>NULL</v>
          </cell>
          <cell r="BA1042" t="str">
            <v>NULL</v>
          </cell>
          <cell r="BB1042" t="str">
            <v>NULL</v>
          </cell>
        </row>
        <row r="1043">
          <cell r="D1043">
            <v>144857</v>
          </cell>
          <cell r="E1043">
            <v>3826008</v>
          </cell>
          <cell r="F1043" t="str">
            <v>Pivot Academy</v>
          </cell>
          <cell r="G1043" t="str">
            <v>Other Independent School</v>
          </cell>
          <cell r="H1043">
            <v>42969</v>
          </cell>
          <cell r="I1043" t="str">
            <v>NULL</v>
          </cell>
          <cell r="J1043" t="str">
            <v>North East, Yorkshire and the Humber</v>
          </cell>
          <cell r="K1043" t="str">
            <v>Yorkshire and the Humber</v>
          </cell>
          <cell r="L1043" t="str">
            <v>Kirklees</v>
          </cell>
          <cell r="M1043" t="str">
            <v>Batley and Spen</v>
          </cell>
          <cell r="N1043" t="str">
            <v>BD19 5LH</v>
          </cell>
          <cell r="O1043" t="str">
            <v>Does not have a sixth form</v>
          </cell>
          <cell r="P1043">
            <v>12</v>
          </cell>
          <cell r="Q1043">
            <v>16</v>
          </cell>
          <cell r="R1043" t="str">
            <v>None</v>
          </cell>
          <cell r="S1043" t="str">
            <v>Ofsted</v>
          </cell>
          <cell r="T1043" t="str">
            <v>NULL</v>
          </cell>
          <cell r="U1043" t="str">
            <v>NULL</v>
          </cell>
          <cell r="V1043" t="str">
            <v>NULL</v>
          </cell>
          <cell r="W1043" t="str">
            <v>NULL</v>
          </cell>
          <cell r="X1043" t="str">
            <v>NULL</v>
          </cell>
          <cell r="Y1043" t="str">
            <v>NULL</v>
          </cell>
          <cell r="Z1043" t="str">
            <v>NULL</v>
          </cell>
          <cell r="AA1043">
            <v>10044626</v>
          </cell>
          <cell r="AB1043" t="str">
            <v>Independent school standard inspection - first</v>
          </cell>
          <cell r="AC1043" t="str">
            <v>Independent Standard Inspection</v>
          </cell>
          <cell r="AD1043">
            <v>43116</v>
          </cell>
          <cell r="AE1043">
            <v>43118</v>
          </cell>
          <cell r="AF1043">
            <v>43161</v>
          </cell>
          <cell r="AG1043">
            <v>2</v>
          </cell>
          <cell r="AH1043">
            <v>2</v>
          </cell>
          <cell r="AI1043">
            <v>2</v>
          </cell>
          <cell r="AJ1043">
            <v>2</v>
          </cell>
          <cell r="AK1043">
            <v>2</v>
          </cell>
          <cell r="AL1043" t="str">
            <v>NULL</v>
          </cell>
          <cell r="AM1043" t="str">
            <v>NULL</v>
          </cell>
          <cell r="AN1043" t="str">
            <v>Yes</v>
          </cell>
          <cell r="AO1043" t="str">
            <v>NULL</v>
          </cell>
          <cell r="AP1043" t="str">
            <v>NULL</v>
          </cell>
          <cell r="AQ1043" t="str">
            <v>NULL</v>
          </cell>
          <cell r="AR1043" t="str">
            <v>NULL</v>
          </cell>
          <cell r="AS1043" t="str">
            <v>NULL</v>
          </cell>
          <cell r="AT1043" t="str">
            <v>NULL</v>
          </cell>
          <cell r="AU1043" t="str">
            <v>NULL</v>
          </cell>
          <cell r="AV1043" t="str">
            <v>NULL</v>
          </cell>
          <cell r="AW1043" t="str">
            <v>NULL</v>
          </cell>
          <cell r="AX1043" t="str">
            <v>NULL</v>
          </cell>
          <cell r="AY1043" t="str">
            <v>NULL</v>
          </cell>
          <cell r="AZ1043" t="str">
            <v>NULL</v>
          </cell>
          <cell r="BA1043" t="str">
            <v>NULL</v>
          </cell>
          <cell r="BB1043" t="str">
            <v>NULL</v>
          </cell>
        </row>
        <row r="1044">
          <cell r="D1044">
            <v>144965</v>
          </cell>
          <cell r="E1044">
            <v>2076014</v>
          </cell>
          <cell r="F1044" t="str">
            <v>Kensington Wade</v>
          </cell>
          <cell r="G1044" t="str">
            <v>Other Independent School</v>
          </cell>
          <cell r="H1044">
            <v>43006</v>
          </cell>
          <cell r="I1044" t="str">
            <v>NULL</v>
          </cell>
          <cell r="J1044" t="str">
            <v>London</v>
          </cell>
          <cell r="K1044" t="str">
            <v>London</v>
          </cell>
          <cell r="L1044" t="str">
            <v>Kensington and Chelsea</v>
          </cell>
          <cell r="M1044" t="str">
            <v>Kensington</v>
          </cell>
          <cell r="N1044" t="str">
            <v>W14 8PU</v>
          </cell>
          <cell r="O1044" t="str">
            <v>Does not have a sixth form</v>
          </cell>
          <cell r="P1044">
            <v>3</v>
          </cell>
          <cell r="Q1044">
            <v>11</v>
          </cell>
          <cell r="R1044" t="str">
            <v>None</v>
          </cell>
          <cell r="S1044" t="str">
            <v>Ofsted</v>
          </cell>
          <cell r="T1044">
            <v>1</v>
          </cell>
          <cell r="U1044">
            <v>10038852</v>
          </cell>
          <cell r="V1044" t="str">
            <v>Independent School Pre-registration Inspection</v>
          </cell>
          <cell r="W1044">
            <v>42934</v>
          </cell>
          <cell r="X1044">
            <v>42934</v>
          </cell>
          <cell r="Y1044" t="str">
            <v>NULL</v>
          </cell>
          <cell r="Z1044" t="str">
            <v>Likely to meet all standards</v>
          </cell>
          <cell r="AA1044" t="str">
            <v>NULL</v>
          </cell>
          <cell r="AB1044" t="str">
            <v>NULL</v>
          </cell>
          <cell r="AC1044" t="str">
            <v>NULL</v>
          </cell>
          <cell r="AD1044" t="str">
            <v>NULL</v>
          </cell>
          <cell r="AE1044" t="str">
            <v>NULL</v>
          </cell>
          <cell r="AF1044" t="str">
            <v>NULL</v>
          </cell>
          <cell r="AG1044" t="str">
            <v>NULL</v>
          </cell>
          <cell r="AH1044" t="str">
            <v>NULL</v>
          </cell>
          <cell r="AI1044" t="str">
            <v>NULL</v>
          </cell>
          <cell r="AJ1044" t="str">
            <v>NULL</v>
          </cell>
          <cell r="AK1044" t="str">
            <v>NULL</v>
          </cell>
          <cell r="AL1044" t="str">
            <v>NULL</v>
          </cell>
          <cell r="AM1044" t="str">
            <v>NULL</v>
          </cell>
          <cell r="AN1044" t="str">
            <v>NULL</v>
          </cell>
          <cell r="AO1044" t="str">
            <v>NULL</v>
          </cell>
          <cell r="AP1044" t="str">
            <v>NULL</v>
          </cell>
          <cell r="AQ1044" t="str">
            <v>NULL</v>
          </cell>
          <cell r="AR1044" t="str">
            <v>NULL</v>
          </cell>
          <cell r="AS1044" t="str">
            <v>NULL</v>
          </cell>
          <cell r="AT1044" t="str">
            <v>NULL</v>
          </cell>
          <cell r="AU1044" t="str">
            <v>NULL</v>
          </cell>
          <cell r="AV1044" t="str">
            <v>NULL</v>
          </cell>
          <cell r="AW1044" t="str">
            <v>NULL</v>
          </cell>
          <cell r="AX1044" t="str">
            <v>NULL</v>
          </cell>
          <cell r="AY1044" t="str">
            <v>NULL</v>
          </cell>
          <cell r="AZ1044" t="str">
            <v>NULL</v>
          </cell>
          <cell r="BA1044" t="str">
            <v>NULL</v>
          </cell>
          <cell r="BB1044" t="str">
            <v>NULL</v>
          </cell>
        </row>
        <row r="1045">
          <cell r="D1045">
            <v>144966</v>
          </cell>
          <cell r="E1045">
            <v>9376014</v>
          </cell>
          <cell r="F1045" t="str">
            <v>Independent Educational Services Long Street</v>
          </cell>
          <cell r="G1045" t="str">
            <v>Other Independent Special School</v>
          </cell>
          <cell r="H1045">
            <v>43011</v>
          </cell>
          <cell r="I1045" t="str">
            <v>NULL</v>
          </cell>
          <cell r="J1045" t="str">
            <v>West Midlands</v>
          </cell>
          <cell r="K1045" t="str">
            <v>West Midlands</v>
          </cell>
          <cell r="L1045" t="str">
            <v>Warwickshire</v>
          </cell>
          <cell r="M1045" t="str">
            <v>North Warwickshire</v>
          </cell>
          <cell r="N1045" t="str">
            <v>CV9 1AY</v>
          </cell>
          <cell r="O1045" t="str">
            <v>Not applicable</v>
          </cell>
          <cell r="P1045">
            <v>10</v>
          </cell>
          <cell r="Q1045">
            <v>17</v>
          </cell>
          <cell r="R1045" t="str">
            <v>None</v>
          </cell>
          <cell r="S1045" t="str">
            <v>Ofsted</v>
          </cell>
          <cell r="T1045">
            <v>1</v>
          </cell>
          <cell r="U1045">
            <v>10039937</v>
          </cell>
          <cell r="V1045" t="str">
            <v>Independent School Pre-registration Inspection</v>
          </cell>
          <cell r="W1045">
            <v>42985</v>
          </cell>
          <cell r="X1045">
            <v>42985</v>
          </cell>
          <cell r="Y1045" t="str">
            <v>NULL</v>
          </cell>
          <cell r="Z1045" t="str">
            <v>Likely to meet all standards</v>
          </cell>
          <cell r="AA1045" t="str">
            <v>NULL</v>
          </cell>
          <cell r="AB1045" t="str">
            <v>NULL</v>
          </cell>
          <cell r="AC1045" t="str">
            <v>NULL</v>
          </cell>
          <cell r="AD1045" t="str">
            <v>NULL</v>
          </cell>
          <cell r="AE1045" t="str">
            <v>NULL</v>
          </cell>
          <cell r="AF1045" t="str">
            <v>NULL</v>
          </cell>
          <cell r="AG1045" t="str">
            <v>NULL</v>
          </cell>
          <cell r="AH1045" t="str">
            <v>NULL</v>
          </cell>
          <cell r="AI1045" t="str">
            <v>NULL</v>
          </cell>
          <cell r="AJ1045" t="str">
            <v>NULL</v>
          </cell>
          <cell r="AK1045" t="str">
            <v>NULL</v>
          </cell>
          <cell r="AL1045" t="str">
            <v>NULL</v>
          </cell>
          <cell r="AM1045" t="str">
            <v>NULL</v>
          </cell>
          <cell r="AN1045" t="str">
            <v>NULL</v>
          </cell>
          <cell r="AO1045" t="str">
            <v>NULL</v>
          </cell>
          <cell r="AP1045" t="str">
            <v>NULL</v>
          </cell>
          <cell r="AQ1045" t="str">
            <v>NULL</v>
          </cell>
          <cell r="AR1045" t="str">
            <v>NULL</v>
          </cell>
          <cell r="AS1045" t="str">
            <v>NULL</v>
          </cell>
          <cell r="AT1045" t="str">
            <v>NULL</v>
          </cell>
          <cell r="AU1045" t="str">
            <v>NULL</v>
          </cell>
          <cell r="AV1045" t="str">
            <v>NULL</v>
          </cell>
          <cell r="AW1045" t="str">
            <v>NULL</v>
          </cell>
          <cell r="AX1045" t="str">
            <v>NULL</v>
          </cell>
          <cell r="AY1045" t="str">
            <v>NULL</v>
          </cell>
          <cell r="AZ1045" t="str">
            <v>NULL</v>
          </cell>
          <cell r="BA1045" t="str">
            <v>NULL</v>
          </cell>
          <cell r="BB1045" t="str">
            <v>NULL</v>
          </cell>
        </row>
        <row r="1046">
          <cell r="D1046">
            <v>145023</v>
          </cell>
          <cell r="E1046">
            <v>9256007</v>
          </cell>
          <cell r="F1046" t="str">
            <v>Good Apple Education Company</v>
          </cell>
          <cell r="G1046" t="str">
            <v>Other Independent Special School</v>
          </cell>
          <cell r="H1046">
            <v>43067</v>
          </cell>
          <cell r="I1046" t="str">
            <v>NULL</v>
          </cell>
          <cell r="J1046" t="str">
            <v>East Midlands</v>
          </cell>
          <cell r="K1046" t="str">
            <v>East Midlands</v>
          </cell>
          <cell r="L1046" t="str">
            <v>Lincolnshire</v>
          </cell>
          <cell r="M1046" t="str">
            <v>Gainsborough</v>
          </cell>
          <cell r="N1046" t="str">
            <v>DN21 2NS</v>
          </cell>
          <cell r="O1046" t="str">
            <v>Not applicable</v>
          </cell>
          <cell r="P1046">
            <v>9</v>
          </cell>
          <cell r="Q1046">
            <v>16</v>
          </cell>
          <cell r="R1046" t="str">
            <v>None</v>
          </cell>
          <cell r="S1046" t="str">
            <v>Ofsted</v>
          </cell>
          <cell r="T1046">
            <v>2</v>
          </cell>
          <cell r="U1046">
            <v>10040609</v>
          </cell>
          <cell r="V1046" t="str">
            <v>Independent School Pre-registration Inspection</v>
          </cell>
          <cell r="W1046">
            <v>43040</v>
          </cell>
          <cell r="X1046">
            <v>43040</v>
          </cell>
          <cell r="Y1046" t="str">
            <v>NULL</v>
          </cell>
          <cell r="Z1046" t="str">
            <v>Operating without registration and likely to meet all standards</v>
          </cell>
          <cell r="AA1046" t="str">
            <v>NULL</v>
          </cell>
          <cell r="AB1046" t="str">
            <v>NULL</v>
          </cell>
          <cell r="AC1046" t="str">
            <v>NULL</v>
          </cell>
          <cell r="AD1046" t="str">
            <v>NULL</v>
          </cell>
          <cell r="AE1046" t="str">
            <v>NULL</v>
          </cell>
          <cell r="AF1046" t="str">
            <v>NULL</v>
          </cell>
          <cell r="AG1046" t="str">
            <v>NULL</v>
          </cell>
          <cell r="AH1046" t="str">
            <v>NULL</v>
          </cell>
          <cell r="AI1046" t="str">
            <v>NULL</v>
          </cell>
          <cell r="AJ1046" t="str">
            <v>NULL</v>
          </cell>
          <cell r="AK1046" t="str">
            <v>NULL</v>
          </cell>
          <cell r="AL1046" t="str">
            <v>NULL</v>
          </cell>
          <cell r="AM1046" t="str">
            <v>NULL</v>
          </cell>
          <cell r="AN1046" t="str">
            <v>NULL</v>
          </cell>
          <cell r="AO1046" t="str">
            <v>NULL</v>
          </cell>
          <cell r="AP1046" t="str">
            <v>NULL</v>
          </cell>
          <cell r="AQ1046" t="str">
            <v>NULL</v>
          </cell>
          <cell r="AR1046" t="str">
            <v>NULL</v>
          </cell>
          <cell r="AS1046" t="str">
            <v>NULL</v>
          </cell>
          <cell r="AT1046" t="str">
            <v>NULL</v>
          </cell>
          <cell r="AU1046" t="str">
            <v>NULL</v>
          </cell>
          <cell r="AV1046" t="str">
            <v>NULL</v>
          </cell>
          <cell r="AW1046" t="str">
            <v>NULL</v>
          </cell>
          <cell r="AX1046" t="str">
            <v>NULL</v>
          </cell>
          <cell r="AY1046" t="str">
            <v>NULL</v>
          </cell>
          <cell r="AZ1046" t="str">
            <v>NULL</v>
          </cell>
          <cell r="BA1046" t="str">
            <v>NULL</v>
          </cell>
          <cell r="BB1046" t="str">
            <v>NULL</v>
          </cell>
        </row>
        <row r="1047">
          <cell r="D1047">
            <v>145025</v>
          </cell>
          <cell r="E1047">
            <v>8786070</v>
          </cell>
          <cell r="F1047" t="str">
            <v>Huntercombe Hospital School Meadow Lodge</v>
          </cell>
          <cell r="G1047" t="str">
            <v>Other Independent School</v>
          </cell>
          <cell r="H1047">
            <v>43018</v>
          </cell>
          <cell r="I1047" t="str">
            <v>NULL</v>
          </cell>
          <cell r="J1047" t="str">
            <v>South West</v>
          </cell>
          <cell r="K1047" t="str">
            <v>South West</v>
          </cell>
          <cell r="L1047" t="str">
            <v>Devon</v>
          </cell>
          <cell r="M1047" t="str">
            <v>Central Devon</v>
          </cell>
          <cell r="N1047" t="str">
            <v>TQ13 0DD</v>
          </cell>
          <cell r="O1047" t="str">
            <v>Has a sixth form</v>
          </cell>
          <cell r="P1047">
            <v>12</v>
          </cell>
          <cell r="Q1047">
            <v>18</v>
          </cell>
          <cell r="R1047" t="str">
            <v>None</v>
          </cell>
          <cell r="S1047" t="str">
            <v>Ofsted</v>
          </cell>
          <cell r="T1047">
            <v>1</v>
          </cell>
          <cell r="U1047">
            <v>10039516</v>
          </cell>
          <cell r="V1047" t="str">
            <v>Independent School Pre-registration Inspection</v>
          </cell>
          <cell r="W1047">
            <v>43000</v>
          </cell>
          <cell r="X1047">
            <v>43000</v>
          </cell>
          <cell r="Y1047" t="str">
            <v>NULL</v>
          </cell>
          <cell r="Z1047" t="str">
            <v>Operating without registration and likely to meet all standards</v>
          </cell>
          <cell r="AA1047" t="str">
            <v>NULL</v>
          </cell>
          <cell r="AB1047" t="str">
            <v>NULL</v>
          </cell>
          <cell r="AC1047" t="str">
            <v>NULL</v>
          </cell>
          <cell r="AD1047" t="str">
            <v>NULL</v>
          </cell>
          <cell r="AE1047" t="str">
            <v>NULL</v>
          </cell>
          <cell r="AF1047" t="str">
            <v>NULL</v>
          </cell>
          <cell r="AG1047" t="str">
            <v>NULL</v>
          </cell>
          <cell r="AH1047" t="str">
            <v>NULL</v>
          </cell>
          <cell r="AI1047" t="str">
            <v>NULL</v>
          </cell>
          <cell r="AJ1047" t="str">
            <v>NULL</v>
          </cell>
          <cell r="AK1047" t="str">
            <v>NULL</v>
          </cell>
          <cell r="AL1047" t="str">
            <v>NULL</v>
          </cell>
          <cell r="AM1047" t="str">
            <v>NULL</v>
          </cell>
          <cell r="AN1047" t="str">
            <v>NULL</v>
          </cell>
          <cell r="AO1047" t="str">
            <v>NULL</v>
          </cell>
          <cell r="AP1047" t="str">
            <v>NULL</v>
          </cell>
          <cell r="AQ1047" t="str">
            <v>NULL</v>
          </cell>
          <cell r="AR1047" t="str">
            <v>NULL</v>
          </cell>
          <cell r="AS1047" t="str">
            <v>NULL</v>
          </cell>
          <cell r="AT1047" t="str">
            <v>NULL</v>
          </cell>
          <cell r="AU1047" t="str">
            <v>NULL</v>
          </cell>
          <cell r="AV1047" t="str">
            <v>NULL</v>
          </cell>
          <cell r="AW1047" t="str">
            <v>NULL</v>
          </cell>
          <cell r="AX1047" t="str">
            <v>NULL</v>
          </cell>
          <cell r="AY1047" t="str">
            <v>NULL</v>
          </cell>
          <cell r="AZ1047" t="str">
            <v>NULL</v>
          </cell>
          <cell r="BA1047" t="str">
            <v>NULL</v>
          </cell>
          <cell r="BB1047" t="str">
            <v>NULL</v>
          </cell>
        </row>
        <row r="1048">
          <cell r="D1048">
            <v>145059</v>
          </cell>
          <cell r="E1048">
            <v>3366005</v>
          </cell>
          <cell r="F1048" t="str">
            <v>Woodbury School</v>
          </cell>
          <cell r="G1048" t="str">
            <v>Other Independent Special School</v>
          </cell>
          <cell r="H1048">
            <v>43152</v>
          </cell>
          <cell r="I1048" t="str">
            <v>NULL</v>
          </cell>
          <cell r="J1048" t="str">
            <v>West Midlands</v>
          </cell>
          <cell r="K1048" t="str">
            <v>West Midlands</v>
          </cell>
          <cell r="L1048" t="str">
            <v>Wolverhampton</v>
          </cell>
          <cell r="M1048" t="str">
            <v>Wolverhampton North East</v>
          </cell>
          <cell r="N1048" t="str">
            <v>WV10 8ED</v>
          </cell>
          <cell r="O1048" t="str">
            <v>Not applicable</v>
          </cell>
          <cell r="P1048">
            <v>7</v>
          </cell>
          <cell r="Q1048">
            <v>18</v>
          </cell>
          <cell r="R1048" t="str">
            <v>None</v>
          </cell>
          <cell r="S1048" t="str">
            <v>Ofsted</v>
          </cell>
          <cell r="T1048">
            <v>1</v>
          </cell>
          <cell r="U1048">
            <v>10040454</v>
          </cell>
          <cell r="V1048" t="str">
            <v>Independent School Pre-registration Inspection</v>
          </cell>
          <cell r="W1048">
            <v>43123</v>
          </cell>
          <cell r="X1048">
            <v>43123</v>
          </cell>
          <cell r="Y1048" t="str">
            <v>NULL</v>
          </cell>
          <cell r="Z1048" t="str">
            <v>Likely to meet all standards</v>
          </cell>
          <cell r="AA1048" t="str">
            <v>NULL</v>
          </cell>
          <cell r="AB1048" t="str">
            <v>NULL</v>
          </cell>
          <cell r="AC1048" t="str">
            <v>NULL</v>
          </cell>
          <cell r="AD1048" t="str">
            <v>NULL</v>
          </cell>
          <cell r="AE1048" t="str">
            <v>NULL</v>
          </cell>
          <cell r="AF1048" t="str">
            <v>NULL</v>
          </cell>
          <cell r="AG1048" t="str">
            <v>NULL</v>
          </cell>
          <cell r="AH1048" t="str">
            <v>NULL</v>
          </cell>
          <cell r="AI1048" t="str">
            <v>NULL</v>
          </cell>
          <cell r="AJ1048" t="str">
            <v>NULL</v>
          </cell>
          <cell r="AK1048" t="str">
            <v>NULL</v>
          </cell>
          <cell r="AL1048" t="str">
            <v>NULL</v>
          </cell>
          <cell r="AM1048" t="str">
            <v>NULL</v>
          </cell>
          <cell r="AN1048" t="str">
            <v>NULL</v>
          </cell>
          <cell r="AO1048" t="str">
            <v>NULL</v>
          </cell>
          <cell r="AP1048" t="str">
            <v>NULL</v>
          </cell>
          <cell r="AQ1048" t="str">
            <v>NULL</v>
          </cell>
          <cell r="AR1048" t="str">
            <v>NULL</v>
          </cell>
          <cell r="AS1048" t="str">
            <v>NULL</v>
          </cell>
          <cell r="AT1048" t="str">
            <v>NULL</v>
          </cell>
          <cell r="AU1048" t="str">
            <v>NULL</v>
          </cell>
          <cell r="AV1048" t="str">
            <v>NULL</v>
          </cell>
          <cell r="AW1048" t="str">
            <v>NULL</v>
          </cell>
          <cell r="AX1048" t="str">
            <v>NULL</v>
          </cell>
          <cell r="AY1048" t="str">
            <v>NULL</v>
          </cell>
          <cell r="AZ1048" t="str">
            <v>NULL</v>
          </cell>
          <cell r="BA1048" t="str">
            <v>NULL</v>
          </cell>
          <cell r="BB1048" t="str">
            <v>NULL</v>
          </cell>
        </row>
        <row r="1049">
          <cell r="D1049">
            <v>136947</v>
          </cell>
          <cell r="E1049">
            <v>8466018</v>
          </cell>
          <cell r="F1049" t="str">
            <v>The Montessori Place</v>
          </cell>
          <cell r="G1049" t="str">
            <v>Other Independent School</v>
          </cell>
          <cell r="H1049">
            <v>40746</v>
          </cell>
          <cell r="I1049">
            <v>89</v>
          </cell>
          <cell r="J1049" t="str">
            <v>South East</v>
          </cell>
          <cell r="K1049" t="str">
            <v>South East</v>
          </cell>
          <cell r="L1049" t="str">
            <v>Brighton and Hove</v>
          </cell>
          <cell r="M1049" t="str">
            <v>Hove</v>
          </cell>
          <cell r="N1049" t="str">
            <v>BN3 3ER</v>
          </cell>
          <cell r="O1049" t="str">
            <v>Does not have a sixth form</v>
          </cell>
          <cell r="P1049">
            <v>1</v>
          </cell>
          <cell r="Q1049">
            <v>16</v>
          </cell>
          <cell r="R1049" t="str">
            <v>None</v>
          </cell>
          <cell r="S1049" t="str">
            <v>Ofsted</v>
          </cell>
          <cell r="T1049" t="str">
            <v>NULL</v>
          </cell>
          <cell r="U1049" t="str">
            <v>NULL</v>
          </cell>
          <cell r="V1049" t="str">
            <v>NULL</v>
          </cell>
          <cell r="W1049" t="str">
            <v>NULL</v>
          </cell>
          <cell r="X1049" t="str">
            <v>NULL</v>
          </cell>
          <cell r="Y1049" t="str">
            <v>NULL</v>
          </cell>
          <cell r="Z1049" t="str">
            <v>NULL</v>
          </cell>
          <cell r="AA1049">
            <v>10012927</v>
          </cell>
          <cell r="AB1049" t="str">
            <v>Independent School standard inspection</v>
          </cell>
          <cell r="AC1049" t="str">
            <v>Independent Standard Inspection</v>
          </cell>
          <cell r="AD1049">
            <v>42997</v>
          </cell>
          <cell r="AE1049">
            <v>42999</v>
          </cell>
          <cell r="AF1049">
            <v>43042</v>
          </cell>
          <cell r="AG1049">
            <v>1</v>
          </cell>
          <cell r="AH1049">
            <v>1</v>
          </cell>
          <cell r="AI1049">
            <v>1</v>
          </cell>
          <cell r="AJ1049">
            <v>1</v>
          </cell>
          <cell r="AK1049">
            <v>1</v>
          </cell>
          <cell r="AL1049">
            <v>1</v>
          </cell>
          <cell r="AM1049" t="str">
            <v>NULL</v>
          </cell>
          <cell r="AN1049" t="str">
            <v>Yes</v>
          </cell>
          <cell r="AO1049" t="str">
            <v>ITS393257</v>
          </cell>
          <cell r="AP1049" t="str">
            <v>Independent school standard inspection - first</v>
          </cell>
          <cell r="AQ1049" t="str">
            <v>Independent Standard Inspection</v>
          </cell>
          <cell r="AR1049">
            <v>41031</v>
          </cell>
          <cell r="AS1049">
            <v>41032</v>
          </cell>
          <cell r="AT1049">
            <v>41054</v>
          </cell>
          <cell r="AU1049">
            <v>1</v>
          </cell>
          <cell r="AV1049">
            <v>1</v>
          </cell>
          <cell r="AW1049">
            <v>1</v>
          </cell>
          <cell r="AX1049" t="str">
            <v>NULL</v>
          </cell>
          <cell r="AY1049" t="str">
            <v>NULL</v>
          </cell>
          <cell r="AZ1049">
            <v>1</v>
          </cell>
          <cell r="BA1049" t="str">
            <v>NULL</v>
          </cell>
          <cell r="BB1049" t="str">
            <v>NULL</v>
          </cell>
        </row>
        <row r="1050">
          <cell r="D1050">
            <v>107787</v>
          </cell>
          <cell r="E1050">
            <v>3826006</v>
          </cell>
          <cell r="F1050" t="str">
            <v>The Mount School</v>
          </cell>
          <cell r="G1050" t="str">
            <v>Other Independent School</v>
          </cell>
          <cell r="H1050">
            <v>21237</v>
          </cell>
          <cell r="I1050">
            <v>96</v>
          </cell>
          <cell r="J1050" t="str">
            <v>North East, Yorkshire and the Humber</v>
          </cell>
          <cell r="K1050" t="str">
            <v>Yorkshire and the Humber</v>
          </cell>
          <cell r="L1050" t="str">
            <v>Kirklees</v>
          </cell>
          <cell r="M1050" t="str">
            <v>Huddersfield</v>
          </cell>
          <cell r="N1050" t="str">
            <v>HD2 2AP</v>
          </cell>
          <cell r="O1050" t="str">
            <v>Does not have a sixth form</v>
          </cell>
          <cell r="P1050">
            <v>3</v>
          </cell>
          <cell r="Q1050">
            <v>11</v>
          </cell>
          <cell r="R1050" t="str">
            <v>None</v>
          </cell>
          <cell r="S1050" t="str">
            <v>Ofsted</v>
          </cell>
          <cell r="T1050" t="str">
            <v>NULL</v>
          </cell>
          <cell r="U1050" t="str">
            <v>NULL</v>
          </cell>
          <cell r="V1050" t="str">
            <v>NULL</v>
          </cell>
          <cell r="W1050" t="str">
            <v>NULL</v>
          </cell>
          <cell r="X1050" t="str">
            <v>NULL</v>
          </cell>
          <cell r="Y1050" t="str">
            <v>NULL</v>
          </cell>
          <cell r="Z1050" t="str">
            <v>NULL</v>
          </cell>
          <cell r="AA1050">
            <v>10008554</v>
          </cell>
          <cell r="AB1050" t="str">
            <v>Independent School standard inspection</v>
          </cell>
          <cell r="AC1050" t="str">
            <v>Independent Standard Inspection</v>
          </cell>
          <cell r="AD1050">
            <v>42409</v>
          </cell>
          <cell r="AE1050">
            <v>42411</v>
          </cell>
          <cell r="AF1050">
            <v>42437</v>
          </cell>
          <cell r="AG1050">
            <v>2</v>
          </cell>
          <cell r="AH1050">
            <v>2</v>
          </cell>
          <cell r="AI1050">
            <v>2</v>
          </cell>
          <cell r="AJ1050">
            <v>2</v>
          </cell>
          <cell r="AK1050">
            <v>2</v>
          </cell>
          <cell r="AL1050">
            <v>2</v>
          </cell>
          <cell r="AM1050" t="str">
            <v>NULL</v>
          </cell>
          <cell r="AN1050" t="str">
            <v>Yes</v>
          </cell>
          <cell r="AO1050" t="str">
            <v>ITS344456</v>
          </cell>
          <cell r="AP1050" t="str">
            <v>S162a - LTI Inspection Historic</v>
          </cell>
          <cell r="AQ1050" t="str">
            <v>Independent Standard Inspection</v>
          </cell>
          <cell r="AR1050">
            <v>40234</v>
          </cell>
          <cell r="AS1050">
            <v>40234</v>
          </cell>
          <cell r="AT1050">
            <v>40255</v>
          </cell>
          <cell r="AU1050">
            <v>2</v>
          </cell>
          <cell r="AV1050">
            <v>2</v>
          </cell>
          <cell r="AW1050">
            <v>2</v>
          </cell>
          <cell r="AX1050" t="str">
            <v>NULL</v>
          </cell>
          <cell r="AY1050" t="str">
            <v>NULL</v>
          </cell>
          <cell r="AZ1050">
            <v>2</v>
          </cell>
          <cell r="BA1050" t="str">
            <v>NULL</v>
          </cell>
          <cell r="BB1050" t="str">
            <v>NULL</v>
          </cell>
        </row>
        <row r="1051">
          <cell r="D1051">
            <v>136706</v>
          </cell>
          <cell r="E1051">
            <v>8696201</v>
          </cell>
          <cell r="F1051" t="str">
            <v>TLG Reading</v>
          </cell>
          <cell r="G1051" t="str">
            <v>Other Independent School</v>
          </cell>
          <cell r="H1051">
            <v>40653</v>
          </cell>
          <cell r="I1051">
            <v>7</v>
          </cell>
          <cell r="J1051" t="str">
            <v>South East</v>
          </cell>
          <cell r="K1051" t="str">
            <v>South East</v>
          </cell>
          <cell r="L1051" t="str">
            <v>West Berkshire</v>
          </cell>
          <cell r="M1051" t="str">
            <v>Reading West</v>
          </cell>
          <cell r="N1051" t="str">
            <v>RG31 4XR</v>
          </cell>
          <cell r="O1051" t="str">
            <v>Does not have a sixth form</v>
          </cell>
          <cell r="P1051">
            <v>12</v>
          </cell>
          <cell r="Q1051">
            <v>16</v>
          </cell>
          <cell r="R1051" t="str">
            <v>None</v>
          </cell>
          <cell r="S1051" t="str">
            <v>Ofsted</v>
          </cell>
          <cell r="T1051" t="str">
            <v>NULL</v>
          </cell>
          <cell r="U1051" t="str">
            <v>NULL</v>
          </cell>
          <cell r="V1051" t="str">
            <v>NULL</v>
          </cell>
          <cell r="W1051" t="str">
            <v>NULL</v>
          </cell>
          <cell r="X1051" t="str">
            <v>NULL</v>
          </cell>
          <cell r="Y1051" t="str">
            <v>NULL</v>
          </cell>
          <cell r="Z1051" t="str">
            <v>NULL</v>
          </cell>
          <cell r="AA1051" t="str">
            <v>ITS462891</v>
          </cell>
          <cell r="AB1051" t="str">
            <v>Independent School standard inspection</v>
          </cell>
          <cell r="AC1051" t="str">
            <v>Independent Standard Inspection</v>
          </cell>
          <cell r="AD1051">
            <v>42136</v>
          </cell>
          <cell r="AE1051">
            <v>42138</v>
          </cell>
          <cell r="AF1051">
            <v>42174</v>
          </cell>
          <cell r="AG1051">
            <v>2</v>
          </cell>
          <cell r="AH1051">
            <v>2</v>
          </cell>
          <cell r="AI1051">
            <v>2</v>
          </cell>
          <cell r="AJ1051">
            <v>2</v>
          </cell>
          <cell r="AK1051" t="str">
            <v>NULL</v>
          </cell>
          <cell r="AL1051">
            <v>9</v>
          </cell>
          <cell r="AM1051">
            <v>9</v>
          </cell>
          <cell r="AN1051" t="str">
            <v>NULL</v>
          </cell>
          <cell r="AO1051" t="str">
            <v>ITS386861</v>
          </cell>
          <cell r="AP1051" t="str">
            <v>Independent School standard inspection</v>
          </cell>
          <cell r="AQ1051" t="str">
            <v>Independent Standard Inspection</v>
          </cell>
          <cell r="AR1051">
            <v>40939</v>
          </cell>
          <cell r="AS1051">
            <v>40940</v>
          </cell>
          <cell r="AT1051">
            <v>41241</v>
          </cell>
          <cell r="AU1051">
            <v>2</v>
          </cell>
          <cell r="AV1051">
            <v>2</v>
          </cell>
          <cell r="AW1051">
            <v>2</v>
          </cell>
          <cell r="AX1051" t="str">
            <v>NULL</v>
          </cell>
          <cell r="AY1051" t="str">
            <v>NULL</v>
          </cell>
          <cell r="AZ1051">
            <v>8</v>
          </cell>
          <cell r="BA1051" t="str">
            <v>NULL</v>
          </cell>
          <cell r="BB1051" t="str">
            <v>NULL</v>
          </cell>
        </row>
        <row r="1052">
          <cell r="D1052">
            <v>136504</v>
          </cell>
          <cell r="E1052">
            <v>2056405</v>
          </cell>
          <cell r="F1052" t="str">
            <v>TLG West London</v>
          </cell>
          <cell r="G1052" t="str">
            <v>Other Independent School</v>
          </cell>
          <cell r="H1052">
            <v>40617</v>
          </cell>
          <cell r="I1052">
            <v>11</v>
          </cell>
          <cell r="J1052" t="str">
            <v>London</v>
          </cell>
          <cell r="K1052" t="str">
            <v>London</v>
          </cell>
          <cell r="L1052" t="str">
            <v>Hammersmith and Fulham</v>
          </cell>
          <cell r="M1052" t="str">
            <v>Hammersmith</v>
          </cell>
          <cell r="N1052" t="str">
            <v>W6 9JJ</v>
          </cell>
          <cell r="O1052" t="str">
            <v>Does not have a sixth form</v>
          </cell>
          <cell r="P1052">
            <v>11</v>
          </cell>
          <cell r="Q1052">
            <v>16</v>
          </cell>
          <cell r="R1052" t="str">
            <v>None</v>
          </cell>
          <cell r="S1052" t="str">
            <v>Ofsted</v>
          </cell>
          <cell r="T1052" t="str">
            <v>NULL</v>
          </cell>
          <cell r="U1052" t="str">
            <v>NULL</v>
          </cell>
          <cell r="V1052" t="str">
            <v>NULL</v>
          </cell>
          <cell r="W1052" t="str">
            <v>NULL</v>
          </cell>
          <cell r="X1052" t="str">
            <v>NULL</v>
          </cell>
          <cell r="Y1052" t="str">
            <v>NULL</v>
          </cell>
          <cell r="Z1052" t="str">
            <v>NULL</v>
          </cell>
          <cell r="AA1052" t="str">
            <v>ITS462889</v>
          </cell>
          <cell r="AB1052" t="str">
            <v>Independent School standard inspection</v>
          </cell>
          <cell r="AC1052" t="str">
            <v>Independent Standard Inspection</v>
          </cell>
          <cell r="AD1052">
            <v>42137</v>
          </cell>
          <cell r="AE1052">
            <v>42139</v>
          </cell>
          <cell r="AF1052">
            <v>42177</v>
          </cell>
          <cell r="AG1052">
            <v>2</v>
          </cell>
          <cell r="AH1052">
            <v>2</v>
          </cell>
          <cell r="AI1052">
            <v>2</v>
          </cell>
          <cell r="AJ1052">
            <v>2</v>
          </cell>
          <cell r="AK1052" t="str">
            <v>NULL</v>
          </cell>
          <cell r="AL1052">
            <v>9</v>
          </cell>
          <cell r="AM1052">
            <v>9</v>
          </cell>
          <cell r="AN1052" t="str">
            <v>NULL</v>
          </cell>
          <cell r="AO1052" t="str">
            <v>ITS386854</v>
          </cell>
          <cell r="AP1052" t="str">
            <v>Independent School standard inspection</v>
          </cell>
          <cell r="AQ1052" t="str">
            <v>Independent Standard Inspection</v>
          </cell>
          <cell r="AR1052">
            <v>40975</v>
          </cell>
          <cell r="AS1052">
            <v>40976</v>
          </cell>
          <cell r="AT1052">
            <v>41241</v>
          </cell>
          <cell r="AU1052">
            <v>3</v>
          </cell>
          <cell r="AV1052">
            <v>3</v>
          </cell>
          <cell r="AW1052">
            <v>3</v>
          </cell>
          <cell r="AX1052" t="str">
            <v>NULL</v>
          </cell>
          <cell r="AY1052" t="str">
            <v>NULL</v>
          </cell>
          <cell r="AZ1052">
            <v>8</v>
          </cell>
          <cell r="BA1052" t="str">
            <v>NULL</v>
          </cell>
          <cell r="BB1052" t="str">
            <v>NULL</v>
          </cell>
        </row>
        <row r="1053">
          <cell r="D1053">
            <v>133553</v>
          </cell>
          <cell r="E1053">
            <v>3026115</v>
          </cell>
          <cell r="F1053" t="str">
            <v>Torah Vodaas</v>
          </cell>
          <cell r="G1053" t="str">
            <v>Other Independent School</v>
          </cell>
          <cell r="H1053">
            <v>37245</v>
          </cell>
          <cell r="I1053">
            <v>335</v>
          </cell>
          <cell r="J1053" t="str">
            <v>London</v>
          </cell>
          <cell r="K1053" t="str">
            <v>London</v>
          </cell>
          <cell r="L1053" t="str">
            <v>Barnet</v>
          </cell>
          <cell r="M1053" t="str">
            <v>Hendon</v>
          </cell>
          <cell r="N1053" t="str">
            <v>NW9 7AJ</v>
          </cell>
          <cell r="O1053" t="str">
            <v>Does not have a sixth form</v>
          </cell>
          <cell r="P1053">
            <v>2</v>
          </cell>
          <cell r="Q1053">
            <v>11</v>
          </cell>
          <cell r="R1053" t="str">
            <v>None</v>
          </cell>
          <cell r="S1053" t="str">
            <v>Ofsted</v>
          </cell>
          <cell r="T1053">
            <v>2</v>
          </cell>
          <cell r="U1053">
            <v>10034607</v>
          </cell>
          <cell r="V1053" t="str">
            <v>Independent school Progress Monitoring inspection</v>
          </cell>
          <cell r="W1053">
            <v>42871</v>
          </cell>
          <cell r="X1053">
            <v>42871</v>
          </cell>
          <cell r="Y1053">
            <v>42905</v>
          </cell>
          <cell r="Z1053" t="str">
            <v>Met all standards that were checked</v>
          </cell>
          <cell r="AA1053">
            <v>10021534</v>
          </cell>
          <cell r="AB1053" t="str">
            <v>Independent School standard inspection</v>
          </cell>
          <cell r="AC1053" t="str">
            <v>Independent Standard Inspection</v>
          </cell>
          <cell r="AD1053">
            <v>42675</v>
          </cell>
          <cell r="AE1053">
            <v>42677</v>
          </cell>
          <cell r="AF1053">
            <v>42709</v>
          </cell>
          <cell r="AG1053">
            <v>3</v>
          </cell>
          <cell r="AH1053">
            <v>3</v>
          </cell>
          <cell r="AI1053">
            <v>3</v>
          </cell>
          <cell r="AJ1053">
            <v>3</v>
          </cell>
          <cell r="AK1053">
            <v>2</v>
          </cell>
          <cell r="AL1053">
            <v>2</v>
          </cell>
          <cell r="AM1053" t="str">
            <v>NULL</v>
          </cell>
          <cell r="AN1053" t="str">
            <v>Yes</v>
          </cell>
          <cell r="AO1053" t="str">
            <v>ITS364275</v>
          </cell>
          <cell r="AP1053" t="str">
            <v>S162a - LTI Inspection Historic</v>
          </cell>
          <cell r="AQ1053" t="str">
            <v>Independent Standard Inspection</v>
          </cell>
          <cell r="AR1053">
            <v>40722</v>
          </cell>
          <cell r="AS1053">
            <v>40722</v>
          </cell>
          <cell r="AT1053">
            <v>40744</v>
          </cell>
          <cell r="AU1053">
            <v>2</v>
          </cell>
          <cell r="AV1053">
            <v>2</v>
          </cell>
          <cell r="AW1053">
            <v>2</v>
          </cell>
          <cell r="AX1053" t="str">
            <v>NULL</v>
          </cell>
          <cell r="AY1053" t="str">
            <v>NULL</v>
          </cell>
          <cell r="AZ1053">
            <v>2</v>
          </cell>
          <cell r="BA1053" t="str">
            <v>NULL</v>
          </cell>
          <cell r="BB1053" t="str">
            <v>NULL</v>
          </cell>
        </row>
        <row r="1054">
          <cell r="D1054">
            <v>136503</v>
          </cell>
          <cell r="E1054">
            <v>3556058</v>
          </cell>
          <cell r="F1054" t="str">
            <v>Toras Emes</v>
          </cell>
          <cell r="G1054" t="str">
            <v>Other Independent School</v>
          </cell>
          <cell r="H1054">
            <v>40617</v>
          </cell>
          <cell r="I1054">
            <v>157</v>
          </cell>
          <cell r="J1054" t="str">
            <v>North West</v>
          </cell>
          <cell r="K1054" t="str">
            <v>North West</v>
          </cell>
          <cell r="L1054" t="str">
            <v>Salford</v>
          </cell>
          <cell r="M1054" t="str">
            <v>Blackley and Broughton</v>
          </cell>
          <cell r="N1054" t="str">
            <v>M7 4AH</v>
          </cell>
          <cell r="O1054" t="str">
            <v>Does not have a sixth form</v>
          </cell>
          <cell r="P1054">
            <v>3</v>
          </cell>
          <cell r="Q1054">
            <v>11</v>
          </cell>
          <cell r="R1054" t="str">
            <v>None</v>
          </cell>
          <cell r="S1054" t="str">
            <v>Ofsted</v>
          </cell>
          <cell r="T1054" t="str">
            <v>NULL</v>
          </cell>
          <cell r="U1054" t="str">
            <v>NULL</v>
          </cell>
          <cell r="V1054" t="str">
            <v>NULL</v>
          </cell>
          <cell r="W1054" t="str">
            <v>NULL</v>
          </cell>
          <cell r="X1054" t="str">
            <v>NULL</v>
          </cell>
          <cell r="Y1054" t="str">
            <v>NULL</v>
          </cell>
          <cell r="Z1054" t="str">
            <v>NULL</v>
          </cell>
          <cell r="AA1054">
            <v>10038933</v>
          </cell>
          <cell r="AB1054" t="str">
            <v>Independent School standard inspection</v>
          </cell>
          <cell r="AC1054" t="str">
            <v>Independent Standard Inspection</v>
          </cell>
          <cell r="AD1054">
            <v>43109</v>
          </cell>
          <cell r="AE1054">
            <v>43111</v>
          </cell>
          <cell r="AF1054">
            <v>43146</v>
          </cell>
          <cell r="AG1054">
            <v>3</v>
          </cell>
          <cell r="AH1054">
            <v>3</v>
          </cell>
          <cell r="AI1054">
            <v>3</v>
          </cell>
          <cell r="AJ1054">
            <v>3</v>
          </cell>
          <cell r="AK1054">
            <v>3</v>
          </cell>
          <cell r="AL1054">
            <v>3</v>
          </cell>
          <cell r="AM1054" t="str">
            <v>NULL</v>
          </cell>
          <cell r="AN1054" t="str">
            <v>Yes</v>
          </cell>
          <cell r="AO1054">
            <v>10004161</v>
          </cell>
          <cell r="AP1054" t="str">
            <v>Independent School standard inspection</v>
          </cell>
          <cell r="AQ1054" t="str">
            <v>Independent Standard Inspection</v>
          </cell>
          <cell r="AR1054">
            <v>42325</v>
          </cell>
          <cell r="AS1054">
            <v>42327</v>
          </cell>
          <cell r="AT1054">
            <v>42380</v>
          </cell>
          <cell r="AU1054">
            <v>4</v>
          </cell>
          <cell r="AV1054">
            <v>4</v>
          </cell>
          <cell r="AW1054">
            <v>4</v>
          </cell>
          <cell r="AX1054">
            <v>4</v>
          </cell>
          <cell r="AY1054">
            <v>4</v>
          </cell>
          <cell r="AZ1054">
            <v>4</v>
          </cell>
          <cell r="BA1054" t="str">
            <v>NULL</v>
          </cell>
          <cell r="BB1054" t="str">
            <v>No</v>
          </cell>
        </row>
        <row r="1055">
          <cell r="D1055">
            <v>111479</v>
          </cell>
          <cell r="E1055">
            <v>8956013</v>
          </cell>
          <cell r="F1055" t="str">
            <v>Yorston Lodge School</v>
          </cell>
          <cell r="G1055" t="str">
            <v>Other Independent School</v>
          </cell>
          <cell r="H1055">
            <v>21244</v>
          </cell>
          <cell r="I1055">
            <v>124</v>
          </cell>
          <cell r="J1055" t="str">
            <v>North West</v>
          </cell>
          <cell r="K1055" t="str">
            <v>North West</v>
          </cell>
          <cell r="L1055" t="str">
            <v>Cheshire East</v>
          </cell>
          <cell r="M1055" t="str">
            <v>Tatton</v>
          </cell>
          <cell r="N1055" t="str">
            <v>WA16 0DP</v>
          </cell>
          <cell r="O1055" t="str">
            <v>Does not have a sixth form</v>
          </cell>
          <cell r="P1055">
            <v>3</v>
          </cell>
          <cell r="Q1055">
            <v>11</v>
          </cell>
          <cell r="R1055" t="str">
            <v>None</v>
          </cell>
          <cell r="S1055" t="str">
            <v>Ofsted</v>
          </cell>
          <cell r="T1055" t="str">
            <v>NULL</v>
          </cell>
          <cell r="U1055" t="str">
            <v>NULL</v>
          </cell>
          <cell r="V1055" t="str">
            <v>NULL</v>
          </cell>
          <cell r="W1055" t="str">
            <v>NULL</v>
          </cell>
          <cell r="X1055" t="str">
            <v>NULL</v>
          </cell>
          <cell r="Y1055" t="str">
            <v>NULL</v>
          </cell>
          <cell r="Z1055" t="str">
            <v>NULL</v>
          </cell>
          <cell r="AA1055">
            <v>10012948</v>
          </cell>
          <cell r="AB1055" t="str">
            <v>Independent School standard inspection</v>
          </cell>
          <cell r="AC1055" t="str">
            <v>Independent Standard Inspection</v>
          </cell>
          <cell r="AD1055">
            <v>42781</v>
          </cell>
          <cell r="AE1055">
            <v>42783</v>
          </cell>
          <cell r="AF1055">
            <v>42814</v>
          </cell>
          <cell r="AG1055">
            <v>2</v>
          </cell>
          <cell r="AH1055">
            <v>1</v>
          </cell>
          <cell r="AI1055">
            <v>1</v>
          </cell>
          <cell r="AJ1055">
            <v>2</v>
          </cell>
          <cell r="AK1055">
            <v>2</v>
          </cell>
          <cell r="AL1055">
            <v>1</v>
          </cell>
          <cell r="AM1055" t="str">
            <v>NULL</v>
          </cell>
          <cell r="AN1055" t="str">
            <v>Yes</v>
          </cell>
          <cell r="AO1055" t="str">
            <v>ITS420188</v>
          </cell>
          <cell r="AP1055" t="str">
            <v>Independent School standard inspection</v>
          </cell>
          <cell r="AQ1055" t="str">
            <v>Independent Standard Inspection</v>
          </cell>
          <cell r="AR1055">
            <v>41408</v>
          </cell>
          <cell r="AS1055">
            <v>41410</v>
          </cell>
          <cell r="AT1055">
            <v>41432</v>
          </cell>
          <cell r="AU1055">
            <v>1</v>
          </cell>
          <cell r="AV1055">
            <v>1</v>
          </cell>
          <cell r="AW1055">
            <v>1</v>
          </cell>
          <cell r="AX1055">
            <v>1</v>
          </cell>
          <cell r="AY1055" t="str">
            <v>NULL</v>
          </cell>
          <cell r="AZ1055" t="str">
            <v>NULL</v>
          </cell>
          <cell r="BA1055" t="str">
            <v>NULL</v>
          </cell>
          <cell r="BB1055" t="str">
            <v>NULL</v>
          </cell>
        </row>
        <row r="1056">
          <cell r="D1056">
            <v>135729</v>
          </cell>
          <cell r="E1056">
            <v>2056200</v>
          </cell>
          <cell r="F1056" t="str">
            <v>Young Dancers Academy</v>
          </cell>
          <cell r="G1056" t="str">
            <v>Other Independent School</v>
          </cell>
          <cell r="H1056">
            <v>39738</v>
          </cell>
          <cell r="I1056">
            <v>49</v>
          </cell>
          <cell r="J1056" t="str">
            <v>London</v>
          </cell>
          <cell r="K1056" t="str">
            <v>London</v>
          </cell>
          <cell r="L1056" t="str">
            <v>Hammersmith and Fulham</v>
          </cell>
          <cell r="M1056" t="str">
            <v>Hammersmith</v>
          </cell>
          <cell r="N1056" t="str">
            <v>W12 8AR</v>
          </cell>
          <cell r="O1056" t="str">
            <v>Does not have a sixth form</v>
          </cell>
          <cell r="P1056">
            <v>10</v>
          </cell>
          <cell r="Q1056">
            <v>16</v>
          </cell>
          <cell r="R1056" t="str">
            <v>None</v>
          </cell>
          <cell r="S1056" t="str">
            <v>Ofsted</v>
          </cell>
          <cell r="T1056" t="str">
            <v>NULL</v>
          </cell>
          <cell r="U1056" t="str">
            <v>NULL</v>
          </cell>
          <cell r="V1056" t="str">
            <v>NULL</v>
          </cell>
          <cell r="W1056" t="str">
            <v>NULL</v>
          </cell>
          <cell r="X1056" t="str">
            <v>NULL</v>
          </cell>
          <cell r="Y1056" t="str">
            <v>NULL</v>
          </cell>
          <cell r="Z1056" t="str">
            <v>NULL</v>
          </cell>
          <cell r="AA1056">
            <v>10012783</v>
          </cell>
          <cell r="AB1056" t="str">
            <v>Independent School standard inspection</v>
          </cell>
          <cell r="AC1056" t="str">
            <v>Independent Standard Inspection</v>
          </cell>
          <cell r="AD1056">
            <v>42899</v>
          </cell>
          <cell r="AE1056">
            <v>42901</v>
          </cell>
          <cell r="AF1056">
            <v>42929</v>
          </cell>
          <cell r="AG1056">
            <v>1</v>
          </cell>
          <cell r="AH1056">
            <v>1</v>
          </cell>
          <cell r="AI1056">
            <v>1</v>
          </cell>
          <cell r="AJ1056">
            <v>1</v>
          </cell>
          <cell r="AK1056">
            <v>1</v>
          </cell>
          <cell r="AL1056" t="str">
            <v>NULL</v>
          </cell>
          <cell r="AM1056" t="str">
            <v>NULL</v>
          </cell>
          <cell r="AN1056" t="str">
            <v>Yes</v>
          </cell>
          <cell r="AO1056" t="str">
            <v>ITS420195</v>
          </cell>
          <cell r="AP1056" t="str">
            <v>Independent School standard inspection</v>
          </cell>
          <cell r="AQ1056" t="str">
            <v>Independent Standard Inspection</v>
          </cell>
          <cell r="AR1056">
            <v>41429</v>
          </cell>
          <cell r="AS1056">
            <v>41431</v>
          </cell>
          <cell r="AT1056">
            <v>41451</v>
          </cell>
          <cell r="AU1056">
            <v>1</v>
          </cell>
          <cell r="AV1056">
            <v>1</v>
          </cell>
          <cell r="AW1056">
            <v>1</v>
          </cell>
          <cell r="AX1056">
            <v>1</v>
          </cell>
          <cell r="AY1056" t="str">
            <v>NULL</v>
          </cell>
          <cell r="AZ1056" t="str">
            <v>NULL</v>
          </cell>
          <cell r="BA1056" t="str">
            <v>NULL</v>
          </cell>
          <cell r="BB1056" t="str">
            <v>NULL</v>
          </cell>
        </row>
        <row r="1057">
          <cell r="D1057">
            <v>101573</v>
          </cell>
          <cell r="E1057">
            <v>3076007</v>
          </cell>
          <cell r="F1057" t="str">
            <v>Ysgol Gymraeg Llundain, London Welsh School</v>
          </cell>
          <cell r="G1057" t="str">
            <v>Other Independent School</v>
          </cell>
          <cell r="H1057">
            <v>22557</v>
          </cell>
          <cell r="I1057">
            <v>26</v>
          </cell>
          <cell r="J1057" t="str">
            <v>London</v>
          </cell>
          <cell r="K1057" t="str">
            <v>London</v>
          </cell>
          <cell r="L1057" t="str">
            <v>Ealing</v>
          </cell>
          <cell r="M1057" t="str">
            <v>Ealing North</v>
          </cell>
          <cell r="N1057" t="str">
            <v>W7 1PD</v>
          </cell>
          <cell r="O1057" t="str">
            <v>Does not have a sixth form</v>
          </cell>
          <cell r="P1057">
            <v>3</v>
          </cell>
          <cell r="Q1057">
            <v>11</v>
          </cell>
          <cell r="R1057" t="str">
            <v>None</v>
          </cell>
          <cell r="S1057" t="str">
            <v>Ofsted</v>
          </cell>
          <cell r="T1057">
            <v>2</v>
          </cell>
          <cell r="U1057">
            <v>10037573</v>
          </cell>
          <cell r="V1057" t="str">
            <v>Independent school Progress Monitoring inspection</v>
          </cell>
          <cell r="W1057">
            <v>42894</v>
          </cell>
          <cell r="X1057">
            <v>42894</v>
          </cell>
          <cell r="Y1057">
            <v>42934</v>
          </cell>
          <cell r="Z1057" t="str">
            <v>Met all standards that were checked</v>
          </cell>
          <cell r="AA1057">
            <v>10006125</v>
          </cell>
          <cell r="AB1057" t="str">
            <v>Independent School standard inspection</v>
          </cell>
          <cell r="AC1057" t="str">
            <v>Independent Standard Inspection</v>
          </cell>
          <cell r="AD1057">
            <v>42703</v>
          </cell>
          <cell r="AE1057">
            <v>42705</v>
          </cell>
          <cell r="AF1057">
            <v>42745</v>
          </cell>
          <cell r="AG1057">
            <v>3</v>
          </cell>
          <cell r="AH1057">
            <v>3</v>
          </cell>
          <cell r="AI1057">
            <v>3</v>
          </cell>
          <cell r="AJ1057">
            <v>3</v>
          </cell>
          <cell r="AK1057">
            <v>2</v>
          </cell>
          <cell r="AL1057">
            <v>2</v>
          </cell>
          <cell r="AM1057" t="str">
            <v>NULL</v>
          </cell>
          <cell r="AN1057" t="str">
            <v>Yes</v>
          </cell>
          <cell r="AO1057" t="str">
            <v>ITS393362</v>
          </cell>
          <cell r="AP1057" t="str">
            <v>Independent School standard inspection</v>
          </cell>
          <cell r="AQ1057" t="str">
            <v>Independent Standard Inspection</v>
          </cell>
          <cell r="AR1057">
            <v>41046</v>
          </cell>
          <cell r="AS1057">
            <v>41047</v>
          </cell>
          <cell r="AT1057">
            <v>41074</v>
          </cell>
          <cell r="AU1057">
            <v>3</v>
          </cell>
          <cell r="AV1057">
            <v>3</v>
          </cell>
          <cell r="AW1057">
            <v>3</v>
          </cell>
          <cell r="AX1057" t="str">
            <v>NULL</v>
          </cell>
          <cell r="AY1057" t="str">
            <v>NULL</v>
          </cell>
          <cell r="AZ1057">
            <v>8</v>
          </cell>
          <cell r="BA1057" t="str">
            <v>NULL</v>
          </cell>
          <cell r="BB1057" t="str">
            <v>NULL</v>
          </cell>
        </row>
        <row r="1058">
          <cell r="D1058">
            <v>107792</v>
          </cell>
          <cell r="E1058">
            <v>3826015</v>
          </cell>
          <cell r="F1058" t="str">
            <v>Zakaria Muslim Girls' High School</v>
          </cell>
          <cell r="G1058" t="str">
            <v>Other Independent School</v>
          </cell>
          <cell r="H1058">
            <v>30274</v>
          </cell>
          <cell r="I1058">
            <v>131</v>
          </cell>
          <cell r="J1058" t="str">
            <v>North East, Yorkshire and the Humber</v>
          </cell>
          <cell r="K1058" t="str">
            <v>Yorkshire and the Humber</v>
          </cell>
          <cell r="L1058" t="str">
            <v>Kirklees</v>
          </cell>
          <cell r="M1058" t="str">
            <v>Batley and Spen</v>
          </cell>
          <cell r="N1058" t="str">
            <v>WF17 6AJ</v>
          </cell>
          <cell r="O1058" t="str">
            <v>Does not have a sixth form</v>
          </cell>
          <cell r="P1058">
            <v>11</v>
          </cell>
          <cell r="Q1058">
            <v>16</v>
          </cell>
          <cell r="R1058" t="str">
            <v>None</v>
          </cell>
          <cell r="S1058" t="str">
            <v>Ofsted</v>
          </cell>
          <cell r="T1058">
            <v>2</v>
          </cell>
          <cell r="U1058">
            <v>10040369</v>
          </cell>
          <cell r="V1058" t="str">
            <v>Independent school Progress Monitoring inspection</v>
          </cell>
          <cell r="W1058">
            <v>43069</v>
          </cell>
          <cell r="X1058">
            <v>43070</v>
          </cell>
          <cell r="Y1058">
            <v>43115</v>
          </cell>
          <cell r="Z1058" t="str">
            <v>Did not meet all standards that were checked</v>
          </cell>
          <cell r="AA1058">
            <v>10020761</v>
          </cell>
          <cell r="AB1058" t="str">
            <v>Independent School standard inspection</v>
          </cell>
          <cell r="AC1058" t="str">
            <v>Independent Standard Inspection</v>
          </cell>
          <cell r="AD1058">
            <v>42640</v>
          </cell>
          <cell r="AE1058">
            <v>42642</v>
          </cell>
          <cell r="AF1058">
            <v>42690</v>
          </cell>
          <cell r="AG1058">
            <v>3</v>
          </cell>
          <cell r="AH1058">
            <v>3</v>
          </cell>
          <cell r="AI1058">
            <v>3</v>
          </cell>
          <cell r="AJ1058">
            <v>3</v>
          </cell>
          <cell r="AK1058">
            <v>2</v>
          </cell>
          <cell r="AL1058" t="str">
            <v>NULL</v>
          </cell>
          <cell r="AM1058" t="str">
            <v>NULL</v>
          </cell>
          <cell r="AN1058" t="str">
            <v>Yes</v>
          </cell>
          <cell r="AO1058" t="str">
            <v>ITS422697</v>
          </cell>
          <cell r="AP1058" t="str">
            <v>Independent School standard inspection</v>
          </cell>
          <cell r="AQ1058" t="str">
            <v>Independent Standard Inspection</v>
          </cell>
          <cell r="AR1058">
            <v>41535</v>
          </cell>
          <cell r="AS1058">
            <v>41537</v>
          </cell>
          <cell r="AT1058">
            <v>41558</v>
          </cell>
          <cell r="AU1058">
            <v>3</v>
          </cell>
          <cell r="AV1058">
            <v>3</v>
          </cell>
          <cell r="AW1058">
            <v>3</v>
          </cell>
          <cell r="AX1058">
            <v>3</v>
          </cell>
          <cell r="AY1058" t="str">
            <v>NULL</v>
          </cell>
          <cell r="AZ1058" t="str">
            <v>NULL</v>
          </cell>
          <cell r="BA1058" t="str">
            <v>NULL</v>
          </cell>
          <cell r="BB1058" t="str">
            <v>NULL</v>
          </cell>
        </row>
        <row r="1059">
          <cell r="D1059">
            <v>142534</v>
          </cell>
          <cell r="E1059">
            <v>3086005</v>
          </cell>
          <cell r="F1059" t="str">
            <v>North London Hospital School</v>
          </cell>
          <cell r="G1059" t="str">
            <v>Other Independent School</v>
          </cell>
          <cell r="H1059">
            <v>42389</v>
          </cell>
          <cell r="I1059">
            <v>16</v>
          </cell>
          <cell r="J1059" t="str">
            <v>London</v>
          </cell>
          <cell r="K1059" t="str">
            <v>London</v>
          </cell>
          <cell r="L1059" t="str">
            <v>Enfield</v>
          </cell>
          <cell r="M1059" t="str">
            <v>Enfield, Southgate</v>
          </cell>
          <cell r="N1059" t="str">
            <v>N14 6RA</v>
          </cell>
          <cell r="O1059" t="str">
            <v>Has a sixth form</v>
          </cell>
          <cell r="P1059">
            <v>11</v>
          </cell>
          <cell r="Q1059">
            <v>18</v>
          </cell>
          <cell r="R1059" t="str">
            <v>None</v>
          </cell>
          <cell r="S1059" t="str">
            <v>Ofsted</v>
          </cell>
          <cell r="T1059">
            <v>1</v>
          </cell>
          <cell r="U1059">
            <v>10043942</v>
          </cell>
          <cell r="V1059" t="str">
            <v>Independent school Material Change inspection</v>
          </cell>
          <cell r="W1059">
            <v>43045</v>
          </cell>
          <cell r="X1059">
            <v>43045</v>
          </cell>
          <cell r="Y1059">
            <v>43080</v>
          </cell>
          <cell r="Z1059" t="str">
            <v>Likely to meet relevant standards</v>
          </cell>
          <cell r="AA1059">
            <v>10020882</v>
          </cell>
          <cell r="AB1059" t="str">
            <v>Independent school standard inspection - first</v>
          </cell>
          <cell r="AC1059" t="str">
            <v>Independent Standard Inspection</v>
          </cell>
          <cell r="AD1059">
            <v>42661</v>
          </cell>
          <cell r="AE1059">
            <v>42663</v>
          </cell>
          <cell r="AF1059">
            <v>42710</v>
          </cell>
          <cell r="AG1059">
            <v>2</v>
          </cell>
          <cell r="AH1059">
            <v>2</v>
          </cell>
          <cell r="AI1059">
            <v>2</v>
          </cell>
          <cell r="AJ1059">
            <v>2</v>
          </cell>
          <cell r="AK1059">
            <v>2</v>
          </cell>
          <cell r="AL1059" t="str">
            <v>NULL</v>
          </cell>
          <cell r="AM1059">
            <v>2</v>
          </cell>
          <cell r="AN1059" t="str">
            <v>Yes</v>
          </cell>
          <cell r="AO1059" t="str">
            <v>NULL</v>
          </cell>
          <cell r="AP1059" t="str">
            <v>NULL</v>
          </cell>
          <cell r="AQ1059" t="str">
            <v>NULL</v>
          </cell>
          <cell r="AR1059" t="str">
            <v>NULL</v>
          </cell>
          <cell r="AS1059" t="str">
            <v>NULL</v>
          </cell>
          <cell r="AT1059" t="str">
            <v>NULL</v>
          </cell>
          <cell r="AU1059" t="str">
            <v>NULL</v>
          </cell>
          <cell r="AV1059" t="str">
            <v>NULL</v>
          </cell>
          <cell r="AW1059" t="str">
            <v>NULL</v>
          </cell>
          <cell r="AX1059" t="str">
            <v>NULL</v>
          </cell>
          <cell r="AY1059" t="str">
            <v>NULL</v>
          </cell>
          <cell r="AZ1059" t="str">
            <v>NULL</v>
          </cell>
          <cell r="BA1059" t="str">
            <v>NULL</v>
          </cell>
          <cell r="BB1059" t="str">
            <v>NULL</v>
          </cell>
        </row>
        <row r="1060">
          <cell r="D1060">
            <v>142535</v>
          </cell>
          <cell r="E1060">
            <v>3506003</v>
          </cell>
          <cell r="F1060" t="str">
            <v>TLG Bolton</v>
          </cell>
          <cell r="G1060" t="str">
            <v>Other Independent School</v>
          </cell>
          <cell r="H1060">
            <v>42510</v>
          </cell>
          <cell r="I1060">
            <v>13</v>
          </cell>
          <cell r="J1060" t="str">
            <v>North West</v>
          </cell>
          <cell r="K1060" t="str">
            <v>North West</v>
          </cell>
          <cell r="L1060" t="str">
            <v>Bolton</v>
          </cell>
          <cell r="M1060" t="str">
            <v>Bolton South East</v>
          </cell>
          <cell r="N1060" t="str">
            <v>BL4 9AL</v>
          </cell>
          <cell r="O1060" t="str">
            <v>Does not have a sixth form</v>
          </cell>
          <cell r="P1060">
            <v>11</v>
          </cell>
          <cell r="Q1060">
            <v>16</v>
          </cell>
          <cell r="R1060" t="str">
            <v>None</v>
          </cell>
          <cell r="S1060" t="str">
            <v>Ofsted</v>
          </cell>
          <cell r="T1060">
            <v>1</v>
          </cell>
          <cell r="U1060">
            <v>10044534</v>
          </cell>
          <cell r="V1060" t="str">
            <v>Independent school evaluation of school action plan</v>
          </cell>
          <cell r="W1060">
            <v>43074</v>
          </cell>
          <cell r="X1060">
            <v>43074</v>
          </cell>
          <cell r="Y1060" t="str">
            <v>NULL</v>
          </cell>
          <cell r="Z1060" t="str">
            <v>Action plan is acceptable</v>
          </cell>
          <cell r="AA1060">
            <v>10034040</v>
          </cell>
          <cell r="AB1060" t="str">
            <v>Independent school standard inspection - first</v>
          </cell>
          <cell r="AC1060" t="str">
            <v>Independent Standard Inspection</v>
          </cell>
          <cell r="AD1060">
            <v>42871</v>
          </cell>
          <cell r="AE1060">
            <v>42872</v>
          </cell>
          <cell r="AF1060">
            <v>42996</v>
          </cell>
          <cell r="AG1060">
            <v>4</v>
          </cell>
          <cell r="AH1060">
            <v>3</v>
          </cell>
          <cell r="AI1060">
            <v>3</v>
          </cell>
          <cell r="AJ1060">
            <v>4</v>
          </cell>
          <cell r="AK1060">
            <v>4</v>
          </cell>
          <cell r="AL1060" t="str">
            <v>NULL</v>
          </cell>
          <cell r="AM1060" t="str">
            <v>NULL</v>
          </cell>
          <cell r="AN1060" t="str">
            <v>No</v>
          </cell>
          <cell r="AO1060" t="str">
            <v>NULL</v>
          </cell>
          <cell r="AP1060" t="str">
            <v>NULL</v>
          </cell>
          <cell r="AQ1060" t="str">
            <v>NULL</v>
          </cell>
          <cell r="AR1060" t="str">
            <v>NULL</v>
          </cell>
          <cell r="AS1060" t="str">
            <v>NULL</v>
          </cell>
          <cell r="AT1060" t="str">
            <v>NULL</v>
          </cell>
          <cell r="AU1060" t="str">
            <v>NULL</v>
          </cell>
          <cell r="AV1060" t="str">
            <v>NULL</v>
          </cell>
          <cell r="AW1060" t="str">
            <v>NULL</v>
          </cell>
          <cell r="AX1060" t="str">
            <v>NULL</v>
          </cell>
          <cell r="AY1060" t="str">
            <v>NULL</v>
          </cell>
          <cell r="AZ1060" t="str">
            <v>NULL</v>
          </cell>
          <cell r="BA1060" t="str">
            <v>NULL</v>
          </cell>
          <cell r="BB1060" t="str">
            <v>NULL</v>
          </cell>
        </row>
        <row r="1061">
          <cell r="D1061">
            <v>142536</v>
          </cell>
          <cell r="E1061">
            <v>3566012</v>
          </cell>
          <cell r="F1061" t="str">
            <v>Reddish Hall School</v>
          </cell>
          <cell r="G1061" t="str">
            <v>Other Independent Special School</v>
          </cell>
          <cell r="H1061">
            <v>42338</v>
          </cell>
          <cell r="I1061">
            <v>32</v>
          </cell>
          <cell r="J1061" t="str">
            <v>North West</v>
          </cell>
          <cell r="K1061" t="str">
            <v>North West</v>
          </cell>
          <cell r="L1061" t="str">
            <v>Stockport</v>
          </cell>
          <cell r="M1061" t="str">
            <v>Denton and Reddish</v>
          </cell>
          <cell r="N1061" t="str">
            <v>SK5 6RN</v>
          </cell>
          <cell r="O1061" t="str">
            <v>Not applicable</v>
          </cell>
          <cell r="P1061">
            <v>5</v>
          </cell>
          <cell r="Q1061">
            <v>18</v>
          </cell>
          <cell r="R1061" t="str">
            <v>None</v>
          </cell>
          <cell r="S1061" t="str">
            <v>Ofsted</v>
          </cell>
          <cell r="T1061">
            <v>1</v>
          </cell>
          <cell r="U1061">
            <v>10040664</v>
          </cell>
          <cell r="V1061" t="str">
            <v>Independent school Material Change inspection</v>
          </cell>
          <cell r="W1061">
            <v>42983</v>
          </cell>
          <cell r="X1061">
            <v>42983</v>
          </cell>
          <cell r="Y1061" t="str">
            <v>NULL</v>
          </cell>
          <cell r="Z1061" t="str">
            <v>Likely to meet relevant standards</v>
          </cell>
          <cell r="AA1061">
            <v>10020876</v>
          </cell>
          <cell r="AB1061" t="str">
            <v>Independent school standard inspection - first</v>
          </cell>
          <cell r="AC1061" t="str">
            <v>Independent Standard Inspection</v>
          </cell>
          <cell r="AD1061">
            <v>42696</v>
          </cell>
          <cell r="AE1061">
            <v>42698</v>
          </cell>
          <cell r="AF1061">
            <v>42752</v>
          </cell>
          <cell r="AG1061">
            <v>1</v>
          </cell>
          <cell r="AH1061">
            <v>1</v>
          </cell>
          <cell r="AI1061">
            <v>1</v>
          </cell>
          <cell r="AJ1061">
            <v>1</v>
          </cell>
          <cell r="AK1061">
            <v>1</v>
          </cell>
          <cell r="AL1061" t="str">
            <v>NULL</v>
          </cell>
          <cell r="AM1061" t="str">
            <v>NULL</v>
          </cell>
          <cell r="AN1061" t="str">
            <v>Yes</v>
          </cell>
          <cell r="AO1061" t="str">
            <v>NULL</v>
          </cell>
          <cell r="AP1061" t="str">
            <v>NULL</v>
          </cell>
          <cell r="AQ1061" t="str">
            <v>NULL</v>
          </cell>
          <cell r="AR1061" t="str">
            <v>NULL</v>
          </cell>
          <cell r="AS1061" t="str">
            <v>NULL</v>
          </cell>
          <cell r="AT1061" t="str">
            <v>NULL</v>
          </cell>
          <cell r="AU1061" t="str">
            <v>NULL</v>
          </cell>
          <cell r="AV1061" t="str">
            <v>NULL</v>
          </cell>
          <cell r="AW1061" t="str">
            <v>NULL</v>
          </cell>
          <cell r="AX1061" t="str">
            <v>NULL</v>
          </cell>
          <cell r="AY1061" t="str">
            <v>NULL</v>
          </cell>
          <cell r="AZ1061" t="str">
            <v>NULL</v>
          </cell>
          <cell r="BA1061" t="str">
            <v>NULL</v>
          </cell>
          <cell r="BB1061" t="str">
            <v>NULL</v>
          </cell>
        </row>
        <row r="1062">
          <cell r="D1062">
            <v>142537</v>
          </cell>
          <cell r="E1062">
            <v>8816065</v>
          </cell>
          <cell r="F1062" t="str">
            <v>Chelmsford Hospital School</v>
          </cell>
          <cell r="G1062" t="str">
            <v>Other Independent School</v>
          </cell>
          <cell r="H1062">
            <v>42403</v>
          </cell>
          <cell r="I1062">
            <v>17</v>
          </cell>
          <cell r="J1062" t="str">
            <v>East of England</v>
          </cell>
          <cell r="K1062" t="str">
            <v>East of England</v>
          </cell>
          <cell r="L1062" t="str">
            <v>Essex</v>
          </cell>
          <cell r="M1062" t="str">
            <v>Chelmsford</v>
          </cell>
          <cell r="N1062" t="str">
            <v>CM1 7SJ</v>
          </cell>
          <cell r="O1062" t="str">
            <v>Has a sixth form</v>
          </cell>
          <cell r="P1062">
            <v>11</v>
          </cell>
          <cell r="Q1062">
            <v>18</v>
          </cell>
          <cell r="R1062" t="str">
            <v>None</v>
          </cell>
          <cell r="S1062" t="str">
            <v>Ofsted</v>
          </cell>
          <cell r="T1062" t="str">
            <v>NULL</v>
          </cell>
          <cell r="U1062" t="str">
            <v>NULL</v>
          </cell>
          <cell r="V1062" t="str">
            <v>NULL</v>
          </cell>
          <cell r="W1062" t="str">
            <v>NULL</v>
          </cell>
          <cell r="X1062" t="str">
            <v>NULL</v>
          </cell>
          <cell r="Y1062" t="str">
            <v>NULL</v>
          </cell>
          <cell r="Z1062" t="str">
            <v>NULL</v>
          </cell>
          <cell r="AA1062">
            <v>10026075</v>
          </cell>
          <cell r="AB1062" t="str">
            <v>Independent school standard inspection - first</v>
          </cell>
          <cell r="AC1062" t="str">
            <v>Independent Standard Inspection</v>
          </cell>
          <cell r="AD1062">
            <v>42801</v>
          </cell>
          <cell r="AE1062">
            <v>42803</v>
          </cell>
          <cell r="AF1062">
            <v>42849</v>
          </cell>
          <cell r="AG1062">
            <v>1</v>
          </cell>
          <cell r="AH1062">
            <v>1</v>
          </cell>
          <cell r="AI1062">
            <v>1</v>
          </cell>
          <cell r="AJ1062">
            <v>1</v>
          </cell>
          <cell r="AK1062">
            <v>1</v>
          </cell>
          <cell r="AL1062" t="str">
            <v>NULL</v>
          </cell>
          <cell r="AM1062">
            <v>1</v>
          </cell>
          <cell r="AN1062" t="str">
            <v>Yes</v>
          </cell>
          <cell r="AO1062" t="str">
            <v>NULL</v>
          </cell>
          <cell r="AP1062" t="str">
            <v>NULL</v>
          </cell>
          <cell r="AQ1062" t="str">
            <v>NULL</v>
          </cell>
          <cell r="AR1062" t="str">
            <v>NULL</v>
          </cell>
          <cell r="AS1062" t="str">
            <v>NULL</v>
          </cell>
          <cell r="AT1062" t="str">
            <v>NULL</v>
          </cell>
          <cell r="AU1062" t="str">
            <v>NULL</v>
          </cell>
          <cell r="AV1062" t="str">
            <v>NULL</v>
          </cell>
          <cell r="AW1062" t="str">
            <v>NULL</v>
          </cell>
          <cell r="AX1062" t="str">
            <v>NULL</v>
          </cell>
          <cell r="AY1062" t="str">
            <v>NULL</v>
          </cell>
          <cell r="AZ1062" t="str">
            <v>NULL</v>
          </cell>
          <cell r="BA1062" t="str">
            <v>NULL</v>
          </cell>
          <cell r="BB1062" t="str">
            <v>NULL</v>
          </cell>
        </row>
        <row r="1063">
          <cell r="D1063">
            <v>142930</v>
          </cell>
          <cell r="E1063">
            <v>8926021</v>
          </cell>
          <cell r="F1063" t="str">
            <v>FUEL</v>
          </cell>
          <cell r="G1063" t="str">
            <v>Other Independent School</v>
          </cell>
          <cell r="H1063">
            <v>42779</v>
          </cell>
          <cell r="I1063" t="str">
            <v>NULL</v>
          </cell>
          <cell r="J1063" t="str">
            <v>East Midlands</v>
          </cell>
          <cell r="K1063" t="str">
            <v>East Midlands</v>
          </cell>
          <cell r="L1063" t="str">
            <v>Nottingham</v>
          </cell>
          <cell r="M1063" t="str">
            <v>Nottingham East</v>
          </cell>
          <cell r="N1063" t="str">
            <v>NG5 1DX</v>
          </cell>
          <cell r="O1063" t="str">
            <v>Does not have a sixth form</v>
          </cell>
          <cell r="P1063">
            <v>13</v>
          </cell>
          <cell r="Q1063">
            <v>16</v>
          </cell>
          <cell r="R1063" t="str">
            <v>None</v>
          </cell>
          <cell r="S1063" t="str">
            <v>Ofsted</v>
          </cell>
          <cell r="T1063" t="str">
            <v>NULL</v>
          </cell>
          <cell r="U1063" t="str">
            <v>NULL</v>
          </cell>
          <cell r="V1063" t="str">
            <v>NULL</v>
          </cell>
          <cell r="W1063" t="str">
            <v>NULL</v>
          </cell>
          <cell r="X1063" t="str">
            <v>NULL</v>
          </cell>
          <cell r="Y1063" t="str">
            <v>NULL</v>
          </cell>
          <cell r="Z1063" t="str">
            <v>NULL</v>
          </cell>
          <cell r="AA1063">
            <v>10043805</v>
          </cell>
          <cell r="AB1063" t="str">
            <v>Independent school standard inspection - first</v>
          </cell>
          <cell r="AC1063" t="str">
            <v>Independent Standard Inspection</v>
          </cell>
          <cell r="AD1063">
            <v>43130</v>
          </cell>
          <cell r="AE1063">
            <v>43132</v>
          </cell>
          <cell r="AF1063">
            <v>43165</v>
          </cell>
          <cell r="AG1063">
            <v>2</v>
          </cell>
          <cell r="AH1063">
            <v>2</v>
          </cell>
          <cell r="AI1063">
            <v>2</v>
          </cell>
          <cell r="AJ1063">
            <v>2</v>
          </cell>
          <cell r="AK1063">
            <v>2</v>
          </cell>
          <cell r="AL1063" t="str">
            <v>NULL</v>
          </cell>
          <cell r="AM1063" t="str">
            <v>NULL</v>
          </cell>
          <cell r="AN1063" t="str">
            <v>Yes</v>
          </cell>
          <cell r="AO1063" t="str">
            <v>NULL</v>
          </cell>
          <cell r="AP1063" t="str">
            <v>NULL</v>
          </cell>
          <cell r="AQ1063" t="str">
            <v>NULL</v>
          </cell>
          <cell r="AR1063" t="str">
            <v>NULL</v>
          </cell>
          <cell r="AS1063" t="str">
            <v>NULL</v>
          </cell>
          <cell r="AT1063" t="str">
            <v>NULL</v>
          </cell>
          <cell r="AU1063" t="str">
            <v>NULL</v>
          </cell>
          <cell r="AV1063" t="str">
            <v>NULL</v>
          </cell>
          <cell r="AW1063" t="str">
            <v>NULL</v>
          </cell>
          <cell r="AX1063" t="str">
            <v>NULL</v>
          </cell>
          <cell r="AY1063" t="str">
            <v>NULL</v>
          </cell>
          <cell r="AZ1063" t="str">
            <v>NULL</v>
          </cell>
          <cell r="BA1063" t="str">
            <v>NULL</v>
          </cell>
          <cell r="BB1063" t="str">
            <v>NULL</v>
          </cell>
        </row>
        <row r="1064">
          <cell r="D1064">
            <v>142931</v>
          </cell>
          <cell r="E1064">
            <v>8896015</v>
          </cell>
          <cell r="F1064" t="str">
            <v>Dar-Ul-Madinah</v>
          </cell>
          <cell r="G1064" t="str">
            <v>Other Independent School</v>
          </cell>
          <cell r="H1064">
            <v>42895</v>
          </cell>
          <cell r="I1064" t="str">
            <v>NULL</v>
          </cell>
          <cell r="J1064" t="str">
            <v>North West</v>
          </cell>
          <cell r="K1064" t="str">
            <v>North West</v>
          </cell>
          <cell r="L1064" t="str">
            <v>Blackburn with Darwen</v>
          </cell>
          <cell r="M1064" t="str">
            <v>Blackburn</v>
          </cell>
          <cell r="N1064" t="str">
            <v>BB2 6HD</v>
          </cell>
          <cell r="O1064" t="str">
            <v>Does not have a sixth form</v>
          </cell>
          <cell r="P1064">
            <v>5</v>
          </cell>
          <cell r="Q1064">
            <v>6</v>
          </cell>
          <cell r="R1064" t="str">
            <v>None</v>
          </cell>
          <cell r="S1064" t="str">
            <v>Ofsted</v>
          </cell>
          <cell r="T1064">
            <v>3</v>
          </cell>
          <cell r="U1064">
            <v>10033703</v>
          </cell>
          <cell r="V1064" t="str">
            <v>Independent School Pre-registration Inspection</v>
          </cell>
          <cell r="W1064">
            <v>42823</v>
          </cell>
          <cell r="X1064">
            <v>42823</v>
          </cell>
          <cell r="Y1064" t="str">
            <v>NULL</v>
          </cell>
          <cell r="Z1064" t="str">
            <v>Likely to meet all standards</v>
          </cell>
          <cell r="AA1064" t="str">
            <v>NULL</v>
          </cell>
          <cell r="AB1064" t="str">
            <v>NULL</v>
          </cell>
          <cell r="AC1064" t="str">
            <v>NULL</v>
          </cell>
          <cell r="AD1064" t="str">
            <v>NULL</v>
          </cell>
          <cell r="AE1064" t="str">
            <v>NULL</v>
          </cell>
          <cell r="AF1064" t="str">
            <v>NULL</v>
          </cell>
          <cell r="AG1064" t="str">
            <v>NULL</v>
          </cell>
          <cell r="AH1064" t="str">
            <v>NULL</v>
          </cell>
          <cell r="AI1064" t="str">
            <v>NULL</v>
          </cell>
          <cell r="AJ1064" t="str">
            <v>NULL</v>
          </cell>
          <cell r="AK1064" t="str">
            <v>NULL</v>
          </cell>
          <cell r="AL1064" t="str">
            <v>NULL</v>
          </cell>
          <cell r="AM1064" t="str">
            <v>NULL</v>
          </cell>
          <cell r="AN1064" t="str">
            <v>NULL</v>
          </cell>
          <cell r="AO1064" t="str">
            <v>NULL</v>
          </cell>
          <cell r="AP1064" t="str">
            <v>NULL</v>
          </cell>
          <cell r="AQ1064" t="str">
            <v>NULL</v>
          </cell>
          <cell r="AR1064" t="str">
            <v>NULL</v>
          </cell>
          <cell r="AS1064" t="str">
            <v>NULL</v>
          </cell>
          <cell r="AT1064" t="str">
            <v>NULL</v>
          </cell>
          <cell r="AU1064" t="str">
            <v>NULL</v>
          </cell>
          <cell r="AV1064" t="str">
            <v>NULL</v>
          </cell>
          <cell r="AW1064" t="str">
            <v>NULL</v>
          </cell>
          <cell r="AX1064" t="str">
            <v>NULL</v>
          </cell>
          <cell r="AY1064" t="str">
            <v>NULL</v>
          </cell>
          <cell r="AZ1064" t="str">
            <v>NULL</v>
          </cell>
          <cell r="BA1064" t="str">
            <v>NULL</v>
          </cell>
          <cell r="BB1064" t="str">
            <v>NULL</v>
          </cell>
        </row>
        <row r="1065">
          <cell r="D1065">
            <v>142939</v>
          </cell>
          <cell r="E1065">
            <v>8556038</v>
          </cell>
          <cell r="F1065" t="str">
            <v>The Place Independent School</v>
          </cell>
          <cell r="G1065" t="str">
            <v>Other Independent School</v>
          </cell>
          <cell r="H1065">
            <v>42649</v>
          </cell>
          <cell r="I1065">
            <v>5</v>
          </cell>
          <cell r="J1065" t="str">
            <v>East Midlands</v>
          </cell>
          <cell r="K1065" t="str">
            <v>East Midlands</v>
          </cell>
          <cell r="L1065" t="str">
            <v>Leicestershire</v>
          </cell>
          <cell r="M1065" t="str">
            <v>Rutland and Melton</v>
          </cell>
          <cell r="N1065" t="str">
            <v>NG13 0EA</v>
          </cell>
          <cell r="O1065" t="str">
            <v>Does not have a sixth form</v>
          </cell>
          <cell r="P1065">
            <v>7</v>
          </cell>
          <cell r="Q1065">
            <v>14</v>
          </cell>
          <cell r="R1065" t="str">
            <v>None</v>
          </cell>
          <cell r="S1065" t="str">
            <v>Ofsted</v>
          </cell>
          <cell r="T1065" t="str">
            <v>NULL</v>
          </cell>
          <cell r="U1065" t="str">
            <v>NULL</v>
          </cell>
          <cell r="V1065" t="str">
            <v>NULL</v>
          </cell>
          <cell r="W1065" t="str">
            <v>NULL</v>
          </cell>
          <cell r="X1065" t="str">
            <v>NULL</v>
          </cell>
          <cell r="Y1065" t="str">
            <v>NULL</v>
          </cell>
          <cell r="Z1065" t="str">
            <v>NULL</v>
          </cell>
          <cell r="AA1065">
            <v>10039198</v>
          </cell>
          <cell r="AB1065" t="str">
            <v>Independent school standard inspection - first</v>
          </cell>
          <cell r="AC1065" t="str">
            <v>Independent Standard Inspection</v>
          </cell>
          <cell r="AD1065">
            <v>43116</v>
          </cell>
          <cell r="AE1065">
            <v>43118</v>
          </cell>
          <cell r="AF1065">
            <v>43143</v>
          </cell>
          <cell r="AG1065">
            <v>2</v>
          </cell>
          <cell r="AH1065">
            <v>2</v>
          </cell>
          <cell r="AI1065">
            <v>2</v>
          </cell>
          <cell r="AJ1065">
            <v>2</v>
          </cell>
          <cell r="AK1065">
            <v>2</v>
          </cell>
          <cell r="AL1065" t="str">
            <v>NULL</v>
          </cell>
          <cell r="AM1065" t="str">
            <v>NULL</v>
          </cell>
          <cell r="AN1065" t="str">
            <v>Yes</v>
          </cell>
          <cell r="AO1065" t="str">
            <v>NULL</v>
          </cell>
          <cell r="AP1065" t="str">
            <v>NULL</v>
          </cell>
          <cell r="AQ1065" t="str">
            <v>NULL</v>
          </cell>
          <cell r="AR1065" t="str">
            <v>NULL</v>
          </cell>
          <cell r="AS1065" t="str">
            <v>NULL</v>
          </cell>
          <cell r="AT1065" t="str">
            <v>NULL</v>
          </cell>
          <cell r="AU1065" t="str">
            <v>NULL</v>
          </cell>
          <cell r="AV1065" t="str">
            <v>NULL</v>
          </cell>
          <cell r="AW1065" t="str">
            <v>NULL</v>
          </cell>
          <cell r="AX1065" t="str">
            <v>NULL</v>
          </cell>
          <cell r="AY1065" t="str">
            <v>NULL</v>
          </cell>
          <cell r="AZ1065" t="str">
            <v>NULL</v>
          </cell>
          <cell r="BA1065" t="str">
            <v>NULL</v>
          </cell>
          <cell r="BB1065" t="str">
            <v>NULL</v>
          </cell>
        </row>
        <row r="1066">
          <cell r="D1066">
            <v>143018</v>
          </cell>
          <cell r="E1066">
            <v>9166006</v>
          </cell>
          <cell r="F1066" t="str">
            <v>Gloucestershire International School</v>
          </cell>
          <cell r="G1066" t="str">
            <v>Other Independent School</v>
          </cell>
          <cell r="H1066">
            <v>42618</v>
          </cell>
          <cell r="I1066">
            <v>0</v>
          </cell>
          <cell r="J1066" t="str">
            <v>South West</v>
          </cell>
          <cell r="K1066" t="str">
            <v>South West</v>
          </cell>
          <cell r="L1066" t="str">
            <v>Gloucestershire</v>
          </cell>
          <cell r="M1066" t="str">
            <v>Gloucester</v>
          </cell>
          <cell r="N1066" t="str">
            <v>GL1 3PT</v>
          </cell>
          <cell r="O1066" t="str">
            <v>Does not have a sixth form</v>
          </cell>
          <cell r="P1066">
            <v>11</v>
          </cell>
          <cell r="Q1066">
            <v>16</v>
          </cell>
          <cell r="R1066" t="str">
            <v>None</v>
          </cell>
          <cell r="S1066" t="str">
            <v>Ofsted</v>
          </cell>
          <cell r="T1066" t="str">
            <v>NULL</v>
          </cell>
          <cell r="U1066" t="str">
            <v>NULL</v>
          </cell>
          <cell r="V1066" t="str">
            <v>NULL</v>
          </cell>
          <cell r="W1066" t="str">
            <v>NULL</v>
          </cell>
          <cell r="X1066" t="str">
            <v>NULL</v>
          </cell>
          <cell r="Y1066" t="str">
            <v>NULL</v>
          </cell>
          <cell r="Z1066" t="str">
            <v>NULL</v>
          </cell>
          <cell r="AA1066">
            <v>10035559</v>
          </cell>
          <cell r="AB1066" t="str">
            <v>Independent school standard inspection - first</v>
          </cell>
          <cell r="AC1066" t="str">
            <v>Independent Standard Inspection</v>
          </cell>
          <cell r="AD1066">
            <v>43067</v>
          </cell>
          <cell r="AE1066">
            <v>43069</v>
          </cell>
          <cell r="AF1066">
            <v>43123</v>
          </cell>
          <cell r="AG1066">
            <v>4</v>
          </cell>
          <cell r="AH1066">
            <v>4</v>
          </cell>
          <cell r="AI1066">
            <v>4</v>
          </cell>
          <cell r="AJ1066">
            <v>4</v>
          </cell>
          <cell r="AK1066">
            <v>4</v>
          </cell>
          <cell r="AL1066" t="str">
            <v>NULL</v>
          </cell>
          <cell r="AM1066" t="str">
            <v>NULL</v>
          </cell>
          <cell r="AN1066" t="str">
            <v>No</v>
          </cell>
          <cell r="AO1066" t="str">
            <v>NULL</v>
          </cell>
          <cell r="AP1066" t="str">
            <v>NULL</v>
          </cell>
          <cell r="AQ1066" t="str">
            <v>NULL</v>
          </cell>
          <cell r="AR1066" t="str">
            <v>NULL</v>
          </cell>
          <cell r="AS1066" t="str">
            <v>NULL</v>
          </cell>
          <cell r="AT1066" t="str">
            <v>NULL</v>
          </cell>
          <cell r="AU1066" t="str">
            <v>NULL</v>
          </cell>
          <cell r="AV1066" t="str">
            <v>NULL</v>
          </cell>
          <cell r="AW1066" t="str">
            <v>NULL</v>
          </cell>
          <cell r="AX1066" t="str">
            <v>NULL</v>
          </cell>
          <cell r="AY1066" t="str">
            <v>NULL</v>
          </cell>
          <cell r="AZ1066" t="str">
            <v>NULL</v>
          </cell>
          <cell r="BA1066" t="str">
            <v>NULL</v>
          </cell>
          <cell r="BB1066" t="str">
            <v>NULL</v>
          </cell>
        </row>
        <row r="1067">
          <cell r="D1067">
            <v>143019</v>
          </cell>
          <cell r="E1067">
            <v>3016005</v>
          </cell>
          <cell r="F1067" t="str">
            <v>SW!TCH Borders</v>
          </cell>
          <cell r="G1067" t="str">
            <v>Other Independent School</v>
          </cell>
          <cell r="H1067">
            <v>42605</v>
          </cell>
          <cell r="I1067">
            <v>7</v>
          </cell>
          <cell r="J1067" t="str">
            <v>London</v>
          </cell>
          <cell r="K1067" t="str">
            <v>London</v>
          </cell>
          <cell r="L1067" t="str">
            <v>Barking and Dagenham</v>
          </cell>
          <cell r="M1067" t="str">
            <v>Barking</v>
          </cell>
          <cell r="N1067" t="str">
            <v>RM8 2UT</v>
          </cell>
          <cell r="O1067" t="str">
            <v>Does not have a sixth form</v>
          </cell>
          <cell r="P1067">
            <v>14</v>
          </cell>
          <cell r="Q1067">
            <v>16</v>
          </cell>
          <cell r="R1067" t="str">
            <v>None</v>
          </cell>
          <cell r="S1067" t="str">
            <v>Ofsted</v>
          </cell>
          <cell r="T1067" t="str">
            <v>NULL</v>
          </cell>
          <cell r="U1067" t="str">
            <v>NULL</v>
          </cell>
          <cell r="V1067" t="str">
            <v>NULL</v>
          </cell>
          <cell r="W1067" t="str">
            <v>NULL</v>
          </cell>
          <cell r="X1067" t="str">
            <v>NULL</v>
          </cell>
          <cell r="Y1067" t="str">
            <v>NULL</v>
          </cell>
          <cell r="Z1067" t="str">
            <v>NULL</v>
          </cell>
          <cell r="AA1067">
            <v>10035817</v>
          </cell>
          <cell r="AB1067" t="str">
            <v>Independent school standard inspection - first</v>
          </cell>
          <cell r="AC1067" t="str">
            <v>Independent Standard Inspection</v>
          </cell>
          <cell r="AD1067">
            <v>43039</v>
          </cell>
          <cell r="AE1067">
            <v>43041</v>
          </cell>
          <cell r="AF1067">
            <v>43070</v>
          </cell>
          <cell r="AG1067">
            <v>2</v>
          </cell>
          <cell r="AH1067">
            <v>2</v>
          </cell>
          <cell r="AI1067">
            <v>2</v>
          </cell>
          <cell r="AJ1067">
            <v>2</v>
          </cell>
          <cell r="AK1067">
            <v>2</v>
          </cell>
          <cell r="AL1067" t="str">
            <v>NULL</v>
          </cell>
          <cell r="AM1067" t="str">
            <v>NULL</v>
          </cell>
          <cell r="AN1067" t="str">
            <v>Yes</v>
          </cell>
          <cell r="AO1067" t="str">
            <v>NULL</v>
          </cell>
          <cell r="AP1067" t="str">
            <v>NULL</v>
          </cell>
          <cell r="AQ1067" t="str">
            <v>NULL</v>
          </cell>
          <cell r="AR1067" t="str">
            <v>NULL</v>
          </cell>
          <cell r="AS1067" t="str">
            <v>NULL</v>
          </cell>
          <cell r="AT1067" t="str">
            <v>NULL</v>
          </cell>
          <cell r="AU1067" t="str">
            <v>NULL</v>
          </cell>
          <cell r="AV1067" t="str">
            <v>NULL</v>
          </cell>
          <cell r="AW1067" t="str">
            <v>NULL</v>
          </cell>
          <cell r="AX1067" t="str">
            <v>NULL</v>
          </cell>
          <cell r="AY1067" t="str">
            <v>NULL</v>
          </cell>
          <cell r="AZ1067" t="str">
            <v>NULL</v>
          </cell>
          <cell r="BA1067" t="str">
            <v>NULL</v>
          </cell>
          <cell r="BB1067" t="str">
            <v>NULL</v>
          </cell>
        </row>
        <row r="1068">
          <cell r="D1068">
            <v>143106</v>
          </cell>
          <cell r="E1068">
            <v>8856045</v>
          </cell>
          <cell r="F1068" t="str">
            <v>Gloverspiece</v>
          </cell>
          <cell r="G1068" t="str">
            <v>Other Independent Special School</v>
          </cell>
          <cell r="H1068">
            <v>42767</v>
          </cell>
          <cell r="I1068" t="str">
            <v>NULL</v>
          </cell>
          <cell r="J1068" t="str">
            <v>West Midlands</v>
          </cell>
          <cell r="K1068" t="str">
            <v>West Midlands</v>
          </cell>
          <cell r="L1068" t="str">
            <v>Worcestershire</v>
          </cell>
          <cell r="M1068" t="str">
            <v>Mid Worcestershire</v>
          </cell>
          <cell r="N1068" t="str">
            <v>WR9 0RQ</v>
          </cell>
          <cell r="O1068" t="str">
            <v>Not applicable</v>
          </cell>
          <cell r="P1068">
            <v>4</v>
          </cell>
          <cell r="Q1068">
            <v>12</v>
          </cell>
          <cell r="R1068" t="str">
            <v>None</v>
          </cell>
          <cell r="S1068" t="str">
            <v>Ofsted</v>
          </cell>
          <cell r="T1068" t="str">
            <v>NULL</v>
          </cell>
          <cell r="U1068" t="str">
            <v>NULL</v>
          </cell>
          <cell r="V1068" t="str">
            <v>NULL</v>
          </cell>
          <cell r="W1068" t="str">
            <v>NULL</v>
          </cell>
          <cell r="X1068" t="str">
            <v>NULL</v>
          </cell>
          <cell r="Y1068" t="str">
            <v>NULL</v>
          </cell>
          <cell r="Z1068" t="str">
            <v>NULL</v>
          </cell>
          <cell r="AA1068">
            <v>10041368</v>
          </cell>
          <cell r="AB1068" t="str">
            <v>Independent school standard inspection - first</v>
          </cell>
          <cell r="AC1068" t="str">
            <v>Independent Standard Inspection</v>
          </cell>
          <cell r="AD1068">
            <v>43144</v>
          </cell>
          <cell r="AE1068">
            <v>43146</v>
          </cell>
          <cell r="AF1068">
            <v>43181</v>
          </cell>
          <cell r="AG1068">
            <v>2</v>
          </cell>
          <cell r="AH1068">
            <v>3</v>
          </cell>
          <cell r="AI1068">
            <v>2</v>
          </cell>
          <cell r="AJ1068">
            <v>2</v>
          </cell>
          <cell r="AK1068">
            <v>2</v>
          </cell>
          <cell r="AL1068" t="str">
            <v>NULL</v>
          </cell>
          <cell r="AM1068" t="str">
            <v>NULL</v>
          </cell>
          <cell r="AN1068" t="str">
            <v>Yes</v>
          </cell>
          <cell r="AO1068" t="str">
            <v>NULL</v>
          </cell>
          <cell r="AP1068" t="str">
            <v>NULL</v>
          </cell>
          <cell r="AQ1068" t="str">
            <v>NULL</v>
          </cell>
          <cell r="AR1068" t="str">
            <v>NULL</v>
          </cell>
          <cell r="AS1068" t="str">
            <v>NULL</v>
          </cell>
          <cell r="AT1068" t="str">
            <v>NULL</v>
          </cell>
          <cell r="AU1068" t="str">
            <v>NULL</v>
          </cell>
          <cell r="AV1068" t="str">
            <v>NULL</v>
          </cell>
          <cell r="AW1068" t="str">
            <v>NULL</v>
          </cell>
          <cell r="AX1068" t="str">
            <v>NULL</v>
          </cell>
          <cell r="AY1068" t="str">
            <v>NULL</v>
          </cell>
          <cell r="AZ1068" t="str">
            <v>NULL</v>
          </cell>
          <cell r="BA1068" t="str">
            <v>NULL</v>
          </cell>
          <cell r="BB1068" t="str">
            <v>NULL</v>
          </cell>
        </row>
        <row r="1069">
          <cell r="D1069">
            <v>143174</v>
          </cell>
          <cell r="E1069">
            <v>3306031</v>
          </cell>
          <cell r="F1069" t="str">
            <v>Newbury School</v>
          </cell>
          <cell r="G1069" t="str">
            <v>Other Independent School</v>
          </cell>
          <cell r="H1069">
            <v>42670</v>
          </cell>
          <cell r="I1069">
            <v>2</v>
          </cell>
          <cell r="J1069" t="str">
            <v>West Midlands</v>
          </cell>
          <cell r="K1069" t="str">
            <v>West Midlands</v>
          </cell>
          <cell r="L1069" t="str">
            <v>Birmingham</v>
          </cell>
          <cell r="M1069" t="str">
            <v>Birmingham, Ladywood</v>
          </cell>
          <cell r="N1069" t="str">
            <v>B19 2SW</v>
          </cell>
          <cell r="O1069" t="str">
            <v>Has a sixth form</v>
          </cell>
          <cell r="P1069">
            <v>11</v>
          </cell>
          <cell r="Q1069">
            <v>18</v>
          </cell>
          <cell r="R1069" t="str">
            <v>None</v>
          </cell>
          <cell r="S1069" t="str">
            <v>Ofsted</v>
          </cell>
          <cell r="T1069" t="str">
            <v>NULL</v>
          </cell>
          <cell r="U1069" t="str">
            <v>NULL</v>
          </cell>
          <cell r="V1069" t="str">
            <v>NULL</v>
          </cell>
          <cell r="W1069" t="str">
            <v>NULL</v>
          </cell>
          <cell r="X1069" t="str">
            <v>NULL</v>
          </cell>
          <cell r="Y1069" t="str">
            <v>NULL</v>
          </cell>
          <cell r="Z1069" t="str">
            <v>NULL</v>
          </cell>
          <cell r="AA1069">
            <v>10039277</v>
          </cell>
          <cell r="AB1069" t="str">
            <v>Independent school standard inspection - first</v>
          </cell>
          <cell r="AC1069" t="str">
            <v>Independent Standard Inspection</v>
          </cell>
          <cell r="AD1069">
            <v>43060</v>
          </cell>
          <cell r="AE1069">
            <v>43062</v>
          </cell>
          <cell r="AF1069">
            <v>43137</v>
          </cell>
          <cell r="AG1069">
            <v>4</v>
          </cell>
          <cell r="AH1069">
            <v>4</v>
          </cell>
          <cell r="AI1069">
            <v>4</v>
          </cell>
          <cell r="AJ1069">
            <v>4</v>
          </cell>
          <cell r="AK1069">
            <v>4</v>
          </cell>
          <cell r="AL1069" t="str">
            <v>NULL</v>
          </cell>
          <cell r="AM1069">
            <v>4</v>
          </cell>
          <cell r="AN1069" t="str">
            <v>No</v>
          </cell>
          <cell r="AO1069" t="str">
            <v>NULL</v>
          </cell>
          <cell r="AP1069" t="str">
            <v>NULL</v>
          </cell>
          <cell r="AQ1069" t="str">
            <v>NULL</v>
          </cell>
          <cell r="AR1069" t="str">
            <v>NULL</v>
          </cell>
          <cell r="AS1069" t="str">
            <v>NULL</v>
          </cell>
          <cell r="AT1069" t="str">
            <v>NULL</v>
          </cell>
          <cell r="AU1069" t="str">
            <v>NULL</v>
          </cell>
          <cell r="AV1069" t="str">
            <v>NULL</v>
          </cell>
          <cell r="AW1069" t="str">
            <v>NULL</v>
          </cell>
          <cell r="AX1069" t="str">
            <v>NULL</v>
          </cell>
          <cell r="AY1069" t="str">
            <v>NULL</v>
          </cell>
          <cell r="AZ1069" t="str">
            <v>NULL</v>
          </cell>
          <cell r="BA1069" t="str">
            <v>NULL</v>
          </cell>
          <cell r="BB1069" t="str">
            <v>NULL</v>
          </cell>
        </row>
        <row r="1070">
          <cell r="D1070">
            <v>143406</v>
          </cell>
          <cell r="E1070">
            <v>3176005</v>
          </cell>
          <cell r="F1070" t="str">
            <v>Oak House School</v>
          </cell>
          <cell r="G1070" t="str">
            <v>Other Independent Special School</v>
          </cell>
          <cell r="H1070">
            <v>42583</v>
          </cell>
          <cell r="I1070">
            <v>0</v>
          </cell>
          <cell r="J1070" t="str">
            <v>London</v>
          </cell>
          <cell r="K1070" t="str">
            <v>London</v>
          </cell>
          <cell r="L1070" t="str">
            <v>Redbridge</v>
          </cell>
          <cell r="M1070" t="str">
            <v>Ilford South</v>
          </cell>
          <cell r="N1070" t="str">
            <v>IG3 9AB</v>
          </cell>
          <cell r="O1070" t="str">
            <v>Not applicable</v>
          </cell>
          <cell r="P1070">
            <v>10</v>
          </cell>
          <cell r="Q1070">
            <v>17</v>
          </cell>
          <cell r="R1070" t="str">
            <v>None</v>
          </cell>
          <cell r="S1070" t="str">
            <v>Ofsted</v>
          </cell>
          <cell r="T1070">
            <v>1</v>
          </cell>
          <cell r="U1070">
            <v>10048992</v>
          </cell>
          <cell r="V1070" t="str">
            <v>Independent school evaluation of school action plan</v>
          </cell>
          <cell r="W1070">
            <v>43153</v>
          </cell>
          <cell r="X1070">
            <v>43153</v>
          </cell>
          <cell r="Y1070" t="str">
            <v>NULL</v>
          </cell>
          <cell r="Z1070" t="str">
            <v>Action plan is acceptable</v>
          </cell>
          <cell r="AA1070">
            <v>10035820</v>
          </cell>
          <cell r="AB1070" t="str">
            <v>Independent school standard inspection - first</v>
          </cell>
          <cell r="AC1070" t="str">
            <v>Independent Standard Inspection</v>
          </cell>
          <cell r="AD1070">
            <v>43018</v>
          </cell>
          <cell r="AE1070">
            <v>43020</v>
          </cell>
          <cell r="AF1070">
            <v>43077</v>
          </cell>
          <cell r="AG1070">
            <v>4</v>
          </cell>
          <cell r="AH1070">
            <v>0</v>
          </cell>
          <cell r="AI1070">
            <v>0</v>
          </cell>
          <cell r="AJ1070">
            <v>4</v>
          </cell>
          <cell r="AK1070">
            <v>4</v>
          </cell>
          <cell r="AL1070" t="str">
            <v>NULL</v>
          </cell>
          <cell r="AM1070" t="str">
            <v>NULL</v>
          </cell>
          <cell r="AN1070" t="str">
            <v>No</v>
          </cell>
          <cell r="AO1070" t="str">
            <v>NULL</v>
          </cell>
          <cell r="AP1070" t="str">
            <v>NULL</v>
          </cell>
          <cell r="AQ1070" t="str">
            <v>NULL</v>
          </cell>
          <cell r="AR1070" t="str">
            <v>NULL</v>
          </cell>
          <cell r="AS1070" t="str">
            <v>NULL</v>
          </cell>
          <cell r="AT1070" t="str">
            <v>NULL</v>
          </cell>
          <cell r="AU1070" t="str">
            <v>NULL</v>
          </cell>
          <cell r="AV1070" t="str">
            <v>NULL</v>
          </cell>
          <cell r="AW1070" t="str">
            <v>NULL</v>
          </cell>
          <cell r="AX1070" t="str">
            <v>NULL</v>
          </cell>
          <cell r="AY1070" t="str">
            <v>NULL</v>
          </cell>
          <cell r="AZ1070" t="str">
            <v>NULL</v>
          </cell>
          <cell r="BA1070" t="str">
            <v>NULL</v>
          </cell>
          <cell r="BB1070" t="str">
            <v>NULL</v>
          </cell>
        </row>
        <row r="1071">
          <cell r="D1071">
            <v>143407</v>
          </cell>
          <cell r="E1071">
            <v>8786066</v>
          </cell>
          <cell r="F1071" t="str">
            <v>Chances Educational Support Services</v>
          </cell>
          <cell r="G1071" t="str">
            <v>Other Independent School</v>
          </cell>
          <cell r="H1071">
            <v>42933</v>
          </cell>
          <cell r="I1071" t="str">
            <v>NULL</v>
          </cell>
          <cell r="J1071" t="str">
            <v>South West</v>
          </cell>
          <cell r="K1071" t="str">
            <v>South West</v>
          </cell>
          <cell r="L1071" t="str">
            <v>Devon</v>
          </cell>
          <cell r="M1071" t="str">
            <v>Newton Abbot</v>
          </cell>
          <cell r="N1071" t="str">
            <v>TQ12 2SH</v>
          </cell>
          <cell r="O1071" t="str">
            <v>Not applicable</v>
          </cell>
          <cell r="P1071">
            <v>11</v>
          </cell>
          <cell r="Q1071">
            <v>16</v>
          </cell>
          <cell r="R1071" t="str">
            <v>None</v>
          </cell>
          <cell r="S1071" t="str">
            <v>Ofsted</v>
          </cell>
          <cell r="T1071">
            <v>3</v>
          </cell>
          <cell r="U1071">
            <v>10033420</v>
          </cell>
          <cell r="V1071" t="str">
            <v>Independent School Pre-registration Inspection</v>
          </cell>
          <cell r="W1071">
            <v>42795</v>
          </cell>
          <cell r="X1071">
            <v>42795</v>
          </cell>
          <cell r="Y1071" t="str">
            <v>NULL</v>
          </cell>
          <cell r="Z1071" t="str">
            <v>Operating without registration and likely to meet all standards</v>
          </cell>
          <cell r="AA1071" t="str">
            <v>NULL</v>
          </cell>
          <cell r="AB1071" t="str">
            <v>NULL</v>
          </cell>
          <cell r="AC1071" t="str">
            <v>NULL</v>
          </cell>
          <cell r="AD1071" t="str">
            <v>NULL</v>
          </cell>
          <cell r="AE1071" t="str">
            <v>NULL</v>
          </cell>
          <cell r="AF1071" t="str">
            <v>NULL</v>
          </cell>
          <cell r="AG1071" t="str">
            <v>NULL</v>
          </cell>
          <cell r="AH1071" t="str">
            <v>NULL</v>
          </cell>
          <cell r="AI1071" t="str">
            <v>NULL</v>
          </cell>
          <cell r="AJ1071" t="str">
            <v>NULL</v>
          </cell>
          <cell r="AK1071" t="str">
            <v>NULL</v>
          </cell>
          <cell r="AL1071" t="str">
            <v>NULL</v>
          </cell>
          <cell r="AM1071" t="str">
            <v>NULL</v>
          </cell>
          <cell r="AN1071" t="str">
            <v>NULL</v>
          </cell>
          <cell r="AO1071" t="str">
            <v>NULL</v>
          </cell>
          <cell r="AP1071" t="str">
            <v>NULL</v>
          </cell>
          <cell r="AQ1071" t="str">
            <v>NULL</v>
          </cell>
          <cell r="AR1071" t="str">
            <v>NULL</v>
          </cell>
          <cell r="AS1071" t="str">
            <v>NULL</v>
          </cell>
          <cell r="AT1071" t="str">
            <v>NULL</v>
          </cell>
          <cell r="AU1071" t="str">
            <v>NULL</v>
          </cell>
          <cell r="AV1071" t="str">
            <v>NULL</v>
          </cell>
          <cell r="AW1071" t="str">
            <v>NULL</v>
          </cell>
          <cell r="AX1071" t="str">
            <v>NULL</v>
          </cell>
          <cell r="AY1071" t="str">
            <v>NULL</v>
          </cell>
          <cell r="AZ1071" t="str">
            <v>NULL</v>
          </cell>
          <cell r="BA1071" t="str">
            <v>NULL</v>
          </cell>
          <cell r="BB1071" t="str">
            <v>NULL</v>
          </cell>
        </row>
        <row r="1072">
          <cell r="D1072">
            <v>143418</v>
          </cell>
          <cell r="E1072">
            <v>3306032</v>
          </cell>
          <cell r="F1072" t="str">
            <v>Birmingham Independent College</v>
          </cell>
          <cell r="G1072" t="str">
            <v>Other Independent School</v>
          </cell>
          <cell r="H1072">
            <v>42591</v>
          </cell>
          <cell r="I1072">
            <v>13</v>
          </cell>
          <cell r="J1072" t="str">
            <v>West Midlands</v>
          </cell>
          <cell r="K1072" t="str">
            <v>West Midlands</v>
          </cell>
          <cell r="L1072" t="str">
            <v>Birmingham</v>
          </cell>
          <cell r="M1072" t="str">
            <v>Birmingham, Ladywood</v>
          </cell>
          <cell r="N1072" t="str">
            <v>B6 5NU</v>
          </cell>
          <cell r="O1072" t="str">
            <v>Has a sixth form</v>
          </cell>
          <cell r="P1072">
            <v>14</v>
          </cell>
          <cell r="Q1072">
            <v>19</v>
          </cell>
          <cell r="R1072" t="str">
            <v>None</v>
          </cell>
          <cell r="S1072" t="str">
            <v>Ofsted</v>
          </cell>
          <cell r="T1072" t="str">
            <v>NULL</v>
          </cell>
          <cell r="U1072" t="str">
            <v>NULL</v>
          </cell>
          <cell r="V1072" t="str">
            <v>NULL</v>
          </cell>
          <cell r="W1072" t="str">
            <v>NULL</v>
          </cell>
          <cell r="X1072" t="str">
            <v>NULL</v>
          </cell>
          <cell r="Y1072" t="str">
            <v>NULL</v>
          </cell>
          <cell r="Z1072" t="str">
            <v>NULL</v>
          </cell>
          <cell r="AA1072">
            <v>10033591</v>
          </cell>
          <cell r="AB1072" t="str">
            <v>Independent school standard inspection - first</v>
          </cell>
          <cell r="AC1072" t="str">
            <v>Independent Standard Inspection</v>
          </cell>
          <cell r="AD1072">
            <v>42899</v>
          </cell>
          <cell r="AE1072">
            <v>42901</v>
          </cell>
          <cell r="AF1072">
            <v>42937</v>
          </cell>
          <cell r="AG1072">
            <v>2</v>
          </cell>
          <cell r="AH1072">
            <v>2</v>
          </cell>
          <cell r="AI1072">
            <v>2</v>
          </cell>
          <cell r="AJ1072">
            <v>2</v>
          </cell>
          <cell r="AK1072">
            <v>1</v>
          </cell>
          <cell r="AL1072" t="str">
            <v>NULL</v>
          </cell>
          <cell r="AM1072" t="str">
            <v>NULL</v>
          </cell>
          <cell r="AN1072" t="str">
            <v>Yes</v>
          </cell>
          <cell r="AO1072" t="str">
            <v>NULL</v>
          </cell>
          <cell r="AP1072" t="str">
            <v>NULL</v>
          </cell>
          <cell r="AQ1072" t="str">
            <v>NULL</v>
          </cell>
          <cell r="AR1072" t="str">
            <v>NULL</v>
          </cell>
          <cell r="AS1072" t="str">
            <v>NULL</v>
          </cell>
          <cell r="AT1072" t="str">
            <v>NULL</v>
          </cell>
          <cell r="AU1072" t="str">
            <v>NULL</v>
          </cell>
          <cell r="AV1072" t="str">
            <v>NULL</v>
          </cell>
          <cell r="AW1072" t="str">
            <v>NULL</v>
          </cell>
          <cell r="AX1072" t="str">
            <v>NULL</v>
          </cell>
          <cell r="AY1072" t="str">
            <v>NULL</v>
          </cell>
          <cell r="AZ1072" t="str">
            <v>NULL</v>
          </cell>
          <cell r="BA1072" t="str">
            <v>NULL</v>
          </cell>
          <cell r="BB1072" t="str">
            <v>NULL</v>
          </cell>
        </row>
        <row r="1073">
          <cell r="D1073">
            <v>144727</v>
          </cell>
          <cell r="E1073">
            <v>3026012</v>
          </cell>
          <cell r="F1073" t="str">
            <v>Lubavitch Yeshiva Ketanah of London</v>
          </cell>
          <cell r="G1073" t="str">
            <v>Other Independent School</v>
          </cell>
          <cell r="H1073">
            <v>42829</v>
          </cell>
          <cell r="I1073" t="str">
            <v>NULL</v>
          </cell>
          <cell r="J1073" t="str">
            <v>London</v>
          </cell>
          <cell r="K1073" t="str">
            <v>London</v>
          </cell>
          <cell r="L1073" t="str">
            <v>Barnet</v>
          </cell>
          <cell r="M1073" t="str">
            <v>Finchley and Golders Green</v>
          </cell>
          <cell r="N1073" t="str">
            <v>NW11 0QB</v>
          </cell>
          <cell r="O1073" t="str">
            <v>Does not have a sixth form</v>
          </cell>
          <cell r="P1073">
            <v>13</v>
          </cell>
          <cell r="Q1073">
            <v>16</v>
          </cell>
          <cell r="R1073" t="str">
            <v>Orthodox Jewish</v>
          </cell>
          <cell r="S1073" t="str">
            <v>Ofsted</v>
          </cell>
          <cell r="T1073">
            <v>4</v>
          </cell>
          <cell r="U1073">
            <v>10025707</v>
          </cell>
          <cell r="V1073" t="str">
            <v>Independent School Pre-registration Inspection</v>
          </cell>
          <cell r="W1073">
            <v>42774</v>
          </cell>
          <cell r="X1073">
            <v>42774</v>
          </cell>
          <cell r="Y1073" t="str">
            <v>NULL</v>
          </cell>
          <cell r="Z1073" t="str">
            <v>Operating without registration and likely to meet all standards</v>
          </cell>
          <cell r="AA1073" t="str">
            <v>NULL</v>
          </cell>
          <cell r="AB1073" t="str">
            <v>NULL</v>
          </cell>
          <cell r="AC1073" t="str">
            <v>NULL</v>
          </cell>
          <cell r="AD1073" t="str">
            <v>NULL</v>
          </cell>
          <cell r="AE1073" t="str">
            <v>NULL</v>
          </cell>
          <cell r="AF1073" t="str">
            <v>NULL</v>
          </cell>
          <cell r="AG1073" t="str">
            <v>NULL</v>
          </cell>
          <cell r="AH1073" t="str">
            <v>NULL</v>
          </cell>
          <cell r="AI1073" t="str">
            <v>NULL</v>
          </cell>
          <cell r="AJ1073" t="str">
            <v>NULL</v>
          </cell>
          <cell r="AK1073" t="str">
            <v>NULL</v>
          </cell>
          <cell r="AL1073" t="str">
            <v>NULL</v>
          </cell>
          <cell r="AM1073" t="str">
            <v>NULL</v>
          </cell>
          <cell r="AN1073" t="str">
            <v>NULL</v>
          </cell>
          <cell r="AO1073" t="str">
            <v>NULL</v>
          </cell>
          <cell r="AP1073" t="str">
            <v>NULL</v>
          </cell>
          <cell r="AQ1073" t="str">
            <v>NULL</v>
          </cell>
          <cell r="AR1073" t="str">
            <v>NULL</v>
          </cell>
          <cell r="AS1073" t="str">
            <v>NULL</v>
          </cell>
          <cell r="AT1073" t="str">
            <v>NULL</v>
          </cell>
          <cell r="AU1073" t="str">
            <v>NULL</v>
          </cell>
          <cell r="AV1073" t="str">
            <v>NULL</v>
          </cell>
          <cell r="AW1073" t="str">
            <v>NULL</v>
          </cell>
          <cell r="AX1073" t="str">
            <v>NULL</v>
          </cell>
          <cell r="AY1073" t="str">
            <v>NULL</v>
          </cell>
          <cell r="AZ1073" t="str">
            <v>NULL</v>
          </cell>
          <cell r="BA1073" t="str">
            <v>NULL</v>
          </cell>
          <cell r="BB1073" t="str">
            <v>NULL</v>
          </cell>
        </row>
        <row r="1074">
          <cell r="D1074">
            <v>144730</v>
          </cell>
          <cell r="E1074">
            <v>9366011</v>
          </cell>
          <cell r="F1074" t="str">
            <v>Aurora Redehall School</v>
          </cell>
          <cell r="G1074" t="str">
            <v>Other Independent School</v>
          </cell>
          <cell r="H1074">
            <v>42891</v>
          </cell>
          <cell r="I1074" t="str">
            <v>NULL</v>
          </cell>
          <cell r="J1074" t="str">
            <v>South East</v>
          </cell>
          <cell r="K1074" t="str">
            <v>South East</v>
          </cell>
          <cell r="L1074" t="str">
            <v>Surrey</v>
          </cell>
          <cell r="M1074" t="str">
            <v>East Surrey</v>
          </cell>
          <cell r="N1074" t="str">
            <v>RH6 9QA</v>
          </cell>
          <cell r="O1074" t="str">
            <v>Has a sixth form</v>
          </cell>
          <cell r="P1074">
            <v>6</v>
          </cell>
          <cell r="Q1074">
            <v>19</v>
          </cell>
          <cell r="R1074" t="str">
            <v>None</v>
          </cell>
          <cell r="S1074" t="str">
            <v>Ofsted</v>
          </cell>
          <cell r="T1074">
            <v>1</v>
          </cell>
          <cell r="U1074">
            <v>10034648</v>
          </cell>
          <cell r="V1074" t="str">
            <v>Independent School Pre-registration Inspection</v>
          </cell>
          <cell r="W1074">
            <v>42872</v>
          </cell>
          <cell r="X1074">
            <v>42872</v>
          </cell>
          <cell r="Y1074" t="str">
            <v>NULL</v>
          </cell>
          <cell r="Z1074" t="str">
            <v>Likely to meet all standards</v>
          </cell>
          <cell r="AA1074" t="str">
            <v>NULL</v>
          </cell>
          <cell r="AB1074" t="str">
            <v>NULL</v>
          </cell>
          <cell r="AC1074" t="str">
            <v>NULL</v>
          </cell>
          <cell r="AD1074" t="str">
            <v>NULL</v>
          </cell>
          <cell r="AE1074" t="str">
            <v>NULL</v>
          </cell>
          <cell r="AF1074" t="str">
            <v>NULL</v>
          </cell>
          <cell r="AG1074" t="str">
            <v>NULL</v>
          </cell>
          <cell r="AH1074" t="str">
            <v>NULL</v>
          </cell>
          <cell r="AI1074" t="str">
            <v>NULL</v>
          </cell>
          <cell r="AJ1074" t="str">
            <v>NULL</v>
          </cell>
          <cell r="AK1074" t="str">
            <v>NULL</v>
          </cell>
          <cell r="AL1074" t="str">
            <v>NULL</v>
          </cell>
          <cell r="AM1074" t="str">
            <v>NULL</v>
          </cell>
          <cell r="AN1074" t="str">
            <v>NULL</v>
          </cell>
          <cell r="AO1074" t="str">
            <v>NULL</v>
          </cell>
          <cell r="AP1074" t="str">
            <v>NULL</v>
          </cell>
          <cell r="AQ1074" t="str">
            <v>NULL</v>
          </cell>
          <cell r="AR1074" t="str">
            <v>NULL</v>
          </cell>
          <cell r="AS1074" t="str">
            <v>NULL</v>
          </cell>
          <cell r="AT1074" t="str">
            <v>NULL</v>
          </cell>
          <cell r="AU1074" t="str">
            <v>NULL</v>
          </cell>
          <cell r="AV1074" t="str">
            <v>NULL</v>
          </cell>
          <cell r="AW1074" t="str">
            <v>NULL</v>
          </cell>
          <cell r="AX1074" t="str">
            <v>NULL</v>
          </cell>
          <cell r="AY1074" t="str">
            <v>NULL</v>
          </cell>
          <cell r="AZ1074" t="str">
            <v>NULL</v>
          </cell>
          <cell r="BA1074" t="str">
            <v>NULL</v>
          </cell>
          <cell r="BB1074" t="str">
            <v>NULL</v>
          </cell>
        </row>
        <row r="1075">
          <cell r="D1075">
            <v>144738</v>
          </cell>
          <cell r="E1075">
            <v>3046005</v>
          </cell>
          <cell r="F1075" t="str">
            <v>Gesher Primary Special School</v>
          </cell>
          <cell r="G1075" t="str">
            <v>Other Independent School</v>
          </cell>
          <cell r="H1075">
            <v>42871</v>
          </cell>
          <cell r="I1075" t="str">
            <v>NULL</v>
          </cell>
          <cell r="J1075" t="str">
            <v>London</v>
          </cell>
          <cell r="K1075" t="str">
            <v>London</v>
          </cell>
          <cell r="L1075" t="str">
            <v>Brent</v>
          </cell>
          <cell r="M1075" t="str">
            <v>Brent Central</v>
          </cell>
          <cell r="N1075" t="str">
            <v>NW2 3BS</v>
          </cell>
          <cell r="O1075" t="str">
            <v>Does not have a sixth form</v>
          </cell>
          <cell r="P1075">
            <v>4</v>
          </cell>
          <cell r="Q1075">
            <v>7</v>
          </cell>
          <cell r="R1075" t="str">
            <v>None</v>
          </cell>
          <cell r="S1075" t="str">
            <v>Ofsted</v>
          </cell>
          <cell r="T1075">
            <v>1</v>
          </cell>
          <cell r="U1075">
            <v>10034643</v>
          </cell>
          <cell r="V1075" t="str">
            <v>Independent School Pre-registration Inspection</v>
          </cell>
          <cell r="W1075">
            <v>42850</v>
          </cell>
          <cell r="X1075">
            <v>42850</v>
          </cell>
          <cell r="Y1075" t="str">
            <v>NULL</v>
          </cell>
          <cell r="Z1075" t="str">
            <v>Likely to meet all standards</v>
          </cell>
          <cell r="AA1075" t="str">
            <v>NULL</v>
          </cell>
          <cell r="AB1075" t="str">
            <v>NULL</v>
          </cell>
          <cell r="AC1075" t="str">
            <v>NULL</v>
          </cell>
          <cell r="AD1075" t="str">
            <v>NULL</v>
          </cell>
          <cell r="AE1075" t="str">
            <v>NULL</v>
          </cell>
          <cell r="AF1075" t="str">
            <v>NULL</v>
          </cell>
          <cell r="AG1075" t="str">
            <v>NULL</v>
          </cell>
          <cell r="AH1075" t="str">
            <v>NULL</v>
          </cell>
          <cell r="AI1075" t="str">
            <v>NULL</v>
          </cell>
          <cell r="AJ1075" t="str">
            <v>NULL</v>
          </cell>
          <cell r="AK1075" t="str">
            <v>NULL</v>
          </cell>
          <cell r="AL1075" t="str">
            <v>NULL</v>
          </cell>
          <cell r="AM1075" t="str">
            <v>NULL</v>
          </cell>
          <cell r="AN1075" t="str">
            <v>NULL</v>
          </cell>
          <cell r="AO1075" t="str">
            <v>NULL</v>
          </cell>
          <cell r="AP1075" t="str">
            <v>NULL</v>
          </cell>
          <cell r="AQ1075" t="str">
            <v>NULL</v>
          </cell>
          <cell r="AR1075" t="str">
            <v>NULL</v>
          </cell>
          <cell r="AS1075" t="str">
            <v>NULL</v>
          </cell>
          <cell r="AT1075" t="str">
            <v>NULL</v>
          </cell>
          <cell r="AU1075" t="str">
            <v>NULL</v>
          </cell>
          <cell r="AV1075" t="str">
            <v>NULL</v>
          </cell>
          <cell r="AW1075" t="str">
            <v>NULL</v>
          </cell>
          <cell r="AX1075" t="str">
            <v>NULL</v>
          </cell>
          <cell r="AY1075" t="str">
            <v>NULL</v>
          </cell>
          <cell r="AZ1075" t="str">
            <v>NULL</v>
          </cell>
          <cell r="BA1075" t="str">
            <v>NULL</v>
          </cell>
          <cell r="BB1075" t="str">
            <v>NULL</v>
          </cell>
        </row>
        <row r="1076">
          <cell r="D1076">
            <v>144774</v>
          </cell>
          <cell r="E1076">
            <v>3196000</v>
          </cell>
          <cell r="F1076" t="str">
            <v>Brookways School</v>
          </cell>
          <cell r="G1076" t="str">
            <v>Other Independent Special School</v>
          </cell>
          <cell r="H1076">
            <v>43102</v>
          </cell>
          <cell r="I1076" t="str">
            <v>NULL</v>
          </cell>
          <cell r="J1076" t="str">
            <v>London</v>
          </cell>
          <cell r="K1076" t="str">
            <v>London</v>
          </cell>
          <cell r="L1076" t="str">
            <v>Sutton</v>
          </cell>
          <cell r="M1076" t="str">
            <v>Sutton and Cheam</v>
          </cell>
          <cell r="N1076" t="str">
            <v>SM3 9BZ</v>
          </cell>
          <cell r="O1076" t="str">
            <v>Not applicable</v>
          </cell>
          <cell r="P1076">
            <v>7</v>
          </cell>
          <cell r="Q1076">
            <v>16</v>
          </cell>
          <cell r="R1076" t="str">
            <v>None</v>
          </cell>
          <cell r="S1076" t="str">
            <v>Ofsted</v>
          </cell>
          <cell r="T1076">
            <v>2</v>
          </cell>
          <cell r="U1076">
            <v>10043256</v>
          </cell>
          <cell r="V1076" t="str">
            <v>Independent School Pre-registration Inspection</v>
          </cell>
          <cell r="W1076">
            <v>43083</v>
          </cell>
          <cell r="X1076">
            <v>43083</v>
          </cell>
          <cell r="Y1076" t="str">
            <v>NULL</v>
          </cell>
          <cell r="Z1076" t="str">
            <v>Likely to meet all standards</v>
          </cell>
          <cell r="AA1076" t="str">
            <v>NULL</v>
          </cell>
          <cell r="AB1076" t="str">
            <v>NULL</v>
          </cell>
          <cell r="AC1076" t="str">
            <v>NULL</v>
          </cell>
          <cell r="AD1076" t="str">
            <v>NULL</v>
          </cell>
          <cell r="AE1076" t="str">
            <v>NULL</v>
          </cell>
          <cell r="AF1076" t="str">
            <v>NULL</v>
          </cell>
          <cell r="AG1076" t="str">
            <v>NULL</v>
          </cell>
          <cell r="AH1076" t="str">
            <v>NULL</v>
          </cell>
          <cell r="AI1076" t="str">
            <v>NULL</v>
          </cell>
          <cell r="AJ1076" t="str">
            <v>NULL</v>
          </cell>
          <cell r="AK1076" t="str">
            <v>NULL</v>
          </cell>
          <cell r="AL1076" t="str">
            <v>NULL</v>
          </cell>
          <cell r="AM1076" t="str">
            <v>NULL</v>
          </cell>
          <cell r="AN1076" t="str">
            <v>NULL</v>
          </cell>
          <cell r="AO1076" t="str">
            <v>NULL</v>
          </cell>
          <cell r="AP1076" t="str">
            <v>NULL</v>
          </cell>
          <cell r="AQ1076" t="str">
            <v>NULL</v>
          </cell>
          <cell r="AR1076" t="str">
            <v>NULL</v>
          </cell>
          <cell r="AS1076" t="str">
            <v>NULL</v>
          </cell>
          <cell r="AT1076" t="str">
            <v>NULL</v>
          </cell>
          <cell r="AU1076" t="str">
            <v>NULL</v>
          </cell>
          <cell r="AV1076" t="str">
            <v>NULL</v>
          </cell>
          <cell r="AW1076" t="str">
            <v>NULL</v>
          </cell>
          <cell r="AX1076" t="str">
            <v>NULL</v>
          </cell>
          <cell r="AY1076" t="str">
            <v>NULL</v>
          </cell>
          <cell r="AZ1076" t="str">
            <v>NULL</v>
          </cell>
          <cell r="BA1076" t="str">
            <v>NULL</v>
          </cell>
          <cell r="BB1076" t="str">
            <v>NULL</v>
          </cell>
        </row>
        <row r="1077">
          <cell r="D1077">
            <v>144775</v>
          </cell>
          <cell r="E1077">
            <v>8816068</v>
          </cell>
          <cell r="F1077" t="str">
            <v>The Anderson School</v>
          </cell>
          <cell r="G1077" t="str">
            <v>Other Independent Special School</v>
          </cell>
          <cell r="H1077">
            <v>42880</v>
          </cell>
          <cell r="I1077" t="str">
            <v>NULL</v>
          </cell>
          <cell r="J1077" t="str">
            <v>East of England</v>
          </cell>
          <cell r="K1077" t="str">
            <v>East of England</v>
          </cell>
          <cell r="L1077" t="str">
            <v>Essex</v>
          </cell>
          <cell r="M1077" t="str">
            <v>Epping Forest</v>
          </cell>
          <cell r="N1077" t="str">
            <v>IG7 5AB</v>
          </cell>
          <cell r="O1077" t="str">
            <v>Has a sixth form</v>
          </cell>
          <cell r="P1077">
            <v>11</v>
          </cell>
          <cell r="Q1077">
            <v>19</v>
          </cell>
          <cell r="R1077" t="str">
            <v>None</v>
          </cell>
          <cell r="S1077" t="str">
            <v>Ofsted</v>
          </cell>
          <cell r="T1077">
            <v>1</v>
          </cell>
          <cell r="U1077">
            <v>10034815</v>
          </cell>
          <cell r="V1077" t="str">
            <v>Independent School Pre-registration Inspection</v>
          </cell>
          <cell r="W1077">
            <v>42858</v>
          </cell>
          <cell r="X1077">
            <v>42858</v>
          </cell>
          <cell r="Y1077" t="str">
            <v>NULL</v>
          </cell>
          <cell r="Z1077" t="str">
            <v>Likely to meet all standards</v>
          </cell>
          <cell r="AA1077" t="str">
            <v>NULL</v>
          </cell>
          <cell r="AB1077" t="str">
            <v>NULL</v>
          </cell>
          <cell r="AC1077" t="str">
            <v>NULL</v>
          </cell>
          <cell r="AD1077" t="str">
            <v>NULL</v>
          </cell>
          <cell r="AE1077" t="str">
            <v>NULL</v>
          </cell>
          <cell r="AF1077" t="str">
            <v>NULL</v>
          </cell>
          <cell r="AG1077" t="str">
            <v>NULL</v>
          </cell>
          <cell r="AH1077" t="str">
            <v>NULL</v>
          </cell>
          <cell r="AI1077" t="str">
            <v>NULL</v>
          </cell>
          <cell r="AJ1077" t="str">
            <v>NULL</v>
          </cell>
          <cell r="AK1077" t="str">
            <v>NULL</v>
          </cell>
          <cell r="AL1077" t="str">
            <v>NULL</v>
          </cell>
          <cell r="AM1077" t="str">
            <v>NULL</v>
          </cell>
          <cell r="AN1077" t="str">
            <v>NULL</v>
          </cell>
          <cell r="AO1077" t="str">
            <v>NULL</v>
          </cell>
          <cell r="AP1077" t="str">
            <v>NULL</v>
          </cell>
          <cell r="AQ1077" t="str">
            <v>NULL</v>
          </cell>
          <cell r="AR1077" t="str">
            <v>NULL</v>
          </cell>
          <cell r="AS1077" t="str">
            <v>NULL</v>
          </cell>
          <cell r="AT1077" t="str">
            <v>NULL</v>
          </cell>
          <cell r="AU1077" t="str">
            <v>NULL</v>
          </cell>
          <cell r="AV1077" t="str">
            <v>NULL</v>
          </cell>
          <cell r="AW1077" t="str">
            <v>NULL</v>
          </cell>
          <cell r="AX1077" t="str">
            <v>NULL</v>
          </cell>
          <cell r="AY1077" t="str">
            <v>NULL</v>
          </cell>
          <cell r="AZ1077" t="str">
            <v>NULL</v>
          </cell>
          <cell r="BA1077" t="str">
            <v>NULL</v>
          </cell>
          <cell r="BB1077" t="str">
            <v>NULL</v>
          </cell>
        </row>
        <row r="1078">
          <cell r="D1078">
            <v>144776</v>
          </cell>
          <cell r="E1078">
            <v>8266017</v>
          </cell>
          <cell r="F1078" t="str">
            <v>KWS School</v>
          </cell>
          <cell r="G1078" t="str">
            <v>Other Independent Special School</v>
          </cell>
          <cell r="H1078">
            <v>42878</v>
          </cell>
          <cell r="I1078" t="str">
            <v>NULL</v>
          </cell>
          <cell r="J1078" t="str">
            <v>South East</v>
          </cell>
          <cell r="K1078" t="str">
            <v>South East</v>
          </cell>
          <cell r="L1078" t="str">
            <v>Milton Keynes</v>
          </cell>
          <cell r="M1078" t="str">
            <v>Milton Keynes South</v>
          </cell>
          <cell r="N1078" t="str">
            <v>MK2 3HU</v>
          </cell>
          <cell r="O1078" t="str">
            <v>Not applicable</v>
          </cell>
          <cell r="P1078">
            <v>11</v>
          </cell>
          <cell r="Q1078">
            <v>16</v>
          </cell>
          <cell r="R1078" t="str">
            <v>None</v>
          </cell>
          <cell r="S1078" t="str">
            <v>Ofsted</v>
          </cell>
          <cell r="T1078" t="str">
            <v>NULL</v>
          </cell>
          <cell r="U1078" t="str">
            <v>NULL</v>
          </cell>
          <cell r="V1078" t="str">
            <v>NULL</v>
          </cell>
          <cell r="W1078" t="str">
            <v>NULL</v>
          </cell>
          <cell r="X1078" t="str">
            <v>NULL</v>
          </cell>
          <cell r="Y1078" t="str">
            <v>NULL</v>
          </cell>
          <cell r="Z1078" t="str">
            <v>NULL</v>
          </cell>
          <cell r="AA1078">
            <v>10045498</v>
          </cell>
          <cell r="AB1078" t="str">
            <v>Independent school standard inspection - first</v>
          </cell>
          <cell r="AC1078" t="str">
            <v>Independent Standard Inspection</v>
          </cell>
          <cell r="AD1078">
            <v>43123</v>
          </cell>
          <cell r="AE1078">
            <v>43124</v>
          </cell>
          <cell r="AF1078">
            <v>43175</v>
          </cell>
          <cell r="AG1078">
            <v>4</v>
          </cell>
          <cell r="AH1078">
            <v>4</v>
          </cell>
          <cell r="AI1078">
            <v>4</v>
          </cell>
          <cell r="AJ1078">
            <v>4</v>
          </cell>
          <cell r="AK1078">
            <v>3</v>
          </cell>
          <cell r="AL1078" t="str">
            <v>NULL</v>
          </cell>
          <cell r="AM1078" t="str">
            <v>NULL</v>
          </cell>
          <cell r="AN1078" t="str">
            <v>Yes</v>
          </cell>
          <cell r="AO1078" t="str">
            <v>NULL</v>
          </cell>
          <cell r="AP1078" t="str">
            <v>NULL</v>
          </cell>
          <cell r="AQ1078" t="str">
            <v>NULL</v>
          </cell>
          <cell r="AR1078" t="str">
            <v>NULL</v>
          </cell>
          <cell r="AS1078" t="str">
            <v>NULL</v>
          </cell>
          <cell r="AT1078" t="str">
            <v>NULL</v>
          </cell>
          <cell r="AU1078" t="str">
            <v>NULL</v>
          </cell>
          <cell r="AV1078" t="str">
            <v>NULL</v>
          </cell>
          <cell r="AW1078" t="str">
            <v>NULL</v>
          </cell>
          <cell r="AX1078" t="str">
            <v>NULL</v>
          </cell>
          <cell r="AY1078" t="str">
            <v>NULL</v>
          </cell>
          <cell r="AZ1078" t="str">
            <v>NULL</v>
          </cell>
          <cell r="BA1078" t="str">
            <v>NULL</v>
          </cell>
          <cell r="BB1078" t="str">
            <v>NULL</v>
          </cell>
        </row>
        <row r="1079">
          <cell r="D1079">
            <v>145064</v>
          </cell>
          <cell r="E1079">
            <v>8866145</v>
          </cell>
          <cell r="F1079" t="str">
            <v>Cherry Tree School</v>
          </cell>
          <cell r="G1079" t="str">
            <v>Other Independent Special School</v>
          </cell>
          <cell r="H1079">
            <v>42983</v>
          </cell>
          <cell r="I1079" t="str">
            <v>NULL</v>
          </cell>
          <cell r="J1079" t="str">
            <v>South East</v>
          </cell>
          <cell r="K1079" t="str">
            <v>South East</v>
          </cell>
          <cell r="L1079" t="str">
            <v>Kent</v>
          </cell>
          <cell r="M1079" t="str">
            <v>North Thanet</v>
          </cell>
          <cell r="N1079" t="str">
            <v>CT9 5QN</v>
          </cell>
          <cell r="O1079" t="str">
            <v>Not applicable</v>
          </cell>
          <cell r="P1079">
            <v>11</v>
          </cell>
          <cell r="Q1079">
            <v>16</v>
          </cell>
          <cell r="R1079" t="str">
            <v>None</v>
          </cell>
          <cell r="S1079" t="str">
            <v>Ofsted</v>
          </cell>
          <cell r="T1079">
            <v>1</v>
          </cell>
          <cell r="U1079">
            <v>10039939</v>
          </cell>
          <cell r="V1079" t="str">
            <v>Independent School Pre-registration Inspection</v>
          </cell>
          <cell r="W1079">
            <v>42948</v>
          </cell>
          <cell r="X1079">
            <v>42948</v>
          </cell>
          <cell r="Y1079" t="str">
            <v>NULL</v>
          </cell>
          <cell r="Z1079" t="str">
            <v>Likely to meet all standards</v>
          </cell>
          <cell r="AA1079" t="str">
            <v>NULL</v>
          </cell>
          <cell r="AB1079" t="str">
            <v>NULL</v>
          </cell>
          <cell r="AC1079" t="str">
            <v>NULL</v>
          </cell>
          <cell r="AD1079" t="str">
            <v>NULL</v>
          </cell>
          <cell r="AE1079" t="str">
            <v>NULL</v>
          </cell>
          <cell r="AF1079" t="str">
            <v>NULL</v>
          </cell>
          <cell r="AG1079" t="str">
            <v>NULL</v>
          </cell>
          <cell r="AH1079" t="str">
            <v>NULL</v>
          </cell>
          <cell r="AI1079" t="str">
            <v>NULL</v>
          </cell>
          <cell r="AJ1079" t="str">
            <v>NULL</v>
          </cell>
          <cell r="AK1079" t="str">
            <v>NULL</v>
          </cell>
          <cell r="AL1079" t="str">
            <v>NULL</v>
          </cell>
          <cell r="AM1079" t="str">
            <v>NULL</v>
          </cell>
          <cell r="AN1079" t="str">
            <v>NULL</v>
          </cell>
          <cell r="AO1079" t="str">
            <v>NULL</v>
          </cell>
          <cell r="AP1079" t="str">
            <v>NULL</v>
          </cell>
          <cell r="AQ1079" t="str">
            <v>NULL</v>
          </cell>
          <cell r="AR1079" t="str">
            <v>NULL</v>
          </cell>
          <cell r="AS1079" t="str">
            <v>NULL</v>
          </cell>
          <cell r="AT1079" t="str">
            <v>NULL</v>
          </cell>
          <cell r="AU1079" t="str">
            <v>NULL</v>
          </cell>
          <cell r="AV1079" t="str">
            <v>NULL</v>
          </cell>
          <cell r="AW1079" t="str">
            <v>NULL</v>
          </cell>
          <cell r="AX1079" t="str">
            <v>NULL</v>
          </cell>
          <cell r="AY1079" t="str">
            <v>NULL</v>
          </cell>
          <cell r="AZ1079" t="str">
            <v>NULL</v>
          </cell>
          <cell r="BA1079" t="str">
            <v>NULL</v>
          </cell>
          <cell r="BB1079" t="str">
            <v>NULL</v>
          </cell>
        </row>
        <row r="1080">
          <cell r="D1080">
            <v>145067</v>
          </cell>
          <cell r="E1080">
            <v>3936000</v>
          </cell>
          <cell r="F1080" t="str">
            <v>SBC School</v>
          </cell>
          <cell r="G1080" t="str">
            <v>Other Independent Special School</v>
          </cell>
          <cell r="H1080">
            <v>43005</v>
          </cell>
          <cell r="I1080" t="str">
            <v>NULL</v>
          </cell>
          <cell r="J1080" t="str">
            <v>North East, Yorkshire and the Humber</v>
          </cell>
          <cell r="K1080" t="str">
            <v>North East</v>
          </cell>
          <cell r="L1080" t="str">
            <v>South Tyneside</v>
          </cell>
          <cell r="M1080" t="str">
            <v>Jarrow</v>
          </cell>
          <cell r="N1080" t="str">
            <v>NE32 5RR</v>
          </cell>
          <cell r="O1080" t="str">
            <v>Not applicable</v>
          </cell>
          <cell r="P1080">
            <v>9</v>
          </cell>
          <cell r="Q1080">
            <v>16</v>
          </cell>
          <cell r="R1080" t="str">
            <v>None</v>
          </cell>
          <cell r="S1080" t="str">
            <v>Ofsted</v>
          </cell>
          <cell r="T1080">
            <v>1</v>
          </cell>
          <cell r="U1080">
            <v>10040399</v>
          </cell>
          <cell r="V1080" t="str">
            <v>Independent School Pre-registration Inspection</v>
          </cell>
          <cell r="W1080">
            <v>42977</v>
          </cell>
          <cell r="X1080">
            <v>42977</v>
          </cell>
          <cell r="Y1080" t="str">
            <v>NULL</v>
          </cell>
          <cell r="Z1080" t="str">
            <v>Likely to meet all standards</v>
          </cell>
          <cell r="AA1080" t="str">
            <v>NULL</v>
          </cell>
          <cell r="AB1080" t="str">
            <v>NULL</v>
          </cell>
          <cell r="AC1080" t="str">
            <v>NULL</v>
          </cell>
          <cell r="AD1080" t="str">
            <v>NULL</v>
          </cell>
          <cell r="AE1080" t="str">
            <v>NULL</v>
          </cell>
          <cell r="AF1080" t="str">
            <v>NULL</v>
          </cell>
          <cell r="AG1080" t="str">
            <v>NULL</v>
          </cell>
          <cell r="AH1080" t="str">
            <v>NULL</v>
          </cell>
          <cell r="AI1080" t="str">
            <v>NULL</v>
          </cell>
          <cell r="AJ1080" t="str">
            <v>NULL</v>
          </cell>
          <cell r="AK1080" t="str">
            <v>NULL</v>
          </cell>
          <cell r="AL1080" t="str">
            <v>NULL</v>
          </cell>
          <cell r="AM1080" t="str">
            <v>NULL</v>
          </cell>
          <cell r="AN1080" t="str">
            <v>NULL</v>
          </cell>
          <cell r="AO1080" t="str">
            <v>NULL</v>
          </cell>
          <cell r="AP1080" t="str">
            <v>NULL</v>
          </cell>
          <cell r="AQ1080" t="str">
            <v>NULL</v>
          </cell>
          <cell r="AR1080" t="str">
            <v>NULL</v>
          </cell>
          <cell r="AS1080" t="str">
            <v>NULL</v>
          </cell>
          <cell r="AT1080" t="str">
            <v>NULL</v>
          </cell>
          <cell r="AU1080" t="str">
            <v>NULL</v>
          </cell>
          <cell r="AV1080" t="str">
            <v>NULL</v>
          </cell>
          <cell r="AW1080" t="str">
            <v>NULL</v>
          </cell>
          <cell r="AX1080" t="str">
            <v>NULL</v>
          </cell>
          <cell r="AY1080" t="str">
            <v>NULL</v>
          </cell>
          <cell r="AZ1080" t="str">
            <v>NULL</v>
          </cell>
          <cell r="BA1080" t="str">
            <v>NULL</v>
          </cell>
          <cell r="BB1080" t="str">
            <v>NULL</v>
          </cell>
        </row>
        <row r="1081">
          <cell r="D1081">
            <v>145116</v>
          </cell>
          <cell r="E1081">
            <v>8456063</v>
          </cell>
          <cell r="F1081" t="str">
            <v>Compass Community School South</v>
          </cell>
          <cell r="G1081" t="str">
            <v>Other Independent Special School</v>
          </cell>
          <cell r="H1081">
            <v>43017</v>
          </cell>
          <cell r="I1081" t="str">
            <v>NULL</v>
          </cell>
          <cell r="J1081" t="str">
            <v>South East</v>
          </cell>
          <cell r="K1081" t="str">
            <v>South East</v>
          </cell>
          <cell r="L1081" t="str">
            <v>East Sussex</v>
          </cell>
          <cell r="M1081" t="str">
            <v>Lewes</v>
          </cell>
          <cell r="N1081" t="str">
            <v>BN9 0NS</v>
          </cell>
          <cell r="O1081" t="str">
            <v>Does not have a sixth form</v>
          </cell>
          <cell r="P1081">
            <v>11</v>
          </cell>
          <cell r="Q1081">
            <v>16</v>
          </cell>
          <cell r="R1081" t="str">
            <v>None</v>
          </cell>
          <cell r="S1081" t="str">
            <v>Ofsted</v>
          </cell>
          <cell r="T1081">
            <v>1</v>
          </cell>
          <cell r="U1081">
            <v>10040343</v>
          </cell>
          <cell r="V1081" t="str">
            <v>Independent School Pre-registration Inspection</v>
          </cell>
          <cell r="W1081">
            <v>42997</v>
          </cell>
          <cell r="X1081">
            <v>42997</v>
          </cell>
          <cell r="Y1081" t="str">
            <v>NULL</v>
          </cell>
          <cell r="Z1081" t="str">
            <v>Likely to meet all standards</v>
          </cell>
          <cell r="AA1081" t="str">
            <v>NULL</v>
          </cell>
          <cell r="AB1081" t="str">
            <v>NULL</v>
          </cell>
          <cell r="AC1081" t="str">
            <v>NULL</v>
          </cell>
          <cell r="AD1081" t="str">
            <v>NULL</v>
          </cell>
          <cell r="AE1081" t="str">
            <v>NULL</v>
          </cell>
          <cell r="AF1081" t="str">
            <v>NULL</v>
          </cell>
          <cell r="AG1081" t="str">
            <v>NULL</v>
          </cell>
          <cell r="AH1081" t="str">
            <v>NULL</v>
          </cell>
          <cell r="AI1081" t="str">
            <v>NULL</v>
          </cell>
          <cell r="AJ1081" t="str">
            <v>NULL</v>
          </cell>
          <cell r="AK1081" t="str">
            <v>NULL</v>
          </cell>
          <cell r="AL1081" t="str">
            <v>NULL</v>
          </cell>
          <cell r="AM1081" t="str">
            <v>NULL</v>
          </cell>
          <cell r="AN1081" t="str">
            <v>NULL</v>
          </cell>
          <cell r="AO1081" t="str">
            <v>NULL</v>
          </cell>
          <cell r="AP1081" t="str">
            <v>NULL</v>
          </cell>
          <cell r="AQ1081" t="str">
            <v>NULL</v>
          </cell>
          <cell r="AR1081" t="str">
            <v>NULL</v>
          </cell>
          <cell r="AS1081" t="str">
            <v>NULL</v>
          </cell>
          <cell r="AT1081" t="str">
            <v>NULL</v>
          </cell>
          <cell r="AU1081" t="str">
            <v>NULL</v>
          </cell>
          <cell r="AV1081" t="str">
            <v>NULL</v>
          </cell>
          <cell r="AW1081" t="str">
            <v>NULL</v>
          </cell>
          <cell r="AX1081" t="str">
            <v>NULL</v>
          </cell>
          <cell r="AY1081" t="str">
            <v>NULL</v>
          </cell>
          <cell r="AZ1081" t="str">
            <v>NULL</v>
          </cell>
          <cell r="BA1081" t="str">
            <v>NULL</v>
          </cell>
          <cell r="BB1081" t="str">
            <v>NULL</v>
          </cell>
        </row>
        <row r="1082">
          <cell r="D1082">
            <v>145127</v>
          </cell>
          <cell r="E1082">
            <v>8416008</v>
          </cell>
          <cell r="F1082" t="str">
            <v>Embleton View</v>
          </cell>
          <cell r="G1082" t="str">
            <v>Other Independent Special School</v>
          </cell>
          <cell r="H1082">
            <v>43056</v>
          </cell>
          <cell r="I1082" t="str">
            <v>NULL</v>
          </cell>
          <cell r="J1082" t="str">
            <v>North East, Yorkshire and the Humber</v>
          </cell>
          <cell r="K1082" t="str">
            <v>North East</v>
          </cell>
          <cell r="L1082" t="str">
            <v>Darlington</v>
          </cell>
          <cell r="M1082" t="str">
            <v>Bishop Auckland</v>
          </cell>
          <cell r="N1082" t="str">
            <v>DL2 3DL</v>
          </cell>
          <cell r="O1082" t="str">
            <v>Does not have a sixth form</v>
          </cell>
          <cell r="P1082">
            <v>11</v>
          </cell>
          <cell r="Q1082">
            <v>16</v>
          </cell>
          <cell r="R1082" t="str">
            <v>None</v>
          </cell>
          <cell r="S1082" t="str">
            <v>Ofsted</v>
          </cell>
          <cell r="T1082">
            <v>1</v>
          </cell>
          <cell r="U1082">
            <v>10041416</v>
          </cell>
          <cell r="V1082" t="str">
            <v>Independent School Pre-registration Inspection</v>
          </cell>
          <cell r="W1082">
            <v>43040</v>
          </cell>
          <cell r="X1082">
            <v>43040</v>
          </cell>
          <cell r="Y1082" t="str">
            <v>NULL</v>
          </cell>
          <cell r="Z1082" t="str">
            <v>Likely to meet all standards</v>
          </cell>
          <cell r="AA1082" t="str">
            <v>NULL</v>
          </cell>
          <cell r="AB1082" t="str">
            <v>NULL</v>
          </cell>
          <cell r="AC1082" t="str">
            <v>NULL</v>
          </cell>
          <cell r="AD1082" t="str">
            <v>NULL</v>
          </cell>
          <cell r="AE1082" t="str">
            <v>NULL</v>
          </cell>
          <cell r="AF1082" t="str">
            <v>NULL</v>
          </cell>
          <cell r="AG1082" t="str">
            <v>NULL</v>
          </cell>
          <cell r="AH1082" t="str">
            <v>NULL</v>
          </cell>
          <cell r="AI1082" t="str">
            <v>NULL</v>
          </cell>
          <cell r="AJ1082" t="str">
            <v>NULL</v>
          </cell>
          <cell r="AK1082" t="str">
            <v>NULL</v>
          </cell>
          <cell r="AL1082" t="str">
            <v>NULL</v>
          </cell>
          <cell r="AM1082" t="str">
            <v>NULL</v>
          </cell>
          <cell r="AN1082" t="str">
            <v>NULL</v>
          </cell>
          <cell r="AO1082" t="str">
            <v>NULL</v>
          </cell>
          <cell r="AP1082" t="str">
            <v>NULL</v>
          </cell>
          <cell r="AQ1082" t="str">
            <v>NULL</v>
          </cell>
          <cell r="AR1082" t="str">
            <v>NULL</v>
          </cell>
          <cell r="AS1082" t="str">
            <v>NULL</v>
          </cell>
          <cell r="AT1082" t="str">
            <v>NULL</v>
          </cell>
          <cell r="AU1082" t="str">
            <v>NULL</v>
          </cell>
          <cell r="AV1082" t="str">
            <v>NULL</v>
          </cell>
          <cell r="AW1082" t="str">
            <v>NULL</v>
          </cell>
          <cell r="AX1082" t="str">
            <v>NULL</v>
          </cell>
          <cell r="AY1082" t="str">
            <v>NULL</v>
          </cell>
          <cell r="AZ1082" t="str">
            <v>NULL</v>
          </cell>
          <cell r="BA1082" t="str">
            <v>NULL</v>
          </cell>
          <cell r="BB1082" t="str">
            <v>NULL</v>
          </cell>
        </row>
        <row r="1083">
          <cell r="D1083">
            <v>145128</v>
          </cell>
          <cell r="E1083">
            <v>8846017</v>
          </cell>
          <cell r="F1083" t="str">
            <v>Dovecote School</v>
          </cell>
          <cell r="G1083" t="str">
            <v>Other Independent Special School</v>
          </cell>
          <cell r="H1083">
            <v>42999</v>
          </cell>
          <cell r="I1083" t="str">
            <v>NULL</v>
          </cell>
          <cell r="J1083" t="str">
            <v>West Midlands</v>
          </cell>
          <cell r="K1083" t="str">
            <v>West Midlands</v>
          </cell>
          <cell r="L1083" t="str">
            <v>Herefordshire</v>
          </cell>
          <cell r="M1083" t="str">
            <v>Hereford and South Herefordshire</v>
          </cell>
          <cell r="N1083" t="str">
            <v>HR9 6PB</v>
          </cell>
          <cell r="O1083" t="str">
            <v>Not applicable</v>
          </cell>
          <cell r="P1083">
            <v>11</v>
          </cell>
          <cell r="Q1083">
            <v>16</v>
          </cell>
          <cell r="R1083" t="str">
            <v>None</v>
          </cell>
          <cell r="S1083" t="str">
            <v>Ofsted</v>
          </cell>
          <cell r="T1083">
            <v>1</v>
          </cell>
          <cell r="U1083">
            <v>10040414</v>
          </cell>
          <cell r="V1083" t="str">
            <v>Independent School Pre-registration Inspection</v>
          </cell>
          <cell r="W1083">
            <v>42972</v>
          </cell>
          <cell r="X1083">
            <v>42972</v>
          </cell>
          <cell r="Y1083" t="str">
            <v>NULL</v>
          </cell>
          <cell r="Z1083" t="str">
            <v>Likely to meet all standards</v>
          </cell>
          <cell r="AA1083" t="str">
            <v>NULL</v>
          </cell>
          <cell r="AB1083" t="str">
            <v>NULL</v>
          </cell>
          <cell r="AC1083" t="str">
            <v>NULL</v>
          </cell>
          <cell r="AD1083" t="str">
            <v>NULL</v>
          </cell>
          <cell r="AE1083" t="str">
            <v>NULL</v>
          </cell>
          <cell r="AF1083" t="str">
            <v>NULL</v>
          </cell>
          <cell r="AG1083" t="str">
            <v>NULL</v>
          </cell>
          <cell r="AH1083" t="str">
            <v>NULL</v>
          </cell>
          <cell r="AI1083" t="str">
            <v>NULL</v>
          </cell>
          <cell r="AJ1083" t="str">
            <v>NULL</v>
          </cell>
          <cell r="AK1083" t="str">
            <v>NULL</v>
          </cell>
          <cell r="AL1083" t="str">
            <v>NULL</v>
          </cell>
          <cell r="AM1083" t="str">
            <v>NULL</v>
          </cell>
          <cell r="AN1083" t="str">
            <v>NULL</v>
          </cell>
          <cell r="AO1083" t="str">
            <v>NULL</v>
          </cell>
          <cell r="AP1083" t="str">
            <v>NULL</v>
          </cell>
          <cell r="AQ1083" t="str">
            <v>NULL</v>
          </cell>
          <cell r="AR1083" t="str">
            <v>NULL</v>
          </cell>
          <cell r="AS1083" t="str">
            <v>NULL</v>
          </cell>
          <cell r="AT1083" t="str">
            <v>NULL</v>
          </cell>
          <cell r="AU1083" t="str">
            <v>NULL</v>
          </cell>
          <cell r="AV1083" t="str">
            <v>NULL</v>
          </cell>
          <cell r="AW1083" t="str">
            <v>NULL</v>
          </cell>
          <cell r="AX1083" t="str">
            <v>NULL</v>
          </cell>
          <cell r="AY1083" t="str">
            <v>NULL</v>
          </cell>
          <cell r="AZ1083" t="str">
            <v>NULL</v>
          </cell>
          <cell r="BA1083" t="str">
            <v>NULL</v>
          </cell>
          <cell r="BB1083" t="str">
            <v>NULL</v>
          </cell>
        </row>
        <row r="1084">
          <cell r="D1084">
            <v>145129</v>
          </cell>
          <cell r="E1084">
            <v>8926024</v>
          </cell>
          <cell r="F1084" t="str">
            <v>Take 1 Learning Centre</v>
          </cell>
          <cell r="G1084" t="str">
            <v>Other Independent School</v>
          </cell>
          <cell r="H1084">
            <v>43013</v>
          </cell>
          <cell r="I1084" t="str">
            <v>NULL</v>
          </cell>
          <cell r="J1084" t="str">
            <v>East Midlands</v>
          </cell>
          <cell r="K1084" t="str">
            <v>East Midlands</v>
          </cell>
          <cell r="L1084" t="str">
            <v>Nottingham</v>
          </cell>
          <cell r="M1084" t="str">
            <v>Nottingham East</v>
          </cell>
          <cell r="N1084" t="str">
            <v>NG7 6BE</v>
          </cell>
          <cell r="O1084" t="str">
            <v>Does not have a sixth form</v>
          </cell>
          <cell r="P1084">
            <v>14</v>
          </cell>
          <cell r="Q1084">
            <v>16</v>
          </cell>
          <cell r="R1084" t="str">
            <v>None</v>
          </cell>
          <cell r="S1084" t="str">
            <v>Ofsted</v>
          </cell>
          <cell r="T1084">
            <v>1</v>
          </cell>
          <cell r="U1084">
            <v>10040478</v>
          </cell>
          <cell r="V1084" t="str">
            <v>Independent School Pre-registration Inspection</v>
          </cell>
          <cell r="W1084">
            <v>42983</v>
          </cell>
          <cell r="X1084">
            <v>42983</v>
          </cell>
          <cell r="Y1084" t="str">
            <v>NULL</v>
          </cell>
          <cell r="Z1084" t="str">
            <v>Operating without registration and likely to meet all standards</v>
          </cell>
          <cell r="AA1084" t="str">
            <v>NULL</v>
          </cell>
          <cell r="AB1084" t="str">
            <v>NULL</v>
          </cell>
          <cell r="AC1084" t="str">
            <v>NULL</v>
          </cell>
          <cell r="AD1084" t="str">
            <v>NULL</v>
          </cell>
          <cell r="AE1084" t="str">
            <v>NULL</v>
          </cell>
          <cell r="AF1084" t="str">
            <v>NULL</v>
          </cell>
          <cell r="AG1084" t="str">
            <v>NULL</v>
          </cell>
          <cell r="AH1084" t="str">
            <v>NULL</v>
          </cell>
          <cell r="AI1084" t="str">
            <v>NULL</v>
          </cell>
          <cell r="AJ1084" t="str">
            <v>NULL</v>
          </cell>
          <cell r="AK1084" t="str">
            <v>NULL</v>
          </cell>
          <cell r="AL1084" t="str">
            <v>NULL</v>
          </cell>
          <cell r="AM1084" t="str">
            <v>NULL</v>
          </cell>
          <cell r="AN1084" t="str">
            <v>NULL</v>
          </cell>
          <cell r="AO1084" t="str">
            <v>NULL</v>
          </cell>
          <cell r="AP1084" t="str">
            <v>NULL</v>
          </cell>
          <cell r="AQ1084" t="str">
            <v>NULL</v>
          </cell>
          <cell r="AR1084" t="str">
            <v>NULL</v>
          </cell>
          <cell r="AS1084" t="str">
            <v>NULL</v>
          </cell>
          <cell r="AT1084" t="str">
            <v>NULL</v>
          </cell>
          <cell r="AU1084" t="str">
            <v>NULL</v>
          </cell>
          <cell r="AV1084" t="str">
            <v>NULL</v>
          </cell>
          <cell r="AW1084" t="str">
            <v>NULL</v>
          </cell>
          <cell r="AX1084" t="str">
            <v>NULL</v>
          </cell>
          <cell r="AY1084" t="str">
            <v>NULL</v>
          </cell>
          <cell r="AZ1084" t="str">
            <v>NULL</v>
          </cell>
          <cell r="BA1084" t="str">
            <v>NULL</v>
          </cell>
          <cell r="BB1084" t="str">
            <v>NULL</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lu7sql1_ssdb REPORT vw_IE_External_MI_InYear" connectionId="1" xr16:uid="{00000000-0016-0000-0700-000000000000}" autoFormatId="16" applyNumberFormats="0" applyBorderFormats="0" applyFontFormats="0" applyPatternFormats="0" applyAlignmentFormats="0" applyWidthHeightFormats="0">
  <queryTableRefresh nextId="288">
    <queryTableFields count="243">
      <queryTableField id="1" name="Report" tableColumnId="1"/>
      <queryTableField id="3" name="URN" tableColumnId="3"/>
      <queryTableField id="4" name="LAESTAB" tableColumnId="4"/>
      <queryTableField id="5" name="Provider name" tableColumnId="5"/>
      <queryTableField id="6" name="Provider type" tableColumnId="6"/>
      <queryTableField id="7" name="Provider Group" tableColumnId="7"/>
      <queryTableField id="8" name="Ofsted Region" tableColumnId="8"/>
      <queryTableField id="9" name="Government Office Region" tableColumnId="9"/>
      <queryTableField id="10" name="Local Authority" tableColumnId="10"/>
      <queryTableField id="11" name="Postcode" tableColumnId="11"/>
      <queryTableField id="13" name="Religious character" tableColumnId="13"/>
      <queryTableField id="15" name="Religious ethos" tableColumnId="15"/>
      <queryTableField id="16" name="Special Needs" tableColumnId="16"/>
      <queryTableField id="17" name="Inspectorate" tableColumnId="17"/>
      <queryTableField id="18" name="Inspection number" tableColumnId="18"/>
      <queryTableField id="19" name="First day of inspection" tableColumnId="19"/>
      <queryTableField id="20" name="Last day of inspection" tableColumnId="20"/>
      <queryTableField id="21" name="Publication date" tableColumnId="21"/>
      <queryTableField id="23" name="Inspection type" tableColumnId="23"/>
      <queryTableField id="25" name="Inspection Grouping Name" tableColumnId="25"/>
      <queryTableField id="26" name="Overall effectiveness" tableColumnId="26"/>
      <queryTableField id="27" name="Effectiveness of leadership and management" tableColumnId="27"/>
      <queryTableField id="28" name="Personal development, behaviour and welfare" tableColumnId="28"/>
      <queryTableField id="29" name="Quality of teaching" tableColumnId="29"/>
      <queryTableField id="30" name="Outcomes for pupils" tableColumnId="30"/>
      <queryTableField id="31" name="Early years provision" tableColumnId="31"/>
      <queryTableField id="32" name="Sixth form provision" tableColumnId="32"/>
      <queryTableField id="33" name="Safeguarding" tableColumnId="33"/>
      <queryTableField id="34" name="Overall outcome" tableColumnId="34"/>
      <queryTableField id="278" dataBound="0" tableColumnId="270"/>
      <queryTableField id="277" dataBound="0" tableColumnId="271"/>
      <queryTableField id="276" dataBound="0" tableColumnId="272"/>
      <queryTableField id="275" dataBound="0" tableColumnId="273"/>
      <queryTableField id="274" dataBound="0" tableColumnId="274"/>
      <queryTableField id="273" dataBound="0" tableColumnId="275"/>
      <queryTableField id="272" dataBound="0" tableColumnId="276"/>
      <queryTableField id="271" dataBound="0" tableColumnId="277"/>
      <queryTableField id="270" dataBound="0" tableColumnId="278"/>
      <queryTableField id="35" name="2(1)" tableColumnId="35"/>
      <queryTableField id="36" name="2(1)(a)" tableColumnId="36"/>
      <queryTableField id="37" name="2(1)(b)" tableColumnId="37"/>
      <queryTableField id="38" name="2(1)(b)(i)" tableColumnId="38"/>
      <queryTableField id="39" name="2(1)(b)(ii)" tableColumnId="39"/>
      <queryTableField id="40" name="2(2)" tableColumnId="40"/>
      <queryTableField id="41" name="2(2)(a)" tableColumnId="41"/>
      <queryTableField id="42" name="2(2)(b)" tableColumnId="42"/>
      <queryTableField id="43" name="2(2)(c)" tableColumnId="43"/>
      <queryTableField id="44" name="2(2)(d)" tableColumnId="44"/>
      <queryTableField id="45" name="2(2)(d)(i)" tableColumnId="45"/>
      <queryTableField id="46" name="2(2)(d)(ii)" tableColumnId="46"/>
      <queryTableField id="47" name="2(2)(e)" tableColumnId="47"/>
      <queryTableField id="48" name="2(2)(e)(i)" tableColumnId="48"/>
      <queryTableField id="49" name="2(2)(e)(ii)" tableColumnId="49"/>
      <queryTableField id="50" name="2(2)(e)(iii)" tableColumnId="50"/>
      <queryTableField id="51" name="2(2)(f)" tableColumnId="51"/>
      <queryTableField id="52" name="2(2)(g)" tableColumnId="52"/>
      <queryTableField id="53" name="2(2)(h)" tableColumnId="53"/>
      <queryTableField id="54" name="2(2)(i)" tableColumnId="54"/>
      <queryTableField id="55" name="3" tableColumnId="55"/>
      <queryTableField id="56" name="3(a)" tableColumnId="56"/>
      <queryTableField id="57" name="3(b)" tableColumnId="57"/>
      <queryTableField id="58" name="3(c)" tableColumnId="58"/>
      <queryTableField id="59" name="3(d)" tableColumnId="59"/>
      <queryTableField id="60" name="3(e)" tableColumnId="60"/>
      <queryTableField id="61" name="3(f)" tableColumnId="61"/>
      <queryTableField id="62" name="3(g)" tableColumnId="62"/>
      <queryTableField id="63" name="3(h)" tableColumnId="63"/>
      <queryTableField id="64" name="3(i)" tableColumnId="64"/>
      <queryTableField id="65" name="3(j)" tableColumnId="65"/>
      <queryTableField id="66" name="4" tableColumnId="66"/>
      <queryTableField id="67" name="5" tableColumnId="67"/>
      <queryTableField id="68" name="5(a)" tableColumnId="68"/>
      <queryTableField id="69" name="5(b)" tableColumnId="69"/>
      <queryTableField id="70" name="5(b)(i)" tableColumnId="70"/>
      <queryTableField id="71" name="5(b)(ii)" tableColumnId="71"/>
      <queryTableField id="72" name="5(b)(iii)" tableColumnId="72"/>
      <queryTableField id="73" name="5(b)(iv)" tableColumnId="73"/>
      <queryTableField id="74" name="5(b)(v)" tableColumnId="74"/>
      <queryTableField id="75" name="5(b)(vi)" tableColumnId="75"/>
      <queryTableField id="76" name="5(b)(vii)" tableColumnId="76"/>
      <queryTableField id="77" name="5(c)" tableColumnId="77"/>
      <queryTableField id="78" name="5(d)" tableColumnId="78"/>
      <queryTableField id="79" name="5(d)(i)" tableColumnId="79"/>
      <queryTableField id="80" name="5(d)(ii)" tableColumnId="80"/>
      <queryTableField id="81" name="5(d)(iii)" tableColumnId="81"/>
      <queryTableField id="82" name="7" tableColumnId="82"/>
      <queryTableField id="83" name="7(a)" tableColumnId="83"/>
      <queryTableField id="84" name="7(b)" tableColumnId="84"/>
      <queryTableField id="85" name="8" tableColumnId="85"/>
      <queryTableField id="86" name="8(a)" tableColumnId="86"/>
      <queryTableField id="87" name="8(b)" tableColumnId="87"/>
      <queryTableField id="88" name="9" tableColumnId="88"/>
      <queryTableField id="89" name="9(a)" tableColumnId="89"/>
      <queryTableField id="90" name="9(b)" tableColumnId="90"/>
      <queryTableField id="91" name="9(c)" tableColumnId="91"/>
      <queryTableField id="92" name="10" tableColumnId="92"/>
      <queryTableField id="93" name="11" tableColumnId="93"/>
      <queryTableField id="94" name="12" tableColumnId="94"/>
      <queryTableField id="95" name="13" tableColumnId="95"/>
      <queryTableField id="96" name="14" tableColumnId="96"/>
      <queryTableField id="97" name="15" tableColumnId="97"/>
      <queryTableField id="98" name="16" tableColumnId="98"/>
      <queryTableField id="99" name="16(a)" tableColumnId="99"/>
      <queryTableField id="100" name="16(b)" tableColumnId="100"/>
      <queryTableField id="101" name="18(2)" tableColumnId="101"/>
      <queryTableField id="102" name="18(2)(a)" tableColumnId="102"/>
      <queryTableField id="103" name="18(2)(b)" tableColumnId="103"/>
      <queryTableField id="104" name="18(2)(c)" tableColumnId="104"/>
      <queryTableField id="105" name="18(2)(c)(i)" tableColumnId="105"/>
      <queryTableField id="106" name="18(2)(c)(ii)" tableColumnId="106"/>
      <queryTableField id="107" name="18(2)(c)(iii)" tableColumnId="107"/>
      <queryTableField id="108" name="18(2)(c)(iv)" tableColumnId="108"/>
      <queryTableField id="109" name="18(2)(d)" tableColumnId="109"/>
      <queryTableField id="110" name="18(2)(e)" tableColumnId="110"/>
      <queryTableField id="111" name="18(2)(f)" tableColumnId="111"/>
      <queryTableField id="112" name="18(3)" tableColumnId="112"/>
      <queryTableField id="113" name="19(2)" tableColumnId="113"/>
      <queryTableField id="114" name="19(2)(a)" tableColumnId="114"/>
      <queryTableField id="115" name="19(2)(a)(i)" tableColumnId="115"/>
      <queryTableField id="116" name="19(2)(a)(i)(aa)" tableColumnId="116"/>
      <queryTableField id="117" name="19(2)(a)(i)(bb)" tableColumnId="117"/>
      <queryTableField id="118" name="19(2)(a)(i)(cc)" tableColumnId="118"/>
      <queryTableField id="119" name="19(2)(a)(ii)" tableColumnId="119"/>
      <queryTableField id="120" name="19(2)(b)" tableColumnId="120"/>
      <queryTableField id="121" name="19(2)(c)" tableColumnId="121"/>
      <queryTableField id="122" name="19(2)(d)" tableColumnId="122"/>
      <queryTableField id="123" name="19(2)(d)(i)" tableColumnId="123"/>
      <queryTableField id="124" name="19(2)(d)(ii)" tableColumnId="124"/>
      <queryTableField id="125" name="19(2)(e)" tableColumnId="125"/>
      <queryTableField id="126" name="19(3)" tableColumnId="126"/>
      <queryTableField id="127" name="20(6)" tableColumnId="127"/>
      <queryTableField id="128" name="20(6)(a)" tableColumnId="128"/>
      <queryTableField id="129" name="20(6)(a)(i)" tableColumnId="129"/>
      <queryTableField id="130" name="20(6)(a)(ii)" tableColumnId="130"/>
      <queryTableField id="131" name="20(6)(b)" tableColumnId="131"/>
      <queryTableField id="132" name="20(6)(b)(i)" tableColumnId="132"/>
      <queryTableField id="133" name="20(6)(b)(ii)" tableColumnId="133"/>
      <queryTableField id="134" name="20(6)(b)(iii)" tableColumnId="134"/>
      <queryTableField id="135" name="20(6)(c)" tableColumnId="135"/>
      <queryTableField id="136" name="21(1)" tableColumnId="136"/>
      <queryTableField id="137" name="21(2)" tableColumnId="137"/>
      <queryTableField id="138" name="21(3)" tableColumnId="138"/>
      <queryTableField id="139" name="21(3)(a)" tableColumnId="139"/>
      <queryTableField id="140" name="21(3)(a)(i)" tableColumnId="140"/>
      <queryTableField id="141" name="21(3)(a)(ii)" tableColumnId="141"/>
      <queryTableField id="142" name="21(3)(a)(iii)" tableColumnId="142"/>
      <queryTableField id="143" name="21(3)(a)(iv)" tableColumnId="143"/>
      <queryTableField id="144" name="21(3)(a)(v)" tableColumnId="144"/>
      <queryTableField id="145" name="21(3)(a)(vi)" tableColumnId="145"/>
      <queryTableField id="146" name="21(3)(a)(vii)" tableColumnId="146"/>
      <queryTableField id="147" name="21(3)(a)(viii)" tableColumnId="147"/>
      <queryTableField id="148" name="21(3)(b)" tableColumnId="148"/>
      <queryTableField id="149" name="21(4)" tableColumnId="149"/>
      <queryTableField id="150" name="21(5)" tableColumnId="150"/>
      <queryTableField id="151" name="21(5)(a)" tableColumnId="151"/>
      <queryTableField id="152" name="21(5)(a)(i)" tableColumnId="152"/>
      <queryTableField id="153" name="21(5)(a)(ii)" tableColumnId="153"/>
      <queryTableField id="154" name="21(5)(b)" tableColumnId="154"/>
      <queryTableField id="155" name="21(5)(c)" tableColumnId="155"/>
      <queryTableField id="156" name="21(6)" tableColumnId="156"/>
      <queryTableField id="157" name="21(7)" tableColumnId="157"/>
      <queryTableField id="158" name="21(7)(a)" tableColumnId="158"/>
      <queryTableField id="159" name="21(7)(b)" tableColumnId="159"/>
      <queryTableField id="160" name="23(1)" tableColumnId="160"/>
      <queryTableField id="161" name="23(1)(a)" tableColumnId="161"/>
      <queryTableField id="162" name="23(1)(b)" tableColumnId="162"/>
      <queryTableField id="163" name="23(1)(c)" tableColumnId="163"/>
      <queryTableField id="164" name="24(1)" tableColumnId="164"/>
      <queryTableField id="165" name="24(1)(a)" tableColumnId="165"/>
      <queryTableField id="166" name="24(1)(b)" tableColumnId="166"/>
      <queryTableField id="167" name="24(1)(c)" tableColumnId="167"/>
      <queryTableField id="168" name="24(2)" tableColumnId="168"/>
      <queryTableField id="169" name="25" tableColumnId="169"/>
      <queryTableField id="170" name="26" tableColumnId="170"/>
      <queryTableField id="171" name="27" tableColumnId="171"/>
      <queryTableField id="172" name="27(a)" tableColumnId="172"/>
      <queryTableField id="173" name="27(b)" tableColumnId="173"/>
      <queryTableField id="174" name="28(1)" tableColumnId="174"/>
      <queryTableField id="175" name="28(1)(a)" tableColumnId="175"/>
      <queryTableField id="176" name="28(1)(b)" tableColumnId="176"/>
      <queryTableField id="177" name="28(1)(c)" tableColumnId="177"/>
      <queryTableField id="178" name="28(1)(d)" tableColumnId="178"/>
      <queryTableField id="179" name="28(2)" tableColumnId="179"/>
      <queryTableField id="180" name="28(2)(a)" tableColumnId="180"/>
      <queryTableField id="181" name="28(2)(b)" tableColumnId="181"/>
      <queryTableField id="182" name="29(1)" tableColumnId="182"/>
      <queryTableField id="183" name="29(1)(a)" tableColumnId="183"/>
      <queryTableField id="184" name="29(1)(b)" tableColumnId="184"/>
      <queryTableField id="185" name="30" tableColumnId="185"/>
      <queryTableField id="186" name="32(1)" tableColumnId="186"/>
      <queryTableField id="187" name="32(1)(a)" tableColumnId="187"/>
      <queryTableField id="188" name="32(1)(b)" tableColumnId="188"/>
      <queryTableField id="189" name="32(1)(c)" tableColumnId="189"/>
      <queryTableField id="190" name="32(1)(d)" tableColumnId="190"/>
      <queryTableField id="191" name="32(1)(e)" tableColumnId="191"/>
      <queryTableField id="192" name="32(1)(f)" tableColumnId="192"/>
      <queryTableField id="193" name="32(1)(g)" tableColumnId="193"/>
      <queryTableField id="194" name="32(1)(h)" tableColumnId="194"/>
      <queryTableField id="195" name="32(1)(i)" tableColumnId="195"/>
      <queryTableField id="196" name="32(1)(j)" tableColumnId="196"/>
      <queryTableField id="197" name="32(2)" tableColumnId="197"/>
      <queryTableField id="198" name="32(2)(a)" tableColumnId="198"/>
      <queryTableField id="199" name="32(2)(b)" tableColumnId="199"/>
      <queryTableField id="200" name="32(2)(b)(i)" tableColumnId="200"/>
      <queryTableField id="201" name="32(2)(b)(ii)" tableColumnId="201"/>
      <queryTableField id="202" name="32(2)(c)" tableColumnId="202"/>
      <queryTableField id="203" name="32(2)(d)" tableColumnId="203"/>
      <queryTableField id="204" name="32(3)" tableColumnId="204"/>
      <queryTableField id="205" name="32(3)(a)" tableColumnId="205"/>
      <queryTableField id="206" name="32(3)(b)" tableColumnId="206"/>
      <queryTableField id="207" name="32(3)(c)" tableColumnId="207"/>
      <queryTableField id="208" name="32(3)(d)" tableColumnId="208"/>
      <queryTableField id="209" name="32(3)(e)" tableColumnId="209"/>
      <queryTableField id="210" name="32(3)(f)" tableColumnId="210"/>
      <queryTableField id="211" name="32(3)(g)" tableColumnId="211"/>
      <queryTableField id="212" name="32(4)" tableColumnId="212"/>
      <queryTableField id="213" name="32(4)(a)" tableColumnId="213"/>
      <queryTableField id="214" name="32(4)(b)" tableColumnId="214"/>
      <queryTableField id="215" name="32(4)(c)" tableColumnId="215"/>
      <queryTableField id="216" name="33" tableColumnId="216"/>
      <queryTableField id="217" name="33(a)" tableColumnId="217"/>
      <queryTableField id="218" name="33(b)" tableColumnId="218"/>
      <queryTableField id="219" name="33(c)" tableColumnId="219"/>
      <queryTableField id="220" name="33(d)" tableColumnId="220"/>
      <queryTableField id="221" name="33(e)" tableColumnId="221"/>
      <queryTableField id="222" name="33(f)" tableColumnId="222"/>
      <queryTableField id="223" name="33(g)" tableColumnId="223"/>
      <queryTableField id="224" name="33(h)" tableColumnId="224"/>
      <queryTableField id="225" name="33(i)" tableColumnId="225"/>
      <queryTableField id="226" name="33(i)(i)" tableColumnId="226"/>
      <queryTableField id="227" name="33(i)(ii)" tableColumnId="227"/>
      <queryTableField id="228" name="33(j)" tableColumnId="228"/>
      <queryTableField id="229" name="33(j)(i)" tableColumnId="229"/>
      <queryTableField id="230" name="33(j)(ii)" tableColumnId="230"/>
      <queryTableField id="231" name="33(k)" tableColumnId="231"/>
      <queryTableField id="232" name="34(1)" tableColumnId="232"/>
      <queryTableField id="233" name="34(1)(a)" tableColumnId="233"/>
      <queryTableField id="234" name="34(1)(b)" tableColumnId="234"/>
      <queryTableField id="235" name="34(1)(c)" tableColumnId="235"/>
      <queryTableField id="236" name="Safeguarding Procedure 1" tableColumnId="236"/>
      <queryTableField id="237" name="Safeguarding Procedure 2" tableColumnId="237"/>
      <queryTableField id="238" name="Safeguarding Procedure 3" tableColumnId="238"/>
      <queryTableField id="239" name="Schedule 10 Equality Act 2010" tableColumnId="239"/>
    </queryTableFields>
    <queryTableDeletedFields count="35">
      <deletedField name="Religious character grouping"/>
      <deletedField name="Withheld/Withdrawn information date"/>
      <deletedField name="Inspection grouping"/>
      <deletedField name="Organisation ID"/>
      <deletedField name="Part 1. Quality of education provided - (Met)"/>
      <deletedField name="Part 1. Quality of education provided - (No response)"/>
      <deletedField name="Part 1. Quality of education provided - (Not applicable)"/>
      <deletedField name="Part 1. Quality of education provided - (Not met)"/>
      <deletedField name="Part 2. Spiritual, moral, social and cultural development of pupils - (Met)"/>
      <deletedField name="Part 2. Spiritual, moral, social and cultural development of pupils - (No response)"/>
      <deletedField name="Part 2. Spiritual, moral, social and cultural development of pupils - (Not applicable)"/>
      <deletedField name="Part 2. Spiritual, moral, social and cultural development of pupils - (Not met)"/>
      <deletedField name="Part 3. Welfare, health and safety of pupils - (Met)"/>
      <deletedField name="Part 3. Welfare, health and safety of pupils - (No response)"/>
      <deletedField name="Part 3. Welfare, health and safety of pupils - (Not applicable)"/>
      <deletedField name="Part 3. Welfare, health and safety of pupils - (Not met)"/>
      <deletedField name="Part 4. Suitability of staff, supply staff, and proprietors - (Met)"/>
      <deletedField name="Part 4. Suitability of staff, supply staff, and proprietors - (No response)"/>
      <deletedField name="Part 4. Suitability of staff, supply staff, and proprietors - (Not applicable)"/>
      <deletedField name="Part 4. Suitability of staff, supply staff, and proprietors - (Not met)"/>
      <deletedField name="Part 5. Premises of and accommodation at schools - (Met)"/>
      <deletedField name="Part 5. Premises of and accommodation at schools - (No response)"/>
      <deletedField name="Part 5. Premises of and accommodation at schools - (Not applicable)"/>
      <deletedField name="Part 5. Premises of and accommodation at schools - (Not met)"/>
      <deletedField name="Part 6. Provision of information - (Met)"/>
      <deletedField name="Part 6. Provision of information - (No response)"/>
      <deletedField name="Part 6. Provision of information - (Not applicable)"/>
      <deletedField name="Part 6. Provision of information - (Not met)"/>
      <deletedField name="Part 7. Manner in which complaints are handled - (Met)"/>
      <deletedField name="Part 7. Manner in which complaints are handled - (No response)"/>
      <deletedField name="Part 7. Manner in which complaints are handled - (Not met)"/>
      <deletedField name="Part 8. Quality of leadership in and management of schools - (Met)"/>
      <deletedField name="Part 8. Quality of leadership in and management of schools - (No response)"/>
      <deletedField name="Part 8. Quality of leadership in and management of schools - (Not met)"/>
      <deletedField name="Boarders"/>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clu7sql1_ssdb REPORT vw_IE_External_MI_InYear_Monitoring_Only" connectionId="2" xr16:uid="{00000000-0016-0000-0800-000001000000}" autoFormatId="16" applyNumberFormats="0" applyBorderFormats="0" applyFontFormats="0" applyPatternFormats="0" applyAlignmentFormats="0" applyWidthHeightFormats="0">
  <queryTableRefresh nextId="287">
    <queryTableFields count="243">
      <queryTableField id="1" name="Report" tableColumnId="1"/>
      <queryTableField id="3" name="URN" tableColumnId="3"/>
      <queryTableField id="4" name="LAESTAB" tableColumnId="4"/>
      <queryTableField id="5" name="Provider name" tableColumnId="5"/>
      <queryTableField id="6" name="Provider type" tableColumnId="6"/>
      <queryTableField id="7" name="Provider Group" tableColumnId="7"/>
      <queryTableField id="8" name="Ofsted Region" tableColumnId="8"/>
      <queryTableField id="9" name="Government Office Region" tableColumnId="9"/>
      <queryTableField id="10" name="Local Authority" tableColumnId="10"/>
      <queryTableField id="11" name="Postcode" tableColumnId="11"/>
      <queryTableField id="13" name="Religious character" tableColumnId="13"/>
      <queryTableField id="15" name="Religious ethos" tableColumnId="15"/>
      <queryTableField id="16" name="Special Needs" tableColumnId="16"/>
      <queryTableField id="17" name="Inspectorate" tableColumnId="17"/>
      <queryTableField id="18" name="Inspection number" tableColumnId="18"/>
      <queryTableField id="19" name="First day of inspection" tableColumnId="19"/>
      <queryTableField id="20" name="Last day of inspection" tableColumnId="20"/>
      <queryTableField id="21" name="Publication date" tableColumnId="21"/>
      <queryTableField id="23" name="Inspection type" tableColumnId="23"/>
      <queryTableField id="25" name="Inspection Grouping Name" tableColumnId="25"/>
      <queryTableField id="26" name="Overall effectiveness" tableColumnId="26"/>
      <queryTableField id="27" name="Effectiveness of leadership and management" tableColumnId="27"/>
      <queryTableField id="28" name="Personal development, behaviour and welfare" tableColumnId="28"/>
      <queryTableField id="29" name="Quality of teaching" tableColumnId="29"/>
      <queryTableField id="30" name="Outcomes for pupils" tableColumnId="30"/>
      <queryTableField id="31" name="Early years provision" tableColumnId="31"/>
      <queryTableField id="32" name="Sixth form provision" tableColumnId="32"/>
      <queryTableField id="33" name="Safeguarding" tableColumnId="33"/>
      <queryTableField id="34" name="Overall outcome" tableColumnId="34"/>
      <queryTableField id="286" dataBound="0" tableColumnId="278"/>
      <queryTableField id="277" dataBound="0" tableColumnId="270"/>
      <queryTableField id="276" dataBound="0" tableColumnId="271"/>
      <queryTableField id="275" dataBound="0" tableColumnId="272"/>
      <queryTableField id="274" dataBound="0" tableColumnId="273"/>
      <queryTableField id="273" dataBound="0" tableColumnId="274"/>
      <queryTableField id="272" dataBound="0" tableColumnId="275"/>
      <queryTableField id="271" dataBound="0" tableColumnId="276"/>
      <queryTableField id="270" dataBound="0" tableColumnId="277"/>
      <queryTableField id="35" name="2(1)" tableColumnId="35"/>
      <queryTableField id="36" name="2(1)(a)" tableColumnId="36"/>
      <queryTableField id="37" name="2(1)(b)" tableColumnId="37"/>
      <queryTableField id="38" name="2(1)(b)(i)" tableColumnId="38"/>
      <queryTableField id="39" name="2(1)(b)(ii)" tableColumnId="39"/>
      <queryTableField id="40" name="2(2)" tableColumnId="40"/>
      <queryTableField id="41" name="2(2)(a)" tableColumnId="41"/>
      <queryTableField id="42" name="2(2)(b)" tableColumnId="42"/>
      <queryTableField id="43" name="2(2)(c)" tableColumnId="43"/>
      <queryTableField id="44" name="2(2)(d)" tableColumnId="44"/>
      <queryTableField id="45" name="2(2)(d)(i)" tableColumnId="45"/>
      <queryTableField id="46" name="2(2)(d)(ii)" tableColumnId="46"/>
      <queryTableField id="47" name="2(2)(e)" tableColumnId="47"/>
      <queryTableField id="48" name="2(2)(e)(i)" tableColumnId="48"/>
      <queryTableField id="49" name="2(2)(e)(ii)" tableColumnId="49"/>
      <queryTableField id="50" name="2(2)(e)(iii)" tableColumnId="50"/>
      <queryTableField id="51" name="2(2)(f)" tableColumnId="51"/>
      <queryTableField id="52" name="2(2)(g)" tableColumnId="52"/>
      <queryTableField id="53" name="2(2)(h)" tableColumnId="53"/>
      <queryTableField id="54" name="2(2)(i)" tableColumnId="54"/>
      <queryTableField id="55" name="3" tableColumnId="55"/>
      <queryTableField id="56" name="3(a)" tableColumnId="56"/>
      <queryTableField id="57" name="3(b)" tableColumnId="57"/>
      <queryTableField id="58" name="3(c)" tableColumnId="58"/>
      <queryTableField id="59" name="3(d)" tableColumnId="59"/>
      <queryTableField id="60" name="3(e)" tableColumnId="60"/>
      <queryTableField id="61" name="3(f)" tableColumnId="61"/>
      <queryTableField id="62" name="3(g)" tableColumnId="62"/>
      <queryTableField id="63" name="3(h)" tableColumnId="63"/>
      <queryTableField id="64" name="3(i)" tableColumnId="64"/>
      <queryTableField id="65" name="3(j)" tableColumnId="65"/>
      <queryTableField id="66" name="4" tableColumnId="66"/>
      <queryTableField id="67" name="5" tableColumnId="67"/>
      <queryTableField id="68" name="5(a)" tableColumnId="68"/>
      <queryTableField id="69" name="5(b)" tableColumnId="69"/>
      <queryTableField id="70" name="5(b)(i)" tableColumnId="70"/>
      <queryTableField id="71" name="5(b)(ii)" tableColumnId="71"/>
      <queryTableField id="72" name="5(b)(iii)" tableColumnId="72"/>
      <queryTableField id="73" name="5(b)(iv)" tableColumnId="73"/>
      <queryTableField id="74" name="5(b)(v)" tableColumnId="74"/>
      <queryTableField id="75" name="5(b)(vi)" tableColumnId="75"/>
      <queryTableField id="76" name="5(b)(vii)" tableColumnId="76"/>
      <queryTableField id="77" name="5(c)" tableColumnId="77"/>
      <queryTableField id="78" name="5(d)" tableColumnId="78"/>
      <queryTableField id="79" name="5(d)(i)" tableColumnId="79"/>
      <queryTableField id="80" name="5(d)(ii)" tableColumnId="80"/>
      <queryTableField id="81" name="5(d)(iii)" tableColumnId="81"/>
      <queryTableField id="82" name="7" tableColumnId="82"/>
      <queryTableField id="83" name="7(a)" tableColumnId="83"/>
      <queryTableField id="84" name="7(b)" tableColumnId="84"/>
      <queryTableField id="85" name="8" tableColumnId="85"/>
      <queryTableField id="86" name="8(a)" tableColumnId="86"/>
      <queryTableField id="87" name="8(b)" tableColumnId="87"/>
      <queryTableField id="88" name="9" tableColumnId="88"/>
      <queryTableField id="89" name="9(a)" tableColumnId="89"/>
      <queryTableField id="90" name="9(b)" tableColumnId="90"/>
      <queryTableField id="91" name="9(c)" tableColumnId="91"/>
      <queryTableField id="92" name="10" tableColumnId="92"/>
      <queryTableField id="93" name="11" tableColumnId="93"/>
      <queryTableField id="94" name="12" tableColumnId="94"/>
      <queryTableField id="95" name="13" tableColumnId="95"/>
      <queryTableField id="96" name="14" tableColumnId="96"/>
      <queryTableField id="97" name="15" tableColumnId="97"/>
      <queryTableField id="98" name="16" tableColumnId="98"/>
      <queryTableField id="99" name="16(a)" tableColumnId="99"/>
      <queryTableField id="100" name="16(b)" tableColumnId="100"/>
      <queryTableField id="101" name="18(2)" tableColumnId="101"/>
      <queryTableField id="102" name="18(2)(a)" tableColumnId="102"/>
      <queryTableField id="103" name="18(2)(b)" tableColumnId="103"/>
      <queryTableField id="104" name="18(2)(c)" tableColumnId="104"/>
      <queryTableField id="105" name="18(2)(c)(i)" tableColumnId="105"/>
      <queryTableField id="106" name="18(2)(c)(ii)" tableColumnId="106"/>
      <queryTableField id="107" name="18(2)(c)(iii)" tableColumnId="107"/>
      <queryTableField id="108" name="18(2)(c)(iv)" tableColumnId="108"/>
      <queryTableField id="109" name="18(2)(d)" tableColumnId="109"/>
      <queryTableField id="110" name="18(2)(e)" tableColumnId="110"/>
      <queryTableField id="111" name="18(2)(f)" tableColumnId="111"/>
      <queryTableField id="112" name="18(3)" tableColumnId="112"/>
      <queryTableField id="113" name="19(2)" tableColumnId="113"/>
      <queryTableField id="114" name="19(2)(a)" tableColumnId="114"/>
      <queryTableField id="115" name="19(2)(a)(i)" tableColumnId="115"/>
      <queryTableField id="116" name="19(2)(a)(i)(aa)" tableColumnId="116"/>
      <queryTableField id="117" name="19(2)(a)(i)(bb)" tableColumnId="117"/>
      <queryTableField id="118" name="19(2)(a)(i)(cc)" tableColumnId="118"/>
      <queryTableField id="119" name="19(2)(a)(ii)" tableColumnId="119"/>
      <queryTableField id="120" name="19(2)(b)" tableColumnId="120"/>
      <queryTableField id="121" name="19(2)(c)" tableColumnId="121"/>
      <queryTableField id="122" name="19(2)(d)" tableColumnId="122"/>
      <queryTableField id="123" name="19(2)(d)(i)" tableColumnId="123"/>
      <queryTableField id="124" name="19(2)(d)(ii)" tableColumnId="124"/>
      <queryTableField id="125" name="19(2)(e)" tableColumnId="125"/>
      <queryTableField id="126" name="19(3)" tableColumnId="126"/>
      <queryTableField id="127" name="20(6)" tableColumnId="127"/>
      <queryTableField id="128" name="20(6)(a)" tableColumnId="128"/>
      <queryTableField id="129" name="20(6)(a)(i)" tableColumnId="129"/>
      <queryTableField id="130" name="20(6)(a)(ii)" tableColumnId="130"/>
      <queryTableField id="131" name="20(6)(b)" tableColumnId="131"/>
      <queryTableField id="132" name="20(6)(b)(i)" tableColumnId="132"/>
      <queryTableField id="133" name="20(6)(b)(ii)" tableColumnId="133"/>
      <queryTableField id="134" name="20(6)(b)(iii)" tableColumnId="134"/>
      <queryTableField id="135" name="20(6)(c)" tableColumnId="135"/>
      <queryTableField id="136" name="21(1)" tableColumnId="136"/>
      <queryTableField id="137" name="21(2)" tableColumnId="137"/>
      <queryTableField id="138" name="21(3)" tableColumnId="138"/>
      <queryTableField id="139" name="21(3)(a)" tableColumnId="139"/>
      <queryTableField id="140" name="21(3)(a)(i)" tableColumnId="140"/>
      <queryTableField id="141" name="21(3)(a)(ii)" tableColumnId="141"/>
      <queryTableField id="142" name="21(3)(a)(iii)" tableColumnId="142"/>
      <queryTableField id="143" name="21(3)(a)(iv)" tableColumnId="143"/>
      <queryTableField id="144" name="21(3)(a)(v)" tableColumnId="144"/>
      <queryTableField id="145" name="21(3)(a)(vi)" tableColumnId="145"/>
      <queryTableField id="146" name="21(3)(a)(vii)" tableColumnId="146"/>
      <queryTableField id="147" name="21(3)(a)(viii)" tableColumnId="147"/>
      <queryTableField id="148" name="21(3)(b)" tableColumnId="148"/>
      <queryTableField id="149" name="21(4)" tableColumnId="149"/>
      <queryTableField id="150" name="21(5)" tableColumnId="150"/>
      <queryTableField id="151" name="21(5)(a)" tableColumnId="151"/>
      <queryTableField id="152" name="21(5)(a)(i)" tableColumnId="152"/>
      <queryTableField id="153" name="21(5)(a)(ii)" tableColumnId="153"/>
      <queryTableField id="154" name="21(5)(b)" tableColumnId="154"/>
      <queryTableField id="155" name="21(5)(c)" tableColumnId="155"/>
      <queryTableField id="156" name="21(6)" tableColumnId="156"/>
      <queryTableField id="157" name="21(7)" tableColumnId="157"/>
      <queryTableField id="158" name="21(7)(a)" tableColumnId="158"/>
      <queryTableField id="159" name="21(7)(b)" tableColumnId="159"/>
      <queryTableField id="160" name="23(1)" tableColumnId="160"/>
      <queryTableField id="161" name="23(1)(a)" tableColumnId="161"/>
      <queryTableField id="162" name="23(1)(b)" tableColumnId="162"/>
      <queryTableField id="163" name="23(1)(c)" tableColumnId="163"/>
      <queryTableField id="164" name="24(1)" tableColumnId="164"/>
      <queryTableField id="165" name="24(1)(a)" tableColumnId="165"/>
      <queryTableField id="166" name="24(1)(b)" tableColumnId="166"/>
      <queryTableField id="167" name="24(1)(c)" tableColumnId="167"/>
      <queryTableField id="168" name="24(2)" tableColumnId="168"/>
      <queryTableField id="169" name="25" tableColumnId="169"/>
      <queryTableField id="170" name="26" tableColumnId="170"/>
      <queryTableField id="171" name="27" tableColumnId="171"/>
      <queryTableField id="172" name="27(a)" tableColumnId="172"/>
      <queryTableField id="173" name="27(b)" tableColumnId="173"/>
      <queryTableField id="174" name="28(1)" tableColumnId="174"/>
      <queryTableField id="175" name="28(1)(a)" tableColumnId="175"/>
      <queryTableField id="176" name="28(1)(b)" tableColumnId="176"/>
      <queryTableField id="177" name="28(1)(c)" tableColumnId="177"/>
      <queryTableField id="178" name="28(1)(d)" tableColumnId="178"/>
      <queryTableField id="179" name="28(2)" tableColumnId="179"/>
      <queryTableField id="180" name="28(2)(a)" tableColumnId="180"/>
      <queryTableField id="181" name="28(2)(b)" tableColumnId="181"/>
      <queryTableField id="182" name="29(1)" tableColumnId="182"/>
      <queryTableField id="183" name="29(1)(a)" tableColumnId="183"/>
      <queryTableField id="184" name="29(1)(b)" tableColumnId="184"/>
      <queryTableField id="185" name="30" tableColumnId="185"/>
      <queryTableField id="186" name="32(1)" tableColumnId="186"/>
      <queryTableField id="187" name="32(1)(a)" tableColumnId="187"/>
      <queryTableField id="188" name="32(1)(b)" tableColumnId="188"/>
      <queryTableField id="189" name="32(1)(c)" tableColumnId="189"/>
      <queryTableField id="190" name="32(1)(d)" tableColumnId="190"/>
      <queryTableField id="191" name="32(1)(e)" tableColumnId="191"/>
      <queryTableField id="192" name="32(1)(f)" tableColumnId="192"/>
      <queryTableField id="193" name="32(1)(g)" tableColumnId="193"/>
      <queryTableField id="194" name="32(1)(h)" tableColumnId="194"/>
      <queryTableField id="195" name="32(1)(i)" tableColumnId="195"/>
      <queryTableField id="196" name="32(1)(j)" tableColumnId="196"/>
      <queryTableField id="197" name="32(2)" tableColumnId="197"/>
      <queryTableField id="198" name="32(2)(a)" tableColumnId="198"/>
      <queryTableField id="199" name="32(2)(b)" tableColumnId="199"/>
      <queryTableField id="200" name="32(2)(b)(i)" tableColumnId="200"/>
      <queryTableField id="201" name="32(2)(b)(ii)" tableColumnId="201"/>
      <queryTableField id="202" name="32(2)(c)" tableColumnId="202"/>
      <queryTableField id="203" name="32(2)(d)" tableColumnId="203"/>
      <queryTableField id="204" name="32(3)" tableColumnId="204"/>
      <queryTableField id="205" name="32(3)(a)" tableColumnId="205"/>
      <queryTableField id="206" name="32(3)(b)" tableColumnId="206"/>
      <queryTableField id="207" name="32(3)(c)" tableColumnId="207"/>
      <queryTableField id="208" name="32(3)(d)" tableColumnId="208"/>
      <queryTableField id="209" name="32(3)(e)" tableColumnId="209"/>
      <queryTableField id="210" name="32(3)(f)" tableColumnId="210"/>
      <queryTableField id="211" name="32(3)(g)" tableColumnId="211"/>
      <queryTableField id="212" name="32(4)" tableColumnId="212"/>
      <queryTableField id="213" name="32(4)(a)" tableColumnId="213"/>
      <queryTableField id="214" name="32(4)(b)" tableColumnId="214"/>
      <queryTableField id="215" name="32(4)(c)" tableColumnId="215"/>
      <queryTableField id="216" name="33" tableColumnId="216"/>
      <queryTableField id="217" name="33(a)" tableColumnId="217"/>
      <queryTableField id="218" name="33(b)" tableColumnId="218"/>
      <queryTableField id="219" name="33(c)" tableColumnId="219"/>
      <queryTableField id="220" name="33(d)" tableColumnId="220"/>
      <queryTableField id="221" name="33(e)" tableColumnId="221"/>
      <queryTableField id="222" name="33(f)" tableColumnId="222"/>
      <queryTableField id="223" name="33(g)" tableColumnId="223"/>
      <queryTableField id="224" name="33(h)" tableColumnId="224"/>
      <queryTableField id="225" name="33(i)" tableColumnId="225"/>
      <queryTableField id="226" name="33(i)(i)" tableColumnId="226"/>
      <queryTableField id="227" name="33(i)(ii)" tableColumnId="227"/>
      <queryTableField id="228" name="33(j)" tableColumnId="228"/>
      <queryTableField id="229" name="33(j)(i)" tableColumnId="229"/>
      <queryTableField id="230" name="33(j)(ii)" tableColumnId="230"/>
      <queryTableField id="231" name="33(k)" tableColumnId="231"/>
      <queryTableField id="232" name="34(1)" tableColumnId="232"/>
      <queryTableField id="233" name="34(1)(a)" tableColumnId="233"/>
      <queryTableField id="234" name="34(1)(b)" tableColumnId="234"/>
      <queryTableField id="235" name="34(1)(c)" tableColumnId="235"/>
      <queryTableField id="236" name="Safeguarding Procedure 1" tableColumnId="236"/>
      <queryTableField id="237" name="Safeguarding Procedure 2" tableColumnId="237"/>
      <queryTableField id="238" name="Safeguarding Procedure 3" tableColumnId="238"/>
      <queryTableField id="239" name="Schedule 10 Equality Act 2010" tableColumnId="239"/>
    </queryTableFields>
    <queryTableDeletedFields count="35">
      <deletedField name="Organisation ID"/>
      <deletedField name="Religious character grouping"/>
      <deletedField name="Withheld/Withdrawn information date"/>
      <deletedField name="Inspection grouping"/>
      <deletedField name="Part 1. Quality of education provided - (Met)"/>
      <deletedField name="Part 1. Quality of education provided - (No response)"/>
      <deletedField name="Part 1. Quality of education provided - (Not applicable)"/>
      <deletedField name="Part 1. Quality of education provided - (Not met)"/>
      <deletedField name="Part 2. Spiritual, moral, social and cultural development of pupils - (Met)"/>
      <deletedField name="Part 2. Spiritual, moral, social and cultural development of pupils - (No response)"/>
      <deletedField name="Part 2. Spiritual, moral, social and cultural development of pupils - (Not applicable)"/>
      <deletedField name="Part 2. Spiritual, moral, social and cultural development of pupils - (Not met)"/>
      <deletedField name="Part 3. Welfare, health and safety of pupils - (Met)"/>
      <deletedField name="Part 3. Welfare, health and safety of pupils - (No response)"/>
      <deletedField name="Part 3. Welfare, health and safety of pupils - (Not applicable)"/>
      <deletedField name="Part 3. Welfare, health and safety of pupils - (Not met)"/>
      <deletedField name="Part 4. Suitability of staff, supply staff, and proprietors - (Met)"/>
      <deletedField name="Part 4. Suitability of staff, supply staff, and proprietors - (No response)"/>
      <deletedField name="Part 4. Suitability of staff, supply staff, and proprietors - (Not applicable)"/>
      <deletedField name="Part 4. Suitability of staff, supply staff, and proprietors - (Not met)"/>
      <deletedField name="Part 5. Premises of and accommodation at schools - (Met)"/>
      <deletedField name="Part 5. Premises of and accommodation at schools - (No response)"/>
      <deletedField name="Part 5. Premises of and accommodation at schools - (Not applicable)"/>
      <deletedField name="Part 5. Premises of and accommodation at schools - (Not met)"/>
      <deletedField name="Part 6. Provision of information - (Met)"/>
      <deletedField name="Part 6. Provision of information - (No response)"/>
      <deletedField name="Part 6. Provision of information - (Not applicable)"/>
      <deletedField name="Part 6. Provision of information - (Not met)"/>
      <deletedField name="Part 7. Manner in which complaints are handled - (Met)"/>
      <deletedField name="Part 7. Manner in which complaints are handled - (No response)"/>
      <deletedField name="Part 7. Manner in which complaints are handled - (Not met)"/>
      <deletedField name="Part 8. Quality of leadership in and management of schools - (Met)"/>
      <deletedField name="Part 8. Quality of leadership in and management of schools - (No response)"/>
      <deletedField name="Part 8. Quality of leadership in and management of schools - (Not met)"/>
      <deletedField name="Boarders"/>
    </queryTableDeleted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clu7sql1_ssdb REPORT vw_IE_External_MI_SON" connectionId="3" xr16:uid="{00000000-0016-0000-0900-000002000000}" autoFormatId="16" applyNumberFormats="0" applyBorderFormats="0" applyFontFormats="0" applyPatternFormats="0" applyAlignmentFormats="0" applyWidthHeightFormats="0">
  <queryTableRefresh nextId="40" unboundColumnsRight="7">
    <queryTableFields count="34">
      <queryTableField id="1" name="Report" tableColumnId="1"/>
      <queryTableField id="2" name="URN" tableColumnId="2"/>
      <queryTableField id="3" name="LAESTAB" tableColumnId="3"/>
      <queryTableField id="4" name="Provider name" tableColumnId="4"/>
      <queryTableField id="5" name="Provider type" tableColumnId="5"/>
      <queryTableField id="27" name="Provider open / closed status" tableColumnId="27"/>
      <queryTableField id="6" name="Religious character" tableColumnId="6"/>
      <queryTableField id="8" name="Boarders" tableColumnId="8"/>
      <queryTableField id="9" name="Special needs" tableColumnId="9"/>
      <queryTableField id="10" name="Inspectorate" tableColumnId="10"/>
      <queryTableField id="11" name="Ofsted region" tableColumnId="11"/>
      <queryTableField id="12" name="Region" tableColumnId="12"/>
      <queryTableField id="13" name="Local authority" tableColumnId="13"/>
      <queryTableField id="14" name="Postcode" tableColumnId="14"/>
      <queryTableField id="15" name="Inspection number" tableColumnId="15"/>
      <queryTableField id="16" name="First day of inspection" tableColumnId="16"/>
      <queryTableField id="17" name="Last day of inspection" tableColumnId="17"/>
      <queryTableField id="18" name="Publication date" tableColumnId="18"/>
      <queryTableField id="19" name="Inspection type" tableColumnId="19"/>
      <queryTableField id="20" name="Overall effectiveness" tableColumnId="20"/>
      <queryTableField id="28" name="Safeguarding is effective?" tableColumnId="28"/>
      <queryTableField id="21" name="Effectiveness of leadership and management" tableColumnId="21"/>
      <queryTableField id="22" name="Personal development, behaviour and welfare" tableColumnId="22"/>
      <queryTableField id="23" name="Quality of teaching" tableColumnId="23"/>
      <queryTableField id="24" name="Outcomes for pupils" tableColumnId="24"/>
      <queryTableField id="25" name="Early years provision" tableColumnId="25"/>
      <queryTableField id="26" name="Sixth form provision" tableColumnId="26"/>
      <queryTableField id="31" dataBound="0" tableColumnId="29"/>
      <queryTableField id="33" dataBound="0" tableColumnId="30"/>
      <queryTableField id="38" dataBound="0" tableColumnId="31"/>
      <queryTableField id="37" dataBound="0" tableColumnId="32"/>
      <queryTableField id="36" dataBound="0" tableColumnId="33"/>
      <queryTableField id="35" dataBound="0" tableColumnId="34"/>
      <queryTableField id="34" dataBound="0" tableColumnId="35"/>
    </queryTableFields>
    <queryTableDeletedFields count="1">
      <deletedField name="Religious etho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clu7sql1_ssdb_REPORT_vw_IE_External_MI_InYear" displayName="Table_clu7sql1_ssdb_REPORT_vw_IE_External_MI_InYear" ref="A4:II285" tableType="queryTable" totalsRowShown="0" headerRowDxfId="2">
  <autoFilter ref="A4:II285" xr:uid="{00000000-0009-0000-0100-000001000000}"/>
  <tableColumns count="243">
    <tableColumn id="1" xr3:uid="{00000000-0010-0000-0000-000001000000}" uniqueName="1" name="Report" queryTableFieldId="1"/>
    <tableColumn id="3" xr3:uid="{00000000-0010-0000-0000-000003000000}" uniqueName="3" name="URN" queryTableFieldId="3"/>
    <tableColumn id="4" xr3:uid="{00000000-0010-0000-0000-000004000000}" uniqueName="4" name="LAESTAB" queryTableFieldId="4"/>
    <tableColumn id="5" xr3:uid="{00000000-0010-0000-0000-000005000000}" uniqueName="5" name="School name" queryTableFieldId="5"/>
    <tableColumn id="6" xr3:uid="{00000000-0010-0000-0000-000006000000}" uniqueName="6" name="Type of education" queryTableFieldId="6"/>
    <tableColumn id="7" xr3:uid="{00000000-0010-0000-0000-000007000000}" uniqueName="7" name="School Group" queryTableFieldId="7"/>
    <tableColumn id="8" xr3:uid="{00000000-0010-0000-0000-000008000000}" uniqueName="8" name="Ofsted Region" queryTableFieldId="8"/>
    <tableColumn id="9" xr3:uid="{00000000-0010-0000-0000-000009000000}" uniqueName="9" name="Government Office Region" queryTableFieldId="9"/>
    <tableColumn id="10" xr3:uid="{00000000-0010-0000-0000-00000A000000}" uniqueName="10" name="Local Authority" queryTableFieldId="10"/>
    <tableColumn id="11" xr3:uid="{00000000-0010-0000-0000-00000B000000}" uniqueName="11" name="Postcode" queryTableFieldId="11"/>
    <tableColumn id="13" xr3:uid="{00000000-0010-0000-0000-00000D000000}" uniqueName="13" name="Religious character" queryTableFieldId="13"/>
    <tableColumn id="15" xr3:uid="{00000000-0010-0000-0000-00000F000000}" uniqueName="15" name="Religious ethos" queryTableFieldId="15"/>
    <tableColumn id="16" xr3:uid="{00000000-0010-0000-0000-000010000000}" uniqueName="16" name="Special Needs" queryTableFieldId="16"/>
    <tableColumn id="17" xr3:uid="{00000000-0010-0000-0000-000011000000}" uniqueName="17" name="Inspectorate" queryTableFieldId="17"/>
    <tableColumn id="18" xr3:uid="{00000000-0010-0000-0000-000012000000}" uniqueName="18" name="Inspection number" queryTableFieldId="18"/>
    <tableColumn id="19" xr3:uid="{00000000-0010-0000-0000-000013000000}" uniqueName="19" name="First day of inspection" queryTableFieldId="19"/>
    <tableColumn id="20" xr3:uid="{00000000-0010-0000-0000-000014000000}" uniqueName="20" name="Last day of inspection" queryTableFieldId="20"/>
    <tableColumn id="21" xr3:uid="{00000000-0010-0000-0000-000015000000}" uniqueName="21" name="Publication date" queryTableFieldId="21"/>
    <tableColumn id="23" xr3:uid="{00000000-0010-0000-0000-000017000000}" uniqueName="23" name="Inspection type" queryTableFieldId="23"/>
    <tableColumn id="25" xr3:uid="{00000000-0010-0000-0000-000019000000}" uniqueName="25" name="Inspection Grouping Name" queryTableFieldId="25"/>
    <tableColumn id="26" xr3:uid="{00000000-0010-0000-0000-00001A000000}" uniqueName="26" name="Overall effectiveness" queryTableFieldId="26"/>
    <tableColumn id="27" xr3:uid="{00000000-0010-0000-0000-00001B000000}" uniqueName="27" name="Effectiveness of leadership and management" queryTableFieldId="27"/>
    <tableColumn id="28" xr3:uid="{00000000-0010-0000-0000-00001C000000}" uniqueName="28" name="Personal development, behaviour and welfare" queryTableFieldId="28"/>
    <tableColumn id="29" xr3:uid="{00000000-0010-0000-0000-00001D000000}" uniqueName="29" name="Quality of teaching" queryTableFieldId="29"/>
    <tableColumn id="30" xr3:uid="{00000000-0010-0000-0000-00001E000000}" uniqueName="30" name="Outcomes for pupils" queryTableFieldId="30"/>
    <tableColumn id="31" xr3:uid="{00000000-0010-0000-0000-00001F000000}" uniqueName="31" name="Early years provision" queryTableFieldId="31"/>
    <tableColumn id="32" xr3:uid="{00000000-0010-0000-0000-000020000000}" uniqueName="32" name="Sixth form provision" queryTableFieldId="32"/>
    <tableColumn id="33" xr3:uid="{00000000-0010-0000-0000-000021000000}" uniqueName="33" name="Safeguarding" queryTableFieldId="33"/>
    <tableColumn id="34" xr3:uid="{00000000-0010-0000-0000-000022000000}" uniqueName="34" name="Overall outcome" queryTableFieldId="34"/>
    <tableColumn id="270" xr3:uid="{00000000-0010-0000-0000-00000E010000}" uniqueName="270" name="OVERALL standards" queryTableFieldId="278"/>
    <tableColumn id="271" xr3:uid="{00000000-0010-0000-0000-00000F010000}" uniqueName="271" name="Part 1 overall" queryTableFieldId="277"/>
    <tableColumn id="272" xr3:uid="{00000000-0010-0000-0000-000010010000}" uniqueName="272" name="Part 2 overall" queryTableFieldId="276"/>
    <tableColumn id="273" xr3:uid="{00000000-0010-0000-0000-000011010000}" uniqueName="273" name="Part 3 overall" queryTableFieldId="275"/>
    <tableColumn id="274" xr3:uid="{00000000-0010-0000-0000-000012010000}" uniqueName="274" name="Part 4 overall" queryTableFieldId="274"/>
    <tableColumn id="275" xr3:uid="{00000000-0010-0000-0000-000013010000}" uniqueName="275" name="Part 5 overall" queryTableFieldId="273"/>
    <tableColumn id="276" xr3:uid="{00000000-0010-0000-0000-000014010000}" uniqueName="276" name="Part 6 overall" queryTableFieldId="272"/>
    <tableColumn id="277" xr3:uid="{00000000-0010-0000-0000-000015010000}" uniqueName="277" name="Part 7 overall" queryTableFieldId="271"/>
    <tableColumn id="278" xr3:uid="{00000000-0010-0000-0000-000016010000}" uniqueName="278" name="Part 8 overall" queryTableFieldId="270"/>
    <tableColumn id="35" xr3:uid="{00000000-0010-0000-0000-000023000000}" uniqueName="35" name="Independent Schools Standards: 2(1)" queryTableFieldId="35"/>
    <tableColumn id="36" xr3:uid="{00000000-0010-0000-0000-000024000000}" uniqueName="36" name="Independent Schools Standards: 2(1)(a)" queryTableFieldId="36"/>
    <tableColumn id="37" xr3:uid="{00000000-0010-0000-0000-000025000000}" uniqueName="37" name="Independent Schools Standards: 2(1)(b)" queryTableFieldId="37"/>
    <tableColumn id="38" xr3:uid="{00000000-0010-0000-0000-000026000000}" uniqueName="38" name="Independent Schools Standards: 2(1)(b)(i)" queryTableFieldId="38"/>
    <tableColumn id="39" xr3:uid="{00000000-0010-0000-0000-000027000000}" uniqueName="39" name="Independent Schools Standards: 2(1)(b)(ii)" queryTableFieldId="39"/>
    <tableColumn id="40" xr3:uid="{00000000-0010-0000-0000-000028000000}" uniqueName="40" name="Independent Schools Standards: 2(2)" queryTableFieldId="40"/>
    <tableColumn id="41" xr3:uid="{00000000-0010-0000-0000-000029000000}" uniqueName="41" name="Independent Schools Standards: 2(2)(a)" queryTableFieldId="41"/>
    <tableColumn id="42" xr3:uid="{00000000-0010-0000-0000-00002A000000}" uniqueName="42" name="Independent Schools Standards: 2(2)(b)" queryTableFieldId="42"/>
    <tableColumn id="43" xr3:uid="{00000000-0010-0000-0000-00002B000000}" uniqueName="43" name="Independent Schools Standards: 2(2)(c)" queryTableFieldId="43"/>
    <tableColumn id="44" xr3:uid="{00000000-0010-0000-0000-00002C000000}" uniqueName="44" name="Independent Schools Standards: 2(2)(d)" queryTableFieldId="44"/>
    <tableColumn id="45" xr3:uid="{00000000-0010-0000-0000-00002D000000}" uniqueName="45" name="Independent Schools Standards: 2(2)(d)(i)" queryTableFieldId="45"/>
    <tableColumn id="46" xr3:uid="{00000000-0010-0000-0000-00002E000000}" uniqueName="46" name="Independent Schools Standards: 2(2)(d)(ii)" queryTableFieldId="46"/>
    <tableColumn id="47" xr3:uid="{00000000-0010-0000-0000-00002F000000}" uniqueName="47" name="Independent Schools Standards: 2(2)(e)" queryTableFieldId="47"/>
    <tableColumn id="48" xr3:uid="{00000000-0010-0000-0000-000030000000}" uniqueName="48" name="Independent Schools Standards: 2(2)(e)(i)" queryTableFieldId="48"/>
    <tableColumn id="49" xr3:uid="{00000000-0010-0000-0000-000031000000}" uniqueName="49" name="Independent Schools Standards: 2(2)(e)(ii)" queryTableFieldId="49"/>
    <tableColumn id="50" xr3:uid="{00000000-0010-0000-0000-000032000000}" uniqueName="50" name="Independent Schools Standards: 2(2)(e)(iii)" queryTableFieldId="50"/>
    <tableColumn id="51" xr3:uid="{00000000-0010-0000-0000-000033000000}" uniqueName="51" name="Independent Schools Standards: 2(2)(f)" queryTableFieldId="51"/>
    <tableColumn id="52" xr3:uid="{00000000-0010-0000-0000-000034000000}" uniqueName="52" name="Independent Schools Standards: 2(2)(g)" queryTableFieldId="52"/>
    <tableColumn id="53" xr3:uid="{00000000-0010-0000-0000-000035000000}" uniqueName="53" name="Independent Schools Standards: 2(2)(h)" queryTableFieldId="53"/>
    <tableColumn id="54" xr3:uid="{00000000-0010-0000-0000-000036000000}" uniqueName="54" name="Independent Schools Standards: 2(2)(i)" queryTableFieldId="54"/>
    <tableColumn id="55" xr3:uid="{00000000-0010-0000-0000-000037000000}" uniqueName="55" name="Independent Schools Standards: 3" queryTableFieldId="55"/>
    <tableColumn id="56" xr3:uid="{00000000-0010-0000-0000-000038000000}" uniqueName="56" name="Independent Schools Standards: 3(a)" queryTableFieldId="56"/>
    <tableColumn id="57" xr3:uid="{00000000-0010-0000-0000-000039000000}" uniqueName="57" name="Independent Schools Standards: 3(b)" queryTableFieldId="57"/>
    <tableColumn id="58" xr3:uid="{00000000-0010-0000-0000-00003A000000}" uniqueName="58" name="Independent Schools Standards: 3(c)" queryTableFieldId="58"/>
    <tableColumn id="59" xr3:uid="{00000000-0010-0000-0000-00003B000000}" uniqueName="59" name="Independent Schools Standards: 3(d)" queryTableFieldId="59"/>
    <tableColumn id="60" xr3:uid="{00000000-0010-0000-0000-00003C000000}" uniqueName="60" name="Independent Schools Standards: 3(e)" queryTableFieldId="60"/>
    <tableColumn id="61" xr3:uid="{00000000-0010-0000-0000-00003D000000}" uniqueName="61" name="Independent Schools Standards: 3(f)" queryTableFieldId="61"/>
    <tableColumn id="62" xr3:uid="{00000000-0010-0000-0000-00003E000000}" uniqueName="62" name="Independent Schools Standards: 3(g)" queryTableFieldId="62"/>
    <tableColumn id="63" xr3:uid="{00000000-0010-0000-0000-00003F000000}" uniqueName="63" name="Independent Schools Standards: 3(h)" queryTableFieldId="63"/>
    <tableColumn id="64" xr3:uid="{00000000-0010-0000-0000-000040000000}" uniqueName="64" name="Independent Schools Standards: 3(i)" queryTableFieldId="64"/>
    <tableColumn id="65" xr3:uid="{00000000-0010-0000-0000-000041000000}" uniqueName="65" name="Independent Schools Standards: 3(j)" queryTableFieldId="65"/>
    <tableColumn id="66" xr3:uid="{00000000-0010-0000-0000-000042000000}" uniqueName="66" name="Independent Schools Standards: 4" queryTableFieldId="66"/>
    <tableColumn id="67" xr3:uid="{00000000-0010-0000-0000-000043000000}" uniqueName="67" name="Independent Schools Standards: 5" queryTableFieldId="67"/>
    <tableColumn id="68" xr3:uid="{00000000-0010-0000-0000-000044000000}" uniqueName="68" name="Independent Schools Standards: 5(a)" queryTableFieldId="68"/>
    <tableColumn id="69" xr3:uid="{00000000-0010-0000-0000-000045000000}" uniqueName="69" name="Independent Schools Standards: 5(b)" queryTableFieldId="69"/>
    <tableColumn id="70" xr3:uid="{00000000-0010-0000-0000-000046000000}" uniqueName="70" name="Independent Schools Standards: 5(b)(i)" queryTableFieldId="70"/>
    <tableColumn id="71" xr3:uid="{00000000-0010-0000-0000-000047000000}" uniqueName="71" name="Independent Schools Standards: 5(b)(ii)" queryTableFieldId="71"/>
    <tableColumn id="72" xr3:uid="{00000000-0010-0000-0000-000048000000}" uniqueName="72" name="Independent Schools Standards: 5(b)(iii)" queryTableFieldId="72"/>
    <tableColumn id="73" xr3:uid="{00000000-0010-0000-0000-000049000000}" uniqueName="73" name="Independent Schools Standards: 5(b)(iv)" queryTableFieldId="73"/>
    <tableColumn id="74" xr3:uid="{00000000-0010-0000-0000-00004A000000}" uniqueName="74" name="Independent Schools Standards: 5(b)(v)" queryTableFieldId="74"/>
    <tableColumn id="75" xr3:uid="{00000000-0010-0000-0000-00004B000000}" uniqueName="75" name="Independent Schools Standards: 5(b)(vi)" queryTableFieldId="75"/>
    <tableColumn id="76" xr3:uid="{00000000-0010-0000-0000-00004C000000}" uniqueName="76" name="Independent Schools Standards: 5(b)(vii)" queryTableFieldId="76"/>
    <tableColumn id="77" xr3:uid="{00000000-0010-0000-0000-00004D000000}" uniqueName="77" name="Independent Schools Standards: 5(c)" queryTableFieldId="77"/>
    <tableColumn id="78" xr3:uid="{00000000-0010-0000-0000-00004E000000}" uniqueName="78" name="Independent Schools Standards: 5(d)" queryTableFieldId="78"/>
    <tableColumn id="79" xr3:uid="{00000000-0010-0000-0000-00004F000000}" uniqueName="79" name="Independent Schools Standards: 5(d)(i)" queryTableFieldId="79"/>
    <tableColumn id="80" xr3:uid="{00000000-0010-0000-0000-000050000000}" uniqueName="80" name="Independent Schools Standards: 5(d)(ii)" queryTableFieldId="80"/>
    <tableColumn id="81" xr3:uid="{00000000-0010-0000-0000-000051000000}" uniqueName="81" name="Independent Schools Standards: 5(d)(iii)" queryTableFieldId="81"/>
    <tableColumn id="82" xr3:uid="{00000000-0010-0000-0000-000052000000}" uniqueName="82" name="Independent Schools Standards: 7" queryTableFieldId="82"/>
    <tableColumn id="83" xr3:uid="{00000000-0010-0000-0000-000053000000}" uniqueName="83" name="Independent Schools Standards: 7(a)" queryTableFieldId="83"/>
    <tableColumn id="84" xr3:uid="{00000000-0010-0000-0000-000054000000}" uniqueName="84" name="Independent Schools Standards: 7(b)" queryTableFieldId="84"/>
    <tableColumn id="85" xr3:uid="{00000000-0010-0000-0000-000055000000}" uniqueName="85" name="Independent Schools Standards: 8" queryTableFieldId="85"/>
    <tableColumn id="86" xr3:uid="{00000000-0010-0000-0000-000056000000}" uniqueName="86" name="Independent Schools Standards: 8(a)" queryTableFieldId="86"/>
    <tableColumn id="87" xr3:uid="{00000000-0010-0000-0000-000057000000}" uniqueName="87" name="Independent Schools Standards: 8(b)" queryTableFieldId="87"/>
    <tableColumn id="88" xr3:uid="{00000000-0010-0000-0000-000058000000}" uniqueName="88" name="Independent Schools Standards: 9" queryTableFieldId="88"/>
    <tableColumn id="89" xr3:uid="{00000000-0010-0000-0000-000059000000}" uniqueName="89" name="Independent Schools Standards: 9(a)" queryTableFieldId="89"/>
    <tableColumn id="90" xr3:uid="{00000000-0010-0000-0000-00005A000000}" uniqueName="90" name="Independent Schools Standards: 9(b)" queryTableFieldId="90"/>
    <tableColumn id="91" xr3:uid="{00000000-0010-0000-0000-00005B000000}" uniqueName="91" name="Independent Schools Standards: 9(c)" queryTableFieldId="91"/>
    <tableColumn id="92" xr3:uid="{00000000-0010-0000-0000-00005C000000}" uniqueName="92" name="Independent Schools Standards: 10" queryTableFieldId="92"/>
    <tableColumn id="93" xr3:uid="{00000000-0010-0000-0000-00005D000000}" uniqueName="93" name="Independent Schools Standards: 11" queryTableFieldId="93"/>
    <tableColumn id="94" xr3:uid="{00000000-0010-0000-0000-00005E000000}" uniqueName="94" name="Independent Schools Standards: 12" queryTableFieldId="94"/>
    <tableColumn id="95" xr3:uid="{00000000-0010-0000-0000-00005F000000}" uniqueName="95" name="Independent Schools Standards: 13" queryTableFieldId="95"/>
    <tableColumn id="96" xr3:uid="{00000000-0010-0000-0000-000060000000}" uniqueName="96" name="Independent Schools Standards: 14" queryTableFieldId="96"/>
    <tableColumn id="97" xr3:uid="{00000000-0010-0000-0000-000061000000}" uniqueName="97" name="Independent Schools Standards: 15" queryTableFieldId="97"/>
    <tableColumn id="98" xr3:uid="{00000000-0010-0000-0000-000062000000}" uniqueName="98" name="Independent Schools Standards: 16" queryTableFieldId="98"/>
    <tableColumn id="99" xr3:uid="{00000000-0010-0000-0000-000063000000}" uniqueName="99" name="Independent Schools Standards: 16(a)" queryTableFieldId="99"/>
    <tableColumn id="100" xr3:uid="{00000000-0010-0000-0000-000064000000}" uniqueName="100" name="Independent Schools Standards: 16(b)" queryTableFieldId="100"/>
    <tableColumn id="101" xr3:uid="{00000000-0010-0000-0000-000065000000}" uniqueName="101" name="Independent Schools Standards: 18(2)" queryTableFieldId="101"/>
    <tableColumn id="102" xr3:uid="{00000000-0010-0000-0000-000066000000}" uniqueName="102" name="Independent Schools Standards: 18(2)(a)" queryTableFieldId="102"/>
    <tableColumn id="103" xr3:uid="{00000000-0010-0000-0000-000067000000}" uniqueName="103" name="Independent Schools Standards: 18(2)(b)" queryTableFieldId="103"/>
    <tableColumn id="104" xr3:uid="{00000000-0010-0000-0000-000068000000}" uniqueName="104" name="Independent Schools Standards: 18(2)(c)" queryTableFieldId="104"/>
    <tableColumn id="105" xr3:uid="{00000000-0010-0000-0000-000069000000}" uniqueName="105" name="Independent Schools Standards: 18(2)(c)(i)" queryTableFieldId="105"/>
    <tableColumn id="106" xr3:uid="{00000000-0010-0000-0000-00006A000000}" uniqueName="106" name="Independent Schools Standards: 18(2)(c)(ii)" queryTableFieldId="106"/>
    <tableColumn id="107" xr3:uid="{00000000-0010-0000-0000-00006B000000}" uniqueName="107" name="Independent Schools Standards: 18(2)(c)(iii)" queryTableFieldId="107"/>
    <tableColumn id="108" xr3:uid="{00000000-0010-0000-0000-00006C000000}" uniqueName="108" name="Independent Schools Standards: 18(2)(c)(iv)" queryTableFieldId="108"/>
    <tableColumn id="109" xr3:uid="{00000000-0010-0000-0000-00006D000000}" uniqueName="109" name="Independent Schools Standards: 18(2)(d)" queryTableFieldId="109"/>
    <tableColumn id="110" xr3:uid="{00000000-0010-0000-0000-00006E000000}" uniqueName="110" name="Independent Schools Standards: 18(2)(e)" queryTableFieldId="110"/>
    <tableColumn id="111" xr3:uid="{00000000-0010-0000-0000-00006F000000}" uniqueName="111" name="Independent Schools Standards: 18(2)(f)" queryTableFieldId="111"/>
    <tableColumn id="112" xr3:uid="{00000000-0010-0000-0000-000070000000}" uniqueName="112" name="Independent Schools Standards: 18(3)" queryTableFieldId="112"/>
    <tableColumn id="113" xr3:uid="{00000000-0010-0000-0000-000071000000}" uniqueName="113" name="Independent Schools Standards: 19(2)" queryTableFieldId="113"/>
    <tableColumn id="114" xr3:uid="{00000000-0010-0000-0000-000072000000}" uniqueName="114" name="Independent Schools Standards: 19(2)(a)" queryTableFieldId="114"/>
    <tableColumn id="115" xr3:uid="{00000000-0010-0000-0000-000073000000}" uniqueName="115" name="Independent Schools Standards: 19(2)(a)(i)" queryTableFieldId="115"/>
    <tableColumn id="116" xr3:uid="{00000000-0010-0000-0000-000074000000}" uniqueName="116" name="Independent Schools Standards: 19(2)(a)(i)(aa)" queryTableFieldId="116"/>
    <tableColumn id="117" xr3:uid="{00000000-0010-0000-0000-000075000000}" uniqueName="117" name="Independent Schools Standards: 19(2)(a)(i)(bb)" queryTableFieldId="117"/>
    <tableColumn id="118" xr3:uid="{00000000-0010-0000-0000-000076000000}" uniqueName="118" name="Independent Schools Standards: 19(2)(a)(i)(cc)" queryTableFieldId="118"/>
    <tableColumn id="119" xr3:uid="{00000000-0010-0000-0000-000077000000}" uniqueName="119" name="Independent Schools Standards: 19(2)(a)(ii)" queryTableFieldId="119"/>
    <tableColumn id="120" xr3:uid="{00000000-0010-0000-0000-000078000000}" uniqueName="120" name="Independent Schools Standards: 19(2)(b)" queryTableFieldId="120"/>
    <tableColumn id="121" xr3:uid="{00000000-0010-0000-0000-000079000000}" uniqueName="121" name="Independent Schools Standards: 19(2)(c)" queryTableFieldId="121"/>
    <tableColumn id="122" xr3:uid="{00000000-0010-0000-0000-00007A000000}" uniqueName="122" name="Independent Schools Standards: 19(2)(d)" queryTableFieldId="122"/>
    <tableColumn id="123" xr3:uid="{00000000-0010-0000-0000-00007B000000}" uniqueName="123" name="Independent Schools Standards: 19(2)(d)(i)" queryTableFieldId="123"/>
    <tableColumn id="124" xr3:uid="{00000000-0010-0000-0000-00007C000000}" uniqueName="124" name="Independent Schools Standards: 19(2)(d)(ii)" queryTableFieldId="124"/>
    <tableColumn id="125" xr3:uid="{00000000-0010-0000-0000-00007D000000}" uniqueName="125" name="Independent Schools Standards: 19(2)(e)" queryTableFieldId="125"/>
    <tableColumn id="126" xr3:uid="{00000000-0010-0000-0000-00007E000000}" uniqueName="126" name="Independent Schools Standards: 19(3)" queryTableFieldId="126"/>
    <tableColumn id="127" xr3:uid="{00000000-0010-0000-0000-00007F000000}" uniqueName="127" name="Independent Schools Standards: 20(6)" queryTableFieldId="127"/>
    <tableColumn id="128" xr3:uid="{00000000-0010-0000-0000-000080000000}" uniqueName="128" name="Independent Schools Standards: 20(6)(a)" queryTableFieldId="128"/>
    <tableColumn id="129" xr3:uid="{00000000-0010-0000-0000-000081000000}" uniqueName="129" name="Independent Schools Standards: 20(6)(a)(i)" queryTableFieldId="129"/>
    <tableColumn id="130" xr3:uid="{00000000-0010-0000-0000-000082000000}" uniqueName="130" name="Independent Schools Standards: 20(6)(a)(ii)" queryTableFieldId="130"/>
    <tableColumn id="131" xr3:uid="{00000000-0010-0000-0000-000083000000}" uniqueName="131" name="Independent Schools Standards: 20(6)(b)" queryTableFieldId="131"/>
    <tableColumn id="132" xr3:uid="{00000000-0010-0000-0000-000084000000}" uniqueName="132" name="Independent Schools Standards: 20(6)(b)(i)" queryTableFieldId="132"/>
    <tableColumn id="133" xr3:uid="{00000000-0010-0000-0000-000085000000}" uniqueName="133" name="Independent Schools Standards: 20(6)(b)(ii)" queryTableFieldId="133"/>
    <tableColumn id="134" xr3:uid="{00000000-0010-0000-0000-000086000000}" uniqueName="134" name="Independent Schools Standards: 20(6)(b)(iii)" queryTableFieldId="134"/>
    <tableColumn id="135" xr3:uid="{00000000-0010-0000-0000-000087000000}" uniqueName="135" name="Independent Schools Standards: 20(6)(c)" queryTableFieldId="135"/>
    <tableColumn id="136" xr3:uid="{00000000-0010-0000-0000-000088000000}" uniqueName="136" name="Independent Schools Standards: 21(1)" queryTableFieldId="136"/>
    <tableColumn id="137" xr3:uid="{00000000-0010-0000-0000-000089000000}" uniqueName="137" name="Independent Schools Standards: 21(2)" queryTableFieldId="137"/>
    <tableColumn id="138" xr3:uid="{00000000-0010-0000-0000-00008A000000}" uniqueName="138" name="Independent Schools Standards: 21(3)" queryTableFieldId="138"/>
    <tableColumn id="139" xr3:uid="{00000000-0010-0000-0000-00008B000000}" uniqueName="139" name="Independent Schools Standards: 21(3)(a)" queryTableFieldId="139"/>
    <tableColumn id="140" xr3:uid="{00000000-0010-0000-0000-00008C000000}" uniqueName="140" name="Independent Schools Standards: 21(3)(a)(i)" queryTableFieldId="140"/>
    <tableColumn id="141" xr3:uid="{00000000-0010-0000-0000-00008D000000}" uniqueName="141" name="Independent Schools Standards: 21(3)(a)(ii)" queryTableFieldId="141"/>
    <tableColumn id="142" xr3:uid="{00000000-0010-0000-0000-00008E000000}" uniqueName="142" name="Independent Schools Standards: 21(3)(a)(iii)" queryTableFieldId="142"/>
    <tableColumn id="143" xr3:uid="{00000000-0010-0000-0000-00008F000000}" uniqueName="143" name="Independent Schools Standards: 21(3)(a)(iv)" queryTableFieldId="143"/>
    <tableColumn id="144" xr3:uid="{00000000-0010-0000-0000-000090000000}" uniqueName="144" name="Independent Schools Standards: 21(3)(a)(v)" queryTableFieldId="144"/>
    <tableColumn id="145" xr3:uid="{00000000-0010-0000-0000-000091000000}" uniqueName="145" name="Independent Schools Standards: 21(3)(a)(vi)" queryTableFieldId="145"/>
    <tableColumn id="146" xr3:uid="{00000000-0010-0000-0000-000092000000}" uniqueName="146" name="Independent Schools Standards: 21(3)(a)(vii)" queryTableFieldId="146"/>
    <tableColumn id="147" xr3:uid="{00000000-0010-0000-0000-000093000000}" uniqueName="147" name="Independent Schools Standards: 21(3)(a)(viii)" queryTableFieldId="147"/>
    <tableColumn id="148" xr3:uid="{00000000-0010-0000-0000-000094000000}" uniqueName="148" name="Independent Schools Standards: 21(3)(b)" queryTableFieldId="148"/>
    <tableColumn id="149" xr3:uid="{00000000-0010-0000-0000-000095000000}" uniqueName="149" name="Independent Schools Standards: 21(4)" queryTableFieldId="149"/>
    <tableColumn id="150" xr3:uid="{00000000-0010-0000-0000-000096000000}" uniqueName="150" name="Independent Schools Standards: 21(5)" queryTableFieldId="150"/>
    <tableColumn id="151" xr3:uid="{00000000-0010-0000-0000-000097000000}" uniqueName="151" name="Independent Schools Standards: 21(5)(a)" queryTableFieldId="151"/>
    <tableColumn id="152" xr3:uid="{00000000-0010-0000-0000-000098000000}" uniqueName="152" name="Independent Schools Standards: 21(5)(a)(i)" queryTableFieldId="152"/>
    <tableColumn id="153" xr3:uid="{00000000-0010-0000-0000-000099000000}" uniqueName="153" name="Independent Schools Standards: 21(5)(a)(ii)" queryTableFieldId="153"/>
    <tableColumn id="154" xr3:uid="{00000000-0010-0000-0000-00009A000000}" uniqueName="154" name="Independent Schools Standards: 21(5)(b)" queryTableFieldId="154"/>
    <tableColumn id="155" xr3:uid="{00000000-0010-0000-0000-00009B000000}" uniqueName="155" name="Independent Schools Standards: 21(5)(c)" queryTableFieldId="155"/>
    <tableColumn id="156" xr3:uid="{00000000-0010-0000-0000-00009C000000}" uniqueName="156" name="Independent Schools Standards: 21(6)" queryTableFieldId="156"/>
    <tableColumn id="157" xr3:uid="{00000000-0010-0000-0000-00009D000000}" uniqueName="157" name="Independent Schools Standards: 21(7)" queryTableFieldId="157"/>
    <tableColumn id="158" xr3:uid="{00000000-0010-0000-0000-00009E000000}" uniqueName="158" name="Independent Schools Standards: 21(7)(a)" queryTableFieldId="158"/>
    <tableColumn id="159" xr3:uid="{00000000-0010-0000-0000-00009F000000}" uniqueName="159" name="Independent Schools Standards: 21(7)(b)" queryTableFieldId="159"/>
    <tableColumn id="160" xr3:uid="{00000000-0010-0000-0000-0000A0000000}" uniqueName="160" name="Independent Schools Standards: 23(1)" queryTableFieldId="160"/>
    <tableColumn id="161" xr3:uid="{00000000-0010-0000-0000-0000A1000000}" uniqueName="161" name="Independent Schools Standards: 23(1)(a)" queryTableFieldId="161"/>
    <tableColumn id="162" xr3:uid="{00000000-0010-0000-0000-0000A2000000}" uniqueName="162" name="Independent Schools Standards: 23(1)(b)" queryTableFieldId="162"/>
    <tableColumn id="163" xr3:uid="{00000000-0010-0000-0000-0000A3000000}" uniqueName="163" name="Independent Schools Standards: 23(1)(c)" queryTableFieldId="163"/>
    <tableColumn id="164" xr3:uid="{00000000-0010-0000-0000-0000A4000000}" uniqueName="164" name="Independent Schools Standards: 24(1)" queryTableFieldId="164"/>
    <tableColumn id="165" xr3:uid="{00000000-0010-0000-0000-0000A5000000}" uniqueName="165" name="Independent Schools Standards: 24(1)(a)" queryTableFieldId="165"/>
    <tableColumn id="166" xr3:uid="{00000000-0010-0000-0000-0000A6000000}" uniqueName="166" name="Independent Schools Standards: 24(1)(b)" queryTableFieldId="166"/>
    <tableColumn id="167" xr3:uid="{00000000-0010-0000-0000-0000A7000000}" uniqueName="167" name="Independent Schools Standards: 24(1)(c)" queryTableFieldId="167"/>
    <tableColumn id="168" xr3:uid="{00000000-0010-0000-0000-0000A8000000}" uniqueName="168" name="Independent Schools Standards: 24(2)" queryTableFieldId="168"/>
    <tableColumn id="169" xr3:uid="{00000000-0010-0000-0000-0000A9000000}" uniqueName="169" name="Independent Schools Standards: 25" queryTableFieldId="169"/>
    <tableColumn id="170" xr3:uid="{00000000-0010-0000-0000-0000AA000000}" uniqueName="170" name="Independent Schools Standards: 26" queryTableFieldId="170"/>
    <tableColumn id="171" xr3:uid="{00000000-0010-0000-0000-0000AB000000}" uniqueName="171" name="Independent Schools Standards: 27" queryTableFieldId="171"/>
    <tableColumn id="172" xr3:uid="{00000000-0010-0000-0000-0000AC000000}" uniqueName="172" name="Independent Schools Standards: 27(a)" queryTableFieldId="172"/>
    <tableColumn id="173" xr3:uid="{00000000-0010-0000-0000-0000AD000000}" uniqueName="173" name="Independent Schools Standards: 27(b)" queryTableFieldId="173"/>
    <tableColumn id="174" xr3:uid="{00000000-0010-0000-0000-0000AE000000}" uniqueName="174" name="Independent Schools Standards: 28(1)" queryTableFieldId="174"/>
    <tableColumn id="175" xr3:uid="{00000000-0010-0000-0000-0000AF000000}" uniqueName="175" name="Independent Schools Standards: 28(1)(a)" queryTableFieldId="175"/>
    <tableColumn id="176" xr3:uid="{00000000-0010-0000-0000-0000B0000000}" uniqueName="176" name="Independent Schools Standards: 28(1)(b)" queryTableFieldId="176"/>
    <tableColumn id="177" xr3:uid="{00000000-0010-0000-0000-0000B1000000}" uniqueName="177" name="Independent Schools Standards: 28(1)(c)" queryTableFieldId="177"/>
    <tableColumn id="178" xr3:uid="{00000000-0010-0000-0000-0000B2000000}" uniqueName="178" name="Independent Schools Standards: 28(1)(d)" queryTableFieldId="178"/>
    <tableColumn id="179" xr3:uid="{00000000-0010-0000-0000-0000B3000000}" uniqueName="179" name="Independent Schools Standards: 28(2)" queryTableFieldId="179"/>
    <tableColumn id="180" xr3:uid="{00000000-0010-0000-0000-0000B4000000}" uniqueName="180" name="Independent Schools Standards: 28(2)(a)" queryTableFieldId="180"/>
    <tableColumn id="181" xr3:uid="{00000000-0010-0000-0000-0000B5000000}" uniqueName="181" name="Independent Schools Standards: 28(2)(b)" queryTableFieldId="181"/>
    <tableColumn id="182" xr3:uid="{00000000-0010-0000-0000-0000B6000000}" uniqueName="182" name="Independent Schools Standards: 29(1)" queryTableFieldId="182"/>
    <tableColumn id="183" xr3:uid="{00000000-0010-0000-0000-0000B7000000}" uniqueName="183" name="Independent Schools Standards: 29(1)(a)" queryTableFieldId="183"/>
    <tableColumn id="184" xr3:uid="{00000000-0010-0000-0000-0000B8000000}" uniqueName="184" name="Independent Schools Standards: 29(1)(b)" queryTableFieldId="184"/>
    <tableColumn id="185" xr3:uid="{00000000-0010-0000-0000-0000B9000000}" uniqueName="185" name="Independent Schools Standards: 30" queryTableFieldId="185"/>
    <tableColumn id="186" xr3:uid="{00000000-0010-0000-0000-0000BA000000}" uniqueName="186" name="Independent Schools Standards: 32(1)" queryTableFieldId="186"/>
    <tableColumn id="187" xr3:uid="{00000000-0010-0000-0000-0000BB000000}" uniqueName="187" name="Independent Schools Standards: 32(1)(a)" queryTableFieldId="187"/>
    <tableColumn id="188" xr3:uid="{00000000-0010-0000-0000-0000BC000000}" uniqueName="188" name="Independent Schools Standards: 32(1)(b)" queryTableFieldId="188"/>
    <tableColumn id="189" xr3:uid="{00000000-0010-0000-0000-0000BD000000}" uniqueName="189" name="Independent Schools Standards: 32(1)(c)" queryTableFieldId="189"/>
    <tableColumn id="190" xr3:uid="{00000000-0010-0000-0000-0000BE000000}" uniqueName="190" name="Independent Schools Standards: 32(1)(d)" queryTableFieldId="190"/>
    <tableColumn id="191" xr3:uid="{00000000-0010-0000-0000-0000BF000000}" uniqueName="191" name="Independent Schools Standards: 32(1)(e)" queryTableFieldId="191"/>
    <tableColumn id="192" xr3:uid="{00000000-0010-0000-0000-0000C0000000}" uniqueName="192" name="Independent Schools Standards: 32(1)(f)" queryTableFieldId="192"/>
    <tableColumn id="193" xr3:uid="{00000000-0010-0000-0000-0000C1000000}" uniqueName="193" name="Independent Schools Standards: 32(1)(g)" queryTableFieldId="193"/>
    <tableColumn id="194" xr3:uid="{00000000-0010-0000-0000-0000C2000000}" uniqueName="194" name="Independent Schools Standards: 32(1)(h)" queryTableFieldId="194"/>
    <tableColumn id="195" xr3:uid="{00000000-0010-0000-0000-0000C3000000}" uniqueName="195" name="Independent Schools Standards: 32(1)(i)" queryTableFieldId="195"/>
    <tableColumn id="196" xr3:uid="{00000000-0010-0000-0000-0000C4000000}" uniqueName="196" name="Independent Schools Standards: 32(1)(j)" queryTableFieldId="196"/>
    <tableColumn id="197" xr3:uid="{00000000-0010-0000-0000-0000C5000000}" uniqueName="197" name="Independent Schools Standards: 32(2)" queryTableFieldId="197"/>
    <tableColumn id="198" xr3:uid="{00000000-0010-0000-0000-0000C6000000}" uniqueName="198" name="Independent Schools Standards: 32(2)(a)" queryTableFieldId="198"/>
    <tableColumn id="199" xr3:uid="{00000000-0010-0000-0000-0000C7000000}" uniqueName="199" name="Independent Schools Standards: 32(2)(b)" queryTableFieldId="199"/>
    <tableColumn id="200" xr3:uid="{00000000-0010-0000-0000-0000C8000000}" uniqueName="200" name="Independent Schools Standards: 32(2)(b)(i)" queryTableFieldId="200"/>
    <tableColumn id="201" xr3:uid="{00000000-0010-0000-0000-0000C9000000}" uniqueName="201" name="Independent Schools Standards: 32(2)(b)(ii)" queryTableFieldId="201"/>
    <tableColumn id="202" xr3:uid="{00000000-0010-0000-0000-0000CA000000}" uniqueName="202" name="Independent Schools Standards: 32(2)(c)" queryTableFieldId="202"/>
    <tableColumn id="203" xr3:uid="{00000000-0010-0000-0000-0000CB000000}" uniqueName="203" name="Independent Schools Standards: 32(2)(d)" queryTableFieldId="203"/>
    <tableColumn id="204" xr3:uid="{00000000-0010-0000-0000-0000CC000000}" uniqueName="204" name="Independent Schools Standards: 32(3)" queryTableFieldId="204"/>
    <tableColumn id="205" xr3:uid="{00000000-0010-0000-0000-0000CD000000}" uniqueName="205" name="Independent Schools Standards: 32(3)(a)" queryTableFieldId="205"/>
    <tableColumn id="206" xr3:uid="{00000000-0010-0000-0000-0000CE000000}" uniqueName="206" name="Independent Schools Standards: 32(3)(b)" queryTableFieldId="206"/>
    <tableColumn id="207" xr3:uid="{00000000-0010-0000-0000-0000CF000000}" uniqueName="207" name="Independent Schools Standards: 32(3)(c)" queryTableFieldId="207"/>
    <tableColumn id="208" xr3:uid="{00000000-0010-0000-0000-0000D0000000}" uniqueName="208" name="Independent Schools Standards: 32(3)(d)" queryTableFieldId="208"/>
    <tableColumn id="209" xr3:uid="{00000000-0010-0000-0000-0000D1000000}" uniqueName="209" name="Independent Schools Standards: 32(3)(e)" queryTableFieldId="209"/>
    <tableColumn id="210" xr3:uid="{00000000-0010-0000-0000-0000D2000000}" uniqueName="210" name="Independent Schools Standards: 32(3)(f)" queryTableFieldId="210"/>
    <tableColumn id="211" xr3:uid="{00000000-0010-0000-0000-0000D3000000}" uniqueName="211" name="Independent Schools Standards: 32(3)(g)" queryTableFieldId="211"/>
    <tableColumn id="212" xr3:uid="{00000000-0010-0000-0000-0000D4000000}" uniqueName="212" name="Independent Schools Standards: 32(4)" queryTableFieldId="212"/>
    <tableColumn id="213" xr3:uid="{00000000-0010-0000-0000-0000D5000000}" uniqueName="213" name="Independent Schools Standards: 32(4)(a)" queryTableFieldId="213"/>
    <tableColumn id="214" xr3:uid="{00000000-0010-0000-0000-0000D6000000}" uniqueName="214" name="Independent Schools Standards: 32(4)(b)" queryTableFieldId="214"/>
    <tableColumn id="215" xr3:uid="{00000000-0010-0000-0000-0000D7000000}" uniqueName="215" name="Independent Schools Standards: 32(4)(c)" queryTableFieldId="215"/>
    <tableColumn id="216" xr3:uid="{00000000-0010-0000-0000-0000D8000000}" uniqueName="216" name="Independent Schools Standards: 33" queryTableFieldId="216"/>
    <tableColumn id="217" xr3:uid="{00000000-0010-0000-0000-0000D9000000}" uniqueName="217" name="Independent Schools Standards: 33(a)" queryTableFieldId="217"/>
    <tableColumn id="218" xr3:uid="{00000000-0010-0000-0000-0000DA000000}" uniqueName="218" name="Independent Schools Standards: 33(b)" queryTableFieldId="218"/>
    <tableColumn id="219" xr3:uid="{00000000-0010-0000-0000-0000DB000000}" uniqueName="219" name="Independent Schools Standards: 33(c)" queryTableFieldId="219"/>
    <tableColumn id="220" xr3:uid="{00000000-0010-0000-0000-0000DC000000}" uniqueName="220" name="Independent Schools Standards: 33(d)" queryTableFieldId="220"/>
    <tableColumn id="221" xr3:uid="{00000000-0010-0000-0000-0000DD000000}" uniqueName="221" name="Independent Schools Standards: 33(e)" queryTableFieldId="221"/>
    <tableColumn id="222" xr3:uid="{00000000-0010-0000-0000-0000DE000000}" uniqueName="222" name="Independent Schools Standards: 33(f)" queryTableFieldId="222"/>
    <tableColumn id="223" xr3:uid="{00000000-0010-0000-0000-0000DF000000}" uniqueName="223" name="Independent Schools Standards: 33(g)" queryTableFieldId="223"/>
    <tableColumn id="224" xr3:uid="{00000000-0010-0000-0000-0000E0000000}" uniqueName="224" name="Independent Schools Standards: 33(h)" queryTableFieldId="224"/>
    <tableColumn id="225" xr3:uid="{00000000-0010-0000-0000-0000E1000000}" uniqueName="225" name="Independent Schools Standards: 33(i)" queryTableFieldId="225"/>
    <tableColumn id="226" xr3:uid="{00000000-0010-0000-0000-0000E2000000}" uniqueName="226" name="Independent Schools Standards: 33(i)(i)" queryTableFieldId="226"/>
    <tableColumn id="227" xr3:uid="{00000000-0010-0000-0000-0000E3000000}" uniqueName="227" name="Independent Schools Standards: 33(i)(ii)" queryTableFieldId="227"/>
    <tableColumn id="228" xr3:uid="{00000000-0010-0000-0000-0000E4000000}" uniqueName="228" name="Independent Schools Standards: 33(j)" queryTableFieldId="228"/>
    <tableColumn id="229" xr3:uid="{00000000-0010-0000-0000-0000E5000000}" uniqueName="229" name="Independent Schools Standards: 33(j)(i)" queryTableFieldId="229"/>
    <tableColumn id="230" xr3:uid="{00000000-0010-0000-0000-0000E6000000}" uniqueName="230" name="Independent Schools Standards: 33(j)(ii)" queryTableFieldId="230"/>
    <tableColumn id="231" xr3:uid="{00000000-0010-0000-0000-0000E7000000}" uniqueName="231" name="Independent Schools Standards: 33(k)" queryTableFieldId="231"/>
    <tableColumn id="232" xr3:uid="{00000000-0010-0000-0000-0000E8000000}" uniqueName="232" name="Independent Schools Standards: 34(1)" queryTableFieldId="232"/>
    <tableColumn id="233" xr3:uid="{00000000-0010-0000-0000-0000E9000000}" uniqueName="233" name="Independent Schools Standards: 34(1)(a)" queryTableFieldId="233"/>
    <tableColumn id="234" xr3:uid="{00000000-0010-0000-0000-0000EA000000}" uniqueName="234" name="Independent Schools Standards: 34(1)(b)" queryTableFieldId="234"/>
    <tableColumn id="235" xr3:uid="{00000000-0010-0000-0000-0000EB000000}" uniqueName="235" name="Independent Schools Standards: 34(1)(c)" queryTableFieldId="235"/>
    <tableColumn id="236" xr3:uid="{00000000-0010-0000-0000-0000EC000000}" uniqueName="236" name="Safeguarding Procedure 1" queryTableFieldId="236"/>
    <tableColumn id="237" xr3:uid="{00000000-0010-0000-0000-0000ED000000}" uniqueName="237" name="Safeguarding Procedure 2" queryTableFieldId="237"/>
    <tableColumn id="238" xr3:uid="{00000000-0010-0000-0000-0000EE000000}" uniqueName="238" name="Safeguarding Procedure 3" queryTableFieldId="238"/>
    <tableColumn id="239" xr3:uid="{00000000-0010-0000-0000-0000EF000000}" uniqueName="239" name="Schedule 10 Equality Act 2010" queryTableFieldId="239"/>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clu7sql1_ssdb_REPORT_vw_IE_External_MI_InYear_Monitoring_Only" displayName="Table_clu7sql1_ssdb_REPORT_vw_IE_External_MI_InYear_Monitoring_Only" ref="A4:II63" tableType="queryTable" totalsRowShown="0">
  <autoFilter ref="A4:II63" xr:uid="{00000000-0009-0000-0100-000002000000}"/>
  <tableColumns count="243">
    <tableColumn id="1" xr3:uid="{00000000-0010-0000-0100-000001000000}" uniqueName="1" name="Report" queryTableFieldId="1" dataDxfId="1"/>
    <tableColumn id="3" xr3:uid="{00000000-0010-0000-0100-000003000000}" uniqueName="3" name="URN" queryTableFieldId="3"/>
    <tableColumn id="4" xr3:uid="{00000000-0010-0000-0100-000004000000}" uniqueName="4" name="LAESTAB" queryTableFieldId="4"/>
    <tableColumn id="5" xr3:uid="{00000000-0010-0000-0100-000005000000}" uniqueName="5" name="School name" queryTableFieldId="5"/>
    <tableColumn id="6" xr3:uid="{00000000-0010-0000-0100-000006000000}" uniqueName="6" name="Type of education" queryTableFieldId="6"/>
    <tableColumn id="7" xr3:uid="{00000000-0010-0000-0100-000007000000}" uniqueName="7" name="School Group" queryTableFieldId="7"/>
    <tableColumn id="8" xr3:uid="{00000000-0010-0000-0100-000008000000}" uniqueName="8" name="Ofsted Region" queryTableFieldId="8"/>
    <tableColumn id="9" xr3:uid="{00000000-0010-0000-0100-000009000000}" uniqueName="9" name="Government Office Region" queryTableFieldId="9"/>
    <tableColumn id="10" xr3:uid="{00000000-0010-0000-0100-00000A000000}" uniqueName="10" name="Local Authority" queryTableFieldId="10"/>
    <tableColumn id="11" xr3:uid="{00000000-0010-0000-0100-00000B000000}" uniqueName="11" name="Postcode" queryTableFieldId="11"/>
    <tableColumn id="13" xr3:uid="{00000000-0010-0000-0100-00000D000000}" uniqueName="13" name="Religious character" queryTableFieldId="13"/>
    <tableColumn id="15" xr3:uid="{00000000-0010-0000-0100-00000F000000}" uniqueName="15" name="Religious ethos" queryTableFieldId="15"/>
    <tableColumn id="16" xr3:uid="{00000000-0010-0000-0100-000010000000}" uniqueName="16" name="Special Needs" queryTableFieldId="16"/>
    <tableColumn id="17" xr3:uid="{00000000-0010-0000-0100-000011000000}" uniqueName="17" name="Inspectorate" queryTableFieldId="17"/>
    <tableColumn id="18" xr3:uid="{00000000-0010-0000-0100-000012000000}" uniqueName="18" name="Inspection number" queryTableFieldId="18"/>
    <tableColumn id="19" xr3:uid="{00000000-0010-0000-0100-000013000000}" uniqueName="19" name="First day of inspection" queryTableFieldId="19"/>
    <tableColumn id="20" xr3:uid="{00000000-0010-0000-0100-000014000000}" uniqueName="20" name="Last day of inspection" queryTableFieldId="20"/>
    <tableColumn id="21" xr3:uid="{00000000-0010-0000-0100-000015000000}" uniqueName="21" name="Publication date" queryTableFieldId="21"/>
    <tableColumn id="23" xr3:uid="{00000000-0010-0000-0100-000017000000}" uniqueName="23" name="Inspection type" queryTableFieldId="23"/>
    <tableColumn id="25" xr3:uid="{00000000-0010-0000-0100-000019000000}" uniqueName="25" name="Inspection Grouping Name" queryTableFieldId="25"/>
    <tableColumn id="26" xr3:uid="{00000000-0010-0000-0100-00001A000000}" uniqueName="26" name="Overall effectiveness" queryTableFieldId="26"/>
    <tableColumn id="27" xr3:uid="{00000000-0010-0000-0100-00001B000000}" uniqueName="27" name="Effectiveness of leadership and management" queryTableFieldId="27"/>
    <tableColumn id="28" xr3:uid="{00000000-0010-0000-0100-00001C000000}" uniqueName="28" name="Personal development, behaviour and welfare" queryTableFieldId="28"/>
    <tableColumn id="29" xr3:uid="{00000000-0010-0000-0100-00001D000000}" uniqueName="29" name="Quality of teaching" queryTableFieldId="29"/>
    <tableColumn id="30" xr3:uid="{00000000-0010-0000-0100-00001E000000}" uniqueName="30" name="Outcomes for pupils" queryTableFieldId="30"/>
    <tableColumn id="31" xr3:uid="{00000000-0010-0000-0100-00001F000000}" uniqueName="31" name="Early years provision" queryTableFieldId="31"/>
    <tableColumn id="32" xr3:uid="{00000000-0010-0000-0100-000020000000}" uniqueName="32" name="Sixth form provision" queryTableFieldId="32"/>
    <tableColumn id="33" xr3:uid="{00000000-0010-0000-0100-000021000000}" uniqueName="33" name="Safeguarding" queryTableFieldId="33"/>
    <tableColumn id="34" xr3:uid="{00000000-0010-0000-0100-000022000000}" uniqueName="34" name="Overall outcome" queryTableFieldId="34"/>
    <tableColumn id="278" xr3:uid="{00000000-0010-0000-0100-000016010000}" uniqueName="278" name="OVERALL standards" queryTableFieldId="286"/>
    <tableColumn id="270" xr3:uid="{00000000-0010-0000-0100-00000E010000}" uniqueName="270" name="Part 1 overall" queryTableFieldId="277"/>
    <tableColumn id="271" xr3:uid="{00000000-0010-0000-0100-00000F010000}" uniqueName="271" name="Part 2 overall" queryTableFieldId="276"/>
    <tableColumn id="272" xr3:uid="{00000000-0010-0000-0100-000010010000}" uniqueName="272" name="Part 3 overall" queryTableFieldId="275"/>
    <tableColumn id="273" xr3:uid="{00000000-0010-0000-0100-000011010000}" uniqueName="273" name="Part 4 overall" queryTableFieldId="274"/>
    <tableColumn id="274" xr3:uid="{00000000-0010-0000-0100-000012010000}" uniqueName="274" name="Part 5 overall" queryTableFieldId="273"/>
    <tableColumn id="275" xr3:uid="{00000000-0010-0000-0100-000013010000}" uniqueName="275" name="Part 6 overall" queryTableFieldId="272"/>
    <tableColumn id="276" xr3:uid="{00000000-0010-0000-0100-000014010000}" uniqueName="276" name="Part 7 overall" queryTableFieldId="271"/>
    <tableColumn id="277" xr3:uid="{00000000-0010-0000-0100-000015010000}" uniqueName="277" name="Part 8 overall" queryTableFieldId="270"/>
    <tableColumn id="35" xr3:uid="{00000000-0010-0000-0100-000023000000}" uniqueName="35" name="Independent Schools Standards: 2(1)" queryTableFieldId="35"/>
    <tableColumn id="36" xr3:uid="{00000000-0010-0000-0100-000024000000}" uniqueName="36" name="Independent Schools Standards: 2(1)(a)" queryTableFieldId="36"/>
    <tableColumn id="37" xr3:uid="{00000000-0010-0000-0100-000025000000}" uniqueName="37" name="Independent Schools Standards: 2(1)(b)" queryTableFieldId="37"/>
    <tableColumn id="38" xr3:uid="{00000000-0010-0000-0100-000026000000}" uniqueName="38" name="Independent Schools Standards: 2(1)(b)(i)" queryTableFieldId="38"/>
    <tableColumn id="39" xr3:uid="{00000000-0010-0000-0100-000027000000}" uniqueName="39" name="Independent Schools Standards: 2(1)(b)(ii)" queryTableFieldId="39"/>
    <tableColumn id="40" xr3:uid="{00000000-0010-0000-0100-000028000000}" uniqueName="40" name="Independent Schools Standards: 2(2)" queryTableFieldId="40"/>
    <tableColumn id="41" xr3:uid="{00000000-0010-0000-0100-000029000000}" uniqueName="41" name="Independent Schools Standards: 2(2)(a)" queryTableFieldId="41"/>
    <tableColumn id="42" xr3:uid="{00000000-0010-0000-0100-00002A000000}" uniqueName="42" name="Independent Schools Standards: 2(2)(b)" queryTableFieldId="42"/>
    <tableColumn id="43" xr3:uid="{00000000-0010-0000-0100-00002B000000}" uniqueName="43" name="Independent Schools Standards: 2(2)(c)" queryTableFieldId="43"/>
    <tableColumn id="44" xr3:uid="{00000000-0010-0000-0100-00002C000000}" uniqueName="44" name="Independent Schools Standards: 2(2)(d)" queryTableFieldId="44"/>
    <tableColumn id="45" xr3:uid="{00000000-0010-0000-0100-00002D000000}" uniqueName="45" name="Independent Schools Standards: 2(2)(d)(i)" queryTableFieldId="45"/>
    <tableColumn id="46" xr3:uid="{00000000-0010-0000-0100-00002E000000}" uniqueName="46" name="Independent Schools Standards: 2(2)(d)(ii)" queryTableFieldId="46"/>
    <tableColumn id="47" xr3:uid="{00000000-0010-0000-0100-00002F000000}" uniqueName="47" name="Independent Schools Standards: 2(2)(e)" queryTableFieldId="47"/>
    <tableColumn id="48" xr3:uid="{00000000-0010-0000-0100-000030000000}" uniqueName="48" name="Independent Schools Standards: 2(2)(e)(i)" queryTableFieldId="48"/>
    <tableColumn id="49" xr3:uid="{00000000-0010-0000-0100-000031000000}" uniqueName="49" name="Independent Schools Standards: 2(2)(e)(ii)" queryTableFieldId="49"/>
    <tableColumn id="50" xr3:uid="{00000000-0010-0000-0100-000032000000}" uniqueName="50" name="Independent Schools Standards: 2(2)(e)(iii)" queryTableFieldId="50"/>
    <tableColumn id="51" xr3:uid="{00000000-0010-0000-0100-000033000000}" uniqueName="51" name="Independent Schools Standards: 2(2)(f)" queryTableFieldId="51"/>
    <tableColumn id="52" xr3:uid="{00000000-0010-0000-0100-000034000000}" uniqueName="52" name="Independent Schools Standards: 2(2)(g)" queryTableFieldId="52"/>
    <tableColumn id="53" xr3:uid="{00000000-0010-0000-0100-000035000000}" uniqueName="53" name="Independent Schools Standards: 2(2)(h)" queryTableFieldId="53"/>
    <tableColumn id="54" xr3:uid="{00000000-0010-0000-0100-000036000000}" uniqueName="54" name="Independent Schools Standards: 2(2)(i)" queryTableFieldId="54"/>
    <tableColumn id="55" xr3:uid="{00000000-0010-0000-0100-000037000000}" uniqueName="55" name="Independent Schools Standards: 3" queryTableFieldId="55"/>
    <tableColumn id="56" xr3:uid="{00000000-0010-0000-0100-000038000000}" uniqueName="56" name="Independent Schools Standards: 3(a)" queryTableFieldId="56"/>
    <tableColumn id="57" xr3:uid="{00000000-0010-0000-0100-000039000000}" uniqueName="57" name="Independent Schools Standards: 3(b)" queryTableFieldId="57"/>
    <tableColumn id="58" xr3:uid="{00000000-0010-0000-0100-00003A000000}" uniqueName="58" name="Independent Schools Standards: 3(c)" queryTableFieldId="58"/>
    <tableColumn id="59" xr3:uid="{00000000-0010-0000-0100-00003B000000}" uniqueName="59" name="Independent Schools Standards: 3(d)" queryTableFieldId="59"/>
    <tableColumn id="60" xr3:uid="{00000000-0010-0000-0100-00003C000000}" uniqueName="60" name="Independent Schools Standards: 3(e)" queryTableFieldId="60"/>
    <tableColumn id="61" xr3:uid="{00000000-0010-0000-0100-00003D000000}" uniqueName="61" name="Independent Schools Standards: 3(f)" queryTableFieldId="61"/>
    <tableColumn id="62" xr3:uid="{00000000-0010-0000-0100-00003E000000}" uniqueName="62" name="Independent Schools Standards: 3(g)" queryTableFieldId="62"/>
    <tableColumn id="63" xr3:uid="{00000000-0010-0000-0100-00003F000000}" uniqueName="63" name="Independent Schools Standards: 3(h)" queryTableFieldId="63"/>
    <tableColumn id="64" xr3:uid="{00000000-0010-0000-0100-000040000000}" uniqueName="64" name="Independent Schools Standards: 3(i)" queryTableFieldId="64"/>
    <tableColumn id="65" xr3:uid="{00000000-0010-0000-0100-000041000000}" uniqueName="65" name="Independent Schools Standards: 3(j)" queryTableFieldId="65"/>
    <tableColumn id="66" xr3:uid="{00000000-0010-0000-0100-000042000000}" uniqueName="66" name="Independent Schools Standards: 4" queryTableFieldId="66"/>
    <tableColumn id="67" xr3:uid="{00000000-0010-0000-0100-000043000000}" uniqueName="67" name="Independent Schools Standards: 5" queryTableFieldId="67"/>
    <tableColumn id="68" xr3:uid="{00000000-0010-0000-0100-000044000000}" uniqueName="68" name="Independent Schools Standards: 5(a)" queryTableFieldId="68"/>
    <tableColumn id="69" xr3:uid="{00000000-0010-0000-0100-000045000000}" uniqueName="69" name="Independent Schools Standards: 5(b)" queryTableFieldId="69"/>
    <tableColumn id="70" xr3:uid="{00000000-0010-0000-0100-000046000000}" uniqueName="70" name="Independent Schools Standards: 5(b)(i)" queryTableFieldId="70"/>
    <tableColumn id="71" xr3:uid="{00000000-0010-0000-0100-000047000000}" uniqueName="71" name="Independent Schools Standards: 5(b)(ii)" queryTableFieldId="71"/>
    <tableColumn id="72" xr3:uid="{00000000-0010-0000-0100-000048000000}" uniqueName="72" name="Independent Schools Standards: 5(b)(iii)" queryTableFieldId="72"/>
    <tableColumn id="73" xr3:uid="{00000000-0010-0000-0100-000049000000}" uniqueName="73" name="Independent Schools Standards: 5(b)(iv)" queryTableFieldId="73"/>
    <tableColumn id="74" xr3:uid="{00000000-0010-0000-0100-00004A000000}" uniqueName="74" name="Independent Schools Standards: 5(b)(v)" queryTableFieldId="74"/>
    <tableColumn id="75" xr3:uid="{00000000-0010-0000-0100-00004B000000}" uniqueName="75" name="Independent Schools Standards: 5(b)(vi)" queryTableFieldId="75"/>
    <tableColumn id="76" xr3:uid="{00000000-0010-0000-0100-00004C000000}" uniqueName="76" name="Independent Schools Standards: 5(b)(vii)" queryTableFieldId="76"/>
    <tableColumn id="77" xr3:uid="{00000000-0010-0000-0100-00004D000000}" uniqueName="77" name="Independent Schools Standards: 5(c)" queryTableFieldId="77"/>
    <tableColumn id="78" xr3:uid="{00000000-0010-0000-0100-00004E000000}" uniqueName="78" name="Independent Schools Standards: 5(d)" queryTableFieldId="78"/>
    <tableColumn id="79" xr3:uid="{00000000-0010-0000-0100-00004F000000}" uniqueName="79" name="Independent Schools Standards: 5(d)(i)" queryTableFieldId="79"/>
    <tableColumn id="80" xr3:uid="{00000000-0010-0000-0100-000050000000}" uniqueName="80" name="Independent Schools Standards: 5(d)(ii)" queryTableFieldId="80"/>
    <tableColumn id="81" xr3:uid="{00000000-0010-0000-0100-000051000000}" uniqueName="81" name="Independent Schools Standards: 5(d)(iii)" queryTableFieldId="81"/>
    <tableColumn id="82" xr3:uid="{00000000-0010-0000-0100-000052000000}" uniqueName="82" name="Independent Schools Standards: 7" queryTableFieldId="82"/>
    <tableColumn id="83" xr3:uid="{00000000-0010-0000-0100-000053000000}" uniqueName="83" name="Independent Schools Standards: 7(a)" queryTableFieldId="83"/>
    <tableColumn id="84" xr3:uid="{00000000-0010-0000-0100-000054000000}" uniqueName="84" name="Independent Schools Standards: 7(b)" queryTableFieldId="84"/>
    <tableColumn id="85" xr3:uid="{00000000-0010-0000-0100-000055000000}" uniqueName="85" name="Independent Schools Standards: 8" queryTableFieldId="85"/>
    <tableColumn id="86" xr3:uid="{00000000-0010-0000-0100-000056000000}" uniqueName="86" name="Independent Schools Standards: 8(a)" queryTableFieldId="86"/>
    <tableColumn id="87" xr3:uid="{00000000-0010-0000-0100-000057000000}" uniqueName="87" name="Independent Schools Standards: 8(b)" queryTableFieldId="87"/>
    <tableColumn id="88" xr3:uid="{00000000-0010-0000-0100-000058000000}" uniqueName="88" name="Independent Schools Standards: 9" queryTableFieldId="88"/>
    <tableColumn id="89" xr3:uid="{00000000-0010-0000-0100-000059000000}" uniqueName="89" name="Independent Schools Standards: 9(a)" queryTableFieldId="89"/>
    <tableColumn id="90" xr3:uid="{00000000-0010-0000-0100-00005A000000}" uniqueName="90" name="Independent Schools Standards: 9(b)" queryTableFieldId="90"/>
    <tableColumn id="91" xr3:uid="{00000000-0010-0000-0100-00005B000000}" uniqueName="91" name="Independent Schools Standards: 9(c)" queryTableFieldId="91"/>
    <tableColumn id="92" xr3:uid="{00000000-0010-0000-0100-00005C000000}" uniqueName="92" name="Independent Schools Standards: 10" queryTableFieldId="92"/>
    <tableColumn id="93" xr3:uid="{00000000-0010-0000-0100-00005D000000}" uniqueName="93" name="Independent Schools Standards: 11" queryTableFieldId="93"/>
    <tableColumn id="94" xr3:uid="{00000000-0010-0000-0100-00005E000000}" uniqueName="94" name="Independent Schools Standards: 12" queryTableFieldId="94"/>
    <tableColumn id="95" xr3:uid="{00000000-0010-0000-0100-00005F000000}" uniqueName="95" name="Independent Schools Standards: 13" queryTableFieldId="95"/>
    <tableColumn id="96" xr3:uid="{00000000-0010-0000-0100-000060000000}" uniqueName="96" name="Independent Schools Standards: 14" queryTableFieldId="96"/>
    <tableColumn id="97" xr3:uid="{00000000-0010-0000-0100-000061000000}" uniqueName="97" name="Independent Schools Standards: 15" queryTableFieldId="97"/>
    <tableColumn id="98" xr3:uid="{00000000-0010-0000-0100-000062000000}" uniqueName="98" name="Independent Schools Standards: 16" queryTableFieldId="98"/>
    <tableColumn id="99" xr3:uid="{00000000-0010-0000-0100-000063000000}" uniqueName="99" name="Independent Schools Standards: 16(a)" queryTableFieldId="99"/>
    <tableColumn id="100" xr3:uid="{00000000-0010-0000-0100-000064000000}" uniqueName="100" name="Independent Schools Standards: 16(b)" queryTableFieldId="100"/>
    <tableColumn id="101" xr3:uid="{00000000-0010-0000-0100-000065000000}" uniqueName="101" name="Independent Schools Standards: 18(2)" queryTableFieldId="101"/>
    <tableColumn id="102" xr3:uid="{00000000-0010-0000-0100-000066000000}" uniqueName="102" name="Independent Schools Standards: 18(2)(a)" queryTableFieldId="102"/>
    <tableColumn id="103" xr3:uid="{00000000-0010-0000-0100-000067000000}" uniqueName="103" name="Independent Schools Standards: 18(2)(b)" queryTableFieldId="103"/>
    <tableColumn id="104" xr3:uid="{00000000-0010-0000-0100-000068000000}" uniqueName="104" name="Independent Schools Standards: 18(2)(c)" queryTableFieldId="104"/>
    <tableColumn id="105" xr3:uid="{00000000-0010-0000-0100-000069000000}" uniqueName="105" name="Independent Schools Standards: 18(2)(c)(i)" queryTableFieldId="105"/>
    <tableColumn id="106" xr3:uid="{00000000-0010-0000-0100-00006A000000}" uniqueName="106" name="Independent Schools Standards: 18(2)(c)(ii)" queryTableFieldId="106"/>
    <tableColumn id="107" xr3:uid="{00000000-0010-0000-0100-00006B000000}" uniqueName="107" name="Independent Schools Standards: 18(2)(c)(iii)" queryTableFieldId="107"/>
    <tableColumn id="108" xr3:uid="{00000000-0010-0000-0100-00006C000000}" uniqueName="108" name="Independent Schools Standards: 18(2)(c)(iv)" queryTableFieldId="108"/>
    <tableColumn id="109" xr3:uid="{00000000-0010-0000-0100-00006D000000}" uniqueName="109" name="Independent Schools Standards: 18(2)(d)" queryTableFieldId="109"/>
    <tableColumn id="110" xr3:uid="{00000000-0010-0000-0100-00006E000000}" uniqueName="110" name="Independent Schools Standards: 18(2)(e)" queryTableFieldId="110"/>
    <tableColumn id="111" xr3:uid="{00000000-0010-0000-0100-00006F000000}" uniqueName="111" name="Independent Schools Standards: 18(2)(f)" queryTableFieldId="111"/>
    <tableColumn id="112" xr3:uid="{00000000-0010-0000-0100-000070000000}" uniqueName="112" name="Independent Schools Standards: 18(3)" queryTableFieldId="112"/>
    <tableColumn id="113" xr3:uid="{00000000-0010-0000-0100-000071000000}" uniqueName="113" name="Independent Schools Standards: 19(2)" queryTableFieldId="113"/>
    <tableColumn id="114" xr3:uid="{00000000-0010-0000-0100-000072000000}" uniqueName="114" name="Independent Schools Standards: 19(2)(a)" queryTableFieldId="114"/>
    <tableColumn id="115" xr3:uid="{00000000-0010-0000-0100-000073000000}" uniqueName="115" name="Independent Schools Standards: 19(2)(a)(i)" queryTableFieldId="115"/>
    <tableColumn id="116" xr3:uid="{00000000-0010-0000-0100-000074000000}" uniqueName="116" name="Independent Schools Standards: 19(2)(a)(i)(aa)" queryTableFieldId="116"/>
    <tableColumn id="117" xr3:uid="{00000000-0010-0000-0100-000075000000}" uniqueName="117" name="Independent Schools Standards: 19(2)(a)(i)(bb)" queryTableFieldId="117"/>
    <tableColumn id="118" xr3:uid="{00000000-0010-0000-0100-000076000000}" uniqueName="118" name="Independent Schools Standards: 19(2)(a)(i)(cc)" queryTableFieldId="118"/>
    <tableColumn id="119" xr3:uid="{00000000-0010-0000-0100-000077000000}" uniqueName="119" name="Independent Schools Standards: 19(2)(a)(ii)" queryTableFieldId="119"/>
    <tableColumn id="120" xr3:uid="{00000000-0010-0000-0100-000078000000}" uniqueName="120" name="Independent Schools Standards: 19(2)(b)" queryTableFieldId="120"/>
    <tableColumn id="121" xr3:uid="{00000000-0010-0000-0100-000079000000}" uniqueName="121" name="Independent Schools Standards: 19(2)(c)" queryTableFieldId="121"/>
    <tableColumn id="122" xr3:uid="{00000000-0010-0000-0100-00007A000000}" uniqueName="122" name="Independent Schools Standards: 19(2)(d)" queryTableFieldId="122"/>
    <tableColumn id="123" xr3:uid="{00000000-0010-0000-0100-00007B000000}" uniqueName="123" name="Independent Schools Standards: 19(2)(d)(i)" queryTableFieldId="123"/>
    <tableColumn id="124" xr3:uid="{00000000-0010-0000-0100-00007C000000}" uniqueName="124" name="Independent Schools Standards: 19(2)(d)(ii)" queryTableFieldId="124"/>
    <tableColumn id="125" xr3:uid="{00000000-0010-0000-0100-00007D000000}" uniqueName="125" name="Independent Schools Standards: 19(2)(e)" queryTableFieldId="125"/>
    <tableColumn id="126" xr3:uid="{00000000-0010-0000-0100-00007E000000}" uniqueName="126" name="Independent Schools Standards: 19(3)" queryTableFieldId="126"/>
    <tableColumn id="127" xr3:uid="{00000000-0010-0000-0100-00007F000000}" uniqueName="127" name="Independent Schools Standards: 20(6)" queryTableFieldId="127"/>
    <tableColumn id="128" xr3:uid="{00000000-0010-0000-0100-000080000000}" uniqueName="128" name="Independent Schools Standards: 20(6)(a)" queryTableFieldId="128"/>
    <tableColumn id="129" xr3:uid="{00000000-0010-0000-0100-000081000000}" uniqueName="129" name="Independent Schools Standards: 20(6)(a)(i)" queryTableFieldId="129"/>
    <tableColumn id="130" xr3:uid="{00000000-0010-0000-0100-000082000000}" uniqueName="130" name="Independent Schools Standards: 20(6)(a)(ii)" queryTableFieldId="130"/>
    <tableColumn id="131" xr3:uid="{00000000-0010-0000-0100-000083000000}" uniqueName="131" name="Independent Schools Standards: 20(6)(b)" queryTableFieldId="131"/>
    <tableColumn id="132" xr3:uid="{00000000-0010-0000-0100-000084000000}" uniqueName="132" name="Independent Schools Standards: 20(6)(b)(i)" queryTableFieldId="132"/>
    <tableColumn id="133" xr3:uid="{00000000-0010-0000-0100-000085000000}" uniqueName="133" name="Independent Schools Standards: 20(6)(b)(ii)" queryTableFieldId="133"/>
    <tableColumn id="134" xr3:uid="{00000000-0010-0000-0100-000086000000}" uniqueName="134" name="Independent Schools Standards: 20(6)(b)(iii)" queryTableFieldId="134"/>
    <tableColumn id="135" xr3:uid="{00000000-0010-0000-0100-000087000000}" uniqueName="135" name="Independent Schools Standards: 20(6)(c)" queryTableFieldId="135"/>
    <tableColumn id="136" xr3:uid="{00000000-0010-0000-0100-000088000000}" uniqueName="136" name="Independent Schools Standards: 21(1)" queryTableFieldId="136"/>
    <tableColumn id="137" xr3:uid="{00000000-0010-0000-0100-000089000000}" uniqueName="137" name="Independent Schools Standards: 21(2)" queryTableFieldId="137"/>
    <tableColumn id="138" xr3:uid="{00000000-0010-0000-0100-00008A000000}" uniqueName="138" name="Independent Schools Standards: 21(3)" queryTableFieldId="138"/>
    <tableColumn id="139" xr3:uid="{00000000-0010-0000-0100-00008B000000}" uniqueName="139" name="Independent Schools Standards: 21(3)(a)" queryTableFieldId="139"/>
    <tableColumn id="140" xr3:uid="{00000000-0010-0000-0100-00008C000000}" uniqueName="140" name="Independent Schools Standards: 21(3)(a)(i)" queryTableFieldId="140"/>
    <tableColumn id="141" xr3:uid="{00000000-0010-0000-0100-00008D000000}" uniqueName="141" name="Independent Schools Standards: 21(3)(a)(ii)" queryTableFieldId="141"/>
    <tableColumn id="142" xr3:uid="{00000000-0010-0000-0100-00008E000000}" uniqueName="142" name="Independent Schools Standards: 21(3)(a)(iii)" queryTableFieldId="142"/>
    <tableColumn id="143" xr3:uid="{00000000-0010-0000-0100-00008F000000}" uniqueName="143" name="Independent Schools Standards: 21(3)(a)(iv)" queryTableFieldId="143"/>
    <tableColumn id="144" xr3:uid="{00000000-0010-0000-0100-000090000000}" uniqueName="144" name="Independent Schools Standards: 21(3)(a)(v)" queryTableFieldId="144"/>
    <tableColumn id="145" xr3:uid="{00000000-0010-0000-0100-000091000000}" uniqueName="145" name="Independent Schools Standards: 21(3)(a)(vi)" queryTableFieldId="145"/>
    <tableColumn id="146" xr3:uid="{00000000-0010-0000-0100-000092000000}" uniqueName="146" name="Independent Schools Standards: 21(3)(a)(vii)" queryTableFieldId="146"/>
    <tableColumn id="147" xr3:uid="{00000000-0010-0000-0100-000093000000}" uniqueName="147" name="Independent Schools Standards: 21(3)(a)(viii)" queryTableFieldId="147"/>
    <tableColumn id="148" xr3:uid="{00000000-0010-0000-0100-000094000000}" uniqueName="148" name="Independent Schools Standards: 21(3)(b)" queryTableFieldId="148"/>
    <tableColumn id="149" xr3:uid="{00000000-0010-0000-0100-000095000000}" uniqueName="149" name="Independent Schools Standards: 21(4)" queryTableFieldId="149"/>
    <tableColumn id="150" xr3:uid="{00000000-0010-0000-0100-000096000000}" uniqueName="150" name="Independent Schools Standards: 21(5)" queryTableFieldId="150"/>
    <tableColumn id="151" xr3:uid="{00000000-0010-0000-0100-000097000000}" uniqueName="151" name="Independent Schools Standards: 21(5)(a)" queryTableFieldId="151"/>
    <tableColumn id="152" xr3:uid="{00000000-0010-0000-0100-000098000000}" uniqueName="152" name="Independent Schools Standards: 21(5)(a)(i)" queryTableFieldId="152"/>
    <tableColumn id="153" xr3:uid="{00000000-0010-0000-0100-000099000000}" uniqueName="153" name="Independent Schools Standards: 21(5)(a)(ii)" queryTableFieldId="153"/>
    <tableColumn id="154" xr3:uid="{00000000-0010-0000-0100-00009A000000}" uniqueName="154" name="Independent Schools Standards: 21(5)(b)" queryTableFieldId="154"/>
    <tableColumn id="155" xr3:uid="{00000000-0010-0000-0100-00009B000000}" uniqueName="155" name="Independent Schools Standards: 21(5)(c)" queryTableFieldId="155"/>
    <tableColumn id="156" xr3:uid="{00000000-0010-0000-0100-00009C000000}" uniqueName="156" name="Independent Schools Standards: 21(6)" queryTableFieldId="156"/>
    <tableColumn id="157" xr3:uid="{00000000-0010-0000-0100-00009D000000}" uniqueName="157" name="Independent Schools Standards: 21(7)" queryTableFieldId="157"/>
    <tableColumn id="158" xr3:uid="{00000000-0010-0000-0100-00009E000000}" uniqueName="158" name="Independent Schools Standards: 21(7)(a)" queryTableFieldId="158"/>
    <tableColumn id="159" xr3:uid="{00000000-0010-0000-0100-00009F000000}" uniqueName="159" name="Independent Schools Standards: 21(7)(b)" queryTableFieldId="159"/>
    <tableColumn id="160" xr3:uid="{00000000-0010-0000-0100-0000A0000000}" uniqueName="160" name="Independent Schools Standards: 23(1)" queryTableFieldId="160"/>
    <tableColumn id="161" xr3:uid="{00000000-0010-0000-0100-0000A1000000}" uniqueName="161" name="Independent Schools Standards: 23(1)(a)" queryTableFieldId="161"/>
    <tableColumn id="162" xr3:uid="{00000000-0010-0000-0100-0000A2000000}" uniqueName="162" name="Independent Schools Standards: 23(1)(b)" queryTableFieldId="162"/>
    <tableColumn id="163" xr3:uid="{00000000-0010-0000-0100-0000A3000000}" uniqueName="163" name="Independent Schools Standards: 23(1)(c)" queryTableFieldId="163"/>
    <tableColumn id="164" xr3:uid="{00000000-0010-0000-0100-0000A4000000}" uniqueName="164" name="Independent Schools Standards: 24(1)" queryTableFieldId="164"/>
    <tableColumn id="165" xr3:uid="{00000000-0010-0000-0100-0000A5000000}" uniqueName="165" name="Independent Schools Standards: 24(1)(a)" queryTableFieldId="165"/>
    <tableColumn id="166" xr3:uid="{00000000-0010-0000-0100-0000A6000000}" uniqueName="166" name="Independent Schools Standards: 24(1)(b)" queryTableFieldId="166"/>
    <tableColumn id="167" xr3:uid="{00000000-0010-0000-0100-0000A7000000}" uniqueName="167" name="Independent Schools Standards: 24(1)(c)" queryTableFieldId="167"/>
    <tableColumn id="168" xr3:uid="{00000000-0010-0000-0100-0000A8000000}" uniqueName="168" name="Independent Schools Standards: 24(2)" queryTableFieldId="168"/>
    <tableColumn id="169" xr3:uid="{00000000-0010-0000-0100-0000A9000000}" uniqueName="169" name="Independent Schools Standards: 25" queryTableFieldId="169"/>
    <tableColumn id="170" xr3:uid="{00000000-0010-0000-0100-0000AA000000}" uniqueName="170" name="Independent Schools Standards: 26" queryTableFieldId="170"/>
    <tableColumn id="171" xr3:uid="{00000000-0010-0000-0100-0000AB000000}" uniqueName="171" name="Independent Schools Standards: 27" queryTableFieldId="171"/>
    <tableColumn id="172" xr3:uid="{00000000-0010-0000-0100-0000AC000000}" uniqueName="172" name="Independent Schools Standards: 27(a)" queryTableFieldId="172"/>
    <tableColumn id="173" xr3:uid="{00000000-0010-0000-0100-0000AD000000}" uniqueName="173" name="Independent Schools Standards: 27(b)" queryTableFieldId="173"/>
    <tableColumn id="174" xr3:uid="{00000000-0010-0000-0100-0000AE000000}" uniqueName="174" name="Independent Schools Standards: 28(1)" queryTableFieldId="174"/>
    <tableColumn id="175" xr3:uid="{00000000-0010-0000-0100-0000AF000000}" uniqueName="175" name="Independent Schools Standards: 28(1)(a)" queryTableFieldId="175"/>
    <tableColumn id="176" xr3:uid="{00000000-0010-0000-0100-0000B0000000}" uniqueName="176" name="Independent Schools Standards: 28(1)(b)" queryTableFieldId="176"/>
    <tableColumn id="177" xr3:uid="{00000000-0010-0000-0100-0000B1000000}" uniqueName="177" name="Independent Schools Standards: 28(1)(c)" queryTableFieldId="177"/>
    <tableColumn id="178" xr3:uid="{00000000-0010-0000-0100-0000B2000000}" uniqueName="178" name="Independent Schools Standards: 28(1)(d)" queryTableFieldId="178"/>
    <tableColumn id="179" xr3:uid="{00000000-0010-0000-0100-0000B3000000}" uniqueName="179" name="Independent Schools Standards: 28(2)" queryTableFieldId="179"/>
    <tableColumn id="180" xr3:uid="{00000000-0010-0000-0100-0000B4000000}" uniqueName="180" name="Independent Schools Standards: 28(2)(a)" queryTableFieldId="180"/>
    <tableColumn id="181" xr3:uid="{00000000-0010-0000-0100-0000B5000000}" uniqueName="181" name="Independent Schools Standards: 28(2)(b)" queryTableFieldId="181"/>
    <tableColumn id="182" xr3:uid="{00000000-0010-0000-0100-0000B6000000}" uniqueName="182" name="Independent Schools Standards: 29(1)" queryTableFieldId="182"/>
    <tableColumn id="183" xr3:uid="{00000000-0010-0000-0100-0000B7000000}" uniqueName="183" name="Independent Schools Standards: 29(1)(a)" queryTableFieldId="183"/>
    <tableColumn id="184" xr3:uid="{00000000-0010-0000-0100-0000B8000000}" uniqueName="184" name="Independent Schools Standards: 29(1)(b)" queryTableFieldId="184"/>
    <tableColumn id="185" xr3:uid="{00000000-0010-0000-0100-0000B9000000}" uniqueName="185" name="Independent Schools Standards: 30" queryTableFieldId="185"/>
    <tableColumn id="186" xr3:uid="{00000000-0010-0000-0100-0000BA000000}" uniqueName="186" name="Independent Schools Standards: 32(1)" queryTableFieldId="186"/>
    <tableColumn id="187" xr3:uid="{00000000-0010-0000-0100-0000BB000000}" uniqueName="187" name="Independent Schools Standards: 32(1)(a)" queryTableFieldId="187"/>
    <tableColumn id="188" xr3:uid="{00000000-0010-0000-0100-0000BC000000}" uniqueName="188" name="Independent Schools Standards: 32(1)(b)" queryTableFieldId="188"/>
    <tableColumn id="189" xr3:uid="{00000000-0010-0000-0100-0000BD000000}" uniqueName="189" name="Independent Schools Standards: 32(1)(c)" queryTableFieldId="189"/>
    <tableColumn id="190" xr3:uid="{00000000-0010-0000-0100-0000BE000000}" uniqueName="190" name="Independent Schools Standards: 32(1)(d)" queryTableFieldId="190"/>
    <tableColumn id="191" xr3:uid="{00000000-0010-0000-0100-0000BF000000}" uniqueName="191" name="Independent Schools Standards: 32(1)(e)" queryTableFieldId="191"/>
    <tableColumn id="192" xr3:uid="{00000000-0010-0000-0100-0000C0000000}" uniqueName="192" name="Independent Schools Standards: 32(1)(f)" queryTableFieldId="192"/>
    <tableColumn id="193" xr3:uid="{00000000-0010-0000-0100-0000C1000000}" uniqueName="193" name="Independent Schools Standards: 32(1)(g)" queryTableFieldId="193"/>
    <tableColumn id="194" xr3:uid="{00000000-0010-0000-0100-0000C2000000}" uniqueName="194" name="Independent Schools Standards: 32(1)(h)" queryTableFieldId="194"/>
    <tableColumn id="195" xr3:uid="{00000000-0010-0000-0100-0000C3000000}" uniqueName="195" name="Independent Schools Standards: 32(1)(i)" queryTableFieldId="195"/>
    <tableColumn id="196" xr3:uid="{00000000-0010-0000-0100-0000C4000000}" uniqueName="196" name="Independent Schools Standards: 32(1)(j)" queryTableFieldId="196"/>
    <tableColumn id="197" xr3:uid="{00000000-0010-0000-0100-0000C5000000}" uniqueName="197" name="Independent Schools Standards: 32(2)" queryTableFieldId="197"/>
    <tableColumn id="198" xr3:uid="{00000000-0010-0000-0100-0000C6000000}" uniqueName="198" name="Independent Schools Standards: 32(2)(a)" queryTableFieldId="198"/>
    <tableColumn id="199" xr3:uid="{00000000-0010-0000-0100-0000C7000000}" uniqueName="199" name="Independent Schools Standards: 32(2)(b)" queryTableFieldId="199"/>
    <tableColumn id="200" xr3:uid="{00000000-0010-0000-0100-0000C8000000}" uniqueName="200" name="Independent Schools Standards: 32(2)(b)(i)" queryTableFieldId="200"/>
    <tableColumn id="201" xr3:uid="{00000000-0010-0000-0100-0000C9000000}" uniqueName="201" name="Independent Schools Standards: 32(2)(b)(ii)" queryTableFieldId="201"/>
    <tableColumn id="202" xr3:uid="{00000000-0010-0000-0100-0000CA000000}" uniqueName="202" name="Independent Schools Standards: 32(2)(c)" queryTableFieldId="202"/>
    <tableColumn id="203" xr3:uid="{00000000-0010-0000-0100-0000CB000000}" uniqueName="203" name="Independent Schools Standards: 32(2)(d)" queryTableFieldId="203"/>
    <tableColumn id="204" xr3:uid="{00000000-0010-0000-0100-0000CC000000}" uniqueName="204" name="Independent Schools Standards: 32(3)" queryTableFieldId="204"/>
    <tableColumn id="205" xr3:uid="{00000000-0010-0000-0100-0000CD000000}" uniqueName="205" name="Independent Schools Standards: 32(3)(a)" queryTableFieldId="205"/>
    <tableColumn id="206" xr3:uid="{00000000-0010-0000-0100-0000CE000000}" uniqueName="206" name="Independent Schools Standards: 32(3)(b)" queryTableFieldId="206"/>
    <tableColumn id="207" xr3:uid="{00000000-0010-0000-0100-0000CF000000}" uniqueName="207" name="Independent Schools Standards: 32(3)(c)" queryTableFieldId="207"/>
    <tableColumn id="208" xr3:uid="{00000000-0010-0000-0100-0000D0000000}" uniqueName="208" name="Independent Schools Standards: 32(3)(d)" queryTableFieldId="208"/>
    <tableColumn id="209" xr3:uid="{00000000-0010-0000-0100-0000D1000000}" uniqueName="209" name="Independent Schools Standards: 32(3)(e)" queryTableFieldId="209"/>
    <tableColumn id="210" xr3:uid="{00000000-0010-0000-0100-0000D2000000}" uniqueName="210" name="Independent Schools Standards: 32(3)(f)" queryTableFieldId="210"/>
    <tableColumn id="211" xr3:uid="{00000000-0010-0000-0100-0000D3000000}" uniqueName="211" name="Independent Schools Standards: 32(3)(g)" queryTableFieldId="211"/>
    <tableColumn id="212" xr3:uid="{00000000-0010-0000-0100-0000D4000000}" uniqueName="212" name="Independent Schools Standards: 32(4)" queryTableFieldId="212"/>
    <tableColumn id="213" xr3:uid="{00000000-0010-0000-0100-0000D5000000}" uniqueName="213" name="Independent Schools Standards: 32(4)(a)" queryTableFieldId="213"/>
    <tableColumn id="214" xr3:uid="{00000000-0010-0000-0100-0000D6000000}" uniqueName="214" name="Independent Schools Standards: 32(4)(b)" queryTableFieldId="214"/>
    <tableColumn id="215" xr3:uid="{00000000-0010-0000-0100-0000D7000000}" uniqueName="215" name="Independent Schools Standards: 32(4)(c)" queryTableFieldId="215"/>
    <tableColumn id="216" xr3:uid="{00000000-0010-0000-0100-0000D8000000}" uniqueName="216" name="Independent Schools Standards: 33" queryTableFieldId="216"/>
    <tableColumn id="217" xr3:uid="{00000000-0010-0000-0100-0000D9000000}" uniqueName="217" name="Independent Schools Standards: 33(a)" queryTableFieldId="217"/>
    <tableColumn id="218" xr3:uid="{00000000-0010-0000-0100-0000DA000000}" uniqueName="218" name="Independent Schools Standards: 33(b)" queryTableFieldId="218"/>
    <tableColumn id="219" xr3:uid="{00000000-0010-0000-0100-0000DB000000}" uniqueName="219" name="Independent Schools Standards: 33(c)" queryTableFieldId="219"/>
    <tableColumn id="220" xr3:uid="{00000000-0010-0000-0100-0000DC000000}" uniqueName="220" name="Independent Schools Standards: 33(d)" queryTableFieldId="220"/>
    <tableColumn id="221" xr3:uid="{00000000-0010-0000-0100-0000DD000000}" uniqueName="221" name="Independent Schools Standards: 33(e)" queryTableFieldId="221"/>
    <tableColumn id="222" xr3:uid="{00000000-0010-0000-0100-0000DE000000}" uniqueName="222" name="Independent Schools Standards: 33(f)" queryTableFieldId="222"/>
    <tableColumn id="223" xr3:uid="{00000000-0010-0000-0100-0000DF000000}" uniqueName="223" name="Independent Schools Standards: 33(g)" queryTableFieldId="223"/>
    <tableColumn id="224" xr3:uid="{00000000-0010-0000-0100-0000E0000000}" uniqueName="224" name="Independent Schools Standards: 33(h)" queryTableFieldId="224"/>
    <tableColumn id="225" xr3:uid="{00000000-0010-0000-0100-0000E1000000}" uniqueName="225" name="Independent Schools Standards: 33(i)" queryTableFieldId="225"/>
    <tableColumn id="226" xr3:uid="{00000000-0010-0000-0100-0000E2000000}" uniqueName="226" name="Independent Schools Standards: 33(i)(i)" queryTableFieldId="226"/>
    <tableColumn id="227" xr3:uid="{00000000-0010-0000-0100-0000E3000000}" uniqueName="227" name="Independent Schools Standards: 33(i)(ii)" queryTableFieldId="227"/>
    <tableColumn id="228" xr3:uid="{00000000-0010-0000-0100-0000E4000000}" uniqueName="228" name="Independent Schools Standards: 33(j)" queryTableFieldId="228"/>
    <tableColumn id="229" xr3:uid="{00000000-0010-0000-0100-0000E5000000}" uniqueName="229" name="Independent Schools Standards: 33(j)(i)" queryTableFieldId="229"/>
    <tableColumn id="230" xr3:uid="{00000000-0010-0000-0100-0000E6000000}" uniqueName="230" name="Independent Schools Standards: 33(j)(ii)" queryTableFieldId="230"/>
    <tableColumn id="231" xr3:uid="{00000000-0010-0000-0100-0000E7000000}" uniqueName="231" name="Independent Schools Standards: 33(k)" queryTableFieldId="231"/>
    <tableColumn id="232" xr3:uid="{00000000-0010-0000-0100-0000E8000000}" uniqueName="232" name="Independent Schools Standards: 34(1)" queryTableFieldId="232"/>
    <tableColumn id="233" xr3:uid="{00000000-0010-0000-0100-0000E9000000}" uniqueName="233" name="Independent Schools Standards: 34(1)(a)" queryTableFieldId="233"/>
    <tableColumn id="234" xr3:uid="{00000000-0010-0000-0100-0000EA000000}" uniqueName="234" name="Independent Schools Standards: 34(1)(b)" queryTableFieldId="234"/>
    <tableColumn id="235" xr3:uid="{00000000-0010-0000-0100-0000EB000000}" uniqueName="235" name="Independent Schools Standards: 34(1)(c)" queryTableFieldId="235"/>
    <tableColumn id="236" xr3:uid="{00000000-0010-0000-0100-0000EC000000}" uniqueName="236" name="Safeguarding Procedure 1" queryTableFieldId="236"/>
    <tableColumn id="237" xr3:uid="{00000000-0010-0000-0100-0000ED000000}" uniqueName="237" name="Safeguarding Procedure 2" queryTableFieldId="237"/>
    <tableColumn id="238" xr3:uid="{00000000-0010-0000-0100-0000EE000000}" uniqueName="238" name="Safeguarding Procedure 3" queryTableFieldId="238"/>
    <tableColumn id="239" xr3:uid="{00000000-0010-0000-0100-0000EF000000}" uniqueName="239" name="Schedule 10 Equality Act 2010" queryTableFieldId="23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clu7sql1_ssdb_REPORT_vw_IE_External_MI_SON" displayName="Table_clu7sql1_ssdb_REPORT_vw_IE_External_MI_SON" ref="A4:AH1086" tableType="queryTable" totalsRowShown="0">
  <autoFilter ref="A4:AH1086" xr:uid="{00000000-0009-0000-0100-000003000000}"/>
  <tableColumns count="34">
    <tableColumn id="1" xr3:uid="{00000000-0010-0000-0200-000001000000}" uniqueName="1" name="Report" queryTableFieldId="1" dataDxfId="0"/>
    <tableColumn id="2" xr3:uid="{00000000-0010-0000-0200-000002000000}" uniqueName="2" name="URN" queryTableFieldId="2"/>
    <tableColumn id="3" xr3:uid="{00000000-0010-0000-0200-000003000000}" uniqueName="3" name="LAESTAB" queryTableFieldId="3"/>
    <tableColumn id="4" xr3:uid="{00000000-0010-0000-0200-000004000000}" uniqueName="4" name="School name" queryTableFieldId="4"/>
    <tableColumn id="5" xr3:uid="{00000000-0010-0000-0200-000005000000}" uniqueName="5" name="Type of education" queryTableFieldId="5"/>
    <tableColumn id="27" xr3:uid="{00000000-0010-0000-0200-00001B000000}" uniqueName="27" name="Religious character" queryTableFieldId="27"/>
    <tableColumn id="6" xr3:uid="{00000000-0010-0000-0200-000006000000}" uniqueName="6" name="Religious ethos" queryTableFieldId="6"/>
    <tableColumn id="8" xr3:uid="{00000000-0010-0000-0200-000008000000}" uniqueName="8" name="Provider open / closed status" queryTableFieldId="8"/>
    <tableColumn id="9" xr3:uid="{00000000-0010-0000-0200-000009000000}" uniqueName="9" name="Special needs" queryTableFieldId="9"/>
    <tableColumn id="10" xr3:uid="{00000000-0010-0000-0200-00000A000000}" uniqueName="10" name="Inspectorate" queryTableFieldId="10"/>
    <tableColumn id="11" xr3:uid="{00000000-0010-0000-0200-00000B000000}" uniqueName="11" name="Ofsted region" queryTableFieldId="11"/>
    <tableColumn id="12" xr3:uid="{00000000-0010-0000-0200-00000C000000}" uniqueName="12" name="Region" queryTableFieldId="12"/>
    <tableColumn id="13" xr3:uid="{00000000-0010-0000-0200-00000D000000}" uniqueName="13" name="Local authority" queryTableFieldId="13"/>
    <tableColumn id="14" xr3:uid="{00000000-0010-0000-0200-00000E000000}" uniqueName="14" name="Postcode" queryTableFieldId="14"/>
    <tableColumn id="15" xr3:uid="{00000000-0010-0000-0200-00000F000000}" uniqueName="15" name="Inspection number" queryTableFieldId="15"/>
    <tableColumn id="16" xr3:uid="{00000000-0010-0000-0200-000010000000}" uniqueName="16" name="First day of inspection" queryTableFieldId="16"/>
    <tableColumn id="17" xr3:uid="{00000000-0010-0000-0200-000011000000}" uniqueName="17" name="Last day of inspection" queryTableFieldId="17"/>
    <tableColumn id="18" xr3:uid="{00000000-0010-0000-0200-000012000000}" uniqueName="18" name="Publication date" queryTableFieldId="18"/>
    <tableColumn id="19" xr3:uid="{00000000-0010-0000-0200-000013000000}" uniqueName="19" name="Inspection type" queryTableFieldId="19"/>
    <tableColumn id="20" xr3:uid="{00000000-0010-0000-0200-000014000000}" uniqueName="20" name="Overall effectiveness" queryTableFieldId="20"/>
    <tableColumn id="28" xr3:uid="{00000000-0010-0000-0200-00001C000000}" uniqueName="28" name="Safeguarding is effective?" queryTableFieldId="28"/>
    <tableColumn id="21" xr3:uid="{00000000-0010-0000-0200-000015000000}" uniqueName="21" name="Effectiveness of leadership and management" queryTableFieldId="21"/>
    <tableColumn id="22" xr3:uid="{00000000-0010-0000-0200-000016000000}" uniqueName="22" name="Personal development, behaviour and welfare" queryTableFieldId="22"/>
    <tableColumn id="23" xr3:uid="{00000000-0010-0000-0200-000017000000}" uniqueName="23" name="Quality of teaching" queryTableFieldId="23"/>
    <tableColumn id="24" xr3:uid="{00000000-0010-0000-0200-000018000000}" uniqueName="24" name="Outcomes for pupils" queryTableFieldId="24"/>
    <tableColumn id="25" xr3:uid="{00000000-0010-0000-0200-000019000000}" uniqueName="25" name="Early years provision" queryTableFieldId="25"/>
    <tableColumn id="26" xr3:uid="{00000000-0010-0000-0200-00001A000000}" uniqueName="26" name="Sixth form provision" queryTableFieldId="26"/>
    <tableColumn id="29" xr3:uid="{00000000-0010-0000-0200-00001D000000}" uniqueName="29" name="Have all standards been met" queryTableFieldId="31"/>
    <tableColumn id="30" xr3:uid="{00000000-0010-0000-0200-00001E000000}" uniqueName="30" name="Prog Mon Event number" queryTableFieldId="33"/>
    <tableColumn id="31" xr3:uid="{00000000-0010-0000-0200-00001F000000}" uniqueName="31" name="Prog Mon Event type" queryTableFieldId="38"/>
    <tableColumn id="32" xr3:uid="{00000000-0010-0000-0200-000020000000}" uniqueName="32" name="Prog Mon event end date" queryTableFieldId="37"/>
    <tableColumn id="33" xr3:uid="{00000000-0010-0000-0200-000021000000}" uniqueName="33" name="Prog Mon Academic year" queryTableFieldId="36"/>
    <tableColumn id="34" xr3:uid="{00000000-0010-0000-0200-000022000000}" uniqueName="34" name="Prog Mon Last Publication date" queryTableFieldId="35"/>
    <tableColumn id="35" xr3:uid="{00000000-0010-0000-0200-000023000000}" uniqueName="35" name="Prog Mon Overall outcome" queryTableFieldId="3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non-association-independent-schools-inspections-and-outcomes-management-information"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independent-schools-inspections-and-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10" Type="http://schemas.openxmlformats.org/officeDocument/2006/relationships/drawing" Target="../drawings/drawing1.xml"/><Relationship Id="rId4" Type="http://schemas.openxmlformats.org/officeDocument/2006/relationships/hyperlink" Target="mailto:psi@nationalarchives.gsi.gov.uk"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legislation.gov.uk/uksi/2014/3283/contents/made" TargetMode="External"/><Relationship Id="rId1" Type="http://schemas.openxmlformats.org/officeDocument/2006/relationships/hyperlink" Target="https://www.gov.uk/government/publications/common-inspection-framework-education-skills-and-early-years-from-september-201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sheetPr>
  <dimension ref="B2:E27"/>
  <sheetViews>
    <sheetView tabSelected="1" zoomScaleNormal="100" workbookViewId="0"/>
  </sheetViews>
  <sheetFormatPr defaultColWidth="8.85546875" defaultRowHeight="15" x14ac:dyDescent="0.25"/>
  <cols>
    <col min="1" max="1" width="2.7109375" style="154" customWidth="1"/>
    <col min="2" max="2" width="35.7109375" style="154" customWidth="1"/>
    <col min="3" max="3" width="80.7109375" style="154" customWidth="1"/>
    <col min="4" max="16384" width="8.85546875" style="154"/>
  </cols>
  <sheetData>
    <row r="2" spans="2:5" s="132" customFormat="1" ht="100.15" customHeight="1" x14ac:dyDescent="0.25">
      <c r="B2" s="286"/>
      <c r="C2" s="287"/>
    </row>
    <row r="3" spans="2:5" s="132" customFormat="1" ht="33" customHeight="1" x14ac:dyDescent="0.25">
      <c r="B3" s="285" t="s">
        <v>0</v>
      </c>
      <c r="C3" s="285"/>
    </row>
    <row r="4" spans="2:5" s="132" customFormat="1" x14ac:dyDescent="0.25">
      <c r="B4" s="133" t="s">
        <v>1</v>
      </c>
      <c r="C4" s="133" t="s">
        <v>22</v>
      </c>
    </row>
    <row r="5" spans="2:5" s="132" customFormat="1" x14ac:dyDescent="0.25">
      <c r="B5" s="133" t="s">
        <v>2</v>
      </c>
      <c r="C5" s="133" t="s">
        <v>3</v>
      </c>
    </row>
    <row r="6" spans="2:5" s="132" customFormat="1" x14ac:dyDescent="0.25">
      <c r="B6" s="133" t="s">
        <v>4</v>
      </c>
      <c r="C6" s="134">
        <v>43228</v>
      </c>
    </row>
    <row r="7" spans="2:5" s="132" customFormat="1" x14ac:dyDescent="0.25">
      <c r="B7" s="135" t="s">
        <v>5</v>
      </c>
      <c r="C7" s="133" t="s">
        <v>6</v>
      </c>
    </row>
    <row r="8" spans="2:5" s="132" customFormat="1" ht="30" x14ac:dyDescent="0.25">
      <c r="B8" s="136" t="s">
        <v>25</v>
      </c>
      <c r="C8" s="180" t="s">
        <v>2876</v>
      </c>
      <c r="E8" s="137"/>
    </row>
    <row r="9" spans="2:5" s="132" customFormat="1" ht="30" x14ac:dyDescent="0.25">
      <c r="B9" s="136" t="s">
        <v>26</v>
      </c>
      <c r="C9" s="180" t="s">
        <v>2877</v>
      </c>
      <c r="E9" s="137"/>
    </row>
    <row r="10" spans="2:5" s="132" customFormat="1" x14ac:dyDescent="0.25">
      <c r="B10" s="138" t="s">
        <v>7</v>
      </c>
      <c r="C10" s="139" t="s">
        <v>8</v>
      </c>
    </row>
    <row r="11" spans="2:5" s="132" customFormat="1" x14ac:dyDescent="0.25">
      <c r="B11" s="140" t="s">
        <v>9</v>
      </c>
      <c r="C11" s="140" t="s">
        <v>23</v>
      </c>
    </row>
    <row r="12" spans="2:5" s="132" customFormat="1" x14ac:dyDescent="0.25">
      <c r="B12" s="141" t="s">
        <v>10</v>
      </c>
      <c r="C12" s="142" t="s">
        <v>11</v>
      </c>
    </row>
    <row r="13" spans="2:5" s="132" customFormat="1" x14ac:dyDescent="0.25">
      <c r="B13" s="141" t="s">
        <v>12</v>
      </c>
      <c r="C13" s="142" t="s">
        <v>13</v>
      </c>
    </row>
    <row r="14" spans="2:5" s="132" customFormat="1" ht="75" x14ac:dyDescent="0.25">
      <c r="B14" s="140" t="s">
        <v>2640</v>
      </c>
      <c r="C14" s="142" t="s">
        <v>2941</v>
      </c>
    </row>
    <row r="15" spans="2:5" s="132" customFormat="1" ht="30" x14ac:dyDescent="0.25">
      <c r="B15" s="141" t="s">
        <v>14</v>
      </c>
      <c r="C15" s="142" t="s">
        <v>24</v>
      </c>
    </row>
    <row r="16" spans="2:5" s="132" customFormat="1" ht="15.75" x14ac:dyDescent="0.25">
      <c r="B16" s="143"/>
      <c r="C16" s="144"/>
    </row>
    <row r="17" spans="2:3" s="132" customFormat="1" ht="15.75" x14ac:dyDescent="0.25">
      <c r="B17" s="145"/>
      <c r="C17" s="146"/>
    </row>
    <row r="18" spans="2:3" s="132" customFormat="1" ht="15.75" x14ac:dyDescent="0.25">
      <c r="B18" s="145" t="s">
        <v>2610</v>
      </c>
      <c r="C18" s="146"/>
    </row>
    <row r="19" spans="2:3" s="132" customFormat="1" ht="15.75" x14ac:dyDescent="0.25">
      <c r="B19" s="145"/>
      <c r="C19" s="147"/>
    </row>
    <row r="20" spans="2:3" s="132" customFormat="1" ht="15.75" x14ac:dyDescent="0.25">
      <c r="B20" s="145" t="s">
        <v>15</v>
      </c>
      <c r="C20" s="148"/>
    </row>
    <row r="21" spans="2:3" s="132" customFormat="1" ht="15.75" x14ac:dyDescent="0.25">
      <c r="B21" s="145" t="s">
        <v>16</v>
      </c>
      <c r="C21" s="148"/>
    </row>
    <row r="22" spans="2:3" s="132" customFormat="1" ht="15.75" x14ac:dyDescent="0.25">
      <c r="B22" s="149" t="s">
        <v>17</v>
      </c>
      <c r="C22" s="148"/>
    </row>
    <row r="23" spans="2:3" s="132" customFormat="1" ht="15.75" x14ac:dyDescent="0.25">
      <c r="B23" s="150" t="s">
        <v>18</v>
      </c>
      <c r="C23" s="151"/>
    </row>
    <row r="24" spans="2:3" s="132" customFormat="1" ht="15.75" x14ac:dyDescent="0.25">
      <c r="B24" s="145" t="s">
        <v>19</v>
      </c>
      <c r="C24" s="146"/>
    </row>
    <row r="25" spans="2:3" s="132" customFormat="1" ht="15.75" x14ac:dyDescent="0.25">
      <c r="B25" s="145" t="s">
        <v>20</v>
      </c>
      <c r="C25" s="146"/>
    </row>
    <row r="26" spans="2:3" s="132" customFormat="1" ht="15.75" x14ac:dyDescent="0.25">
      <c r="B26" s="150" t="s">
        <v>21</v>
      </c>
      <c r="C26" s="151"/>
    </row>
    <row r="27" spans="2:3" s="132" customFormat="1" ht="15.75" x14ac:dyDescent="0.25">
      <c r="B27" s="152"/>
      <c r="C27" s="153"/>
    </row>
  </sheetData>
  <sheetProtection sheet="1" objects="1" scenarios="1"/>
  <mergeCells count="2">
    <mergeCell ref="B3:C3"/>
    <mergeCell ref="B2:C2"/>
  </mergeCells>
  <hyperlinks>
    <hyperlink ref="B23:C23" r:id="rId1" display="visit http://www.nationalarchives.gov.uk/doc/open-government-licence/" xr:uid="{00000000-0004-0000-0000-000000000000}"/>
    <hyperlink ref="B23" r:id="rId2" xr:uid="{00000000-0004-0000-0000-000001000000}"/>
    <hyperlink ref="B26:C26" r:id="rId3" display="psi@nationalarchives.gsi.gov.uk" xr:uid="{00000000-0004-0000-0000-000002000000}"/>
    <hyperlink ref="B26" r:id="rId4" xr:uid="{00000000-0004-0000-0000-000003000000}"/>
    <hyperlink ref="C12" r:id="rId5" xr:uid="{00000000-0004-0000-0000-000004000000}"/>
    <hyperlink ref="C13" r:id="rId6" xr:uid="{00000000-0004-0000-0000-000005000000}"/>
    <hyperlink ref="C15" r:id="rId7" xr:uid="{00000000-0004-0000-0000-000006000000}"/>
    <hyperlink ref="C14" r:id="rId8" xr:uid="{00000000-0004-0000-0000-000007000000}"/>
  </hyperlinks>
  <pageMargins left="0.7" right="0.7" top="0.75" bottom="0.75" header="0.3" footer="0.3"/>
  <pageSetup paperSize="9" orientation="portrait"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6" tint="0.79998168889431442"/>
  </sheetPr>
  <dimension ref="A1:AH1086"/>
  <sheetViews>
    <sheetView showGridLines="0" workbookViewId="0"/>
  </sheetViews>
  <sheetFormatPr defaultRowHeight="15" x14ac:dyDescent="0.25"/>
  <cols>
    <col min="1" max="1" width="26.140625" customWidth="1"/>
    <col min="2" max="2" width="7.28515625" bestFit="1" customWidth="1"/>
    <col min="3" max="3" width="10.85546875" bestFit="1" customWidth="1"/>
    <col min="4" max="4" width="53" bestFit="1" customWidth="1"/>
    <col min="5" max="5" width="31.85546875" bestFit="1" customWidth="1"/>
    <col min="6" max="6" width="21.42578125" bestFit="1" customWidth="1"/>
    <col min="7" max="7" width="28.5703125" bestFit="1" customWidth="1"/>
    <col min="8" max="8" width="29.5703125" bestFit="1" customWidth="1"/>
    <col min="9" max="9" width="15.5703125" bestFit="1" customWidth="1"/>
    <col min="10" max="10" width="14.42578125" bestFit="1" customWidth="1"/>
    <col min="11" max="11" width="35" bestFit="1" customWidth="1"/>
    <col min="12" max="12" width="24.42578125" bestFit="1" customWidth="1"/>
    <col min="13" max="13" width="25.28515625" bestFit="1" customWidth="1"/>
    <col min="14" max="14" width="11.42578125" bestFit="1" customWidth="1"/>
    <col min="15" max="15" width="20.28515625" bestFit="1" customWidth="1"/>
    <col min="16" max="16" width="23" bestFit="1" customWidth="1"/>
    <col min="17" max="17" width="22.5703125" bestFit="1" customWidth="1"/>
    <col min="18" max="18" width="17.85546875" bestFit="1" customWidth="1"/>
    <col min="19" max="19" width="58.85546875" bestFit="1" customWidth="1"/>
    <col min="20" max="20" width="22.42578125" bestFit="1" customWidth="1"/>
    <col min="21" max="21" width="26.5703125" bestFit="1" customWidth="1"/>
    <col min="22" max="22" width="44.140625" bestFit="1" customWidth="1"/>
    <col min="23" max="23" width="45.5703125" bestFit="1" customWidth="1"/>
    <col min="24" max="24" width="20.28515625" bestFit="1" customWidth="1"/>
    <col min="25" max="25" width="21.42578125" bestFit="1" customWidth="1"/>
    <col min="26" max="26" width="21.7109375" bestFit="1" customWidth="1"/>
    <col min="27" max="27" width="21.42578125" bestFit="1" customWidth="1"/>
    <col min="28" max="28" width="28.85546875" bestFit="1" customWidth="1"/>
    <col min="29" max="29" width="25.140625" bestFit="1" customWidth="1"/>
    <col min="30" max="30" width="40.140625" customWidth="1"/>
    <col min="31" max="31" width="23.140625" customWidth="1"/>
    <col min="32" max="32" width="25.5703125" bestFit="1" customWidth="1"/>
    <col min="33" max="33" width="31.140625" bestFit="1" customWidth="1"/>
    <col min="34" max="34" width="41.85546875" bestFit="1" customWidth="1"/>
  </cols>
  <sheetData>
    <row r="1" spans="1:34" s="10" customFormat="1" x14ac:dyDescent="0.2">
      <c r="A1" s="194" t="s">
        <v>2998</v>
      </c>
    </row>
    <row r="2" spans="1:34" s="10" customFormat="1" ht="12.75" x14ac:dyDescent="0.2">
      <c r="A2" s="10" t="str">
        <f>Cover!C9</f>
        <v>Most recent inspections published by 31 March 2018</v>
      </c>
      <c r="C2" s="109"/>
    </row>
    <row r="3" spans="1:34" x14ac:dyDescent="0.25">
      <c r="AC3" s="1"/>
    </row>
    <row r="4" spans="1:34" x14ac:dyDescent="0.25">
      <c r="A4" t="s">
        <v>38</v>
      </c>
      <c r="B4" t="s">
        <v>39</v>
      </c>
      <c r="C4" t="s">
        <v>40</v>
      </c>
      <c r="D4" t="s">
        <v>2858</v>
      </c>
      <c r="E4" t="s">
        <v>2860</v>
      </c>
      <c r="F4" t="s">
        <v>62</v>
      </c>
      <c r="G4" t="s">
        <v>63</v>
      </c>
      <c r="H4" t="s">
        <v>2594</v>
      </c>
      <c r="I4" t="s">
        <v>64</v>
      </c>
      <c r="J4" t="s">
        <v>65</v>
      </c>
      <c r="K4" t="s">
        <v>41</v>
      </c>
      <c r="L4" t="s">
        <v>42</v>
      </c>
      <c r="M4" t="s">
        <v>43</v>
      </c>
      <c r="N4" t="s">
        <v>44</v>
      </c>
      <c r="O4" t="s">
        <v>45</v>
      </c>
      <c r="P4" t="s">
        <v>46</v>
      </c>
      <c r="Q4" t="s">
        <v>47</v>
      </c>
      <c r="R4" t="s">
        <v>48</v>
      </c>
      <c r="S4" t="s">
        <v>49</v>
      </c>
      <c r="T4" t="s">
        <v>27</v>
      </c>
      <c r="U4" t="s">
        <v>119</v>
      </c>
      <c r="V4" t="s">
        <v>50</v>
      </c>
      <c r="W4" t="s">
        <v>51</v>
      </c>
      <c r="X4" t="s">
        <v>52</v>
      </c>
      <c r="Y4" t="s">
        <v>53</v>
      </c>
      <c r="Z4" t="s">
        <v>54</v>
      </c>
      <c r="AA4" t="s">
        <v>55</v>
      </c>
      <c r="AB4" t="s">
        <v>2597</v>
      </c>
      <c r="AC4" t="s">
        <v>2628</v>
      </c>
      <c r="AD4" t="s">
        <v>2629</v>
      </c>
      <c r="AE4" t="s">
        <v>2630</v>
      </c>
      <c r="AF4" t="s">
        <v>2631</v>
      </c>
      <c r="AG4" t="s">
        <v>2632</v>
      </c>
      <c r="AH4" t="s">
        <v>2633</v>
      </c>
    </row>
    <row r="5" spans="1:34" x14ac:dyDescent="0.25">
      <c r="A5" s="111" t="str">
        <f>HYPERLINK("http://www.ofsted.gov.uk/inspection-reports/find-inspection-report/provider/ELS/100073 ","Ofsted School Webpage")</f>
        <v>Ofsted School Webpage</v>
      </c>
      <c r="B5">
        <v>100073</v>
      </c>
      <c r="C5">
        <v>2026264</v>
      </c>
      <c r="D5" t="s">
        <v>1456</v>
      </c>
      <c r="E5" t="s">
        <v>36</v>
      </c>
      <c r="F5" t="s">
        <v>142</v>
      </c>
      <c r="G5" t="s">
        <v>142</v>
      </c>
      <c r="H5" t="s">
        <v>2595</v>
      </c>
      <c r="I5" t="s">
        <v>2596</v>
      </c>
      <c r="J5" t="s">
        <v>143</v>
      </c>
      <c r="K5" t="s">
        <v>189</v>
      </c>
      <c r="L5" t="s">
        <v>189</v>
      </c>
      <c r="M5" t="s">
        <v>491</v>
      </c>
      <c r="N5" t="s">
        <v>1457</v>
      </c>
      <c r="O5">
        <v>10038147</v>
      </c>
      <c r="P5" s="108">
        <v>43151</v>
      </c>
      <c r="Q5" s="108">
        <v>43153</v>
      </c>
      <c r="R5" s="108">
        <v>43173</v>
      </c>
      <c r="S5" t="s">
        <v>153</v>
      </c>
      <c r="T5">
        <v>1</v>
      </c>
      <c r="U5" t="s">
        <v>123</v>
      </c>
      <c r="V5">
        <v>1</v>
      </c>
      <c r="W5">
        <v>1</v>
      </c>
      <c r="X5">
        <v>1</v>
      </c>
      <c r="Y5">
        <f>VLOOKUP(Table_clu7sql1_ssdb_REPORT_vw_IE_External_MI_SON[[#This Row],[URN]],[1]Data!$D$2:$BB$1084,31,)</f>
        <v>1</v>
      </c>
      <c r="Z5">
        <v>1</v>
      </c>
      <c r="AA5" t="s">
        <v>2596</v>
      </c>
      <c r="AB5" t="s">
        <v>2598</v>
      </c>
      <c r="AC5" t="s">
        <v>2596</v>
      </c>
      <c r="AD5" t="s">
        <v>2596</v>
      </c>
      <c r="AE5" t="s">
        <v>2596</v>
      </c>
      <c r="AF5" t="s">
        <v>2596</v>
      </c>
      <c r="AG5" t="s">
        <v>2596</v>
      </c>
      <c r="AH5" t="s">
        <v>2596</v>
      </c>
    </row>
    <row r="6" spans="1:34" x14ac:dyDescent="0.25">
      <c r="A6" s="111" t="str">
        <f>HYPERLINK("http://www.ofsted.gov.uk/inspection-reports/find-inspection-report/provider/ELS/100077 ","Ofsted School Webpage")</f>
        <v>Ofsted School Webpage</v>
      </c>
      <c r="B6">
        <v>100077</v>
      </c>
      <c r="C6">
        <v>2026353</v>
      </c>
      <c r="D6" t="s">
        <v>2500</v>
      </c>
      <c r="E6" t="s">
        <v>36</v>
      </c>
      <c r="F6" t="s">
        <v>142</v>
      </c>
      <c r="G6" t="s">
        <v>397</v>
      </c>
      <c r="H6" t="s">
        <v>2595</v>
      </c>
      <c r="I6" t="s">
        <v>2596</v>
      </c>
      <c r="J6" t="s">
        <v>143</v>
      </c>
      <c r="K6" t="s">
        <v>189</v>
      </c>
      <c r="L6" t="s">
        <v>189</v>
      </c>
      <c r="M6" t="s">
        <v>491</v>
      </c>
      <c r="N6" t="s">
        <v>2501</v>
      </c>
      <c r="O6">
        <v>10006054</v>
      </c>
      <c r="P6" s="108">
        <v>42773</v>
      </c>
      <c r="Q6" s="108">
        <v>42775</v>
      </c>
      <c r="R6" s="108">
        <v>42815</v>
      </c>
      <c r="S6" t="s">
        <v>153</v>
      </c>
      <c r="T6">
        <v>1</v>
      </c>
      <c r="U6" t="s">
        <v>123</v>
      </c>
      <c r="V6">
        <v>1</v>
      </c>
      <c r="W6">
        <v>1</v>
      </c>
      <c r="X6">
        <v>1</v>
      </c>
      <c r="Y6">
        <f>VLOOKUP(Table_clu7sql1_ssdb_REPORT_vw_IE_External_MI_SON[[#This Row],[URN]],[1]Data!$D$2:$BB$1084,31,)</f>
        <v>1</v>
      </c>
      <c r="Z6">
        <v>1</v>
      </c>
      <c r="AA6" t="s">
        <v>2596</v>
      </c>
      <c r="AB6" t="s">
        <v>2598</v>
      </c>
      <c r="AC6" t="s">
        <v>2596</v>
      </c>
      <c r="AD6" t="s">
        <v>2596</v>
      </c>
      <c r="AE6" t="s">
        <v>2596</v>
      </c>
      <c r="AF6" t="s">
        <v>2596</v>
      </c>
      <c r="AG6" t="s">
        <v>2596</v>
      </c>
      <c r="AH6" t="s">
        <v>2596</v>
      </c>
    </row>
    <row r="7" spans="1:34" x14ac:dyDescent="0.25">
      <c r="A7" s="111" t="str">
        <f>HYPERLINK("http://www.ofsted.gov.uk/inspection-reports/find-inspection-report/provider/ELS/100078 ","Ofsted School Webpage")</f>
        <v>Ofsted School Webpage</v>
      </c>
      <c r="B7">
        <v>100078</v>
      </c>
      <c r="C7">
        <v>2026360</v>
      </c>
      <c r="D7" t="s">
        <v>490</v>
      </c>
      <c r="E7" t="s">
        <v>36</v>
      </c>
      <c r="F7" t="s">
        <v>142</v>
      </c>
      <c r="G7" t="s">
        <v>142</v>
      </c>
      <c r="H7" t="s">
        <v>2595</v>
      </c>
      <c r="I7" t="s">
        <v>2596</v>
      </c>
      <c r="J7" t="s">
        <v>143</v>
      </c>
      <c r="K7" t="s">
        <v>189</v>
      </c>
      <c r="L7" t="s">
        <v>189</v>
      </c>
      <c r="M7" t="s">
        <v>491</v>
      </c>
      <c r="N7" t="s">
        <v>492</v>
      </c>
      <c r="O7">
        <v>10012781</v>
      </c>
      <c r="P7" s="108">
        <v>42997</v>
      </c>
      <c r="Q7" s="108">
        <v>42999</v>
      </c>
      <c r="R7" s="108">
        <v>43052</v>
      </c>
      <c r="S7" t="s">
        <v>153</v>
      </c>
      <c r="T7">
        <v>1</v>
      </c>
      <c r="U7" t="s">
        <v>123</v>
      </c>
      <c r="V7">
        <v>1</v>
      </c>
      <c r="W7">
        <v>1</v>
      </c>
      <c r="X7">
        <v>1</v>
      </c>
      <c r="Y7">
        <f>VLOOKUP(Table_clu7sql1_ssdb_REPORT_vw_IE_External_MI_SON[[#This Row],[URN]],[1]Data!$D$2:$BB$1084,31,)</f>
        <v>1</v>
      </c>
      <c r="Z7">
        <v>2</v>
      </c>
      <c r="AA7" t="s">
        <v>2596</v>
      </c>
      <c r="AB7" t="s">
        <v>2598</v>
      </c>
      <c r="AC7" t="s">
        <v>2596</v>
      </c>
      <c r="AD7" t="s">
        <v>2596</v>
      </c>
      <c r="AE7" t="s">
        <v>2596</v>
      </c>
      <c r="AF7" t="s">
        <v>2596</v>
      </c>
      <c r="AG7" t="s">
        <v>2596</v>
      </c>
      <c r="AH7" t="s">
        <v>2596</v>
      </c>
    </row>
    <row r="8" spans="1:34" x14ac:dyDescent="0.25">
      <c r="A8" s="111" t="str">
        <f>HYPERLINK("http://www.ofsted.gov.uk/inspection-reports/find-inspection-report/provider/ELS/100082 ","Ofsted School Webpage")</f>
        <v>Ofsted School Webpage</v>
      </c>
      <c r="B8">
        <v>100082</v>
      </c>
      <c r="C8">
        <v>2026385</v>
      </c>
      <c r="D8" t="s">
        <v>628</v>
      </c>
      <c r="E8" t="s">
        <v>36</v>
      </c>
      <c r="F8" t="s">
        <v>142</v>
      </c>
      <c r="G8" t="s">
        <v>142</v>
      </c>
      <c r="H8" t="s">
        <v>2595</v>
      </c>
      <c r="I8" t="s">
        <v>2596</v>
      </c>
      <c r="J8" t="s">
        <v>143</v>
      </c>
      <c r="K8" t="s">
        <v>189</v>
      </c>
      <c r="L8" t="s">
        <v>189</v>
      </c>
      <c r="M8" t="s">
        <v>491</v>
      </c>
      <c r="N8" t="s">
        <v>629</v>
      </c>
      <c r="O8" t="s">
        <v>630</v>
      </c>
      <c r="P8" s="108">
        <v>42073</v>
      </c>
      <c r="Q8" s="108">
        <v>42075</v>
      </c>
      <c r="R8" s="108">
        <v>42125</v>
      </c>
      <c r="S8" t="s">
        <v>153</v>
      </c>
      <c r="T8">
        <v>2</v>
      </c>
      <c r="U8" t="s">
        <v>2596</v>
      </c>
      <c r="V8">
        <v>2</v>
      </c>
      <c r="W8" t="s">
        <v>2596</v>
      </c>
      <c r="X8">
        <v>2</v>
      </c>
      <c r="Y8">
        <f>VLOOKUP(Table_clu7sql1_ssdb_REPORT_vw_IE_External_MI_SON[[#This Row],[URN]],[1]Data!$D$2:$BB$1084,31,)</f>
        <v>1</v>
      </c>
      <c r="Z8">
        <v>9</v>
      </c>
      <c r="AA8">
        <v>9</v>
      </c>
      <c r="AB8" t="s">
        <v>2598</v>
      </c>
      <c r="AC8" t="s">
        <v>2596</v>
      </c>
      <c r="AD8" t="s">
        <v>2596</v>
      </c>
      <c r="AE8" t="s">
        <v>2596</v>
      </c>
      <c r="AF8" t="s">
        <v>2596</v>
      </c>
      <c r="AG8" t="s">
        <v>2596</v>
      </c>
      <c r="AH8" t="s">
        <v>2596</v>
      </c>
    </row>
    <row r="9" spans="1:34" x14ac:dyDescent="0.25">
      <c r="A9" s="111" t="str">
        <f>HYPERLINK("http://www.ofsted.gov.uk/inspection-reports/find-inspection-report/provider/ELS/100086 ","Ofsted School Webpage")</f>
        <v>Ofsted School Webpage</v>
      </c>
      <c r="B9">
        <v>100086</v>
      </c>
      <c r="C9">
        <v>2026390</v>
      </c>
      <c r="D9" t="s">
        <v>1975</v>
      </c>
      <c r="E9" t="s">
        <v>36</v>
      </c>
      <c r="F9" t="s">
        <v>142</v>
      </c>
      <c r="G9" t="s">
        <v>142</v>
      </c>
      <c r="H9" t="s">
        <v>2595</v>
      </c>
      <c r="I9" t="s">
        <v>2596</v>
      </c>
      <c r="J9" t="s">
        <v>143</v>
      </c>
      <c r="K9" t="s">
        <v>189</v>
      </c>
      <c r="L9" t="s">
        <v>189</v>
      </c>
      <c r="M9" t="s">
        <v>491</v>
      </c>
      <c r="N9" t="s">
        <v>1976</v>
      </c>
      <c r="O9">
        <v>10020718</v>
      </c>
      <c r="P9" s="108">
        <v>43123</v>
      </c>
      <c r="Q9" s="108">
        <v>43125</v>
      </c>
      <c r="R9" s="108">
        <v>43157</v>
      </c>
      <c r="S9" t="s">
        <v>153</v>
      </c>
      <c r="T9">
        <v>2</v>
      </c>
      <c r="U9" t="s">
        <v>123</v>
      </c>
      <c r="V9">
        <v>2</v>
      </c>
      <c r="W9">
        <v>1</v>
      </c>
      <c r="X9">
        <v>2</v>
      </c>
      <c r="Y9">
        <f>VLOOKUP(Table_clu7sql1_ssdb_REPORT_vw_IE_External_MI_SON[[#This Row],[URN]],[1]Data!$D$2:$BB$1084,31,)</f>
        <v>2</v>
      </c>
      <c r="Z9">
        <v>2</v>
      </c>
      <c r="AA9" t="s">
        <v>2596</v>
      </c>
      <c r="AB9" t="s">
        <v>2598</v>
      </c>
      <c r="AC9" t="s">
        <v>2596</v>
      </c>
      <c r="AD9" t="s">
        <v>2596</v>
      </c>
      <c r="AE9" t="s">
        <v>2596</v>
      </c>
      <c r="AF9" t="s">
        <v>2596</v>
      </c>
      <c r="AG9" t="s">
        <v>2596</v>
      </c>
      <c r="AH9" t="s">
        <v>2596</v>
      </c>
    </row>
    <row r="10" spans="1:34" x14ac:dyDescent="0.25">
      <c r="A10" s="111" t="str">
        <f>HYPERLINK("http://www.ofsted.gov.uk/inspection-reports/find-inspection-report/provider/ELS/100287 ","Ofsted School Webpage")</f>
        <v>Ofsted School Webpage</v>
      </c>
      <c r="B10">
        <v>100287</v>
      </c>
      <c r="C10">
        <v>2046072</v>
      </c>
      <c r="D10" t="s">
        <v>2511</v>
      </c>
      <c r="E10" t="s">
        <v>36</v>
      </c>
      <c r="F10" t="s">
        <v>142</v>
      </c>
      <c r="G10" t="s">
        <v>275</v>
      </c>
      <c r="H10" t="s">
        <v>2595</v>
      </c>
      <c r="I10" t="s">
        <v>2596</v>
      </c>
      <c r="J10" t="s">
        <v>143</v>
      </c>
      <c r="K10" t="s">
        <v>189</v>
      </c>
      <c r="L10" t="s">
        <v>189</v>
      </c>
      <c r="M10" t="s">
        <v>434</v>
      </c>
      <c r="N10" t="s">
        <v>2512</v>
      </c>
      <c r="O10">
        <v>10030851</v>
      </c>
      <c r="P10" s="108">
        <v>42871</v>
      </c>
      <c r="Q10" s="108">
        <v>42873</v>
      </c>
      <c r="R10" s="108">
        <v>42919</v>
      </c>
      <c r="S10" t="s">
        <v>153</v>
      </c>
      <c r="T10">
        <v>4</v>
      </c>
      <c r="U10" t="s">
        <v>124</v>
      </c>
      <c r="V10">
        <v>4</v>
      </c>
      <c r="W10">
        <v>4</v>
      </c>
      <c r="X10">
        <v>2</v>
      </c>
      <c r="Y10">
        <f>VLOOKUP(Table_clu7sql1_ssdb_REPORT_vw_IE_External_MI_SON[[#This Row],[URN]],[1]Data!$D$2:$BB$1084,31,)</f>
        <v>2</v>
      </c>
      <c r="Z10">
        <v>4</v>
      </c>
      <c r="AA10" t="s">
        <v>2596</v>
      </c>
      <c r="AB10" t="s">
        <v>2599</v>
      </c>
      <c r="AC10" t="s">
        <v>2596</v>
      </c>
      <c r="AD10" t="s">
        <v>2596</v>
      </c>
      <c r="AE10" t="s">
        <v>2596</v>
      </c>
      <c r="AF10" t="s">
        <v>2596</v>
      </c>
      <c r="AG10" t="s">
        <v>2596</v>
      </c>
      <c r="AH10" t="s">
        <v>2596</v>
      </c>
    </row>
    <row r="11" spans="1:34" x14ac:dyDescent="0.25">
      <c r="A11" s="111" t="str">
        <f>HYPERLINK("http://www.ofsted.gov.uk/inspection-reports/find-inspection-report/provider/ELS/100289 ","Ofsted School Webpage")</f>
        <v>Ofsted School Webpage</v>
      </c>
      <c r="B11">
        <v>100289</v>
      </c>
      <c r="C11">
        <v>2046233</v>
      </c>
      <c r="D11" t="s">
        <v>433</v>
      </c>
      <c r="E11" t="s">
        <v>36</v>
      </c>
      <c r="F11" t="s">
        <v>142</v>
      </c>
      <c r="G11" t="s">
        <v>142</v>
      </c>
      <c r="H11" t="s">
        <v>2595</v>
      </c>
      <c r="I11" t="s">
        <v>2596</v>
      </c>
      <c r="J11" t="s">
        <v>143</v>
      </c>
      <c r="K11" t="s">
        <v>189</v>
      </c>
      <c r="L11" t="s">
        <v>189</v>
      </c>
      <c r="M11" t="s">
        <v>434</v>
      </c>
      <c r="N11" t="s">
        <v>435</v>
      </c>
      <c r="O11">
        <v>10038148</v>
      </c>
      <c r="P11" s="108">
        <v>42990</v>
      </c>
      <c r="Q11" s="108">
        <v>42992</v>
      </c>
      <c r="R11" s="108">
        <v>43062</v>
      </c>
      <c r="S11" t="s">
        <v>153</v>
      </c>
      <c r="T11">
        <v>4</v>
      </c>
      <c r="U11" t="s">
        <v>123</v>
      </c>
      <c r="V11">
        <v>4</v>
      </c>
      <c r="W11">
        <v>4</v>
      </c>
      <c r="X11">
        <v>4</v>
      </c>
      <c r="Y11">
        <f>VLOOKUP(Table_clu7sql1_ssdb_REPORT_vw_IE_External_MI_SON[[#This Row],[URN]],[1]Data!$D$2:$BB$1084,31,)</f>
        <v>4</v>
      </c>
      <c r="Z11">
        <v>4</v>
      </c>
      <c r="AA11" t="s">
        <v>2596</v>
      </c>
      <c r="AB11" t="s">
        <v>2599</v>
      </c>
      <c r="AC11" t="s">
        <v>2596</v>
      </c>
      <c r="AD11" t="s">
        <v>2596</v>
      </c>
      <c r="AE11" t="s">
        <v>2596</v>
      </c>
      <c r="AF11" t="s">
        <v>2596</v>
      </c>
      <c r="AG11" t="s">
        <v>2596</v>
      </c>
      <c r="AH11" t="s">
        <v>2596</v>
      </c>
    </row>
    <row r="12" spans="1:34" x14ac:dyDescent="0.25">
      <c r="A12" s="111" t="str">
        <f>HYPERLINK("http://www.ofsted.gov.uk/inspection-reports/find-inspection-report/provider/ELS/100291 ","Ofsted School Webpage")</f>
        <v>Ofsted School Webpage</v>
      </c>
      <c r="B12">
        <v>100291</v>
      </c>
      <c r="C12">
        <v>2046242</v>
      </c>
      <c r="D12" t="s">
        <v>1837</v>
      </c>
      <c r="E12" t="s">
        <v>36</v>
      </c>
      <c r="F12" t="s">
        <v>142</v>
      </c>
      <c r="G12" t="s">
        <v>776</v>
      </c>
      <c r="H12" t="s">
        <v>2595</v>
      </c>
      <c r="I12" t="s">
        <v>2596</v>
      </c>
      <c r="J12" t="s">
        <v>143</v>
      </c>
      <c r="K12" t="s">
        <v>189</v>
      </c>
      <c r="L12" t="s">
        <v>189</v>
      </c>
      <c r="M12" t="s">
        <v>434</v>
      </c>
      <c r="N12" t="s">
        <v>1793</v>
      </c>
      <c r="O12" t="s">
        <v>1838</v>
      </c>
      <c r="P12" s="108">
        <v>40946</v>
      </c>
      <c r="Q12" s="108">
        <v>40947</v>
      </c>
      <c r="R12" s="108">
        <v>41241</v>
      </c>
      <c r="S12" t="s">
        <v>153</v>
      </c>
      <c r="T12">
        <v>2</v>
      </c>
      <c r="U12" t="s">
        <v>2596</v>
      </c>
      <c r="V12" t="s">
        <v>2596</v>
      </c>
      <c r="W12" t="s">
        <v>2596</v>
      </c>
      <c r="X12">
        <v>2</v>
      </c>
      <c r="Y12">
        <f>VLOOKUP(Table_clu7sql1_ssdb_REPORT_vw_IE_External_MI_SON[[#This Row],[URN]],[1]Data!$D$2:$BB$1084,31,)</f>
        <v>2</v>
      </c>
      <c r="Z12">
        <v>8</v>
      </c>
      <c r="AA12" t="s">
        <v>2596</v>
      </c>
      <c r="AB12" t="s">
        <v>2598</v>
      </c>
      <c r="AC12" t="s">
        <v>2596</v>
      </c>
      <c r="AD12" t="s">
        <v>2596</v>
      </c>
      <c r="AE12" t="s">
        <v>2596</v>
      </c>
      <c r="AF12" t="s">
        <v>2596</v>
      </c>
      <c r="AG12" t="s">
        <v>2596</v>
      </c>
      <c r="AH12" t="s">
        <v>2596</v>
      </c>
    </row>
    <row r="13" spans="1:34" x14ac:dyDescent="0.25">
      <c r="A13" s="111" t="str">
        <f>HYPERLINK("http://www.ofsted.gov.uk/inspection-reports/find-inspection-report/provider/ELS/100293 ","Ofsted School Webpage")</f>
        <v>Ofsted School Webpage</v>
      </c>
      <c r="B13">
        <v>100293</v>
      </c>
      <c r="C13">
        <v>2046296</v>
      </c>
      <c r="D13" t="s">
        <v>1792</v>
      </c>
      <c r="E13" t="s">
        <v>36</v>
      </c>
      <c r="F13" t="s">
        <v>275</v>
      </c>
      <c r="G13" t="s">
        <v>275</v>
      </c>
      <c r="H13" t="s">
        <v>2595</v>
      </c>
      <c r="I13" t="s">
        <v>2596</v>
      </c>
      <c r="J13" t="s">
        <v>143</v>
      </c>
      <c r="K13" t="s">
        <v>189</v>
      </c>
      <c r="L13" t="s">
        <v>189</v>
      </c>
      <c r="M13" t="s">
        <v>434</v>
      </c>
      <c r="N13" t="s">
        <v>1793</v>
      </c>
      <c r="O13" t="s">
        <v>1794</v>
      </c>
      <c r="P13" s="108">
        <v>42157</v>
      </c>
      <c r="Q13" s="108">
        <v>42159</v>
      </c>
      <c r="R13" s="108">
        <v>42389</v>
      </c>
      <c r="S13" t="s">
        <v>153</v>
      </c>
      <c r="T13">
        <v>4</v>
      </c>
      <c r="U13" t="s">
        <v>2596</v>
      </c>
      <c r="V13">
        <v>4</v>
      </c>
      <c r="W13" t="s">
        <v>2596</v>
      </c>
      <c r="X13">
        <v>4</v>
      </c>
      <c r="Y13">
        <f>VLOOKUP(Table_clu7sql1_ssdb_REPORT_vw_IE_External_MI_SON[[#This Row],[URN]],[1]Data!$D$2:$BB$1084,31,)</f>
        <v>4</v>
      </c>
      <c r="Z13">
        <v>4</v>
      </c>
      <c r="AA13">
        <v>9</v>
      </c>
      <c r="AB13" t="s">
        <v>2599</v>
      </c>
      <c r="AC13">
        <v>10020365</v>
      </c>
      <c r="AD13" t="s">
        <v>144</v>
      </c>
      <c r="AE13" s="108">
        <v>42565</v>
      </c>
      <c r="AF13" t="s">
        <v>2637</v>
      </c>
      <c r="AG13" s="108">
        <v>42632</v>
      </c>
      <c r="AH13" t="s">
        <v>2638</v>
      </c>
    </row>
    <row r="14" spans="1:34" x14ac:dyDescent="0.25">
      <c r="A14" s="111" t="str">
        <f>HYPERLINK("http://www.ofsted.gov.uk/inspection-reports/find-inspection-report/provider/ELS/100294 ","Ofsted School Webpage")</f>
        <v>Ofsted School Webpage</v>
      </c>
      <c r="B14">
        <v>100294</v>
      </c>
      <c r="C14">
        <v>2046331</v>
      </c>
      <c r="D14" t="s">
        <v>2047</v>
      </c>
      <c r="E14" t="s">
        <v>36</v>
      </c>
      <c r="F14" t="s">
        <v>1606</v>
      </c>
      <c r="G14" t="s">
        <v>275</v>
      </c>
      <c r="H14" t="s">
        <v>2595</v>
      </c>
      <c r="I14" t="s">
        <v>2596</v>
      </c>
      <c r="J14" t="s">
        <v>143</v>
      </c>
      <c r="K14" t="s">
        <v>189</v>
      </c>
      <c r="L14" t="s">
        <v>189</v>
      </c>
      <c r="M14" t="s">
        <v>434</v>
      </c>
      <c r="N14" t="s">
        <v>2048</v>
      </c>
      <c r="O14" t="s">
        <v>2049</v>
      </c>
      <c r="P14" s="108">
        <v>41947</v>
      </c>
      <c r="Q14" s="108">
        <v>41949</v>
      </c>
      <c r="R14" s="108">
        <v>41978</v>
      </c>
      <c r="S14" t="s">
        <v>153</v>
      </c>
      <c r="T14">
        <v>2</v>
      </c>
      <c r="U14" t="s">
        <v>2596</v>
      </c>
      <c r="V14">
        <v>2</v>
      </c>
      <c r="W14" t="s">
        <v>2596</v>
      </c>
      <c r="X14">
        <v>2</v>
      </c>
      <c r="Y14">
        <f>VLOOKUP(Table_clu7sql1_ssdb_REPORT_vw_IE_External_MI_SON[[#This Row],[URN]],[1]Data!$D$2:$BB$1084,31,)</f>
        <v>2</v>
      </c>
      <c r="Z14">
        <v>1</v>
      </c>
      <c r="AA14">
        <v>9</v>
      </c>
      <c r="AB14" t="s">
        <v>2598</v>
      </c>
      <c r="AC14" t="s">
        <v>2596</v>
      </c>
      <c r="AD14" t="s">
        <v>2596</v>
      </c>
      <c r="AE14" t="s">
        <v>2596</v>
      </c>
      <c r="AF14" t="s">
        <v>2596</v>
      </c>
      <c r="AG14" t="s">
        <v>2596</v>
      </c>
      <c r="AH14" t="s">
        <v>2596</v>
      </c>
    </row>
    <row r="15" spans="1:34" x14ac:dyDescent="0.25">
      <c r="A15" s="111" t="str">
        <f>HYPERLINK("http://www.ofsted.gov.uk/inspection-reports/find-inspection-report/provider/ELS/100295 ","Ofsted School Webpage")</f>
        <v>Ofsted School Webpage</v>
      </c>
      <c r="B15">
        <v>100295</v>
      </c>
      <c r="C15">
        <v>2046337</v>
      </c>
      <c r="D15" t="s">
        <v>1787</v>
      </c>
      <c r="E15" t="s">
        <v>36</v>
      </c>
      <c r="F15" t="s">
        <v>142</v>
      </c>
      <c r="G15" t="s">
        <v>275</v>
      </c>
      <c r="H15" t="s">
        <v>2595</v>
      </c>
      <c r="I15" t="s">
        <v>2596</v>
      </c>
      <c r="J15" t="s">
        <v>143</v>
      </c>
      <c r="K15" t="s">
        <v>189</v>
      </c>
      <c r="L15" t="s">
        <v>189</v>
      </c>
      <c r="M15" t="s">
        <v>434</v>
      </c>
      <c r="N15" t="s">
        <v>1788</v>
      </c>
      <c r="O15">
        <v>10020732</v>
      </c>
      <c r="P15" s="108">
        <v>42850</v>
      </c>
      <c r="Q15" s="108">
        <v>42852</v>
      </c>
      <c r="R15" s="108">
        <v>42877</v>
      </c>
      <c r="S15" t="s">
        <v>153</v>
      </c>
      <c r="T15">
        <v>2</v>
      </c>
      <c r="U15" t="s">
        <v>123</v>
      </c>
      <c r="V15">
        <v>2</v>
      </c>
      <c r="W15">
        <v>2</v>
      </c>
      <c r="X15">
        <v>2</v>
      </c>
      <c r="Y15">
        <f>VLOOKUP(Table_clu7sql1_ssdb_REPORT_vw_IE_External_MI_SON[[#This Row],[URN]],[1]Data!$D$2:$BB$1084,31,)</f>
        <v>2</v>
      </c>
      <c r="Z15">
        <v>2</v>
      </c>
      <c r="AA15" t="s">
        <v>2596</v>
      </c>
      <c r="AB15" t="s">
        <v>2598</v>
      </c>
      <c r="AC15" t="s">
        <v>2596</v>
      </c>
      <c r="AD15" t="s">
        <v>2596</v>
      </c>
      <c r="AE15" t="s">
        <v>2596</v>
      </c>
      <c r="AF15" t="s">
        <v>2596</v>
      </c>
      <c r="AG15" t="s">
        <v>2596</v>
      </c>
      <c r="AH15" t="s">
        <v>2596</v>
      </c>
    </row>
    <row r="16" spans="1:34" x14ac:dyDescent="0.25">
      <c r="A16" s="111" t="str">
        <f>HYPERLINK("http://www.ofsted.gov.uk/inspection-reports/find-inspection-report/provider/ELS/100296 ","Ofsted School Webpage")</f>
        <v>Ofsted School Webpage</v>
      </c>
      <c r="B16">
        <v>100296</v>
      </c>
      <c r="C16">
        <v>2046377</v>
      </c>
      <c r="D16" t="s">
        <v>2487</v>
      </c>
      <c r="E16" t="s">
        <v>36</v>
      </c>
      <c r="F16" t="s">
        <v>142</v>
      </c>
      <c r="G16" t="s">
        <v>275</v>
      </c>
      <c r="H16" t="s">
        <v>2595</v>
      </c>
      <c r="I16" t="s">
        <v>2596</v>
      </c>
      <c r="J16" t="s">
        <v>143</v>
      </c>
      <c r="K16" t="s">
        <v>189</v>
      </c>
      <c r="L16" t="s">
        <v>189</v>
      </c>
      <c r="M16" t="s">
        <v>434</v>
      </c>
      <c r="N16" t="s">
        <v>2488</v>
      </c>
      <c r="O16">
        <v>10035771</v>
      </c>
      <c r="P16" s="108">
        <v>43109</v>
      </c>
      <c r="Q16" s="108">
        <v>43111</v>
      </c>
      <c r="R16" s="108">
        <v>43173</v>
      </c>
      <c r="S16" t="s">
        <v>153</v>
      </c>
      <c r="T16">
        <v>4</v>
      </c>
      <c r="U16" t="s">
        <v>124</v>
      </c>
      <c r="V16">
        <v>4</v>
      </c>
      <c r="W16">
        <v>4</v>
      </c>
      <c r="X16">
        <v>4</v>
      </c>
      <c r="Y16">
        <f>VLOOKUP(Table_clu7sql1_ssdb_REPORT_vw_IE_External_MI_SON[[#This Row],[URN]],[1]Data!$D$2:$BB$1084,31,)</f>
        <v>4</v>
      </c>
      <c r="Z16">
        <v>4</v>
      </c>
      <c r="AA16" t="s">
        <v>2596</v>
      </c>
      <c r="AB16" t="s">
        <v>2599</v>
      </c>
      <c r="AC16" t="s">
        <v>2596</v>
      </c>
      <c r="AD16" t="s">
        <v>2596</v>
      </c>
      <c r="AE16" s="108" t="s">
        <v>2596</v>
      </c>
      <c r="AF16" t="s">
        <v>2596</v>
      </c>
      <c r="AG16" s="108" t="s">
        <v>2596</v>
      </c>
      <c r="AH16" t="s">
        <v>2596</v>
      </c>
    </row>
    <row r="17" spans="1:34" x14ac:dyDescent="0.25">
      <c r="A17" s="111" t="str">
        <f>HYPERLINK("http://www.ofsted.gov.uk/inspection-reports/find-inspection-report/provider/ELS/100298 ","Ofsted School Webpage")</f>
        <v>Ofsted School Webpage</v>
      </c>
      <c r="B17">
        <v>100298</v>
      </c>
      <c r="C17">
        <v>2046385</v>
      </c>
      <c r="D17" t="s">
        <v>2484</v>
      </c>
      <c r="E17" t="s">
        <v>36</v>
      </c>
      <c r="F17" t="s">
        <v>142</v>
      </c>
      <c r="G17" t="s">
        <v>275</v>
      </c>
      <c r="H17" t="s">
        <v>2595</v>
      </c>
      <c r="I17" t="s">
        <v>2596</v>
      </c>
      <c r="J17" t="s">
        <v>143</v>
      </c>
      <c r="K17" t="s">
        <v>189</v>
      </c>
      <c r="L17" t="s">
        <v>189</v>
      </c>
      <c r="M17" t="s">
        <v>434</v>
      </c>
      <c r="N17" t="s">
        <v>2485</v>
      </c>
      <c r="O17" t="s">
        <v>2486</v>
      </c>
      <c r="P17" s="108">
        <v>42178</v>
      </c>
      <c r="Q17" s="108">
        <v>42180</v>
      </c>
      <c r="R17" s="108">
        <v>42340</v>
      </c>
      <c r="S17" t="s">
        <v>153</v>
      </c>
      <c r="T17">
        <v>4</v>
      </c>
      <c r="U17" t="s">
        <v>2596</v>
      </c>
      <c r="V17">
        <v>4</v>
      </c>
      <c r="W17" t="s">
        <v>2596</v>
      </c>
      <c r="X17">
        <v>4</v>
      </c>
      <c r="Y17">
        <f>VLOOKUP(Table_clu7sql1_ssdb_REPORT_vw_IE_External_MI_SON[[#This Row],[URN]],[1]Data!$D$2:$BB$1084,31,)</f>
        <v>4</v>
      </c>
      <c r="Z17">
        <v>4</v>
      </c>
      <c r="AA17">
        <v>9</v>
      </c>
      <c r="AB17" t="s">
        <v>2599</v>
      </c>
      <c r="AC17">
        <v>10021710</v>
      </c>
      <c r="AD17" t="s">
        <v>144</v>
      </c>
      <c r="AE17" s="108">
        <v>42648</v>
      </c>
      <c r="AF17" t="s">
        <v>2634</v>
      </c>
      <c r="AG17" s="108">
        <v>42821</v>
      </c>
      <c r="AH17" t="s">
        <v>174</v>
      </c>
    </row>
    <row r="18" spans="1:34" x14ac:dyDescent="0.25">
      <c r="A18" s="111" t="str">
        <f>HYPERLINK("http://www.ofsted.gov.uk/inspection-reports/find-inspection-report/provider/ELS/100299 ","Ofsted School Webpage")</f>
        <v>Ofsted School Webpage</v>
      </c>
      <c r="B18">
        <v>100299</v>
      </c>
      <c r="C18">
        <v>2046387</v>
      </c>
      <c r="D18" t="s">
        <v>2482</v>
      </c>
      <c r="E18" t="s">
        <v>36</v>
      </c>
      <c r="F18" t="s">
        <v>142</v>
      </c>
      <c r="G18" t="s">
        <v>275</v>
      </c>
      <c r="H18" t="s">
        <v>2595</v>
      </c>
      <c r="I18" t="s">
        <v>2596</v>
      </c>
      <c r="J18" t="s">
        <v>143</v>
      </c>
      <c r="K18" t="s">
        <v>189</v>
      </c>
      <c r="L18" t="s">
        <v>189</v>
      </c>
      <c r="M18" t="s">
        <v>434</v>
      </c>
      <c r="N18" t="s">
        <v>2483</v>
      </c>
      <c r="O18">
        <v>10035532</v>
      </c>
      <c r="P18" s="108">
        <v>42899</v>
      </c>
      <c r="Q18" s="108">
        <v>42901</v>
      </c>
      <c r="R18" s="108">
        <v>43031</v>
      </c>
      <c r="S18" t="s">
        <v>153</v>
      </c>
      <c r="T18">
        <v>4</v>
      </c>
      <c r="U18" t="s">
        <v>124</v>
      </c>
      <c r="V18">
        <v>4</v>
      </c>
      <c r="W18">
        <v>3</v>
      </c>
      <c r="X18">
        <v>4</v>
      </c>
      <c r="Y18">
        <f>VLOOKUP(Table_clu7sql1_ssdb_REPORT_vw_IE_External_MI_SON[[#This Row],[URN]],[1]Data!$D$2:$BB$1084,31,)</f>
        <v>4</v>
      </c>
      <c r="Z18">
        <v>4</v>
      </c>
      <c r="AA18" t="s">
        <v>2596</v>
      </c>
      <c r="AB18" t="s">
        <v>2599</v>
      </c>
      <c r="AC18" t="s">
        <v>2596</v>
      </c>
      <c r="AD18" t="s">
        <v>2596</v>
      </c>
      <c r="AE18" s="108" t="s">
        <v>2596</v>
      </c>
      <c r="AF18" t="s">
        <v>2596</v>
      </c>
      <c r="AG18" s="108" t="s">
        <v>2596</v>
      </c>
      <c r="AH18" t="s">
        <v>2596</v>
      </c>
    </row>
    <row r="19" spans="1:34" x14ac:dyDescent="0.25">
      <c r="A19" s="111" t="str">
        <f>HYPERLINK("http://www.ofsted.gov.uk/inspection-reports/find-inspection-report/provider/ELS/100300 ","Ofsted School Webpage")</f>
        <v>Ofsted School Webpage</v>
      </c>
      <c r="B19">
        <v>100300</v>
      </c>
      <c r="C19">
        <v>2046388</v>
      </c>
      <c r="D19" t="s">
        <v>2308</v>
      </c>
      <c r="E19" t="s">
        <v>36</v>
      </c>
      <c r="F19" t="s">
        <v>142</v>
      </c>
      <c r="G19" t="s">
        <v>180</v>
      </c>
      <c r="H19" t="s">
        <v>2595</v>
      </c>
      <c r="I19" t="s">
        <v>2596</v>
      </c>
      <c r="J19" t="s">
        <v>143</v>
      </c>
      <c r="K19" t="s">
        <v>189</v>
      </c>
      <c r="L19" t="s">
        <v>189</v>
      </c>
      <c r="M19" t="s">
        <v>434</v>
      </c>
      <c r="N19" t="s">
        <v>2309</v>
      </c>
      <c r="O19">
        <v>10017856</v>
      </c>
      <c r="P19" s="108">
        <v>42634</v>
      </c>
      <c r="Q19" s="108">
        <v>42636</v>
      </c>
      <c r="R19" s="108">
        <v>42716</v>
      </c>
      <c r="S19" t="s">
        <v>153</v>
      </c>
      <c r="T19">
        <v>4</v>
      </c>
      <c r="U19" t="s">
        <v>124</v>
      </c>
      <c r="V19">
        <v>4</v>
      </c>
      <c r="W19">
        <v>4</v>
      </c>
      <c r="X19">
        <v>3</v>
      </c>
      <c r="Y19">
        <f>VLOOKUP(Table_clu7sql1_ssdb_REPORT_vw_IE_External_MI_SON[[#This Row],[URN]],[1]Data!$D$2:$BB$1084,31,)</f>
        <v>3</v>
      </c>
      <c r="Z19" t="s">
        <v>2596</v>
      </c>
      <c r="AA19">
        <v>4</v>
      </c>
      <c r="AB19" t="s">
        <v>2599</v>
      </c>
      <c r="AC19">
        <v>10035530</v>
      </c>
      <c r="AD19" t="s">
        <v>144</v>
      </c>
      <c r="AE19" s="108">
        <v>42907</v>
      </c>
      <c r="AF19" t="s">
        <v>2634</v>
      </c>
      <c r="AG19" s="108">
        <v>42990</v>
      </c>
      <c r="AH19" t="s">
        <v>174</v>
      </c>
    </row>
    <row r="20" spans="1:34" x14ac:dyDescent="0.25">
      <c r="A20" s="111" t="str">
        <f>HYPERLINK("http://www.ofsted.gov.uk/inspection-reports/find-inspection-report/provider/ELS/100301 ","Ofsted School Webpage")</f>
        <v>Ofsted School Webpage</v>
      </c>
      <c r="B20">
        <v>100301</v>
      </c>
      <c r="C20">
        <v>2046389</v>
      </c>
      <c r="D20" t="s">
        <v>2028</v>
      </c>
      <c r="E20" t="s">
        <v>36</v>
      </c>
      <c r="F20" t="s">
        <v>142</v>
      </c>
      <c r="G20" t="s">
        <v>169</v>
      </c>
      <c r="H20" t="s">
        <v>2595</v>
      </c>
      <c r="I20" t="s">
        <v>2596</v>
      </c>
      <c r="J20" t="s">
        <v>143</v>
      </c>
      <c r="K20" t="s">
        <v>189</v>
      </c>
      <c r="L20" t="s">
        <v>189</v>
      </c>
      <c r="M20" t="s">
        <v>434</v>
      </c>
      <c r="N20" t="s">
        <v>2029</v>
      </c>
      <c r="O20">
        <v>10026269</v>
      </c>
      <c r="P20" s="108">
        <v>43067</v>
      </c>
      <c r="Q20" s="108">
        <v>43069</v>
      </c>
      <c r="R20" s="108">
        <v>43088</v>
      </c>
      <c r="S20" t="s">
        <v>153</v>
      </c>
      <c r="T20">
        <v>3</v>
      </c>
      <c r="U20" t="s">
        <v>123</v>
      </c>
      <c r="V20">
        <v>3</v>
      </c>
      <c r="W20">
        <v>2</v>
      </c>
      <c r="X20">
        <v>3</v>
      </c>
      <c r="Y20">
        <f>VLOOKUP(Table_clu7sql1_ssdb_REPORT_vw_IE_External_MI_SON[[#This Row],[URN]],[1]Data!$D$2:$BB$1084,31,)</f>
        <v>3</v>
      </c>
      <c r="Z20">
        <v>3</v>
      </c>
      <c r="AA20" t="s">
        <v>2596</v>
      </c>
      <c r="AB20" t="s">
        <v>2598</v>
      </c>
      <c r="AC20" t="s">
        <v>2596</v>
      </c>
      <c r="AD20" t="s">
        <v>2596</v>
      </c>
      <c r="AE20" t="s">
        <v>2596</v>
      </c>
      <c r="AF20" t="s">
        <v>2596</v>
      </c>
      <c r="AG20" t="s">
        <v>2596</v>
      </c>
      <c r="AH20" t="s">
        <v>2596</v>
      </c>
    </row>
    <row r="21" spans="1:34" x14ac:dyDescent="0.25">
      <c r="A21" s="111" t="str">
        <f>HYPERLINK("http://www.ofsted.gov.uk/inspection-reports/find-inspection-report/provider/ELS/100303 ","Ofsted School Webpage")</f>
        <v>Ofsted School Webpage</v>
      </c>
      <c r="B21">
        <v>100303</v>
      </c>
      <c r="C21">
        <v>2116385</v>
      </c>
      <c r="D21" t="s">
        <v>2290</v>
      </c>
      <c r="E21" t="s">
        <v>36</v>
      </c>
      <c r="F21" t="s">
        <v>142</v>
      </c>
      <c r="G21" t="s">
        <v>142</v>
      </c>
      <c r="H21" t="s">
        <v>2595</v>
      </c>
      <c r="I21" t="s">
        <v>2596</v>
      </c>
      <c r="J21" t="s">
        <v>143</v>
      </c>
      <c r="K21" t="s">
        <v>189</v>
      </c>
      <c r="L21" t="s">
        <v>189</v>
      </c>
      <c r="M21" t="s">
        <v>494</v>
      </c>
      <c r="N21" t="s">
        <v>2291</v>
      </c>
      <c r="O21" t="s">
        <v>2292</v>
      </c>
      <c r="P21" s="108">
        <v>40626</v>
      </c>
      <c r="Q21" s="108">
        <v>40626</v>
      </c>
      <c r="R21" s="108">
        <v>40666</v>
      </c>
      <c r="S21" t="s">
        <v>608</v>
      </c>
      <c r="T21">
        <v>2</v>
      </c>
      <c r="U21" t="s">
        <v>2596</v>
      </c>
      <c r="V21" t="s">
        <v>2596</v>
      </c>
      <c r="W21" t="s">
        <v>2596</v>
      </c>
      <c r="X21">
        <v>2</v>
      </c>
      <c r="Y21">
        <f>VLOOKUP(Table_clu7sql1_ssdb_REPORT_vw_IE_External_MI_SON[[#This Row],[URN]],[1]Data!$D$2:$BB$1084,31,)</f>
        <v>2</v>
      </c>
      <c r="Z21">
        <v>2</v>
      </c>
      <c r="AA21" t="s">
        <v>2596</v>
      </c>
      <c r="AB21" t="s">
        <v>2598</v>
      </c>
      <c r="AC21" t="s">
        <v>2596</v>
      </c>
      <c r="AD21" t="s">
        <v>2596</v>
      </c>
      <c r="AE21" t="s">
        <v>2596</v>
      </c>
      <c r="AF21" t="s">
        <v>2596</v>
      </c>
      <c r="AG21" t="s">
        <v>2596</v>
      </c>
      <c r="AH21" t="s">
        <v>2596</v>
      </c>
    </row>
    <row r="22" spans="1:34" x14ac:dyDescent="0.25">
      <c r="A22" s="111" t="str">
        <f>HYPERLINK("http://www.ofsted.gov.uk/inspection-reports/find-inspection-report/provider/ELS/100371 ","Ofsted School Webpage")</f>
        <v>Ofsted School Webpage</v>
      </c>
      <c r="B22">
        <v>100371</v>
      </c>
      <c r="C22">
        <v>2056359</v>
      </c>
      <c r="D22" t="s">
        <v>1574</v>
      </c>
      <c r="E22" t="s">
        <v>36</v>
      </c>
      <c r="F22" t="s">
        <v>142</v>
      </c>
      <c r="G22" t="s">
        <v>142</v>
      </c>
      <c r="H22" t="s">
        <v>2595</v>
      </c>
      <c r="I22" t="s">
        <v>2596</v>
      </c>
      <c r="J22" t="s">
        <v>143</v>
      </c>
      <c r="K22" t="s">
        <v>189</v>
      </c>
      <c r="L22" t="s">
        <v>189</v>
      </c>
      <c r="M22" t="s">
        <v>257</v>
      </c>
      <c r="N22" t="s">
        <v>1575</v>
      </c>
      <c r="O22" t="s">
        <v>1576</v>
      </c>
      <c r="P22" s="108">
        <v>40828</v>
      </c>
      <c r="Q22" s="108">
        <v>40829</v>
      </c>
      <c r="R22" s="108">
        <v>40857</v>
      </c>
      <c r="S22" t="s">
        <v>153</v>
      </c>
      <c r="T22">
        <v>1</v>
      </c>
      <c r="U22" t="s">
        <v>2596</v>
      </c>
      <c r="V22" t="s">
        <v>2596</v>
      </c>
      <c r="W22" t="s">
        <v>2596</v>
      </c>
      <c r="X22">
        <v>1</v>
      </c>
      <c r="Y22">
        <f>VLOOKUP(Table_clu7sql1_ssdb_REPORT_vw_IE_External_MI_SON[[#This Row],[URN]],[1]Data!$D$2:$BB$1084,31,)</f>
        <v>1</v>
      </c>
      <c r="Z22">
        <v>2</v>
      </c>
      <c r="AA22" t="s">
        <v>2596</v>
      </c>
      <c r="AB22" t="s">
        <v>2598</v>
      </c>
      <c r="AC22" t="s">
        <v>2596</v>
      </c>
      <c r="AD22" t="s">
        <v>2596</v>
      </c>
      <c r="AE22" t="s">
        <v>2596</v>
      </c>
      <c r="AF22" t="s">
        <v>2596</v>
      </c>
      <c r="AG22" t="s">
        <v>2596</v>
      </c>
      <c r="AH22" t="s">
        <v>2596</v>
      </c>
    </row>
    <row r="23" spans="1:34" x14ac:dyDescent="0.25">
      <c r="A23" s="111" t="str">
        <f>HYPERLINK("http://www.ofsted.gov.uk/inspection-reports/find-inspection-report/provider/ELS/100372 ","Ofsted School Webpage")</f>
        <v>Ofsted School Webpage</v>
      </c>
      <c r="B23">
        <v>100372</v>
      </c>
      <c r="C23">
        <v>2056382</v>
      </c>
      <c r="D23" t="s">
        <v>259</v>
      </c>
      <c r="E23" t="s">
        <v>36</v>
      </c>
      <c r="F23" t="s">
        <v>261</v>
      </c>
      <c r="G23" t="s">
        <v>180</v>
      </c>
      <c r="H23" t="s">
        <v>2595</v>
      </c>
      <c r="I23" t="s">
        <v>2596</v>
      </c>
      <c r="J23" t="s">
        <v>143</v>
      </c>
      <c r="K23" t="s">
        <v>189</v>
      </c>
      <c r="L23" t="s">
        <v>189</v>
      </c>
      <c r="M23" t="s">
        <v>257</v>
      </c>
      <c r="N23" t="s">
        <v>260</v>
      </c>
      <c r="O23">
        <v>10035773</v>
      </c>
      <c r="P23" s="108">
        <v>42990</v>
      </c>
      <c r="Q23" s="108">
        <v>42992</v>
      </c>
      <c r="R23" s="108">
        <v>43054</v>
      </c>
      <c r="S23" t="s">
        <v>153</v>
      </c>
      <c r="T23">
        <v>3</v>
      </c>
      <c r="U23" t="s">
        <v>123</v>
      </c>
      <c r="V23">
        <v>3</v>
      </c>
      <c r="W23">
        <v>3</v>
      </c>
      <c r="X23">
        <v>3</v>
      </c>
      <c r="Y23">
        <f>VLOOKUP(Table_clu7sql1_ssdb_REPORT_vw_IE_External_MI_SON[[#This Row],[URN]],[1]Data!$D$2:$BB$1084,31,)</f>
        <v>3</v>
      </c>
      <c r="Z23">
        <v>3</v>
      </c>
      <c r="AA23" t="s">
        <v>2596</v>
      </c>
      <c r="AB23" t="s">
        <v>2598</v>
      </c>
      <c r="AC23" t="s">
        <v>2596</v>
      </c>
      <c r="AD23" t="s">
        <v>2596</v>
      </c>
      <c r="AE23" t="s">
        <v>2596</v>
      </c>
      <c r="AF23" t="s">
        <v>2596</v>
      </c>
      <c r="AG23" t="s">
        <v>2596</v>
      </c>
      <c r="AH23" t="s">
        <v>2596</v>
      </c>
    </row>
    <row r="24" spans="1:34" x14ac:dyDescent="0.25">
      <c r="A24" s="111" t="str">
        <f>HYPERLINK("http://www.ofsted.gov.uk/inspection-reports/find-inspection-report/provider/ELS/100375 ","Ofsted School Webpage")</f>
        <v>Ofsted School Webpage</v>
      </c>
      <c r="B24">
        <v>100375</v>
      </c>
      <c r="C24">
        <v>2056386</v>
      </c>
      <c r="D24" t="s">
        <v>1657</v>
      </c>
      <c r="E24" t="s">
        <v>36</v>
      </c>
      <c r="F24" t="s">
        <v>142</v>
      </c>
      <c r="G24" t="s">
        <v>142</v>
      </c>
      <c r="H24" t="s">
        <v>2595</v>
      </c>
      <c r="I24" t="s">
        <v>2596</v>
      </c>
      <c r="J24" t="s">
        <v>143</v>
      </c>
      <c r="K24" t="s">
        <v>189</v>
      </c>
      <c r="L24" t="s">
        <v>189</v>
      </c>
      <c r="M24" t="s">
        <v>257</v>
      </c>
      <c r="N24" t="s">
        <v>1658</v>
      </c>
      <c r="O24">
        <v>10008534</v>
      </c>
      <c r="P24" s="108">
        <v>43060</v>
      </c>
      <c r="Q24" s="108">
        <v>43062</v>
      </c>
      <c r="R24" s="108">
        <v>43096</v>
      </c>
      <c r="S24" t="s">
        <v>153</v>
      </c>
      <c r="T24">
        <v>1</v>
      </c>
      <c r="U24" t="s">
        <v>123</v>
      </c>
      <c r="V24">
        <v>1</v>
      </c>
      <c r="W24">
        <v>1</v>
      </c>
      <c r="X24">
        <v>1</v>
      </c>
      <c r="Y24">
        <f>VLOOKUP(Table_clu7sql1_ssdb_REPORT_vw_IE_External_MI_SON[[#This Row],[URN]],[1]Data!$D$2:$BB$1084,31,)</f>
        <v>1</v>
      </c>
      <c r="Z24">
        <v>1</v>
      </c>
      <c r="AA24" t="s">
        <v>2596</v>
      </c>
      <c r="AB24" t="s">
        <v>2598</v>
      </c>
      <c r="AC24" t="s">
        <v>2596</v>
      </c>
      <c r="AD24" t="s">
        <v>2596</v>
      </c>
      <c r="AE24" t="s">
        <v>2596</v>
      </c>
      <c r="AF24" t="s">
        <v>2596</v>
      </c>
      <c r="AG24" t="s">
        <v>2596</v>
      </c>
      <c r="AH24" t="s">
        <v>2596</v>
      </c>
    </row>
    <row r="25" spans="1:34" x14ac:dyDescent="0.25">
      <c r="A25" s="111" t="str">
        <f>HYPERLINK("http://www.ofsted.gov.uk/inspection-reports/find-inspection-report/provider/ELS/100376 ","Ofsted School Webpage")</f>
        <v>Ofsted School Webpage</v>
      </c>
      <c r="B25">
        <v>100376</v>
      </c>
      <c r="C25">
        <v>2056387</v>
      </c>
      <c r="D25" t="s">
        <v>664</v>
      </c>
      <c r="E25" t="s">
        <v>36</v>
      </c>
      <c r="F25" t="s">
        <v>142</v>
      </c>
      <c r="G25" t="s">
        <v>142</v>
      </c>
      <c r="H25" t="s">
        <v>2595</v>
      </c>
      <c r="I25" t="s">
        <v>2596</v>
      </c>
      <c r="J25" t="s">
        <v>143</v>
      </c>
      <c r="K25" t="s">
        <v>189</v>
      </c>
      <c r="L25" t="s">
        <v>189</v>
      </c>
      <c r="M25" t="s">
        <v>257</v>
      </c>
      <c r="N25" t="s">
        <v>665</v>
      </c>
      <c r="O25">
        <v>10037572</v>
      </c>
      <c r="P25" s="108">
        <v>42920</v>
      </c>
      <c r="Q25" s="108">
        <v>42922</v>
      </c>
      <c r="R25" s="108">
        <v>43010</v>
      </c>
      <c r="S25" t="s">
        <v>153</v>
      </c>
      <c r="T25">
        <v>4</v>
      </c>
      <c r="U25" t="s">
        <v>124</v>
      </c>
      <c r="V25">
        <v>4</v>
      </c>
      <c r="W25">
        <v>4</v>
      </c>
      <c r="X25">
        <v>3</v>
      </c>
      <c r="Y25">
        <f>VLOOKUP(Table_clu7sql1_ssdb_REPORT_vw_IE_External_MI_SON[[#This Row],[URN]],[1]Data!$D$2:$BB$1084,31,)</f>
        <v>3</v>
      </c>
      <c r="Z25">
        <v>4</v>
      </c>
      <c r="AA25" t="s">
        <v>2596</v>
      </c>
      <c r="AB25" t="s">
        <v>2599</v>
      </c>
      <c r="AC25" t="s">
        <v>2596</v>
      </c>
      <c r="AD25" t="s">
        <v>2596</v>
      </c>
      <c r="AE25" t="s">
        <v>2596</v>
      </c>
      <c r="AF25" t="s">
        <v>2596</v>
      </c>
      <c r="AG25" t="s">
        <v>2596</v>
      </c>
      <c r="AH25" t="s">
        <v>2596</v>
      </c>
    </row>
    <row r="26" spans="1:34" x14ac:dyDescent="0.25">
      <c r="A26" s="111" t="str">
        <f>HYPERLINK("http://www.ofsted.gov.uk/inspection-reports/find-inspection-report/provider/ELS/100462 ","Ofsted School Webpage")</f>
        <v>Ofsted School Webpage</v>
      </c>
      <c r="B26">
        <v>100462</v>
      </c>
      <c r="C26">
        <v>2066299</v>
      </c>
      <c r="D26" t="s">
        <v>2165</v>
      </c>
      <c r="E26" t="s">
        <v>36</v>
      </c>
      <c r="F26" t="s">
        <v>142</v>
      </c>
      <c r="G26" t="s">
        <v>142</v>
      </c>
      <c r="H26" t="s">
        <v>2595</v>
      </c>
      <c r="I26" t="s">
        <v>2596</v>
      </c>
      <c r="J26" t="s">
        <v>143</v>
      </c>
      <c r="K26" t="s">
        <v>189</v>
      </c>
      <c r="L26" t="s">
        <v>189</v>
      </c>
      <c r="M26" t="s">
        <v>1874</v>
      </c>
      <c r="N26" t="s">
        <v>2166</v>
      </c>
      <c r="O26">
        <v>10041394</v>
      </c>
      <c r="P26" s="108">
        <v>43151</v>
      </c>
      <c r="Q26" s="108">
        <v>43153</v>
      </c>
      <c r="R26" s="108">
        <v>43179</v>
      </c>
      <c r="S26" t="s">
        <v>153</v>
      </c>
      <c r="T26">
        <v>1</v>
      </c>
      <c r="U26" t="s">
        <v>123</v>
      </c>
      <c r="V26">
        <v>1</v>
      </c>
      <c r="W26">
        <v>1</v>
      </c>
      <c r="X26">
        <v>1</v>
      </c>
      <c r="Y26">
        <f>VLOOKUP(Table_clu7sql1_ssdb_REPORT_vw_IE_External_MI_SON[[#This Row],[URN]],[1]Data!$D$2:$BB$1084,31,)</f>
        <v>1</v>
      </c>
      <c r="Z26">
        <v>1</v>
      </c>
      <c r="AA26" t="s">
        <v>2596</v>
      </c>
      <c r="AB26" t="s">
        <v>2598</v>
      </c>
      <c r="AC26" t="s">
        <v>2596</v>
      </c>
      <c r="AD26" t="s">
        <v>2596</v>
      </c>
      <c r="AE26" s="108" t="s">
        <v>2596</v>
      </c>
      <c r="AF26" t="s">
        <v>2596</v>
      </c>
      <c r="AG26" s="108" t="s">
        <v>2596</v>
      </c>
      <c r="AH26" t="s">
        <v>2596</v>
      </c>
    </row>
    <row r="27" spans="1:34" x14ac:dyDescent="0.25">
      <c r="A27" s="111" t="str">
        <f>HYPERLINK("http://www.ofsted.gov.uk/inspection-reports/find-inspection-report/provider/ELS/100516 ","Ofsted School Webpage")</f>
        <v>Ofsted School Webpage</v>
      </c>
      <c r="B27">
        <v>100516</v>
      </c>
      <c r="C27">
        <v>2076104</v>
      </c>
      <c r="D27" t="s">
        <v>2305</v>
      </c>
      <c r="E27" t="s">
        <v>36</v>
      </c>
      <c r="F27" t="s">
        <v>369</v>
      </c>
      <c r="G27" t="s">
        <v>369</v>
      </c>
      <c r="H27" t="s">
        <v>2595</v>
      </c>
      <c r="I27" t="s">
        <v>2596</v>
      </c>
      <c r="J27" t="s">
        <v>143</v>
      </c>
      <c r="K27" t="s">
        <v>189</v>
      </c>
      <c r="L27" t="s">
        <v>189</v>
      </c>
      <c r="M27" t="s">
        <v>251</v>
      </c>
      <c r="N27" t="s">
        <v>2306</v>
      </c>
      <c r="O27" t="s">
        <v>2307</v>
      </c>
      <c r="P27" s="108">
        <v>41408</v>
      </c>
      <c r="Q27" s="108">
        <v>41410</v>
      </c>
      <c r="R27" s="108">
        <v>41457</v>
      </c>
      <c r="S27" t="s">
        <v>153</v>
      </c>
      <c r="T27">
        <v>2</v>
      </c>
      <c r="U27" t="s">
        <v>2596</v>
      </c>
      <c r="V27">
        <v>2</v>
      </c>
      <c r="W27" t="s">
        <v>2596</v>
      </c>
      <c r="X27">
        <v>1</v>
      </c>
      <c r="Y27">
        <f>VLOOKUP(Table_clu7sql1_ssdb_REPORT_vw_IE_External_MI_SON[[#This Row],[URN]],[1]Data!$D$2:$BB$1084,31,)</f>
        <v>1</v>
      </c>
      <c r="Z27" t="s">
        <v>2596</v>
      </c>
      <c r="AA27" t="s">
        <v>2596</v>
      </c>
      <c r="AB27" t="s">
        <v>2886</v>
      </c>
      <c r="AC27" t="s">
        <v>2596</v>
      </c>
      <c r="AD27" t="s">
        <v>2596</v>
      </c>
      <c r="AE27" t="s">
        <v>2596</v>
      </c>
      <c r="AF27" t="s">
        <v>2596</v>
      </c>
      <c r="AG27" t="s">
        <v>2596</v>
      </c>
      <c r="AH27" t="s">
        <v>2596</v>
      </c>
    </row>
    <row r="28" spans="1:34" x14ac:dyDescent="0.25">
      <c r="A28" s="111" t="str">
        <f>HYPERLINK("http://www.ofsted.gov.uk/inspection-reports/find-inspection-report/provider/ELS/100518 ","Ofsted School Webpage")</f>
        <v>Ofsted School Webpage</v>
      </c>
      <c r="B28">
        <v>100518</v>
      </c>
      <c r="C28">
        <v>2076188</v>
      </c>
      <c r="D28" t="s">
        <v>2181</v>
      </c>
      <c r="E28" t="s">
        <v>36</v>
      </c>
      <c r="F28" t="s">
        <v>142</v>
      </c>
      <c r="G28" t="s">
        <v>142</v>
      </c>
      <c r="H28" t="s">
        <v>2595</v>
      </c>
      <c r="I28" t="s">
        <v>2596</v>
      </c>
      <c r="J28" t="s">
        <v>143</v>
      </c>
      <c r="K28" t="s">
        <v>189</v>
      </c>
      <c r="L28" t="s">
        <v>189</v>
      </c>
      <c r="M28" t="s">
        <v>251</v>
      </c>
      <c r="N28" t="s">
        <v>2182</v>
      </c>
      <c r="O28">
        <v>10038150</v>
      </c>
      <c r="P28" s="108">
        <v>43116</v>
      </c>
      <c r="Q28" s="108">
        <v>43118</v>
      </c>
      <c r="R28" s="108">
        <v>43157</v>
      </c>
      <c r="S28" t="s">
        <v>153</v>
      </c>
      <c r="T28">
        <v>2</v>
      </c>
      <c r="U28" t="s">
        <v>123</v>
      </c>
      <c r="V28">
        <v>2</v>
      </c>
      <c r="W28">
        <v>1</v>
      </c>
      <c r="X28">
        <v>2</v>
      </c>
      <c r="Y28">
        <f>VLOOKUP(Table_clu7sql1_ssdb_REPORT_vw_IE_External_MI_SON[[#This Row],[URN]],[1]Data!$D$2:$BB$1084,31,)</f>
        <v>2</v>
      </c>
      <c r="Z28">
        <v>2</v>
      </c>
      <c r="AA28" t="s">
        <v>2596</v>
      </c>
      <c r="AB28" t="s">
        <v>2598</v>
      </c>
      <c r="AC28" t="s">
        <v>2596</v>
      </c>
      <c r="AD28" t="s">
        <v>2596</v>
      </c>
      <c r="AE28" s="108" t="s">
        <v>2596</v>
      </c>
      <c r="AF28" t="s">
        <v>2596</v>
      </c>
      <c r="AG28" s="108" t="s">
        <v>2596</v>
      </c>
      <c r="AH28" t="s">
        <v>2596</v>
      </c>
    </row>
    <row r="29" spans="1:34" x14ac:dyDescent="0.25">
      <c r="A29" s="111" t="str">
        <f>HYPERLINK("http://www.ofsted.gov.uk/inspection-reports/find-inspection-report/provider/ELS/100524 ","Ofsted School Webpage")</f>
        <v>Ofsted School Webpage</v>
      </c>
      <c r="B29">
        <v>100524</v>
      </c>
      <c r="C29">
        <v>2076241</v>
      </c>
      <c r="D29" t="s">
        <v>2887</v>
      </c>
      <c r="E29" t="s">
        <v>36</v>
      </c>
      <c r="F29" t="s">
        <v>142</v>
      </c>
      <c r="G29" t="s">
        <v>142</v>
      </c>
      <c r="H29" t="s">
        <v>2595</v>
      </c>
      <c r="I29" t="s">
        <v>2596</v>
      </c>
      <c r="J29" t="s">
        <v>143</v>
      </c>
      <c r="K29" t="s">
        <v>189</v>
      </c>
      <c r="L29" t="s">
        <v>189</v>
      </c>
      <c r="M29" t="s">
        <v>251</v>
      </c>
      <c r="N29" t="s">
        <v>1572</v>
      </c>
      <c r="O29" t="s">
        <v>1573</v>
      </c>
      <c r="P29" s="108">
        <v>41717</v>
      </c>
      <c r="Q29" s="108">
        <v>41719</v>
      </c>
      <c r="R29" s="108">
        <v>41754</v>
      </c>
      <c r="S29" t="s">
        <v>153</v>
      </c>
      <c r="T29">
        <v>2</v>
      </c>
      <c r="U29" t="s">
        <v>2596</v>
      </c>
      <c r="V29">
        <v>2</v>
      </c>
      <c r="W29" t="s">
        <v>2596</v>
      </c>
      <c r="X29">
        <v>2</v>
      </c>
      <c r="Y29">
        <f>VLOOKUP(Table_clu7sql1_ssdb_REPORT_vw_IE_External_MI_SON[[#This Row],[URN]],[1]Data!$D$2:$BB$1084,31,)</f>
        <v>2</v>
      </c>
      <c r="Z29" t="s">
        <v>2596</v>
      </c>
      <c r="AA29" t="s">
        <v>2596</v>
      </c>
      <c r="AB29" t="s">
        <v>2886</v>
      </c>
      <c r="AC29" t="s">
        <v>2596</v>
      </c>
      <c r="AD29" t="s">
        <v>2596</v>
      </c>
      <c r="AE29" t="s">
        <v>2596</v>
      </c>
      <c r="AF29" t="s">
        <v>2596</v>
      </c>
      <c r="AG29" t="s">
        <v>2596</v>
      </c>
      <c r="AH29" t="s">
        <v>2596</v>
      </c>
    </row>
    <row r="30" spans="1:34" x14ac:dyDescent="0.25">
      <c r="A30" s="111" t="str">
        <f>HYPERLINK("http://www.ofsted.gov.uk/inspection-reports/find-inspection-report/provider/ELS/100526 ","Ofsted School Webpage")</f>
        <v>Ofsted School Webpage</v>
      </c>
      <c r="B30">
        <v>100526</v>
      </c>
      <c r="C30">
        <v>2076262</v>
      </c>
      <c r="D30" t="s">
        <v>1856</v>
      </c>
      <c r="E30" t="s">
        <v>36</v>
      </c>
      <c r="F30" t="s">
        <v>142</v>
      </c>
      <c r="G30" t="s">
        <v>142</v>
      </c>
      <c r="H30" t="s">
        <v>2595</v>
      </c>
      <c r="I30" t="s">
        <v>2596</v>
      </c>
      <c r="J30" t="s">
        <v>143</v>
      </c>
      <c r="K30" t="s">
        <v>189</v>
      </c>
      <c r="L30" t="s">
        <v>189</v>
      </c>
      <c r="M30" t="s">
        <v>251</v>
      </c>
      <c r="N30" t="s">
        <v>1857</v>
      </c>
      <c r="O30">
        <v>10034187</v>
      </c>
      <c r="P30" s="108">
        <v>43004</v>
      </c>
      <c r="Q30" s="108">
        <v>43006</v>
      </c>
      <c r="R30" s="108">
        <v>43076</v>
      </c>
      <c r="S30" t="s">
        <v>224</v>
      </c>
      <c r="T30">
        <v>4</v>
      </c>
      <c r="U30" t="s">
        <v>124</v>
      </c>
      <c r="V30">
        <v>4</v>
      </c>
      <c r="W30">
        <v>4</v>
      </c>
      <c r="X30">
        <v>2</v>
      </c>
      <c r="Y30">
        <f>VLOOKUP(Table_clu7sql1_ssdb_REPORT_vw_IE_External_MI_SON[[#This Row],[URN]],[1]Data!$D$2:$BB$1084,31,)</f>
        <v>2</v>
      </c>
      <c r="Z30" t="s">
        <v>2596</v>
      </c>
      <c r="AA30">
        <v>4</v>
      </c>
      <c r="AB30" t="s">
        <v>2599</v>
      </c>
      <c r="AC30" t="s">
        <v>2596</v>
      </c>
      <c r="AD30" t="s">
        <v>2596</v>
      </c>
      <c r="AE30" t="s">
        <v>2596</v>
      </c>
      <c r="AF30" t="s">
        <v>2596</v>
      </c>
      <c r="AG30" t="s">
        <v>2596</v>
      </c>
      <c r="AH30" t="s">
        <v>2596</v>
      </c>
    </row>
    <row r="31" spans="1:34" x14ac:dyDescent="0.25">
      <c r="A31" s="111" t="str">
        <f>HYPERLINK("http://www.ofsted.gov.uk/inspection-reports/find-inspection-report/provider/ELS/100530 ","Ofsted School Webpage")</f>
        <v>Ofsted School Webpage</v>
      </c>
      <c r="B31">
        <v>100530</v>
      </c>
      <c r="C31">
        <v>2126401</v>
      </c>
      <c r="D31" t="s">
        <v>2457</v>
      </c>
      <c r="E31" t="s">
        <v>36</v>
      </c>
      <c r="F31" t="s">
        <v>142</v>
      </c>
      <c r="G31" t="s">
        <v>249</v>
      </c>
      <c r="H31" t="s">
        <v>2595</v>
      </c>
      <c r="I31" t="s">
        <v>2596</v>
      </c>
      <c r="J31" t="s">
        <v>143</v>
      </c>
      <c r="K31" t="s">
        <v>189</v>
      </c>
      <c r="L31" t="s">
        <v>189</v>
      </c>
      <c r="M31" t="s">
        <v>391</v>
      </c>
      <c r="N31" t="s">
        <v>2458</v>
      </c>
      <c r="O31">
        <v>10035775</v>
      </c>
      <c r="P31" s="108">
        <v>43137</v>
      </c>
      <c r="Q31" s="108">
        <v>43139</v>
      </c>
      <c r="R31" s="108">
        <v>43180</v>
      </c>
      <c r="S31" t="s">
        <v>153</v>
      </c>
      <c r="T31">
        <v>1</v>
      </c>
      <c r="U31" t="s">
        <v>123</v>
      </c>
      <c r="V31">
        <v>1</v>
      </c>
      <c r="W31">
        <v>1</v>
      </c>
      <c r="X31">
        <v>1</v>
      </c>
      <c r="Y31">
        <f>VLOOKUP(Table_clu7sql1_ssdb_REPORT_vw_IE_External_MI_SON[[#This Row],[URN]],[1]Data!$D$2:$BB$1084,31,)</f>
        <v>1</v>
      </c>
      <c r="Z31">
        <v>1</v>
      </c>
      <c r="AA31" t="s">
        <v>2596</v>
      </c>
      <c r="AB31" t="s">
        <v>2598</v>
      </c>
      <c r="AC31" t="s">
        <v>2596</v>
      </c>
      <c r="AD31" t="s">
        <v>2596</v>
      </c>
      <c r="AE31" t="s">
        <v>2596</v>
      </c>
      <c r="AF31" t="s">
        <v>2596</v>
      </c>
      <c r="AG31" t="s">
        <v>2596</v>
      </c>
      <c r="AH31" t="s">
        <v>2596</v>
      </c>
    </row>
    <row r="32" spans="1:34" x14ac:dyDescent="0.25">
      <c r="A32" s="111" t="str">
        <f>HYPERLINK("http://www.ofsted.gov.uk/inspection-reports/find-inspection-report/provider/ELS/100532 ","Ofsted School Webpage")</f>
        <v>Ofsted School Webpage</v>
      </c>
      <c r="B32">
        <v>100532</v>
      </c>
      <c r="C32">
        <v>2076305</v>
      </c>
      <c r="D32" t="s">
        <v>2232</v>
      </c>
      <c r="E32" t="s">
        <v>36</v>
      </c>
      <c r="F32" t="s">
        <v>142</v>
      </c>
      <c r="G32" t="s">
        <v>142</v>
      </c>
      <c r="H32" t="s">
        <v>2595</v>
      </c>
      <c r="I32" t="s">
        <v>2596</v>
      </c>
      <c r="J32" t="s">
        <v>143</v>
      </c>
      <c r="K32" t="s">
        <v>189</v>
      </c>
      <c r="L32" t="s">
        <v>189</v>
      </c>
      <c r="M32" t="s">
        <v>251</v>
      </c>
      <c r="N32" t="s">
        <v>2233</v>
      </c>
      <c r="O32" t="s">
        <v>2234</v>
      </c>
      <c r="P32" s="108">
        <v>41604</v>
      </c>
      <c r="Q32" s="108">
        <v>41606</v>
      </c>
      <c r="R32" s="108">
        <v>41626</v>
      </c>
      <c r="S32" t="s">
        <v>153</v>
      </c>
      <c r="T32">
        <v>2</v>
      </c>
      <c r="U32" t="s">
        <v>2596</v>
      </c>
      <c r="V32">
        <v>3</v>
      </c>
      <c r="W32" t="s">
        <v>2596</v>
      </c>
      <c r="X32">
        <v>2</v>
      </c>
      <c r="Y32">
        <f>VLOOKUP(Table_clu7sql1_ssdb_REPORT_vw_IE_External_MI_SON[[#This Row],[URN]],[1]Data!$D$2:$BB$1084,31,)</f>
        <v>2</v>
      </c>
      <c r="Z32" t="s">
        <v>2596</v>
      </c>
      <c r="AA32" t="s">
        <v>2596</v>
      </c>
      <c r="AB32" t="s">
        <v>2599</v>
      </c>
      <c r="AC32" t="s">
        <v>2596</v>
      </c>
      <c r="AD32" t="s">
        <v>2596</v>
      </c>
      <c r="AE32" t="s">
        <v>2596</v>
      </c>
      <c r="AF32" t="s">
        <v>2596</v>
      </c>
      <c r="AG32" t="s">
        <v>2596</v>
      </c>
      <c r="AH32" t="s">
        <v>2596</v>
      </c>
    </row>
    <row r="33" spans="1:34" x14ac:dyDescent="0.25">
      <c r="A33" s="111" t="str">
        <f>HYPERLINK("http://www.ofsted.gov.uk/inspection-reports/find-inspection-report/provider/ELS/100534 ","Ofsted School Webpage")</f>
        <v>Ofsted School Webpage</v>
      </c>
      <c r="B33">
        <v>100534</v>
      </c>
      <c r="C33">
        <v>2076317</v>
      </c>
      <c r="D33" t="s">
        <v>486</v>
      </c>
      <c r="E33" t="s">
        <v>36</v>
      </c>
      <c r="F33" t="s">
        <v>142</v>
      </c>
      <c r="G33" t="s">
        <v>142</v>
      </c>
      <c r="H33" t="s">
        <v>2595</v>
      </c>
      <c r="I33" t="s">
        <v>2596</v>
      </c>
      <c r="J33" t="s">
        <v>143</v>
      </c>
      <c r="K33" t="s">
        <v>189</v>
      </c>
      <c r="L33" t="s">
        <v>189</v>
      </c>
      <c r="M33" t="s">
        <v>251</v>
      </c>
      <c r="N33" t="s">
        <v>487</v>
      </c>
      <c r="O33">
        <v>10012796</v>
      </c>
      <c r="P33" s="108">
        <v>43039</v>
      </c>
      <c r="Q33" s="108">
        <v>43041</v>
      </c>
      <c r="R33" s="108">
        <v>43068</v>
      </c>
      <c r="S33" t="s">
        <v>153</v>
      </c>
      <c r="T33">
        <v>1</v>
      </c>
      <c r="U33" t="s">
        <v>123</v>
      </c>
      <c r="V33">
        <v>1</v>
      </c>
      <c r="W33">
        <v>1</v>
      </c>
      <c r="X33">
        <v>1</v>
      </c>
      <c r="Y33">
        <f>VLOOKUP(Table_clu7sql1_ssdb_REPORT_vw_IE_External_MI_SON[[#This Row],[URN]],[1]Data!$D$2:$BB$1084,31,)</f>
        <v>1</v>
      </c>
      <c r="Z33">
        <v>1</v>
      </c>
      <c r="AA33" t="s">
        <v>2596</v>
      </c>
      <c r="AB33" t="s">
        <v>2598</v>
      </c>
      <c r="AC33" t="s">
        <v>2596</v>
      </c>
      <c r="AD33" t="s">
        <v>2596</v>
      </c>
      <c r="AE33" t="s">
        <v>2596</v>
      </c>
      <c r="AF33" t="s">
        <v>2596</v>
      </c>
      <c r="AG33" t="s">
        <v>2596</v>
      </c>
      <c r="AH33" t="s">
        <v>2596</v>
      </c>
    </row>
    <row r="34" spans="1:34" x14ac:dyDescent="0.25">
      <c r="A34" s="111" t="str">
        <f>HYPERLINK("http://www.ofsted.gov.uk/inspection-reports/find-inspection-report/provider/ELS/100537 ","Ofsted School Webpage")</f>
        <v>Ofsted School Webpage</v>
      </c>
      <c r="B34">
        <v>100537</v>
      </c>
      <c r="C34">
        <v>2076348</v>
      </c>
      <c r="D34" t="s">
        <v>1523</v>
      </c>
      <c r="E34" t="s">
        <v>36</v>
      </c>
      <c r="F34" t="s">
        <v>142</v>
      </c>
      <c r="G34" t="s">
        <v>142</v>
      </c>
      <c r="H34" t="s">
        <v>2595</v>
      </c>
      <c r="I34" t="s">
        <v>2596</v>
      </c>
      <c r="J34" t="s">
        <v>143</v>
      </c>
      <c r="K34" t="s">
        <v>189</v>
      </c>
      <c r="L34" t="s">
        <v>189</v>
      </c>
      <c r="M34" t="s">
        <v>251</v>
      </c>
      <c r="N34" t="s">
        <v>1524</v>
      </c>
      <c r="O34">
        <v>10020765</v>
      </c>
      <c r="P34" s="108">
        <v>43131</v>
      </c>
      <c r="Q34" s="108">
        <v>43133</v>
      </c>
      <c r="R34" s="108">
        <v>43173</v>
      </c>
      <c r="S34" t="s">
        <v>153</v>
      </c>
      <c r="T34">
        <v>2</v>
      </c>
      <c r="U34" t="s">
        <v>123</v>
      </c>
      <c r="V34">
        <v>2</v>
      </c>
      <c r="W34">
        <v>2</v>
      </c>
      <c r="X34">
        <v>2</v>
      </c>
      <c r="Y34">
        <f>VLOOKUP(Table_clu7sql1_ssdb_REPORT_vw_IE_External_MI_SON[[#This Row],[URN]],[1]Data!$D$2:$BB$1084,31,)</f>
        <v>2</v>
      </c>
      <c r="Z34" t="s">
        <v>2596</v>
      </c>
      <c r="AA34">
        <v>1</v>
      </c>
      <c r="AB34" t="s">
        <v>2598</v>
      </c>
      <c r="AC34" t="s">
        <v>2596</v>
      </c>
      <c r="AD34" t="s">
        <v>2596</v>
      </c>
      <c r="AE34" t="s">
        <v>2596</v>
      </c>
      <c r="AF34" t="s">
        <v>2596</v>
      </c>
      <c r="AG34" t="s">
        <v>2596</v>
      </c>
      <c r="AH34" t="s">
        <v>2596</v>
      </c>
    </row>
    <row r="35" spans="1:34" x14ac:dyDescent="0.25">
      <c r="A35" s="111" t="str">
        <f>HYPERLINK("http://www.ofsted.gov.uk/inspection-reports/find-inspection-report/provider/ELS/100544 ","Ofsted School Webpage")</f>
        <v>Ofsted School Webpage</v>
      </c>
      <c r="B35">
        <v>100544</v>
      </c>
      <c r="C35">
        <v>2136005</v>
      </c>
      <c r="D35" t="s">
        <v>631</v>
      </c>
      <c r="E35" t="s">
        <v>36</v>
      </c>
      <c r="F35" t="s">
        <v>142</v>
      </c>
      <c r="G35" t="s">
        <v>142</v>
      </c>
      <c r="H35" t="s">
        <v>2595</v>
      </c>
      <c r="I35" t="s">
        <v>2596</v>
      </c>
      <c r="J35" t="s">
        <v>143</v>
      </c>
      <c r="K35" t="s">
        <v>189</v>
      </c>
      <c r="L35" t="s">
        <v>189</v>
      </c>
      <c r="M35" t="s">
        <v>632</v>
      </c>
      <c r="N35" t="s">
        <v>633</v>
      </c>
      <c r="O35">
        <v>10034004</v>
      </c>
      <c r="P35" s="108">
        <v>42857</v>
      </c>
      <c r="Q35" s="108">
        <v>42859</v>
      </c>
      <c r="R35" s="108">
        <v>42881</v>
      </c>
      <c r="S35" t="s">
        <v>153</v>
      </c>
      <c r="T35">
        <v>1</v>
      </c>
      <c r="U35" t="s">
        <v>123</v>
      </c>
      <c r="V35">
        <v>1</v>
      </c>
      <c r="W35">
        <v>1</v>
      </c>
      <c r="X35">
        <v>1</v>
      </c>
      <c r="Y35">
        <f>VLOOKUP(Table_clu7sql1_ssdb_REPORT_vw_IE_External_MI_SON[[#This Row],[URN]],[1]Data!$D$2:$BB$1084,31,)</f>
        <v>1</v>
      </c>
      <c r="Z35" t="s">
        <v>2596</v>
      </c>
      <c r="AA35">
        <v>1</v>
      </c>
      <c r="AB35" t="s">
        <v>2598</v>
      </c>
      <c r="AC35" t="s">
        <v>2596</v>
      </c>
      <c r="AD35" t="s">
        <v>2596</v>
      </c>
      <c r="AE35" t="s">
        <v>2596</v>
      </c>
      <c r="AF35" t="s">
        <v>2596</v>
      </c>
      <c r="AG35" t="s">
        <v>2596</v>
      </c>
      <c r="AH35" t="s">
        <v>2596</v>
      </c>
    </row>
    <row r="36" spans="1:34" x14ac:dyDescent="0.25">
      <c r="A36" s="111" t="str">
        <f>HYPERLINK("http://www.ofsted.gov.uk/inspection-reports/find-inspection-report/provider/ELS/100545 ","Ofsted School Webpage")</f>
        <v>Ofsted School Webpage</v>
      </c>
      <c r="B36">
        <v>100545</v>
      </c>
      <c r="C36">
        <v>2076387</v>
      </c>
      <c r="D36" t="s">
        <v>2204</v>
      </c>
      <c r="E36" t="s">
        <v>36</v>
      </c>
      <c r="F36" t="s">
        <v>142</v>
      </c>
      <c r="G36" t="s">
        <v>142</v>
      </c>
      <c r="H36" t="s">
        <v>2595</v>
      </c>
      <c r="I36" t="s">
        <v>2596</v>
      </c>
      <c r="J36" t="s">
        <v>143</v>
      </c>
      <c r="K36" t="s">
        <v>189</v>
      </c>
      <c r="L36" t="s">
        <v>189</v>
      </c>
      <c r="M36" t="s">
        <v>251</v>
      </c>
      <c r="N36" t="s">
        <v>2205</v>
      </c>
      <c r="O36" t="s">
        <v>2206</v>
      </c>
      <c r="P36" s="108">
        <v>40500</v>
      </c>
      <c r="Q36" s="108">
        <v>40500</v>
      </c>
      <c r="R36" s="108">
        <v>40521</v>
      </c>
      <c r="S36" t="s">
        <v>608</v>
      </c>
      <c r="T36">
        <v>1</v>
      </c>
      <c r="U36" t="s">
        <v>2596</v>
      </c>
      <c r="V36" t="s">
        <v>2596</v>
      </c>
      <c r="W36" t="s">
        <v>2596</v>
      </c>
      <c r="X36">
        <v>2</v>
      </c>
      <c r="Y36">
        <f>VLOOKUP(Table_clu7sql1_ssdb_REPORT_vw_IE_External_MI_SON[[#This Row],[URN]],[1]Data!$D$2:$BB$1084,31,)</f>
        <v>1</v>
      </c>
      <c r="Z36">
        <v>2</v>
      </c>
      <c r="AA36" t="s">
        <v>2596</v>
      </c>
      <c r="AB36" t="s">
        <v>2598</v>
      </c>
      <c r="AC36" t="s">
        <v>2596</v>
      </c>
      <c r="AD36" t="s">
        <v>2596</v>
      </c>
      <c r="AE36" s="108" t="s">
        <v>2596</v>
      </c>
      <c r="AF36" t="s">
        <v>2596</v>
      </c>
      <c r="AG36" s="108" t="s">
        <v>2596</v>
      </c>
      <c r="AH36" t="s">
        <v>2596</v>
      </c>
    </row>
    <row r="37" spans="1:34" x14ac:dyDescent="0.25">
      <c r="A37" s="111" t="str">
        <f>HYPERLINK("http://www.ofsted.gov.uk/inspection-reports/find-inspection-report/provider/ELS/100547 ","Ofsted School Webpage")</f>
        <v>Ofsted School Webpage</v>
      </c>
      <c r="B37">
        <v>100547</v>
      </c>
      <c r="C37">
        <v>2076391</v>
      </c>
      <c r="D37" t="s">
        <v>2209</v>
      </c>
      <c r="E37" t="s">
        <v>36</v>
      </c>
      <c r="F37" t="s">
        <v>142</v>
      </c>
      <c r="G37" t="s">
        <v>142</v>
      </c>
      <c r="H37" t="s">
        <v>2595</v>
      </c>
      <c r="I37" t="s">
        <v>2596</v>
      </c>
      <c r="J37" t="s">
        <v>143</v>
      </c>
      <c r="K37" t="s">
        <v>189</v>
      </c>
      <c r="L37" t="s">
        <v>189</v>
      </c>
      <c r="M37" t="s">
        <v>251</v>
      </c>
      <c r="N37" t="s">
        <v>2210</v>
      </c>
      <c r="O37" t="s">
        <v>2211</v>
      </c>
      <c r="P37" s="108">
        <v>41241</v>
      </c>
      <c r="Q37" s="108">
        <v>41242</v>
      </c>
      <c r="R37" s="108">
        <v>41263</v>
      </c>
      <c r="S37" t="s">
        <v>153</v>
      </c>
      <c r="T37">
        <v>2</v>
      </c>
      <c r="U37" t="s">
        <v>2596</v>
      </c>
      <c r="V37" t="s">
        <v>2596</v>
      </c>
      <c r="W37" t="s">
        <v>2596</v>
      </c>
      <c r="X37">
        <v>2</v>
      </c>
      <c r="Y37">
        <f>VLOOKUP(Table_clu7sql1_ssdb_REPORT_vw_IE_External_MI_SON[[#This Row],[URN]],[1]Data!$D$2:$BB$1084,31,)</f>
        <v>1</v>
      </c>
      <c r="Z37">
        <v>8</v>
      </c>
      <c r="AA37" t="s">
        <v>2596</v>
      </c>
      <c r="AB37" t="s">
        <v>2598</v>
      </c>
      <c r="AC37" t="s">
        <v>2596</v>
      </c>
      <c r="AD37" t="s">
        <v>2596</v>
      </c>
      <c r="AE37" s="108" t="s">
        <v>2596</v>
      </c>
      <c r="AF37" t="s">
        <v>2596</v>
      </c>
      <c r="AG37" s="108" t="s">
        <v>2596</v>
      </c>
      <c r="AH37" t="s">
        <v>2596</v>
      </c>
    </row>
    <row r="38" spans="1:34" x14ac:dyDescent="0.25">
      <c r="A38" s="111" t="str">
        <f>HYPERLINK("http://www.ofsted.gov.uk/inspection-reports/find-inspection-report/provider/ELS/100982 ","Ofsted School Webpage")</f>
        <v>Ofsted School Webpage</v>
      </c>
      <c r="B38">
        <v>100982</v>
      </c>
      <c r="C38">
        <v>2116383</v>
      </c>
      <c r="D38" t="s">
        <v>1714</v>
      </c>
      <c r="E38" t="s">
        <v>36</v>
      </c>
      <c r="F38" t="s">
        <v>142</v>
      </c>
      <c r="G38" t="s">
        <v>180</v>
      </c>
      <c r="H38" t="s">
        <v>2595</v>
      </c>
      <c r="I38" t="s">
        <v>2596</v>
      </c>
      <c r="J38" t="s">
        <v>143</v>
      </c>
      <c r="K38" t="s">
        <v>189</v>
      </c>
      <c r="L38" t="s">
        <v>189</v>
      </c>
      <c r="M38" t="s">
        <v>494</v>
      </c>
      <c r="N38" t="s">
        <v>1715</v>
      </c>
      <c r="O38">
        <v>10026274</v>
      </c>
      <c r="P38" s="108">
        <v>43053</v>
      </c>
      <c r="Q38" s="108">
        <v>43055</v>
      </c>
      <c r="R38" s="108">
        <v>43089</v>
      </c>
      <c r="S38" t="s">
        <v>153</v>
      </c>
      <c r="T38">
        <v>2</v>
      </c>
      <c r="U38" t="s">
        <v>123</v>
      </c>
      <c r="V38">
        <v>2</v>
      </c>
      <c r="W38">
        <v>2</v>
      </c>
      <c r="X38">
        <v>2</v>
      </c>
      <c r="Y38">
        <f>VLOOKUP(Table_clu7sql1_ssdb_REPORT_vw_IE_External_MI_SON[[#This Row],[URN]],[1]Data!$D$2:$BB$1084,31,)</f>
        <v>2</v>
      </c>
      <c r="Z38" t="s">
        <v>2596</v>
      </c>
      <c r="AA38">
        <v>0</v>
      </c>
      <c r="AB38" t="s">
        <v>2598</v>
      </c>
      <c r="AC38" t="s">
        <v>2596</v>
      </c>
      <c r="AD38" t="s">
        <v>2596</v>
      </c>
      <c r="AE38" t="s">
        <v>2596</v>
      </c>
      <c r="AF38" t="s">
        <v>2596</v>
      </c>
      <c r="AG38" t="s">
        <v>2596</v>
      </c>
      <c r="AH38" t="s">
        <v>2596</v>
      </c>
    </row>
    <row r="39" spans="1:34" x14ac:dyDescent="0.25">
      <c r="A39" s="111" t="str">
        <f>HYPERLINK("http://www.ofsted.gov.uk/inspection-reports/find-inspection-report/provider/ELS/101065 ","Ofsted School Webpage")</f>
        <v>Ofsted School Webpage</v>
      </c>
      <c r="B39">
        <v>101065</v>
      </c>
      <c r="C39">
        <v>2126144</v>
      </c>
      <c r="D39" t="s">
        <v>449</v>
      </c>
      <c r="E39" t="s">
        <v>36</v>
      </c>
      <c r="F39" t="s">
        <v>142</v>
      </c>
      <c r="G39" t="s">
        <v>142</v>
      </c>
      <c r="H39" t="s">
        <v>2595</v>
      </c>
      <c r="I39" t="s">
        <v>2596</v>
      </c>
      <c r="J39" t="s">
        <v>143</v>
      </c>
      <c r="K39" t="s">
        <v>189</v>
      </c>
      <c r="L39" t="s">
        <v>189</v>
      </c>
      <c r="M39" t="s">
        <v>391</v>
      </c>
      <c r="N39" t="s">
        <v>450</v>
      </c>
      <c r="O39">
        <v>10008537</v>
      </c>
      <c r="P39" s="108">
        <v>43046</v>
      </c>
      <c r="Q39" s="108">
        <v>43048</v>
      </c>
      <c r="R39" s="108">
        <v>43066</v>
      </c>
      <c r="S39" t="s">
        <v>153</v>
      </c>
      <c r="T39">
        <v>1</v>
      </c>
      <c r="U39" t="s">
        <v>123</v>
      </c>
      <c r="V39">
        <v>1</v>
      </c>
      <c r="W39">
        <v>1</v>
      </c>
      <c r="X39">
        <v>1</v>
      </c>
      <c r="Y39">
        <f>VLOOKUP(Table_clu7sql1_ssdb_REPORT_vw_IE_External_MI_SON[[#This Row],[URN]],[1]Data!$D$2:$BB$1084,31,)</f>
        <v>1</v>
      </c>
      <c r="Z39">
        <v>1</v>
      </c>
      <c r="AA39" t="s">
        <v>2596</v>
      </c>
      <c r="AB39" t="s">
        <v>2598</v>
      </c>
      <c r="AC39" t="s">
        <v>2596</v>
      </c>
      <c r="AD39" t="s">
        <v>2596</v>
      </c>
      <c r="AE39" t="s">
        <v>2596</v>
      </c>
      <c r="AF39" t="s">
        <v>2596</v>
      </c>
      <c r="AG39" t="s">
        <v>2596</v>
      </c>
      <c r="AH39" t="s">
        <v>2596</v>
      </c>
    </row>
    <row r="40" spans="1:34" x14ac:dyDescent="0.25">
      <c r="A40" s="111" t="str">
        <f>HYPERLINK("http://www.ofsted.gov.uk/inspection-reports/find-inspection-report/provider/ELS/101075 ","Ofsted School Webpage")</f>
        <v>Ofsted School Webpage</v>
      </c>
      <c r="B40">
        <v>101075</v>
      </c>
      <c r="C40">
        <v>2126351</v>
      </c>
      <c r="D40" t="s">
        <v>2320</v>
      </c>
      <c r="E40" t="s">
        <v>36</v>
      </c>
      <c r="F40" t="s">
        <v>142</v>
      </c>
      <c r="G40" t="s">
        <v>169</v>
      </c>
      <c r="H40" t="s">
        <v>2595</v>
      </c>
      <c r="I40" t="s">
        <v>2596</v>
      </c>
      <c r="J40" t="s">
        <v>143</v>
      </c>
      <c r="K40" t="s">
        <v>189</v>
      </c>
      <c r="L40" t="s">
        <v>189</v>
      </c>
      <c r="M40" t="s">
        <v>391</v>
      </c>
      <c r="N40" t="s">
        <v>2321</v>
      </c>
      <c r="O40" t="s">
        <v>2322</v>
      </c>
      <c r="P40" s="108">
        <v>41772</v>
      </c>
      <c r="Q40" s="108">
        <v>41774</v>
      </c>
      <c r="R40" s="108">
        <v>41795</v>
      </c>
      <c r="S40" t="s">
        <v>153</v>
      </c>
      <c r="T40">
        <v>1</v>
      </c>
      <c r="U40" t="s">
        <v>2596</v>
      </c>
      <c r="V40">
        <v>1</v>
      </c>
      <c r="W40" t="s">
        <v>2596</v>
      </c>
      <c r="X40">
        <v>1</v>
      </c>
      <c r="Y40">
        <f>VLOOKUP(Table_clu7sql1_ssdb_REPORT_vw_IE_External_MI_SON[[#This Row],[URN]],[1]Data!$D$2:$BB$1084,31,)</f>
        <v>1</v>
      </c>
      <c r="Z40" t="s">
        <v>2596</v>
      </c>
      <c r="AA40" t="s">
        <v>2596</v>
      </c>
      <c r="AB40" t="s">
        <v>2598</v>
      </c>
      <c r="AC40" t="s">
        <v>2596</v>
      </c>
      <c r="AD40" t="s">
        <v>2596</v>
      </c>
      <c r="AE40" s="108" t="s">
        <v>2596</v>
      </c>
      <c r="AF40" t="s">
        <v>2596</v>
      </c>
      <c r="AG40" s="108" t="s">
        <v>2596</v>
      </c>
      <c r="AH40" t="s">
        <v>2596</v>
      </c>
    </row>
    <row r="41" spans="1:34" x14ac:dyDescent="0.25">
      <c r="A41" s="111" t="str">
        <f>HYPERLINK("http://www.ofsted.gov.uk/inspection-reports/find-inspection-report/provider/ELS/101077 ","Ofsted School Webpage")</f>
        <v>Ofsted School Webpage</v>
      </c>
      <c r="B41">
        <v>101077</v>
      </c>
      <c r="C41">
        <v>2126368</v>
      </c>
      <c r="D41" t="s">
        <v>1807</v>
      </c>
      <c r="E41" t="s">
        <v>37</v>
      </c>
      <c r="F41" t="s">
        <v>142</v>
      </c>
      <c r="G41" t="s">
        <v>142</v>
      </c>
      <c r="H41" t="s">
        <v>2595</v>
      </c>
      <c r="I41" t="s">
        <v>2596</v>
      </c>
      <c r="J41" t="s">
        <v>143</v>
      </c>
      <c r="K41" t="s">
        <v>189</v>
      </c>
      <c r="L41" t="s">
        <v>189</v>
      </c>
      <c r="M41" t="s">
        <v>391</v>
      </c>
      <c r="N41" t="s">
        <v>1808</v>
      </c>
      <c r="O41">
        <v>10041395</v>
      </c>
      <c r="P41" s="108">
        <v>43109</v>
      </c>
      <c r="Q41" s="108">
        <v>43111</v>
      </c>
      <c r="R41" s="108">
        <v>43157</v>
      </c>
      <c r="S41" t="s">
        <v>153</v>
      </c>
      <c r="T41">
        <v>2</v>
      </c>
      <c r="U41" t="s">
        <v>123</v>
      </c>
      <c r="V41">
        <v>2</v>
      </c>
      <c r="W41">
        <v>1</v>
      </c>
      <c r="X41">
        <v>2</v>
      </c>
      <c r="Y41">
        <f>VLOOKUP(Table_clu7sql1_ssdb_REPORT_vw_IE_External_MI_SON[[#This Row],[URN]],[1]Data!$D$2:$BB$1084,31,)</f>
        <v>2</v>
      </c>
      <c r="Z41" t="s">
        <v>2596</v>
      </c>
      <c r="AA41" t="s">
        <v>2596</v>
      </c>
      <c r="AB41" t="s">
        <v>2598</v>
      </c>
      <c r="AC41" t="s">
        <v>2596</v>
      </c>
      <c r="AD41" t="s">
        <v>2596</v>
      </c>
      <c r="AE41" t="s">
        <v>2596</v>
      </c>
      <c r="AF41" t="s">
        <v>2596</v>
      </c>
      <c r="AG41" t="s">
        <v>2596</v>
      </c>
      <c r="AH41" t="s">
        <v>2596</v>
      </c>
    </row>
    <row r="42" spans="1:34" x14ac:dyDescent="0.25">
      <c r="A42" s="111" t="str">
        <f>HYPERLINK("http://www.ofsted.gov.uk/inspection-reports/find-inspection-report/provider/ELS/101080 ","Ofsted School Webpage")</f>
        <v>Ofsted School Webpage</v>
      </c>
      <c r="B42">
        <v>101080</v>
      </c>
      <c r="C42">
        <v>2126383</v>
      </c>
      <c r="D42" t="s">
        <v>390</v>
      </c>
      <c r="E42" t="s">
        <v>36</v>
      </c>
      <c r="F42" t="s">
        <v>142</v>
      </c>
      <c r="G42" t="s">
        <v>142</v>
      </c>
      <c r="H42" t="s">
        <v>2595</v>
      </c>
      <c r="I42" t="s">
        <v>2596</v>
      </c>
      <c r="J42" t="s">
        <v>143</v>
      </c>
      <c r="K42" t="s">
        <v>189</v>
      </c>
      <c r="L42" t="s">
        <v>189</v>
      </c>
      <c r="M42" t="s">
        <v>391</v>
      </c>
      <c r="N42" t="s">
        <v>392</v>
      </c>
      <c r="O42">
        <v>10008538</v>
      </c>
      <c r="P42" s="108">
        <v>43018</v>
      </c>
      <c r="Q42" s="108">
        <v>43020</v>
      </c>
      <c r="R42" s="108">
        <v>43055</v>
      </c>
      <c r="S42" t="s">
        <v>153</v>
      </c>
      <c r="T42">
        <v>2</v>
      </c>
      <c r="U42" t="s">
        <v>123</v>
      </c>
      <c r="V42">
        <v>2</v>
      </c>
      <c r="W42">
        <v>1</v>
      </c>
      <c r="X42">
        <v>2</v>
      </c>
      <c r="Y42">
        <f>VLOOKUP(Table_clu7sql1_ssdb_REPORT_vw_IE_External_MI_SON[[#This Row],[URN]],[1]Data!$D$2:$BB$1084,31,)</f>
        <v>2</v>
      </c>
      <c r="Z42">
        <v>2</v>
      </c>
      <c r="AA42" t="s">
        <v>2596</v>
      </c>
      <c r="AB42" t="s">
        <v>2598</v>
      </c>
      <c r="AC42" t="s">
        <v>2596</v>
      </c>
      <c r="AD42" t="s">
        <v>2596</v>
      </c>
      <c r="AE42" t="s">
        <v>2596</v>
      </c>
      <c r="AF42" t="s">
        <v>2596</v>
      </c>
      <c r="AG42" t="s">
        <v>2596</v>
      </c>
      <c r="AH42" t="s">
        <v>2596</v>
      </c>
    </row>
    <row r="43" spans="1:34" x14ac:dyDescent="0.25">
      <c r="A43" s="111" t="str">
        <f>HYPERLINK("http://www.ofsted.gov.uk/inspection-reports/find-inspection-report/provider/ELS/101086 ","Ofsted School Webpage")</f>
        <v>Ofsted School Webpage</v>
      </c>
      <c r="B43">
        <v>101086</v>
      </c>
      <c r="C43">
        <v>2126390</v>
      </c>
      <c r="D43" t="s">
        <v>1454</v>
      </c>
      <c r="E43" t="s">
        <v>36</v>
      </c>
      <c r="F43" t="s">
        <v>142</v>
      </c>
      <c r="G43" t="s">
        <v>142</v>
      </c>
      <c r="H43" t="s">
        <v>2595</v>
      </c>
      <c r="I43" t="s">
        <v>2596</v>
      </c>
      <c r="J43" t="s">
        <v>143</v>
      </c>
      <c r="K43" t="s">
        <v>189</v>
      </c>
      <c r="L43" t="s">
        <v>189</v>
      </c>
      <c r="M43" t="s">
        <v>391</v>
      </c>
      <c r="N43" t="s">
        <v>1455</v>
      </c>
      <c r="O43">
        <v>10020722</v>
      </c>
      <c r="P43" s="108">
        <v>42892</v>
      </c>
      <c r="Q43" s="108">
        <v>42894</v>
      </c>
      <c r="R43" s="108">
        <v>42923</v>
      </c>
      <c r="S43" t="s">
        <v>153</v>
      </c>
      <c r="T43">
        <v>4</v>
      </c>
      <c r="U43" t="s">
        <v>124</v>
      </c>
      <c r="V43">
        <v>4</v>
      </c>
      <c r="W43">
        <v>4</v>
      </c>
      <c r="X43">
        <v>3</v>
      </c>
      <c r="Y43">
        <f>VLOOKUP(Table_clu7sql1_ssdb_REPORT_vw_IE_External_MI_SON[[#This Row],[URN]],[1]Data!$D$2:$BB$1084,31,)</f>
        <v>3</v>
      </c>
      <c r="Z43">
        <v>4</v>
      </c>
      <c r="AA43" t="s">
        <v>2596</v>
      </c>
      <c r="AB43" t="s">
        <v>2599</v>
      </c>
      <c r="AC43">
        <v>10048460</v>
      </c>
      <c r="AD43" t="s">
        <v>144</v>
      </c>
      <c r="AE43" s="108">
        <v>43159</v>
      </c>
      <c r="AF43" t="s">
        <v>2636</v>
      </c>
      <c r="AG43" s="108">
        <v>43187</v>
      </c>
      <c r="AH43" t="s">
        <v>146</v>
      </c>
    </row>
    <row r="44" spans="1:34" x14ac:dyDescent="0.25">
      <c r="A44" s="111" t="str">
        <f>HYPERLINK("http://www.ofsted.gov.uk/inspection-reports/find-inspection-report/provider/ELS/101087 ","Ofsted School Webpage")</f>
        <v>Ofsted School Webpage</v>
      </c>
      <c r="B44">
        <v>101087</v>
      </c>
      <c r="C44">
        <v>2126391</v>
      </c>
      <c r="D44" t="s">
        <v>2248</v>
      </c>
      <c r="E44" t="s">
        <v>36</v>
      </c>
      <c r="F44" t="s">
        <v>142</v>
      </c>
      <c r="G44" t="s">
        <v>142</v>
      </c>
      <c r="H44" t="s">
        <v>2595</v>
      </c>
      <c r="I44" t="s">
        <v>2596</v>
      </c>
      <c r="J44" t="s">
        <v>143</v>
      </c>
      <c r="K44" t="s">
        <v>189</v>
      </c>
      <c r="L44" t="s">
        <v>189</v>
      </c>
      <c r="M44" t="s">
        <v>391</v>
      </c>
      <c r="N44" t="s">
        <v>2249</v>
      </c>
      <c r="O44" t="s">
        <v>2250</v>
      </c>
      <c r="P44" s="108">
        <v>41779</v>
      </c>
      <c r="Q44" s="108">
        <v>41781</v>
      </c>
      <c r="R44" s="108">
        <v>41801</v>
      </c>
      <c r="S44" t="s">
        <v>153</v>
      </c>
      <c r="T44">
        <v>1</v>
      </c>
      <c r="U44" t="s">
        <v>2596</v>
      </c>
      <c r="V44">
        <v>1</v>
      </c>
      <c r="W44" t="s">
        <v>2596</v>
      </c>
      <c r="X44">
        <v>1</v>
      </c>
      <c r="Y44">
        <f>VLOOKUP(Table_clu7sql1_ssdb_REPORT_vw_IE_External_MI_SON[[#This Row],[URN]],[1]Data!$D$2:$BB$1084,31,)</f>
        <v>1</v>
      </c>
      <c r="Z44" t="s">
        <v>2596</v>
      </c>
      <c r="AA44" t="s">
        <v>2596</v>
      </c>
      <c r="AB44" t="s">
        <v>2598</v>
      </c>
      <c r="AC44" t="s">
        <v>2596</v>
      </c>
      <c r="AD44" t="s">
        <v>2596</v>
      </c>
      <c r="AE44" t="s">
        <v>2596</v>
      </c>
      <c r="AF44" t="s">
        <v>2596</v>
      </c>
      <c r="AG44" t="s">
        <v>2596</v>
      </c>
      <c r="AH44" t="s">
        <v>2596</v>
      </c>
    </row>
    <row r="45" spans="1:34" x14ac:dyDescent="0.25">
      <c r="A45" s="111" t="str">
        <f>HYPERLINK("http://www.ofsted.gov.uk/inspection-reports/find-inspection-report/provider/ELS/101090 ","Ofsted School Webpage")</f>
        <v>Ofsted School Webpage</v>
      </c>
      <c r="B45">
        <v>101090</v>
      </c>
      <c r="C45">
        <v>2126396</v>
      </c>
      <c r="D45" t="s">
        <v>2888</v>
      </c>
      <c r="E45" t="s">
        <v>36</v>
      </c>
      <c r="F45" t="s">
        <v>142</v>
      </c>
      <c r="G45" t="s">
        <v>180</v>
      </c>
      <c r="H45" t="s">
        <v>2595</v>
      </c>
      <c r="I45" t="s">
        <v>2596</v>
      </c>
      <c r="J45" t="s">
        <v>143</v>
      </c>
      <c r="K45" t="s">
        <v>189</v>
      </c>
      <c r="L45" t="s">
        <v>189</v>
      </c>
      <c r="M45" t="s">
        <v>391</v>
      </c>
      <c r="N45" t="s">
        <v>1830</v>
      </c>
      <c r="O45">
        <v>10006123</v>
      </c>
      <c r="P45" s="108">
        <v>42353</v>
      </c>
      <c r="Q45" s="108">
        <v>42355</v>
      </c>
      <c r="R45" s="108">
        <v>42384</v>
      </c>
      <c r="S45" t="s">
        <v>153</v>
      </c>
      <c r="T45">
        <v>2</v>
      </c>
      <c r="U45" t="s">
        <v>123</v>
      </c>
      <c r="V45">
        <v>2</v>
      </c>
      <c r="W45">
        <v>2</v>
      </c>
      <c r="X45">
        <v>2</v>
      </c>
      <c r="Y45">
        <f>VLOOKUP(Table_clu7sql1_ssdb_REPORT_vw_IE_External_MI_SON[[#This Row],[URN]],[1]Data!$D$2:$BB$1084,31,)</f>
        <v>2</v>
      </c>
      <c r="Z45">
        <v>2</v>
      </c>
      <c r="AA45" t="s">
        <v>2596</v>
      </c>
      <c r="AB45" t="s">
        <v>2598</v>
      </c>
      <c r="AC45" t="s">
        <v>2596</v>
      </c>
      <c r="AD45" t="s">
        <v>2596</v>
      </c>
      <c r="AE45" t="s">
        <v>2596</v>
      </c>
      <c r="AF45" t="s">
        <v>2596</v>
      </c>
      <c r="AG45" t="s">
        <v>2596</v>
      </c>
      <c r="AH45" t="s">
        <v>2596</v>
      </c>
    </row>
    <row r="46" spans="1:34" x14ac:dyDescent="0.25">
      <c r="A46" s="111" t="str">
        <f>HYPERLINK("http://www.ofsted.gov.uk/inspection-reports/find-inspection-report/provider/ELS/101091 ","Ofsted School Webpage")</f>
        <v>Ofsted School Webpage</v>
      </c>
      <c r="B46">
        <v>101091</v>
      </c>
      <c r="C46">
        <v>2126397</v>
      </c>
      <c r="D46" t="s">
        <v>2418</v>
      </c>
      <c r="E46" t="s">
        <v>36</v>
      </c>
      <c r="F46" t="s">
        <v>142</v>
      </c>
      <c r="G46" t="s">
        <v>142</v>
      </c>
      <c r="H46" t="s">
        <v>2595</v>
      </c>
      <c r="I46" t="s">
        <v>2596</v>
      </c>
      <c r="J46" t="s">
        <v>143</v>
      </c>
      <c r="K46" t="s">
        <v>189</v>
      </c>
      <c r="L46" t="s">
        <v>189</v>
      </c>
      <c r="M46" t="s">
        <v>391</v>
      </c>
      <c r="N46" t="s">
        <v>2419</v>
      </c>
      <c r="O46" t="s">
        <v>2420</v>
      </c>
      <c r="P46" s="108">
        <v>41933</v>
      </c>
      <c r="Q46" s="108">
        <v>41935</v>
      </c>
      <c r="R46" s="108">
        <v>42017</v>
      </c>
      <c r="S46" t="s">
        <v>153</v>
      </c>
      <c r="T46">
        <v>2</v>
      </c>
      <c r="U46" t="s">
        <v>2596</v>
      </c>
      <c r="V46">
        <v>2</v>
      </c>
      <c r="W46" t="s">
        <v>2596</v>
      </c>
      <c r="X46">
        <v>2</v>
      </c>
      <c r="Y46">
        <f>VLOOKUP(Table_clu7sql1_ssdb_REPORT_vw_IE_External_MI_SON[[#This Row],[URN]],[1]Data!$D$2:$BB$1084,31,)</f>
        <v>2</v>
      </c>
      <c r="Z46">
        <v>2</v>
      </c>
      <c r="AA46">
        <v>9</v>
      </c>
      <c r="AB46" t="s">
        <v>2599</v>
      </c>
      <c r="AC46" t="s">
        <v>2596</v>
      </c>
      <c r="AD46" t="s">
        <v>2596</v>
      </c>
      <c r="AE46" t="s">
        <v>2596</v>
      </c>
      <c r="AF46" t="s">
        <v>2596</v>
      </c>
      <c r="AG46" t="s">
        <v>2596</v>
      </c>
      <c r="AH46" t="s">
        <v>2596</v>
      </c>
    </row>
    <row r="47" spans="1:34" x14ac:dyDescent="0.25">
      <c r="A47" s="111" t="str">
        <f>HYPERLINK("http://www.ofsted.gov.uk/inspection-reports/find-inspection-report/provider/ELS/101160 ","Ofsted School Webpage")</f>
        <v>Ofsted School Webpage</v>
      </c>
      <c r="B47">
        <v>101160</v>
      </c>
      <c r="C47">
        <v>2136045</v>
      </c>
      <c r="D47" t="s">
        <v>2878</v>
      </c>
      <c r="E47" t="s">
        <v>36</v>
      </c>
      <c r="F47" t="s">
        <v>142</v>
      </c>
      <c r="G47" t="s">
        <v>142</v>
      </c>
      <c r="H47" t="s">
        <v>2595</v>
      </c>
      <c r="I47" t="s">
        <v>2596</v>
      </c>
      <c r="J47" t="s">
        <v>143</v>
      </c>
      <c r="K47" t="s">
        <v>189</v>
      </c>
      <c r="L47" t="s">
        <v>189</v>
      </c>
      <c r="M47" t="s">
        <v>632</v>
      </c>
      <c r="N47" t="s">
        <v>1571</v>
      </c>
      <c r="O47">
        <v>10020764</v>
      </c>
      <c r="P47" s="108">
        <v>43137</v>
      </c>
      <c r="Q47" s="108">
        <v>43139</v>
      </c>
      <c r="R47" s="108">
        <v>43180</v>
      </c>
      <c r="S47" t="s">
        <v>153</v>
      </c>
      <c r="T47">
        <v>2</v>
      </c>
      <c r="U47" t="s">
        <v>123</v>
      </c>
      <c r="V47">
        <v>2</v>
      </c>
      <c r="W47">
        <v>1</v>
      </c>
      <c r="X47">
        <v>2</v>
      </c>
      <c r="Y47">
        <f>VLOOKUP(Table_clu7sql1_ssdb_REPORT_vw_IE_External_MI_SON[[#This Row],[URN]],[1]Data!$D$2:$BB$1084,31,)</f>
        <v>2</v>
      </c>
      <c r="Z47">
        <v>2</v>
      </c>
      <c r="AA47" t="s">
        <v>2596</v>
      </c>
      <c r="AB47" t="s">
        <v>2598</v>
      </c>
      <c r="AC47" t="s">
        <v>2596</v>
      </c>
      <c r="AD47" t="s">
        <v>2596</v>
      </c>
      <c r="AE47" t="s">
        <v>2596</v>
      </c>
      <c r="AF47" t="s">
        <v>2596</v>
      </c>
      <c r="AG47" t="s">
        <v>2596</v>
      </c>
      <c r="AH47" t="s">
        <v>2596</v>
      </c>
    </row>
    <row r="48" spans="1:34" x14ac:dyDescent="0.25">
      <c r="A48" s="111" t="str">
        <f>HYPERLINK("http://www.ofsted.gov.uk/inspection-reports/find-inspection-report/provider/ELS/101164 ","Ofsted School Webpage")</f>
        <v>Ofsted School Webpage</v>
      </c>
      <c r="B48">
        <v>101164</v>
      </c>
      <c r="C48">
        <v>2136129</v>
      </c>
      <c r="D48" t="s">
        <v>1847</v>
      </c>
      <c r="E48" t="s">
        <v>36</v>
      </c>
      <c r="F48" t="s">
        <v>142</v>
      </c>
      <c r="G48" t="s">
        <v>142</v>
      </c>
      <c r="H48" t="s">
        <v>2595</v>
      </c>
      <c r="I48" t="s">
        <v>2596</v>
      </c>
      <c r="J48" t="s">
        <v>143</v>
      </c>
      <c r="K48" t="s">
        <v>189</v>
      </c>
      <c r="L48" t="s">
        <v>189</v>
      </c>
      <c r="M48" t="s">
        <v>632</v>
      </c>
      <c r="N48" t="s">
        <v>1848</v>
      </c>
      <c r="O48" t="s">
        <v>1849</v>
      </c>
      <c r="P48" s="108">
        <v>41338</v>
      </c>
      <c r="Q48" s="108">
        <v>41340</v>
      </c>
      <c r="R48" s="108">
        <v>41361</v>
      </c>
      <c r="S48" t="s">
        <v>153</v>
      </c>
      <c r="T48">
        <v>2</v>
      </c>
      <c r="U48" t="s">
        <v>2596</v>
      </c>
      <c r="V48">
        <v>2</v>
      </c>
      <c r="W48" t="s">
        <v>2596</v>
      </c>
      <c r="X48">
        <v>2</v>
      </c>
      <c r="Y48">
        <f>VLOOKUP(Table_clu7sql1_ssdb_REPORT_vw_IE_External_MI_SON[[#This Row],[URN]],[1]Data!$D$2:$BB$1084,31,)</f>
        <v>2</v>
      </c>
      <c r="Z48" t="s">
        <v>2596</v>
      </c>
      <c r="AA48" t="s">
        <v>2596</v>
      </c>
      <c r="AB48" t="s">
        <v>2886</v>
      </c>
      <c r="AC48" t="s">
        <v>2596</v>
      </c>
      <c r="AD48" t="s">
        <v>2596</v>
      </c>
      <c r="AE48" t="s">
        <v>2596</v>
      </c>
      <c r="AF48" t="s">
        <v>2596</v>
      </c>
      <c r="AG48" t="s">
        <v>2596</v>
      </c>
      <c r="AH48" t="s">
        <v>2596</v>
      </c>
    </row>
    <row r="49" spans="1:34" x14ac:dyDescent="0.25">
      <c r="A49" s="111" t="str">
        <f>HYPERLINK("http://www.ofsted.gov.uk/inspection-reports/find-inspection-report/provider/ELS/101168 ","Ofsted School Webpage")</f>
        <v>Ofsted School Webpage</v>
      </c>
      <c r="B49">
        <v>101168</v>
      </c>
      <c r="C49">
        <v>2136215</v>
      </c>
      <c r="D49" t="s">
        <v>2314</v>
      </c>
      <c r="E49" t="s">
        <v>36</v>
      </c>
      <c r="F49" t="s">
        <v>142</v>
      </c>
      <c r="G49" t="s">
        <v>142</v>
      </c>
      <c r="H49" t="s">
        <v>2595</v>
      </c>
      <c r="I49" t="s">
        <v>2596</v>
      </c>
      <c r="J49" t="s">
        <v>143</v>
      </c>
      <c r="K49" t="s">
        <v>189</v>
      </c>
      <c r="L49" t="s">
        <v>189</v>
      </c>
      <c r="M49" t="s">
        <v>632</v>
      </c>
      <c r="N49" t="s">
        <v>2315</v>
      </c>
      <c r="O49" t="s">
        <v>2316</v>
      </c>
      <c r="P49" s="108">
        <v>41324</v>
      </c>
      <c r="Q49" s="108">
        <v>41326</v>
      </c>
      <c r="R49" s="108">
        <v>41346</v>
      </c>
      <c r="S49" t="s">
        <v>153</v>
      </c>
      <c r="T49">
        <v>1</v>
      </c>
      <c r="U49" t="s">
        <v>2596</v>
      </c>
      <c r="V49">
        <v>1</v>
      </c>
      <c r="W49" t="s">
        <v>2596</v>
      </c>
      <c r="X49">
        <v>1</v>
      </c>
      <c r="Y49">
        <f>VLOOKUP(Table_clu7sql1_ssdb_REPORT_vw_IE_External_MI_SON[[#This Row],[URN]],[1]Data!$D$2:$BB$1084,31,)</f>
        <v>1</v>
      </c>
      <c r="Z49" t="s">
        <v>2596</v>
      </c>
      <c r="AA49" t="s">
        <v>2596</v>
      </c>
      <c r="AB49" t="s">
        <v>2886</v>
      </c>
      <c r="AC49" t="s">
        <v>2596</v>
      </c>
      <c r="AD49" t="s">
        <v>2596</v>
      </c>
      <c r="AE49" t="s">
        <v>2596</v>
      </c>
      <c r="AF49" t="s">
        <v>2596</v>
      </c>
      <c r="AG49" t="s">
        <v>2596</v>
      </c>
      <c r="AH49" t="s">
        <v>2596</v>
      </c>
    </row>
    <row r="50" spans="1:34" x14ac:dyDescent="0.25">
      <c r="A50" s="111" t="str">
        <f>HYPERLINK("http://www.ofsted.gov.uk/inspection-reports/find-inspection-report/provider/ELS/101171 ","Ofsted School Webpage")</f>
        <v>Ofsted School Webpage</v>
      </c>
      <c r="B50">
        <v>101171</v>
      </c>
      <c r="C50">
        <v>2136304</v>
      </c>
      <c r="D50" t="s">
        <v>2235</v>
      </c>
      <c r="E50" t="s">
        <v>36</v>
      </c>
      <c r="F50" t="s">
        <v>142</v>
      </c>
      <c r="G50" t="s">
        <v>142</v>
      </c>
      <c r="H50" t="s">
        <v>2595</v>
      </c>
      <c r="I50" t="s">
        <v>2596</v>
      </c>
      <c r="J50" t="s">
        <v>143</v>
      </c>
      <c r="K50" t="s">
        <v>189</v>
      </c>
      <c r="L50" t="s">
        <v>189</v>
      </c>
      <c r="M50" t="s">
        <v>632</v>
      </c>
      <c r="N50" t="s">
        <v>2889</v>
      </c>
      <c r="O50" t="s">
        <v>2236</v>
      </c>
      <c r="P50" s="108">
        <v>41758</v>
      </c>
      <c r="Q50" s="108">
        <v>41760</v>
      </c>
      <c r="R50" s="108">
        <v>41899</v>
      </c>
      <c r="S50" t="s">
        <v>153</v>
      </c>
      <c r="T50">
        <v>4</v>
      </c>
      <c r="U50" t="s">
        <v>2596</v>
      </c>
      <c r="V50">
        <v>4</v>
      </c>
      <c r="W50" t="s">
        <v>2596</v>
      </c>
      <c r="X50">
        <v>2</v>
      </c>
      <c r="Y50">
        <f>VLOOKUP(Table_clu7sql1_ssdb_REPORT_vw_IE_External_MI_SON[[#This Row],[URN]],[1]Data!$D$2:$BB$1084,31,)</f>
        <v>2</v>
      </c>
      <c r="Z50" t="s">
        <v>2596</v>
      </c>
      <c r="AA50" t="s">
        <v>2596</v>
      </c>
      <c r="AB50" t="s">
        <v>2599</v>
      </c>
      <c r="AC50">
        <v>10022712</v>
      </c>
      <c r="AD50" t="s">
        <v>144</v>
      </c>
      <c r="AE50" s="108">
        <v>42683</v>
      </c>
      <c r="AF50" t="s">
        <v>2634</v>
      </c>
      <c r="AG50" s="108">
        <v>42739</v>
      </c>
      <c r="AH50" t="s">
        <v>146</v>
      </c>
    </row>
    <row r="51" spans="1:34" x14ac:dyDescent="0.25">
      <c r="A51" s="111" t="str">
        <f>HYPERLINK("http://www.ofsted.gov.uk/inspection-reports/find-inspection-report/provider/ELS/101174 ","Ofsted School Webpage")</f>
        <v>Ofsted School Webpage</v>
      </c>
      <c r="B51">
        <v>101174</v>
      </c>
      <c r="C51">
        <v>2136333</v>
      </c>
      <c r="D51" t="s">
        <v>2043</v>
      </c>
      <c r="E51" t="s">
        <v>36</v>
      </c>
      <c r="F51" t="s">
        <v>142</v>
      </c>
      <c r="G51" t="s">
        <v>142</v>
      </c>
      <c r="H51" t="s">
        <v>2595</v>
      </c>
      <c r="I51" t="s">
        <v>2596</v>
      </c>
      <c r="J51" t="s">
        <v>143</v>
      </c>
      <c r="K51" t="s">
        <v>189</v>
      </c>
      <c r="L51" t="s">
        <v>189</v>
      </c>
      <c r="M51" t="s">
        <v>632</v>
      </c>
      <c r="N51" t="s">
        <v>2044</v>
      </c>
      <c r="O51" t="s">
        <v>2045</v>
      </c>
      <c r="P51" s="108">
        <v>40870</v>
      </c>
      <c r="Q51" s="108">
        <v>40871</v>
      </c>
      <c r="R51" s="108">
        <v>40922</v>
      </c>
      <c r="S51" t="s">
        <v>153</v>
      </c>
      <c r="T51">
        <v>2</v>
      </c>
      <c r="U51" t="s">
        <v>2596</v>
      </c>
      <c r="V51" t="s">
        <v>2596</v>
      </c>
      <c r="W51" t="s">
        <v>2596</v>
      </c>
      <c r="X51">
        <v>2</v>
      </c>
      <c r="Y51">
        <f>VLOOKUP(Table_clu7sql1_ssdb_REPORT_vw_IE_External_MI_SON[[#This Row],[URN]],[1]Data!$D$2:$BB$1084,31,)</f>
        <v>2</v>
      </c>
      <c r="Z51">
        <v>1</v>
      </c>
      <c r="AA51" t="s">
        <v>2596</v>
      </c>
      <c r="AB51" t="s">
        <v>2598</v>
      </c>
      <c r="AC51" t="s">
        <v>2596</v>
      </c>
      <c r="AD51" t="s">
        <v>2596</v>
      </c>
      <c r="AE51" s="108" t="s">
        <v>2596</v>
      </c>
      <c r="AF51" t="s">
        <v>2596</v>
      </c>
      <c r="AG51" s="108" t="s">
        <v>2596</v>
      </c>
      <c r="AH51" t="s">
        <v>2596</v>
      </c>
    </row>
    <row r="52" spans="1:34" x14ac:dyDescent="0.25">
      <c r="A52" s="111" t="str">
        <f>HYPERLINK("http://www.ofsted.gov.uk/inspection-reports/find-inspection-report/provider/ELS/101175 ","Ofsted School Webpage")</f>
        <v>Ofsted School Webpage</v>
      </c>
      <c r="B52">
        <v>101175</v>
      </c>
      <c r="C52">
        <v>2126408</v>
      </c>
      <c r="D52" t="s">
        <v>514</v>
      </c>
      <c r="E52" t="s">
        <v>37</v>
      </c>
      <c r="F52" t="s">
        <v>142</v>
      </c>
      <c r="G52" t="s">
        <v>142</v>
      </c>
      <c r="H52" t="s">
        <v>2595</v>
      </c>
      <c r="I52" t="s">
        <v>2596</v>
      </c>
      <c r="J52" t="s">
        <v>143</v>
      </c>
      <c r="K52" t="s">
        <v>189</v>
      </c>
      <c r="L52" t="s">
        <v>189</v>
      </c>
      <c r="M52" t="s">
        <v>391</v>
      </c>
      <c r="N52" t="s">
        <v>515</v>
      </c>
      <c r="O52" t="s">
        <v>516</v>
      </c>
      <c r="P52" s="108">
        <v>42136</v>
      </c>
      <c r="Q52" s="108">
        <v>42138</v>
      </c>
      <c r="R52" s="108">
        <v>42174</v>
      </c>
      <c r="S52" t="s">
        <v>153</v>
      </c>
      <c r="T52">
        <v>2</v>
      </c>
      <c r="U52" t="s">
        <v>2596</v>
      </c>
      <c r="V52">
        <v>2</v>
      </c>
      <c r="W52" t="s">
        <v>2596</v>
      </c>
      <c r="X52">
        <v>3</v>
      </c>
      <c r="Y52">
        <f>VLOOKUP(Table_clu7sql1_ssdb_REPORT_vw_IE_External_MI_SON[[#This Row],[URN]],[1]Data!$D$2:$BB$1084,31,)</f>
        <v>2</v>
      </c>
      <c r="Z52">
        <v>9</v>
      </c>
      <c r="AA52">
        <v>9</v>
      </c>
      <c r="AB52" t="s">
        <v>2598</v>
      </c>
      <c r="AC52" t="s">
        <v>2596</v>
      </c>
      <c r="AD52" t="s">
        <v>2596</v>
      </c>
      <c r="AE52" t="s">
        <v>2596</v>
      </c>
      <c r="AF52" t="s">
        <v>2596</v>
      </c>
      <c r="AG52" t="s">
        <v>2596</v>
      </c>
      <c r="AH52" t="s">
        <v>2596</v>
      </c>
    </row>
    <row r="53" spans="1:34" x14ac:dyDescent="0.25">
      <c r="A53" s="111" t="str">
        <f>HYPERLINK("http://www.ofsted.gov.uk/inspection-reports/find-inspection-report/provider/ELS/101377 ","Ofsted School Webpage")</f>
        <v>Ofsted School Webpage</v>
      </c>
      <c r="B53">
        <v>101377</v>
      </c>
      <c r="C53">
        <v>3026063</v>
      </c>
      <c r="D53" t="s">
        <v>1687</v>
      </c>
      <c r="E53" t="s">
        <v>36</v>
      </c>
      <c r="F53" t="s">
        <v>142</v>
      </c>
      <c r="G53" t="s">
        <v>142</v>
      </c>
      <c r="H53" t="s">
        <v>2595</v>
      </c>
      <c r="I53" t="s">
        <v>2596</v>
      </c>
      <c r="J53" t="s">
        <v>143</v>
      </c>
      <c r="K53" t="s">
        <v>189</v>
      </c>
      <c r="L53" t="s">
        <v>189</v>
      </c>
      <c r="M53" t="s">
        <v>268</v>
      </c>
      <c r="N53" t="s">
        <v>1688</v>
      </c>
      <c r="O53">
        <v>10035779</v>
      </c>
      <c r="P53" s="108">
        <v>43158</v>
      </c>
      <c r="Q53" s="108">
        <v>43160</v>
      </c>
      <c r="R53" s="108">
        <v>43180</v>
      </c>
      <c r="S53" t="s">
        <v>153</v>
      </c>
      <c r="T53">
        <v>2</v>
      </c>
      <c r="U53" t="s">
        <v>123</v>
      </c>
      <c r="V53">
        <v>2</v>
      </c>
      <c r="W53">
        <v>2</v>
      </c>
      <c r="X53">
        <v>2</v>
      </c>
      <c r="Y53">
        <f>VLOOKUP(Table_clu7sql1_ssdb_REPORT_vw_IE_External_MI_SON[[#This Row],[URN]],[1]Data!$D$2:$BB$1084,31,)</f>
        <v>2</v>
      </c>
      <c r="Z53">
        <v>2</v>
      </c>
      <c r="AA53" t="s">
        <v>2596</v>
      </c>
      <c r="AB53" t="s">
        <v>2598</v>
      </c>
      <c r="AC53" t="s">
        <v>2596</v>
      </c>
      <c r="AD53" t="s">
        <v>2596</v>
      </c>
      <c r="AE53" t="s">
        <v>2596</v>
      </c>
      <c r="AF53" t="s">
        <v>2596</v>
      </c>
      <c r="AG53" t="s">
        <v>2596</v>
      </c>
      <c r="AH53" t="s">
        <v>2596</v>
      </c>
    </row>
    <row r="54" spans="1:34" x14ac:dyDescent="0.25">
      <c r="A54" s="111" t="str">
        <f>HYPERLINK("http://www.ofsted.gov.uk/inspection-reports/find-inspection-report/provider/ELS/101378 ","Ofsted School Webpage")</f>
        <v>Ofsted School Webpage</v>
      </c>
      <c r="B54">
        <v>101378</v>
      </c>
      <c r="C54">
        <v>3026064</v>
      </c>
      <c r="D54" t="s">
        <v>1689</v>
      </c>
      <c r="E54" t="s">
        <v>36</v>
      </c>
      <c r="F54" t="s">
        <v>142</v>
      </c>
      <c r="G54" t="s">
        <v>142</v>
      </c>
      <c r="H54" t="s">
        <v>2595</v>
      </c>
      <c r="I54" t="s">
        <v>2596</v>
      </c>
      <c r="J54" t="s">
        <v>143</v>
      </c>
      <c r="K54" t="s">
        <v>189</v>
      </c>
      <c r="L54" t="s">
        <v>189</v>
      </c>
      <c r="M54" t="s">
        <v>268</v>
      </c>
      <c r="N54" t="s">
        <v>1690</v>
      </c>
      <c r="O54" t="s">
        <v>1691</v>
      </c>
      <c r="P54" s="108">
        <v>41947</v>
      </c>
      <c r="Q54" s="108">
        <v>41949</v>
      </c>
      <c r="R54" s="108">
        <v>41978</v>
      </c>
      <c r="S54" t="s">
        <v>153</v>
      </c>
      <c r="T54">
        <v>2</v>
      </c>
      <c r="U54" t="s">
        <v>2596</v>
      </c>
      <c r="V54">
        <v>2</v>
      </c>
      <c r="W54" t="s">
        <v>2596</v>
      </c>
      <c r="X54">
        <v>2</v>
      </c>
      <c r="Y54">
        <f>VLOOKUP(Table_clu7sql1_ssdb_REPORT_vw_IE_External_MI_SON[[#This Row],[URN]],[1]Data!$D$2:$BB$1084,31,)</f>
        <v>2</v>
      </c>
      <c r="Z54">
        <v>2</v>
      </c>
      <c r="AA54">
        <v>9</v>
      </c>
      <c r="AB54" t="s">
        <v>2598</v>
      </c>
      <c r="AC54" t="s">
        <v>2596</v>
      </c>
      <c r="AD54" t="s">
        <v>2596</v>
      </c>
      <c r="AE54" s="108" t="s">
        <v>2596</v>
      </c>
      <c r="AF54" t="s">
        <v>2596</v>
      </c>
      <c r="AG54" s="108" t="s">
        <v>2596</v>
      </c>
      <c r="AH54" t="s">
        <v>2596</v>
      </c>
    </row>
    <row r="55" spans="1:34" x14ac:dyDescent="0.25">
      <c r="A55" s="111" t="str">
        <f>HYPERLINK("http://www.ofsted.gov.uk/inspection-reports/find-inspection-report/provider/ELS/101383 ","Ofsted School Webpage")</f>
        <v>Ofsted School Webpage</v>
      </c>
      <c r="B55">
        <v>101383</v>
      </c>
      <c r="C55">
        <v>3026077</v>
      </c>
      <c r="D55" t="s">
        <v>246</v>
      </c>
      <c r="E55" t="s">
        <v>36</v>
      </c>
      <c r="F55" t="s">
        <v>142</v>
      </c>
      <c r="G55" t="s">
        <v>397</v>
      </c>
      <c r="H55" t="s">
        <v>2595</v>
      </c>
      <c r="I55" t="s">
        <v>2596</v>
      </c>
      <c r="J55" t="s">
        <v>143</v>
      </c>
      <c r="K55" t="s">
        <v>189</v>
      </c>
      <c r="L55" t="s">
        <v>189</v>
      </c>
      <c r="M55" t="s">
        <v>268</v>
      </c>
      <c r="N55" t="s">
        <v>396</v>
      </c>
      <c r="O55">
        <v>10035780</v>
      </c>
      <c r="P55" s="108">
        <v>43011</v>
      </c>
      <c r="Q55" s="108">
        <v>43013</v>
      </c>
      <c r="R55" s="108">
        <v>43048</v>
      </c>
      <c r="S55" t="s">
        <v>153</v>
      </c>
      <c r="T55">
        <v>2</v>
      </c>
      <c r="U55" t="s">
        <v>123</v>
      </c>
      <c r="V55">
        <v>2</v>
      </c>
      <c r="W55">
        <v>1</v>
      </c>
      <c r="X55">
        <v>2</v>
      </c>
      <c r="Y55">
        <f>VLOOKUP(Table_clu7sql1_ssdb_REPORT_vw_IE_External_MI_SON[[#This Row],[URN]],[1]Data!$D$2:$BB$1084,31,)</f>
        <v>2</v>
      </c>
      <c r="Z55">
        <v>2</v>
      </c>
      <c r="AA55" t="s">
        <v>2596</v>
      </c>
      <c r="AB55" t="s">
        <v>2598</v>
      </c>
      <c r="AC55" t="s">
        <v>2596</v>
      </c>
      <c r="AD55" t="s">
        <v>2596</v>
      </c>
      <c r="AE55" t="s">
        <v>2596</v>
      </c>
      <c r="AF55" t="s">
        <v>2596</v>
      </c>
      <c r="AG55" t="s">
        <v>2596</v>
      </c>
      <c r="AH55" t="s">
        <v>2596</v>
      </c>
    </row>
    <row r="56" spans="1:34" x14ac:dyDescent="0.25">
      <c r="A56" s="111" t="str">
        <f>HYPERLINK("http://www.ofsted.gov.uk/inspection-reports/find-inspection-report/provider/ELS/101385 ","Ofsted School Webpage")</f>
        <v>Ofsted School Webpage</v>
      </c>
      <c r="B56">
        <v>101385</v>
      </c>
      <c r="C56">
        <v>3026084</v>
      </c>
      <c r="D56" t="s">
        <v>2030</v>
      </c>
      <c r="E56" t="s">
        <v>36</v>
      </c>
      <c r="F56" t="s">
        <v>142</v>
      </c>
      <c r="G56" t="s">
        <v>275</v>
      </c>
      <c r="H56" t="s">
        <v>2595</v>
      </c>
      <c r="I56" t="s">
        <v>2596</v>
      </c>
      <c r="J56" t="s">
        <v>143</v>
      </c>
      <c r="K56" t="s">
        <v>189</v>
      </c>
      <c r="L56" t="s">
        <v>189</v>
      </c>
      <c r="M56" t="s">
        <v>268</v>
      </c>
      <c r="N56" t="s">
        <v>2031</v>
      </c>
      <c r="O56">
        <v>10038153</v>
      </c>
      <c r="P56" s="108">
        <v>43137</v>
      </c>
      <c r="Q56" s="108">
        <v>43139</v>
      </c>
      <c r="R56" s="108">
        <v>43166</v>
      </c>
      <c r="S56" t="s">
        <v>153</v>
      </c>
      <c r="T56">
        <v>2</v>
      </c>
      <c r="U56" t="s">
        <v>123</v>
      </c>
      <c r="V56">
        <v>2</v>
      </c>
      <c r="W56">
        <v>2</v>
      </c>
      <c r="X56">
        <v>2</v>
      </c>
      <c r="Y56">
        <f>VLOOKUP(Table_clu7sql1_ssdb_REPORT_vw_IE_External_MI_SON[[#This Row],[URN]],[1]Data!$D$2:$BB$1084,31,)</f>
        <v>2</v>
      </c>
      <c r="Z56" t="s">
        <v>2596</v>
      </c>
      <c r="AA56" t="s">
        <v>2596</v>
      </c>
      <c r="AB56" t="s">
        <v>2598</v>
      </c>
      <c r="AC56" t="s">
        <v>2596</v>
      </c>
      <c r="AD56" t="s">
        <v>2596</v>
      </c>
      <c r="AE56" t="s">
        <v>2596</v>
      </c>
      <c r="AF56" t="s">
        <v>2596</v>
      </c>
      <c r="AG56" t="s">
        <v>2596</v>
      </c>
      <c r="AH56" t="s">
        <v>2596</v>
      </c>
    </row>
    <row r="57" spans="1:34" x14ac:dyDescent="0.25">
      <c r="A57" s="111" t="str">
        <f>HYPERLINK("http://www.ofsted.gov.uk/inspection-reports/find-inspection-report/provider/ELS/101386 ","Ofsted School Webpage")</f>
        <v>Ofsted School Webpage</v>
      </c>
      <c r="B57">
        <v>101386</v>
      </c>
      <c r="C57">
        <v>3026085</v>
      </c>
      <c r="D57" t="s">
        <v>1391</v>
      </c>
      <c r="E57" t="s">
        <v>37</v>
      </c>
      <c r="F57" t="s">
        <v>142</v>
      </c>
      <c r="G57" t="s">
        <v>275</v>
      </c>
      <c r="H57" t="s">
        <v>2595</v>
      </c>
      <c r="I57" t="s">
        <v>2596</v>
      </c>
      <c r="J57" t="s">
        <v>143</v>
      </c>
      <c r="K57" t="s">
        <v>189</v>
      </c>
      <c r="L57" t="s">
        <v>189</v>
      </c>
      <c r="M57" t="s">
        <v>268</v>
      </c>
      <c r="N57" t="s">
        <v>1392</v>
      </c>
      <c r="O57" t="s">
        <v>1393</v>
      </c>
      <c r="P57" s="108">
        <v>41696</v>
      </c>
      <c r="Q57" s="108">
        <v>41698</v>
      </c>
      <c r="R57" s="108">
        <v>41731</v>
      </c>
      <c r="S57" t="s">
        <v>153</v>
      </c>
      <c r="T57">
        <v>2</v>
      </c>
      <c r="U57" t="s">
        <v>2596</v>
      </c>
      <c r="V57">
        <v>2</v>
      </c>
      <c r="W57" t="s">
        <v>2596</v>
      </c>
      <c r="X57">
        <v>2</v>
      </c>
      <c r="Y57">
        <f>VLOOKUP(Table_clu7sql1_ssdb_REPORT_vw_IE_External_MI_SON[[#This Row],[URN]],[1]Data!$D$2:$BB$1084,31,)</f>
        <v>2</v>
      </c>
      <c r="Z57" t="s">
        <v>2596</v>
      </c>
      <c r="AA57" t="s">
        <v>2596</v>
      </c>
      <c r="AB57" t="s">
        <v>2886</v>
      </c>
      <c r="AC57" t="s">
        <v>2596</v>
      </c>
      <c r="AD57" t="s">
        <v>2596</v>
      </c>
      <c r="AE57" t="s">
        <v>2596</v>
      </c>
      <c r="AF57" t="s">
        <v>2596</v>
      </c>
      <c r="AG57" t="s">
        <v>2596</v>
      </c>
      <c r="AH57" t="s">
        <v>2596</v>
      </c>
    </row>
    <row r="58" spans="1:34" x14ac:dyDescent="0.25">
      <c r="A58" s="111" t="str">
        <f>HYPERLINK("http://www.ofsted.gov.uk/inspection-reports/find-inspection-report/provider/ELS/101387 ","Ofsted School Webpage")</f>
        <v>Ofsted School Webpage</v>
      </c>
      <c r="B58">
        <v>101387</v>
      </c>
      <c r="C58">
        <v>3026089</v>
      </c>
      <c r="D58" t="s">
        <v>1965</v>
      </c>
      <c r="E58" t="s">
        <v>36</v>
      </c>
      <c r="F58" t="s">
        <v>275</v>
      </c>
      <c r="G58" t="s">
        <v>275</v>
      </c>
      <c r="H58" t="s">
        <v>2595</v>
      </c>
      <c r="I58" t="s">
        <v>2596</v>
      </c>
      <c r="J58" t="s">
        <v>143</v>
      </c>
      <c r="K58" t="s">
        <v>189</v>
      </c>
      <c r="L58" t="s">
        <v>189</v>
      </c>
      <c r="M58" t="s">
        <v>268</v>
      </c>
      <c r="N58" t="s">
        <v>1966</v>
      </c>
      <c r="O58">
        <v>10035782</v>
      </c>
      <c r="P58" s="108">
        <v>43067</v>
      </c>
      <c r="Q58" s="108">
        <v>43069</v>
      </c>
      <c r="R58" s="108">
        <v>43112</v>
      </c>
      <c r="S58" t="s">
        <v>153</v>
      </c>
      <c r="T58">
        <v>2</v>
      </c>
      <c r="U58" t="s">
        <v>123</v>
      </c>
      <c r="V58">
        <v>2</v>
      </c>
      <c r="W58">
        <v>2</v>
      </c>
      <c r="X58">
        <v>2</v>
      </c>
      <c r="Y58">
        <f>VLOOKUP(Table_clu7sql1_ssdb_REPORT_vw_IE_External_MI_SON[[#This Row],[URN]],[1]Data!$D$2:$BB$1084,31,)</f>
        <v>2</v>
      </c>
      <c r="Z58" t="s">
        <v>2596</v>
      </c>
      <c r="AA58">
        <v>2</v>
      </c>
      <c r="AB58" t="s">
        <v>2598</v>
      </c>
      <c r="AC58" t="s">
        <v>2596</v>
      </c>
      <c r="AD58" t="s">
        <v>2596</v>
      </c>
      <c r="AE58" t="s">
        <v>2596</v>
      </c>
      <c r="AF58" t="s">
        <v>2596</v>
      </c>
      <c r="AG58" t="s">
        <v>2596</v>
      </c>
      <c r="AH58" t="s">
        <v>2596</v>
      </c>
    </row>
    <row r="59" spans="1:34" x14ac:dyDescent="0.25">
      <c r="A59" s="111" t="str">
        <f>HYPERLINK("http://www.ofsted.gov.uk/inspection-reports/find-inspection-report/provider/ELS/101388 ","Ofsted School Webpage")</f>
        <v>Ofsted School Webpage</v>
      </c>
      <c r="B59">
        <v>101388</v>
      </c>
      <c r="C59">
        <v>3026092</v>
      </c>
      <c r="D59" t="s">
        <v>273</v>
      </c>
      <c r="E59" t="s">
        <v>36</v>
      </c>
      <c r="F59" t="s">
        <v>142</v>
      </c>
      <c r="G59" t="s">
        <v>275</v>
      </c>
      <c r="H59" t="s">
        <v>2595</v>
      </c>
      <c r="I59" t="s">
        <v>2596</v>
      </c>
      <c r="J59" t="s">
        <v>143</v>
      </c>
      <c r="K59" t="s">
        <v>189</v>
      </c>
      <c r="L59" t="s">
        <v>189</v>
      </c>
      <c r="M59" t="s">
        <v>268</v>
      </c>
      <c r="N59" t="s">
        <v>274</v>
      </c>
      <c r="O59">
        <v>10020771</v>
      </c>
      <c r="P59" s="108">
        <v>42676</v>
      </c>
      <c r="Q59" s="108">
        <v>42678</v>
      </c>
      <c r="R59" s="108">
        <v>42787</v>
      </c>
      <c r="S59" t="s">
        <v>153</v>
      </c>
      <c r="T59">
        <v>4</v>
      </c>
      <c r="U59" t="s">
        <v>124</v>
      </c>
      <c r="V59">
        <v>4</v>
      </c>
      <c r="W59">
        <v>4</v>
      </c>
      <c r="X59">
        <v>3</v>
      </c>
      <c r="Y59">
        <f>VLOOKUP(Table_clu7sql1_ssdb_REPORT_vw_IE_External_MI_SON[[#This Row],[URN]],[1]Data!$D$2:$BB$1084,31,)</f>
        <v>3</v>
      </c>
      <c r="Z59" t="s">
        <v>2596</v>
      </c>
      <c r="AA59" t="s">
        <v>2596</v>
      </c>
      <c r="AB59" t="s">
        <v>2599</v>
      </c>
      <c r="AC59">
        <v>10039751</v>
      </c>
      <c r="AD59" t="s">
        <v>144</v>
      </c>
      <c r="AE59" s="108">
        <v>42991</v>
      </c>
      <c r="AF59" t="s">
        <v>2636</v>
      </c>
      <c r="AG59" s="108">
        <v>43045</v>
      </c>
      <c r="AH59" t="s">
        <v>174</v>
      </c>
    </row>
    <row r="60" spans="1:34" x14ac:dyDescent="0.25">
      <c r="A60" s="111" t="str">
        <f>HYPERLINK("http://www.ofsted.gov.uk/inspection-reports/find-inspection-report/provider/ELS/101484 ","Ofsted School Webpage")</f>
        <v>Ofsted School Webpage</v>
      </c>
      <c r="B60">
        <v>101484</v>
      </c>
      <c r="C60">
        <v>3036060</v>
      </c>
      <c r="D60" t="s">
        <v>1608</v>
      </c>
      <c r="E60" t="s">
        <v>36</v>
      </c>
      <c r="F60" t="s">
        <v>142</v>
      </c>
      <c r="G60" t="s">
        <v>142</v>
      </c>
      <c r="H60" t="s">
        <v>2595</v>
      </c>
      <c r="I60" t="s">
        <v>2596</v>
      </c>
      <c r="J60" t="s">
        <v>143</v>
      </c>
      <c r="K60" t="s">
        <v>189</v>
      </c>
      <c r="L60" t="s">
        <v>189</v>
      </c>
      <c r="M60" t="s">
        <v>999</v>
      </c>
      <c r="N60" t="s">
        <v>1609</v>
      </c>
      <c r="O60">
        <v>10008542</v>
      </c>
      <c r="P60" s="108">
        <v>43046</v>
      </c>
      <c r="Q60" s="108">
        <v>43048</v>
      </c>
      <c r="R60" s="108">
        <v>43087</v>
      </c>
      <c r="S60" t="s">
        <v>153</v>
      </c>
      <c r="T60">
        <v>2</v>
      </c>
      <c r="U60" t="s">
        <v>123</v>
      </c>
      <c r="V60">
        <v>2</v>
      </c>
      <c r="W60">
        <v>2</v>
      </c>
      <c r="X60">
        <v>2</v>
      </c>
      <c r="Y60">
        <f>VLOOKUP(Table_clu7sql1_ssdb_REPORT_vw_IE_External_MI_SON[[#This Row],[URN]],[1]Data!$D$2:$BB$1084,31,)</f>
        <v>2</v>
      </c>
      <c r="Z60">
        <v>2</v>
      </c>
      <c r="AA60" t="s">
        <v>2596</v>
      </c>
      <c r="AB60" t="s">
        <v>2598</v>
      </c>
      <c r="AC60" t="s">
        <v>2596</v>
      </c>
      <c r="AD60" t="s">
        <v>2596</v>
      </c>
      <c r="AE60" t="s">
        <v>2596</v>
      </c>
      <c r="AF60" t="s">
        <v>2596</v>
      </c>
      <c r="AG60" t="s">
        <v>2596</v>
      </c>
      <c r="AH60" t="s">
        <v>2596</v>
      </c>
    </row>
    <row r="61" spans="1:34" x14ac:dyDescent="0.25">
      <c r="A61" s="111" t="str">
        <f>HYPERLINK("http://www.ofsted.gov.uk/inspection-reports/find-inspection-report/provider/ELS/101573 ","Ofsted School Webpage")</f>
        <v>Ofsted School Webpage</v>
      </c>
      <c r="B61">
        <v>101573</v>
      </c>
      <c r="C61">
        <v>3076007</v>
      </c>
      <c r="D61" t="s">
        <v>2468</v>
      </c>
      <c r="E61" t="s">
        <v>36</v>
      </c>
      <c r="F61" t="s">
        <v>142</v>
      </c>
      <c r="G61" t="s">
        <v>142</v>
      </c>
      <c r="H61" t="s">
        <v>2595</v>
      </c>
      <c r="I61" t="s">
        <v>2596</v>
      </c>
      <c r="J61" t="s">
        <v>143</v>
      </c>
      <c r="K61" t="s">
        <v>189</v>
      </c>
      <c r="L61" t="s">
        <v>189</v>
      </c>
      <c r="M61" t="s">
        <v>584</v>
      </c>
      <c r="N61" t="s">
        <v>2469</v>
      </c>
      <c r="O61">
        <v>10006125</v>
      </c>
      <c r="P61" s="108">
        <v>42703</v>
      </c>
      <c r="Q61" s="108">
        <v>42705</v>
      </c>
      <c r="R61" s="108">
        <v>42745</v>
      </c>
      <c r="S61" t="s">
        <v>153</v>
      </c>
      <c r="T61">
        <v>3</v>
      </c>
      <c r="U61" t="s">
        <v>123</v>
      </c>
      <c r="V61">
        <v>3</v>
      </c>
      <c r="W61">
        <v>2</v>
      </c>
      <c r="X61">
        <v>3</v>
      </c>
      <c r="Y61">
        <f>VLOOKUP(Table_clu7sql1_ssdb_REPORT_vw_IE_External_MI_SON[[#This Row],[URN]],[1]Data!$D$2:$BB$1084,31,)</f>
        <v>3</v>
      </c>
      <c r="Z61">
        <v>2</v>
      </c>
      <c r="AA61" t="s">
        <v>2596</v>
      </c>
      <c r="AB61" t="s">
        <v>2599</v>
      </c>
      <c r="AC61">
        <v>10037573</v>
      </c>
      <c r="AD61" t="s">
        <v>144</v>
      </c>
      <c r="AE61" s="108">
        <v>42894</v>
      </c>
      <c r="AF61" t="s">
        <v>2634</v>
      </c>
      <c r="AG61" s="108">
        <v>42934</v>
      </c>
      <c r="AH61" t="s">
        <v>146</v>
      </c>
    </row>
    <row r="62" spans="1:34" x14ac:dyDescent="0.25">
      <c r="A62" s="111" t="str">
        <f>HYPERLINK("http://www.ofsted.gov.uk/inspection-reports/find-inspection-report/provider/ELS/101575 ","Ofsted School Webpage")</f>
        <v>Ofsted School Webpage</v>
      </c>
      <c r="B62">
        <v>101575</v>
      </c>
      <c r="C62">
        <v>3046069</v>
      </c>
      <c r="D62" t="s">
        <v>2189</v>
      </c>
      <c r="E62" t="s">
        <v>36</v>
      </c>
      <c r="F62" t="s">
        <v>261</v>
      </c>
      <c r="G62" t="s">
        <v>180</v>
      </c>
      <c r="H62" t="s">
        <v>2595</v>
      </c>
      <c r="I62" t="s">
        <v>2596</v>
      </c>
      <c r="J62" t="s">
        <v>143</v>
      </c>
      <c r="K62" t="s">
        <v>189</v>
      </c>
      <c r="L62" t="s">
        <v>189</v>
      </c>
      <c r="M62" t="s">
        <v>702</v>
      </c>
      <c r="N62" t="s">
        <v>2190</v>
      </c>
      <c r="O62">
        <v>10026716</v>
      </c>
      <c r="P62" s="108">
        <v>42787</v>
      </c>
      <c r="Q62" s="108">
        <v>42789</v>
      </c>
      <c r="R62" s="108">
        <v>42850</v>
      </c>
      <c r="S62" t="s">
        <v>153</v>
      </c>
      <c r="T62">
        <v>1</v>
      </c>
      <c r="U62" t="s">
        <v>123</v>
      </c>
      <c r="V62">
        <v>1</v>
      </c>
      <c r="W62">
        <v>1</v>
      </c>
      <c r="X62">
        <v>1</v>
      </c>
      <c r="Y62">
        <f>VLOOKUP(Table_clu7sql1_ssdb_REPORT_vw_IE_External_MI_SON[[#This Row],[URN]],[1]Data!$D$2:$BB$1084,31,)</f>
        <v>1</v>
      </c>
      <c r="Z62" t="s">
        <v>2596</v>
      </c>
      <c r="AA62" t="s">
        <v>2596</v>
      </c>
      <c r="AB62" t="s">
        <v>2598</v>
      </c>
      <c r="AC62" t="s">
        <v>2596</v>
      </c>
      <c r="AD62" t="s">
        <v>2596</v>
      </c>
      <c r="AE62" s="108" t="s">
        <v>2596</v>
      </c>
      <c r="AF62" t="s">
        <v>2596</v>
      </c>
      <c r="AG62" s="108" t="s">
        <v>2596</v>
      </c>
      <c r="AH62" t="s">
        <v>2596</v>
      </c>
    </row>
    <row r="63" spans="1:34" x14ac:dyDescent="0.25">
      <c r="A63" s="111" t="str">
        <f>HYPERLINK("http://www.ofsted.gov.uk/inspection-reports/find-inspection-report/provider/ELS/101576 ","Ofsted School Webpage")</f>
        <v>Ofsted School Webpage</v>
      </c>
      <c r="B63">
        <v>101576</v>
      </c>
      <c r="C63">
        <v>3046072</v>
      </c>
      <c r="D63" t="s">
        <v>1831</v>
      </c>
      <c r="E63" t="s">
        <v>36</v>
      </c>
      <c r="F63" t="s">
        <v>142</v>
      </c>
      <c r="G63" t="s">
        <v>180</v>
      </c>
      <c r="H63" t="s">
        <v>2595</v>
      </c>
      <c r="I63" t="s">
        <v>2596</v>
      </c>
      <c r="J63" t="s">
        <v>143</v>
      </c>
      <c r="K63" t="s">
        <v>189</v>
      </c>
      <c r="L63" t="s">
        <v>189</v>
      </c>
      <c r="M63" t="s">
        <v>702</v>
      </c>
      <c r="N63" t="s">
        <v>1832</v>
      </c>
      <c r="O63" t="s">
        <v>1833</v>
      </c>
      <c r="P63" s="108">
        <v>41982</v>
      </c>
      <c r="Q63" s="108">
        <v>41984</v>
      </c>
      <c r="R63" s="108">
        <v>42065</v>
      </c>
      <c r="S63" t="s">
        <v>153</v>
      </c>
      <c r="T63">
        <v>4</v>
      </c>
      <c r="U63" t="s">
        <v>2596</v>
      </c>
      <c r="V63">
        <v>4</v>
      </c>
      <c r="W63" t="s">
        <v>2596</v>
      </c>
      <c r="X63">
        <v>2</v>
      </c>
      <c r="Y63">
        <f>VLOOKUP(Table_clu7sql1_ssdb_REPORT_vw_IE_External_MI_SON[[#This Row],[URN]],[1]Data!$D$2:$BB$1084,31,)</f>
        <v>2</v>
      </c>
      <c r="Z63">
        <v>4</v>
      </c>
      <c r="AA63">
        <v>9</v>
      </c>
      <c r="AB63" t="s">
        <v>2599</v>
      </c>
      <c r="AC63">
        <v>10011603</v>
      </c>
      <c r="AD63" t="s">
        <v>144</v>
      </c>
      <c r="AE63" s="108">
        <v>42396</v>
      </c>
      <c r="AF63" t="s">
        <v>2637</v>
      </c>
      <c r="AG63" s="108">
        <v>42423</v>
      </c>
      <c r="AH63" t="s">
        <v>2638</v>
      </c>
    </row>
    <row r="64" spans="1:34" x14ac:dyDescent="0.25">
      <c r="A64" s="111" t="str">
        <f>HYPERLINK("http://www.ofsted.gov.uk/inspection-reports/find-inspection-report/provider/ELS/101687 ","Ofsted School Webpage")</f>
        <v>Ofsted School Webpage</v>
      </c>
      <c r="B64">
        <v>101687</v>
      </c>
      <c r="C64">
        <v>3056010</v>
      </c>
      <c r="D64" t="s">
        <v>2041</v>
      </c>
      <c r="E64" t="s">
        <v>36</v>
      </c>
      <c r="F64" t="s">
        <v>142</v>
      </c>
      <c r="G64" t="s">
        <v>397</v>
      </c>
      <c r="H64" t="s">
        <v>2595</v>
      </c>
      <c r="I64" t="s">
        <v>2596</v>
      </c>
      <c r="J64" t="s">
        <v>143</v>
      </c>
      <c r="K64" t="s">
        <v>189</v>
      </c>
      <c r="L64" t="s">
        <v>189</v>
      </c>
      <c r="M64" t="s">
        <v>540</v>
      </c>
      <c r="N64" t="s">
        <v>2042</v>
      </c>
      <c r="O64">
        <v>10035783</v>
      </c>
      <c r="P64" s="108">
        <v>43137</v>
      </c>
      <c r="Q64" s="108">
        <v>43139</v>
      </c>
      <c r="R64" s="108">
        <v>43171</v>
      </c>
      <c r="S64" t="s">
        <v>153</v>
      </c>
      <c r="T64">
        <v>2</v>
      </c>
      <c r="U64" t="s">
        <v>123</v>
      </c>
      <c r="V64">
        <v>2</v>
      </c>
      <c r="W64">
        <v>2</v>
      </c>
      <c r="X64">
        <v>2</v>
      </c>
      <c r="Y64">
        <f>VLOOKUP(Table_clu7sql1_ssdb_REPORT_vw_IE_External_MI_SON[[#This Row],[URN]],[1]Data!$D$2:$BB$1084,31,)</f>
        <v>2</v>
      </c>
      <c r="Z64">
        <v>2</v>
      </c>
      <c r="AA64" t="s">
        <v>2596</v>
      </c>
      <c r="AB64" t="s">
        <v>2598</v>
      </c>
      <c r="AC64" t="s">
        <v>2596</v>
      </c>
      <c r="AD64" t="s">
        <v>2596</v>
      </c>
      <c r="AE64" t="s">
        <v>2596</v>
      </c>
      <c r="AF64" t="s">
        <v>2596</v>
      </c>
      <c r="AG64" t="s">
        <v>2596</v>
      </c>
      <c r="AH64" t="s">
        <v>2596</v>
      </c>
    </row>
    <row r="65" spans="1:34" x14ac:dyDescent="0.25">
      <c r="A65" s="111" t="str">
        <f>HYPERLINK("http://www.ofsted.gov.uk/inspection-reports/find-inspection-report/provider/ELS/101694 ","Ofsted School Webpage")</f>
        <v>Ofsted School Webpage</v>
      </c>
      <c r="B65">
        <v>101694</v>
      </c>
      <c r="C65">
        <v>3056075</v>
      </c>
      <c r="D65" t="s">
        <v>1208</v>
      </c>
      <c r="E65" t="s">
        <v>36</v>
      </c>
      <c r="F65" t="s">
        <v>142</v>
      </c>
      <c r="G65" t="s">
        <v>142</v>
      </c>
      <c r="H65" t="s">
        <v>2595</v>
      </c>
      <c r="I65" t="s">
        <v>2596</v>
      </c>
      <c r="J65" t="s">
        <v>143</v>
      </c>
      <c r="K65" t="s">
        <v>189</v>
      </c>
      <c r="L65" t="s">
        <v>189</v>
      </c>
      <c r="M65" t="s">
        <v>540</v>
      </c>
      <c r="N65" t="s">
        <v>1209</v>
      </c>
      <c r="O65">
        <v>10026277</v>
      </c>
      <c r="P65" s="108">
        <v>43123</v>
      </c>
      <c r="Q65" s="108">
        <v>43125</v>
      </c>
      <c r="R65" s="108">
        <v>43144</v>
      </c>
      <c r="S65" t="s">
        <v>153</v>
      </c>
      <c r="T65">
        <v>3</v>
      </c>
      <c r="U65" t="s">
        <v>123</v>
      </c>
      <c r="V65">
        <v>3</v>
      </c>
      <c r="W65">
        <v>2</v>
      </c>
      <c r="X65">
        <v>3</v>
      </c>
      <c r="Y65">
        <f>VLOOKUP(Table_clu7sql1_ssdb_REPORT_vw_IE_External_MI_SON[[#This Row],[URN]],[1]Data!$D$2:$BB$1084,31,)</f>
        <v>3</v>
      </c>
      <c r="Z65">
        <v>3</v>
      </c>
      <c r="AA65" t="s">
        <v>2596</v>
      </c>
      <c r="AB65" t="s">
        <v>2598</v>
      </c>
      <c r="AC65" t="s">
        <v>2596</v>
      </c>
      <c r="AD65" t="s">
        <v>2596</v>
      </c>
      <c r="AE65" t="s">
        <v>2596</v>
      </c>
      <c r="AF65" t="s">
        <v>2596</v>
      </c>
      <c r="AG65" t="s">
        <v>2596</v>
      </c>
      <c r="AH65" t="s">
        <v>2596</v>
      </c>
    </row>
    <row r="66" spans="1:34" x14ac:dyDescent="0.25">
      <c r="A66" s="111" t="str">
        <f>HYPERLINK("http://www.ofsted.gov.uk/inspection-reports/find-inspection-report/provider/ELS/101695 ","Ofsted School Webpage")</f>
        <v>Ofsted School Webpage</v>
      </c>
      <c r="B66">
        <v>101695</v>
      </c>
      <c r="C66">
        <v>3056077</v>
      </c>
      <c r="D66" t="s">
        <v>1916</v>
      </c>
      <c r="E66" t="s">
        <v>36</v>
      </c>
      <c r="F66" t="s">
        <v>142</v>
      </c>
      <c r="G66" t="s">
        <v>180</v>
      </c>
      <c r="H66" t="s">
        <v>2595</v>
      </c>
      <c r="I66" t="s">
        <v>2596</v>
      </c>
      <c r="J66" t="s">
        <v>143</v>
      </c>
      <c r="K66" t="s">
        <v>189</v>
      </c>
      <c r="L66" t="s">
        <v>189</v>
      </c>
      <c r="M66" t="s">
        <v>540</v>
      </c>
      <c r="N66" t="s">
        <v>1917</v>
      </c>
      <c r="O66">
        <v>10034171</v>
      </c>
      <c r="P66" s="108">
        <v>42864</v>
      </c>
      <c r="Q66" s="108">
        <v>42866</v>
      </c>
      <c r="R66" s="108">
        <v>42937</v>
      </c>
      <c r="S66" t="s">
        <v>224</v>
      </c>
      <c r="T66">
        <v>4</v>
      </c>
      <c r="U66" t="s">
        <v>124</v>
      </c>
      <c r="V66">
        <v>4</v>
      </c>
      <c r="W66">
        <v>4</v>
      </c>
      <c r="X66">
        <v>3</v>
      </c>
      <c r="Y66">
        <f>VLOOKUP(Table_clu7sql1_ssdb_REPORT_vw_IE_External_MI_SON[[#This Row],[URN]],[1]Data!$D$2:$BB$1084,31,)</f>
        <v>3</v>
      </c>
      <c r="Z66" t="s">
        <v>2596</v>
      </c>
      <c r="AA66">
        <v>4</v>
      </c>
      <c r="AB66" t="s">
        <v>2599</v>
      </c>
      <c r="AC66">
        <v>10043252</v>
      </c>
      <c r="AD66" t="s">
        <v>2635</v>
      </c>
      <c r="AE66" s="108">
        <v>43138</v>
      </c>
      <c r="AF66" t="s">
        <v>2636</v>
      </c>
      <c r="AG66" s="108">
        <v>43179</v>
      </c>
      <c r="AH66" t="s">
        <v>174</v>
      </c>
    </row>
    <row r="67" spans="1:34" x14ac:dyDescent="0.25">
      <c r="A67" s="111" t="str">
        <f>HYPERLINK("http://www.ofsted.gov.uk/inspection-reports/find-inspection-report/provider/ELS/101838 ","Ofsted School Webpage")</f>
        <v>Ofsted School Webpage</v>
      </c>
      <c r="B67">
        <v>101838</v>
      </c>
      <c r="C67">
        <v>3066063</v>
      </c>
      <c r="D67" t="s">
        <v>2277</v>
      </c>
      <c r="E67" t="s">
        <v>36</v>
      </c>
      <c r="F67" t="s">
        <v>142</v>
      </c>
      <c r="G67" t="s">
        <v>169</v>
      </c>
      <c r="H67" t="s">
        <v>2595</v>
      </c>
      <c r="I67" t="s">
        <v>2596</v>
      </c>
      <c r="J67" t="s">
        <v>143</v>
      </c>
      <c r="K67" t="s">
        <v>189</v>
      </c>
      <c r="L67" t="s">
        <v>189</v>
      </c>
      <c r="M67" t="s">
        <v>676</v>
      </c>
      <c r="N67" t="s">
        <v>2278</v>
      </c>
      <c r="O67" t="s">
        <v>2279</v>
      </c>
      <c r="P67" s="108">
        <v>41954</v>
      </c>
      <c r="Q67" s="108">
        <v>41956</v>
      </c>
      <c r="R67" s="108">
        <v>41977</v>
      </c>
      <c r="S67" t="s">
        <v>153</v>
      </c>
      <c r="T67">
        <v>2</v>
      </c>
      <c r="U67" t="s">
        <v>2596</v>
      </c>
      <c r="V67">
        <v>2</v>
      </c>
      <c r="W67" t="s">
        <v>2596</v>
      </c>
      <c r="X67">
        <v>2</v>
      </c>
      <c r="Y67">
        <f>VLOOKUP(Table_clu7sql1_ssdb_REPORT_vw_IE_External_MI_SON[[#This Row],[URN]],[1]Data!$D$2:$BB$1084,31,)</f>
        <v>2</v>
      </c>
      <c r="Z67">
        <v>2</v>
      </c>
      <c r="AA67">
        <v>9</v>
      </c>
      <c r="AB67" t="s">
        <v>2598</v>
      </c>
      <c r="AC67" t="s">
        <v>2596</v>
      </c>
      <c r="AD67" t="s">
        <v>2596</v>
      </c>
      <c r="AE67" t="s">
        <v>2596</v>
      </c>
      <c r="AF67" t="s">
        <v>2596</v>
      </c>
      <c r="AG67" t="s">
        <v>2596</v>
      </c>
      <c r="AH67" t="s">
        <v>2596</v>
      </c>
    </row>
    <row r="68" spans="1:34" x14ac:dyDescent="0.25">
      <c r="A68" s="111" t="str">
        <f>HYPERLINK("http://www.ofsted.gov.uk/inspection-reports/find-inspection-report/provider/ELS/101843 ","Ofsted School Webpage")</f>
        <v>Ofsted School Webpage</v>
      </c>
      <c r="B68">
        <v>101843</v>
      </c>
      <c r="C68">
        <v>3066078</v>
      </c>
      <c r="D68" t="s">
        <v>1156</v>
      </c>
      <c r="E68" t="s">
        <v>37</v>
      </c>
      <c r="F68" t="s">
        <v>142</v>
      </c>
      <c r="G68" t="s">
        <v>142</v>
      </c>
      <c r="H68" t="s">
        <v>2595</v>
      </c>
      <c r="I68" t="s">
        <v>2596</v>
      </c>
      <c r="J68" t="s">
        <v>143</v>
      </c>
      <c r="K68" t="s">
        <v>189</v>
      </c>
      <c r="L68" t="s">
        <v>189</v>
      </c>
      <c r="M68" t="s">
        <v>676</v>
      </c>
      <c r="N68" t="s">
        <v>1157</v>
      </c>
      <c r="O68" t="s">
        <v>1158</v>
      </c>
      <c r="P68" s="108">
        <v>42192</v>
      </c>
      <c r="Q68" s="108">
        <v>42194</v>
      </c>
      <c r="R68" s="108">
        <v>42257</v>
      </c>
      <c r="S68" t="s">
        <v>153</v>
      </c>
      <c r="T68">
        <v>1</v>
      </c>
      <c r="U68" t="s">
        <v>2596</v>
      </c>
      <c r="V68">
        <v>1</v>
      </c>
      <c r="W68" t="s">
        <v>2596</v>
      </c>
      <c r="X68">
        <v>1</v>
      </c>
      <c r="Y68">
        <f>VLOOKUP(Table_clu7sql1_ssdb_REPORT_vw_IE_External_MI_SON[[#This Row],[URN]],[1]Data!$D$2:$BB$1084,31,)</f>
        <v>1</v>
      </c>
      <c r="Z68">
        <v>9</v>
      </c>
      <c r="AA68">
        <v>2</v>
      </c>
      <c r="AB68" t="s">
        <v>2598</v>
      </c>
      <c r="AC68" t="s">
        <v>2596</v>
      </c>
      <c r="AD68" t="s">
        <v>2596</v>
      </c>
      <c r="AE68" s="108" t="s">
        <v>2596</v>
      </c>
      <c r="AF68" t="s">
        <v>2596</v>
      </c>
      <c r="AG68" s="108" t="s">
        <v>2596</v>
      </c>
      <c r="AH68" t="s">
        <v>2596</v>
      </c>
    </row>
    <row r="69" spans="1:34" x14ac:dyDescent="0.25">
      <c r="A69" s="111" t="str">
        <f>HYPERLINK("http://www.ofsted.gov.uk/inspection-reports/find-inspection-report/provider/ELS/101948 ","Ofsted School Webpage")</f>
        <v>Ofsted School Webpage</v>
      </c>
      <c r="B69">
        <v>101948</v>
      </c>
      <c r="C69">
        <v>3076050</v>
      </c>
      <c r="D69" t="s">
        <v>1426</v>
      </c>
      <c r="E69" t="s">
        <v>36</v>
      </c>
      <c r="F69" t="s">
        <v>142</v>
      </c>
      <c r="G69" t="s">
        <v>142</v>
      </c>
      <c r="H69" t="s">
        <v>2595</v>
      </c>
      <c r="I69" t="s">
        <v>2596</v>
      </c>
      <c r="J69" t="s">
        <v>143</v>
      </c>
      <c r="K69" t="s">
        <v>189</v>
      </c>
      <c r="L69" t="s">
        <v>189</v>
      </c>
      <c r="M69" t="s">
        <v>584</v>
      </c>
      <c r="N69" t="s">
        <v>1427</v>
      </c>
      <c r="O69">
        <v>10012825</v>
      </c>
      <c r="P69" s="108">
        <v>43046</v>
      </c>
      <c r="Q69" s="108">
        <v>43048</v>
      </c>
      <c r="R69" s="108">
        <v>43076</v>
      </c>
      <c r="S69" t="s">
        <v>153</v>
      </c>
      <c r="T69">
        <v>3</v>
      </c>
      <c r="U69" t="s">
        <v>123</v>
      </c>
      <c r="V69">
        <v>3</v>
      </c>
      <c r="W69">
        <v>3</v>
      </c>
      <c r="X69">
        <v>3</v>
      </c>
      <c r="Y69">
        <f>VLOOKUP(Table_clu7sql1_ssdb_REPORT_vw_IE_External_MI_SON[[#This Row],[URN]],[1]Data!$D$2:$BB$1084,31,)</f>
        <v>3</v>
      </c>
      <c r="Z69" t="s">
        <v>2596</v>
      </c>
      <c r="AA69" t="s">
        <v>2596</v>
      </c>
      <c r="AB69" t="s">
        <v>2598</v>
      </c>
      <c r="AC69" t="s">
        <v>2596</v>
      </c>
      <c r="AD69" t="s">
        <v>2596</v>
      </c>
      <c r="AE69" s="108" t="s">
        <v>2596</v>
      </c>
      <c r="AF69" t="s">
        <v>2596</v>
      </c>
      <c r="AG69" s="108" t="s">
        <v>2596</v>
      </c>
      <c r="AH69" t="s">
        <v>2596</v>
      </c>
    </row>
    <row r="70" spans="1:34" x14ac:dyDescent="0.25">
      <c r="A70" s="111" t="str">
        <f>HYPERLINK("http://www.ofsted.gov.uk/inspection-reports/find-inspection-report/provider/ELS/101953 ","Ofsted School Webpage")</f>
        <v>Ofsted School Webpage</v>
      </c>
      <c r="B70">
        <v>101953</v>
      </c>
      <c r="C70">
        <v>3076064</v>
      </c>
      <c r="D70" t="s">
        <v>583</v>
      </c>
      <c r="E70" t="s">
        <v>37</v>
      </c>
      <c r="F70" t="s">
        <v>142</v>
      </c>
      <c r="G70" t="s">
        <v>142</v>
      </c>
      <c r="H70" t="s">
        <v>2595</v>
      </c>
      <c r="I70" t="s">
        <v>2596</v>
      </c>
      <c r="J70" t="s">
        <v>143</v>
      </c>
      <c r="K70" t="s">
        <v>189</v>
      </c>
      <c r="L70" t="s">
        <v>189</v>
      </c>
      <c r="M70" t="s">
        <v>584</v>
      </c>
      <c r="N70" t="s">
        <v>585</v>
      </c>
      <c r="O70">
        <v>10038156</v>
      </c>
      <c r="P70" s="108">
        <v>43068</v>
      </c>
      <c r="Q70" s="108">
        <v>43070</v>
      </c>
      <c r="R70" s="108">
        <v>43115</v>
      </c>
      <c r="S70" t="s">
        <v>153</v>
      </c>
      <c r="T70">
        <v>1</v>
      </c>
      <c r="U70" t="s">
        <v>123</v>
      </c>
      <c r="V70">
        <v>1</v>
      </c>
      <c r="W70">
        <v>1</v>
      </c>
      <c r="X70">
        <v>1</v>
      </c>
      <c r="Y70">
        <f>VLOOKUP(Table_clu7sql1_ssdb_REPORT_vw_IE_External_MI_SON[[#This Row],[URN]],[1]Data!$D$2:$BB$1084,31,)</f>
        <v>1</v>
      </c>
      <c r="Z70" t="s">
        <v>2596</v>
      </c>
      <c r="AA70">
        <v>1</v>
      </c>
      <c r="AB70" t="s">
        <v>2598</v>
      </c>
      <c r="AC70" t="s">
        <v>2596</v>
      </c>
      <c r="AD70" t="s">
        <v>2596</v>
      </c>
      <c r="AE70" t="s">
        <v>2596</v>
      </c>
      <c r="AF70" t="s">
        <v>2596</v>
      </c>
      <c r="AG70" t="s">
        <v>2596</v>
      </c>
      <c r="AH70" t="s">
        <v>2596</v>
      </c>
    </row>
    <row r="71" spans="1:34" x14ac:dyDescent="0.25">
      <c r="A71" s="111" t="str">
        <f>HYPERLINK("http://www.ofsted.gov.uk/inspection-reports/find-inspection-report/provider/ELS/101957 ","Ofsted School Webpage")</f>
        <v>Ofsted School Webpage</v>
      </c>
      <c r="B71">
        <v>101957</v>
      </c>
      <c r="C71">
        <v>3076068</v>
      </c>
      <c r="D71" t="s">
        <v>2246</v>
      </c>
      <c r="E71" t="s">
        <v>36</v>
      </c>
      <c r="F71" t="s">
        <v>142</v>
      </c>
      <c r="G71" t="s">
        <v>180</v>
      </c>
      <c r="H71" t="s">
        <v>2595</v>
      </c>
      <c r="I71" t="s">
        <v>2596</v>
      </c>
      <c r="J71" t="s">
        <v>143</v>
      </c>
      <c r="K71" t="s">
        <v>189</v>
      </c>
      <c r="L71" t="s">
        <v>189</v>
      </c>
      <c r="M71" t="s">
        <v>584</v>
      </c>
      <c r="N71" t="s">
        <v>2247</v>
      </c>
      <c r="O71">
        <v>10006090</v>
      </c>
      <c r="P71" s="108">
        <v>42752</v>
      </c>
      <c r="Q71" s="108">
        <v>42754</v>
      </c>
      <c r="R71" s="108">
        <v>42779</v>
      </c>
      <c r="S71" t="s">
        <v>153</v>
      </c>
      <c r="T71">
        <v>3</v>
      </c>
      <c r="U71" t="s">
        <v>123</v>
      </c>
      <c r="V71">
        <v>3</v>
      </c>
      <c r="W71">
        <v>3</v>
      </c>
      <c r="X71">
        <v>3</v>
      </c>
      <c r="Y71">
        <f>VLOOKUP(Table_clu7sql1_ssdb_REPORT_vw_IE_External_MI_SON[[#This Row],[URN]],[1]Data!$D$2:$BB$1084,31,)</f>
        <v>3</v>
      </c>
      <c r="Z71">
        <v>2</v>
      </c>
      <c r="AA71">
        <v>2</v>
      </c>
      <c r="AB71" t="s">
        <v>2599</v>
      </c>
      <c r="AC71" t="s">
        <v>2596</v>
      </c>
      <c r="AD71" t="s">
        <v>2596</v>
      </c>
      <c r="AE71" t="s">
        <v>2596</v>
      </c>
      <c r="AF71" t="s">
        <v>2596</v>
      </c>
      <c r="AG71" t="s">
        <v>2596</v>
      </c>
      <c r="AH71" t="s">
        <v>2596</v>
      </c>
    </row>
    <row r="72" spans="1:34" x14ac:dyDescent="0.25">
      <c r="A72" s="111" t="str">
        <f>HYPERLINK("http://www.ofsted.gov.uk/inspection-reports/find-inspection-report/provider/ELS/101958 ","Ofsted School Webpage")</f>
        <v>Ofsted School Webpage</v>
      </c>
      <c r="B72">
        <v>101958</v>
      </c>
      <c r="C72">
        <v>3076070</v>
      </c>
      <c r="D72" t="s">
        <v>2491</v>
      </c>
      <c r="E72" t="s">
        <v>36</v>
      </c>
      <c r="F72" t="s">
        <v>142</v>
      </c>
      <c r="G72" t="s">
        <v>142</v>
      </c>
      <c r="H72" t="s">
        <v>2595</v>
      </c>
      <c r="I72" t="s">
        <v>2596</v>
      </c>
      <c r="J72" t="s">
        <v>143</v>
      </c>
      <c r="K72" t="s">
        <v>189</v>
      </c>
      <c r="L72" t="s">
        <v>189</v>
      </c>
      <c r="M72" t="s">
        <v>584</v>
      </c>
      <c r="N72" t="s">
        <v>2492</v>
      </c>
      <c r="O72">
        <v>10034364</v>
      </c>
      <c r="P72" s="108">
        <v>42920</v>
      </c>
      <c r="Q72" s="108">
        <v>42922</v>
      </c>
      <c r="R72" s="108">
        <v>42989</v>
      </c>
      <c r="S72" t="s">
        <v>153</v>
      </c>
      <c r="T72">
        <v>3</v>
      </c>
      <c r="U72" t="s">
        <v>123</v>
      </c>
      <c r="V72">
        <v>3</v>
      </c>
      <c r="W72">
        <v>2</v>
      </c>
      <c r="X72">
        <v>2</v>
      </c>
      <c r="Y72">
        <f>VLOOKUP(Table_clu7sql1_ssdb_REPORT_vw_IE_External_MI_SON[[#This Row],[URN]],[1]Data!$D$2:$BB$1084,31,)</f>
        <v>2</v>
      </c>
      <c r="Z72" t="s">
        <v>2596</v>
      </c>
      <c r="AA72" t="s">
        <v>2596</v>
      </c>
      <c r="AB72" t="s">
        <v>2599</v>
      </c>
      <c r="AC72">
        <v>10044930</v>
      </c>
      <c r="AD72" t="s">
        <v>144</v>
      </c>
      <c r="AE72" s="108">
        <v>43115</v>
      </c>
      <c r="AF72" t="s">
        <v>2636</v>
      </c>
      <c r="AG72" s="108">
        <v>43166</v>
      </c>
      <c r="AH72" t="s">
        <v>174</v>
      </c>
    </row>
    <row r="73" spans="1:34" x14ac:dyDescent="0.25">
      <c r="A73" s="111" t="str">
        <f>HYPERLINK("http://www.ofsted.gov.uk/inspection-reports/find-inspection-report/provider/ELS/101959 ","Ofsted School Webpage")</f>
        <v>Ofsted School Webpage</v>
      </c>
      <c r="B73">
        <v>101959</v>
      </c>
      <c r="C73">
        <v>3096081</v>
      </c>
      <c r="D73" t="s">
        <v>1931</v>
      </c>
      <c r="E73" t="s">
        <v>36</v>
      </c>
      <c r="F73" t="s">
        <v>142</v>
      </c>
      <c r="G73" t="s">
        <v>142</v>
      </c>
      <c r="H73" t="s">
        <v>2595</v>
      </c>
      <c r="I73" t="s">
        <v>2596</v>
      </c>
      <c r="J73" t="s">
        <v>143</v>
      </c>
      <c r="K73" t="s">
        <v>189</v>
      </c>
      <c r="L73" t="s">
        <v>189</v>
      </c>
      <c r="M73" t="s">
        <v>650</v>
      </c>
      <c r="N73" t="s">
        <v>1932</v>
      </c>
      <c r="O73" t="s">
        <v>1933</v>
      </c>
      <c r="P73" s="108">
        <v>41772</v>
      </c>
      <c r="Q73" s="108">
        <v>41774</v>
      </c>
      <c r="R73" s="108">
        <v>41795</v>
      </c>
      <c r="S73" t="s">
        <v>153</v>
      </c>
      <c r="T73">
        <v>2</v>
      </c>
      <c r="U73" t="s">
        <v>2596</v>
      </c>
      <c r="V73">
        <v>2</v>
      </c>
      <c r="W73" t="s">
        <v>2596</v>
      </c>
      <c r="X73">
        <v>2</v>
      </c>
      <c r="Y73">
        <f>VLOOKUP(Table_clu7sql1_ssdb_REPORT_vw_IE_External_MI_SON[[#This Row],[URN]],[1]Data!$D$2:$BB$1084,31,)</f>
        <v>2</v>
      </c>
      <c r="Z73" t="s">
        <v>2596</v>
      </c>
      <c r="AA73" t="s">
        <v>2596</v>
      </c>
      <c r="AB73" t="s">
        <v>2598</v>
      </c>
      <c r="AC73" t="s">
        <v>2596</v>
      </c>
      <c r="AD73" t="s">
        <v>2596</v>
      </c>
      <c r="AE73" s="108" t="s">
        <v>2596</v>
      </c>
      <c r="AF73" t="s">
        <v>2596</v>
      </c>
      <c r="AG73" s="108" t="s">
        <v>2596</v>
      </c>
      <c r="AH73" t="s">
        <v>2596</v>
      </c>
    </row>
    <row r="74" spans="1:34" x14ac:dyDescent="0.25">
      <c r="A74" s="111" t="str">
        <f>HYPERLINK("http://www.ofsted.gov.uk/inspection-reports/find-inspection-report/provider/ELS/101964 ","Ofsted School Webpage")</f>
        <v>Ofsted School Webpage</v>
      </c>
      <c r="B74">
        <v>101964</v>
      </c>
      <c r="C74">
        <v>3136003</v>
      </c>
      <c r="D74" t="s">
        <v>2108</v>
      </c>
      <c r="E74" t="s">
        <v>36</v>
      </c>
      <c r="F74" t="s">
        <v>142</v>
      </c>
      <c r="G74" t="s">
        <v>644</v>
      </c>
      <c r="H74" t="s">
        <v>2595</v>
      </c>
      <c r="I74" t="s">
        <v>2596</v>
      </c>
      <c r="J74" t="s">
        <v>143</v>
      </c>
      <c r="K74" t="s">
        <v>189</v>
      </c>
      <c r="L74" t="s">
        <v>189</v>
      </c>
      <c r="M74" t="s">
        <v>226</v>
      </c>
      <c r="N74" t="s">
        <v>2109</v>
      </c>
      <c r="O74">
        <v>10026278</v>
      </c>
      <c r="P74" s="108">
        <v>43053</v>
      </c>
      <c r="Q74" s="108">
        <v>43055</v>
      </c>
      <c r="R74" s="108">
        <v>43077</v>
      </c>
      <c r="S74" t="s">
        <v>153</v>
      </c>
      <c r="T74">
        <v>3</v>
      </c>
      <c r="U74" t="s">
        <v>123</v>
      </c>
      <c r="V74">
        <v>3</v>
      </c>
      <c r="W74">
        <v>3</v>
      </c>
      <c r="X74">
        <v>3</v>
      </c>
      <c r="Y74">
        <f>VLOOKUP(Table_clu7sql1_ssdb_REPORT_vw_IE_External_MI_SON[[#This Row],[URN]],[1]Data!$D$2:$BB$1084,31,)</f>
        <v>3</v>
      </c>
      <c r="Z74">
        <v>3</v>
      </c>
      <c r="AA74" t="s">
        <v>2596</v>
      </c>
      <c r="AB74" t="s">
        <v>2598</v>
      </c>
      <c r="AC74" t="s">
        <v>2596</v>
      </c>
      <c r="AD74" t="s">
        <v>2596</v>
      </c>
      <c r="AE74" t="s">
        <v>2596</v>
      </c>
      <c r="AF74" t="s">
        <v>2596</v>
      </c>
      <c r="AG74" t="s">
        <v>2596</v>
      </c>
      <c r="AH74" t="s">
        <v>2596</v>
      </c>
    </row>
    <row r="75" spans="1:34" x14ac:dyDescent="0.25">
      <c r="A75" s="111" t="str">
        <f>HYPERLINK("http://www.ofsted.gov.uk/inspection-reports/find-inspection-report/provider/ELS/102065 ","Ofsted School Webpage")</f>
        <v>Ofsted School Webpage</v>
      </c>
      <c r="B75">
        <v>102065</v>
      </c>
      <c r="C75">
        <v>3086062</v>
      </c>
      <c r="D75" t="s">
        <v>1869</v>
      </c>
      <c r="E75" t="s">
        <v>36</v>
      </c>
      <c r="F75" t="s">
        <v>142</v>
      </c>
      <c r="G75" t="s">
        <v>169</v>
      </c>
      <c r="H75" t="s">
        <v>2595</v>
      </c>
      <c r="I75" t="s">
        <v>2596</v>
      </c>
      <c r="J75" t="s">
        <v>143</v>
      </c>
      <c r="K75" t="s">
        <v>189</v>
      </c>
      <c r="L75" t="s">
        <v>189</v>
      </c>
      <c r="M75" t="s">
        <v>216</v>
      </c>
      <c r="N75" t="s">
        <v>1870</v>
      </c>
      <c r="O75">
        <v>10012824</v>
      </c>
      <c r="P75" s="108">
        <v>42794</v>
      </c>
      <c r="Q75" s="108">
        <v>42796</v>
      </c>
      <c r="R75" s="108">
        <v>42850</v>
      </c>
      <c r="S75" t="s">
        <v>153</v>
      </c>
      <c r="T75">
        <v>4</v>
      </c>
      <c r="U75" t="s">
        <v>124</v>
      </c>
      <c r="V75">
        <v>4</v>
      </c>
      <c r="W75">
        <v>4</v>
      </c>
      <c r="X75">
        <v>1</v>
      </c>
      <c r="Y75">
        <f>VLOOKUP(Table_clu7sql1_ssdb_REPORT_vw_IE_External_MI_SON[[#This Row],[URN]],[1]Data!$D$2:$BB$1084,31,)</f>
        <v>1</v>
      </c>
      <c r="Z75">
        <v>1</v>
      </c>
      <c r="AA75">
        <v>4</v>
      </c>
      <c r="AB75" t="s">
        <v>2599</v>
      </c>
      <c r="AC75">
        <v>10039972</v>
      </c>
      <c r="AD75" t="s">
        <v>144</v>
      </c>
      <c r="AE75" s="108">
        <v>42948</v>
      </c>
      <c r="AF75" t="s">
        <v>2634</v>
      </c>
      <c r="AG75" s="108">
        <v>43004</v>
      </c>
      <c r="AH75" t="s">
        <v>146</v>
      </c>
    </row>
    <row r="76" spans="1:34" x14ac:dyDescent="0.25">
      <c r="A76" s="111" t="str">
        <f>HYPERLINK("http://www.ofsted.gov.uk/inspection-reports/find-inspection-report/provider/ELS/102168 ","Ofsted School Webpage")</f>
        <v>Ofsted School Webpage</v>
      </c>
      <c r="B76">
        <v>102168</v>
      </c>
      <c r="C76">
        <v>3096066</v>
      </c>
      <c r="D76" t="s">
        <v>2436</v>
      </c>
      <c r="E76" t="s">
        <v>36</v>
      </c>
      <c r="F76" t="s">
        <v>142</v>
      </c>
      <c r="G76" t="s">
        <v>142</v>
      </c>
      <c r="H76" t="s">
        <v>2595</v>
      </c>
      <c r="I76" t="s">
        <v>2596</v>
      </c>
      <c r="J76" t="s">
        <v>143</v>
      </c>
      <c r="K76" t="s">
        <v>189</v>
      </c>
      <c r="L76" t="s">
        <v>189</v>
      </c>
      <c r="M76" t="s">
        <v>650</v>
      </c>
      <c r="N76" t="s">
        <v>2437</v>
      </c>
      <c r="O76">
        <v>10008573</v>
      </c>
      <c r="P76" s="108">
        <v>42927</v>
      </c>
      <c r="Q76" s="108">
        <v>42929</v>
      </c>
      <c r="R76" s="108">
        <v>43019</v>
      </c>
      <c r="S76" t="s">
        <v>153</v>
      </c>
      <c r="T76">
        <v>4</v>
      </c>
      <c r="U76" t="s">
        <v>124</v>
      </c>
      <c r="V76">
        <v>4</v>
      </c>
      <c r="W76">
        <v>4</v>
      </c>
      <c r="X76">
        <v>4</v>
      </c>
      <c r="Y76">
        <f>VLOOKUP(Table_clu7sql1_ssdb_REPORT_vw_IE_External_MI_SON[[#This Row],[URN]],[1]Data!$D$2:$BB$1084,31,)</f>
        <v>4</v>
      </c>
      <c r="Z76">
        <v>4</v>
      </c>
      <c r="AA76" t="s">
        <v>2596</v>
      </c>
      <c r="AB76" t="s">
        <v>2599</v>
      </c>
      <c r="AC76" t="s">
        <v>2596</v>
      </c>
      <c r="AD76" t="s">
        <v>2596</v>
      </c>
      <c r="AE76" s="108" t="s">
        <v>2596</v>
      </c>
      <c r="AF76" t="s">
        <v>2596</v>
      </c>
      <c r="AG76" s="108" t="s">
        <v>2596</v>
      </c>
      <c r="AH76" t="s">
        <v>2596</v>
      </c>
    </row>
    <row r="77" spans="1:34" x14ac:dyDescent="0.25">
      <c r="A77" s="111" t="str">
        <f>HYPERLINK("http://www.ofsted.gov.uk/inspection-reports/find-inspection-report/provider/ELS/102171 ","Ofsted School Webpage")</f>
        <v>Ofsted School Webpage</v>
      </c>
      <c r="B77">
        <v>102171</v>
      </c>
      <c r="C77">
        <v>2046399</v>
      </c>
      <c r="D77" t="s">
        <v>1433</v>
      </c>
      <c r="E77" t="s">
        <v>36</v>
      </c>
      <c r="F77" t="s">
        <v>142</v>
      </c>
      <c r="G77" t="s">
        <v>776</v>
      </c>
      <c r="H77" t="s">
        <v>2595</v>
      </c>
      <c r="I77" t="s">
        <v>2596</v>
      </c>
      <c r="J77" t="s">
        <v>143</v>
      </c>
      <c r="K77" t="s">
        <v>189</v>
      </c>
      <c r="L77" t="s">
        <v>189</v>
      </c>
      <c r="M77" t="s">
        <v>434</v>
      </c>
      <c r="N77" t="s">
        <v>1434</v>
      </c>
      <c r="O77" t="s">
        <v>1435</v>
      </c>
      <c r="P77" s="108">
        <v>40605</v>
      </c>
      <c r="Q77" s="108">
        <v>40605</v>
      </c>
      <c r="R77" s="108">
        <v>40634</v>
      </c>
      <c r="S77" t="s">
        <v>608</v>
      </c>
      <c r="T77">
        <v>1</v>
      </c>
      <c r="U77" t="s">
        <v>2596</v>
      </c>
      <c r="V77" t="s">
        <v>2596</v>
      </c>
      <c r="W77" t="s">
        <v>2596</v>
      </c>
      <c r="X77">
        <v>2</v>
      </c>
      <c r="Y77">
        <f>VLOOKUP(Table_clu7sql1_ssdb_REPORT_vw_IE_External_MI_SON[[#This Row],[URN]],[1]Data!$D$2:$BB$1084,31,)</f>
        <v>1</v>
      </c>
      <c r="Z77">
        <v>2</v>
      </c>
      <c r="AA77" t="s">
        <v>2596</v>
      </c>
      <c r="AB77" t="s">
        <v>2598</v>
      </c>
      <c r="AC77" t="s">
        <v>2596</v>
      </c>
      <c r="AD77" t="s">
        <v>2596</v>
      </c>
      <c r="AE77" t="s">
        <v>2596</v>
      </c>
      <c r="AF77" t="s">
        <v>2596</v>
      </c>
      <c r="AG77" t="s">
        <v>2596</v>
      </c>
      <c r="AH77" t="s">
        <v>2596</v>
      </c>
    </row>
    <row r="78" spans="1:34" x14ac:dyDescent="0.25">
      <c r="A78" s="111" t="str">
        <f>HYPERLINK("http://www.ofsted.gov.uk/inspection-reports/find-inspection-report/provider/ELS/102172 ","Ofsted School Webpage")</f>
        <v>Ofsted School Webpage</v>
      </c>
      <c r="B78">
        <v>102172</v>
      </c>
      <c r="C78">
        <v>3096070</v>
      </c>
      <c r="D78" t="s">
        <v>2890</v>
      </c>
      <c r="E78" t="s">
        <v>37</v>
      </c>
      <c r="F78" t="s">
        <v>142</v>
      </c>
      <c r="G78" t="s">
        <v>142</v>
      </c>
      <c r="H78" t="s">
        <v>2595</v>
      </c>
      <c r="I78" t="s">
        <v>2596</v>
      </c>
      <c r="J78" t="s">
        <v>143</v>
      </c>
      <c r="K78" t="s">
        <v>189</v>
      </c>
      <c r="L78" t="s">
        <v>189</v>
      </c>
      <c r="M78" t="s">
        <v>650</v>
      </c>
      <c r="N78" t="s">
        <v>1499</v>
      </c>
      <c r="O78">
        <v>10008599</v>
      </c>
      <c r="P78" s="108">
        <v>42773</v>
      </c>
      <c r="Q78" s="108">
        <v>42775</v>
      </c>
      <c r="R78" s="108">
        <v>42797</v>
      </c>
      <c r="S78" t="s">
        <v>153</v>
      </c>
      <c r="T78">
        <v>2</v>
      </c>
      <c r="U78" t="s">
        <v>123</v>
      </c>
      <c r="V78">
        <v>2</v>
      </c>
      <c r="W78">
        <v>2</v>
      </c>
      <c r="X78">
        <v>2</v>
      </c>
      <c r="Y78">
        <f>VLOOKUP(Table_clu7sql1_ssdb_REPORT_vw_IE_External_MI_SON[[#This Row],[URN]],[1]Data!$D$2:$BB$1084,31,)</f>
        <v>2</v>
      </c>
      <c r="Z78" t="s">
        <v>2596</v>
      </c>
      <c r="AA78" t="s">
        <v>2596</v>
      </c>
      <c r="AB78" t="s">
        <v>2598</v>
      </c>
      <c r="AC78" t="s">
        <v>2596</v>
      </c>
      <c r="AD78" t="s">
        <v>2596</v>
      </c>
      <c r="AE78" s="108" t="s">
        <v>2596</v>
      </c>
      <c r="AF78" t="s">
        <v>2596</v>
      </c>
      <c r="AG78" s="108" t="s">
        <v>2596</v>
      </c>
      <c r="AH78" t="s">
        <v>2596</v>
      </c>
    </row>
    <row r="79" spans="1:34" x14ac:dyDescent="0.25">
      <c r="A79" s="111" t="str">
        <f>HYPERLINK("http://www.ofsted.gov.uk/inspection-reports/find-inspection-report/provider/ELS/102174 ","Ofsted School Webpage")</f>
        <v>Ofsted School Webpage</v>
      </c>
      <c r="B79">
        <v>102174</v>
      </c>
      <c r="C79">
        <v>3096076</v>
      </c>
      <c r="D79" t="s">
        <v>1678</v>
      </c>
      <c r="E79" t="s">
        <v>36</v>
      </c>
      <c r="F79" t="s">
        <v>142</v>
      </c>
      <c r="G79" t="s">
        <v>169</v>
      </c>
      <c r="H79" t="s">
        <v>2595</v>
      </c>
      <c r="I79" t="s">
        <v>2596</v>
      </c>
      <c r="J79" t="s">
        <v>143</v>
      </c>
      <c r="K79" t="s">
        <v>189</v>
      </c>
      <c r="L79" t="s">
        <v>189</v>
      </c>
      <c r="M79" t="s">
        <v>650</v>
      </c>
      <c r="N79" t="s">
        <v>1679</v>
      </c>
      <c r="O79">
        <v>10035785</v>
      </c>
      <c r="P79" s="108">
        <v>43046</v>
      </c>
      <c r="Q79" s="108">
        <v>43048</v>
      </c>
      <c r="R79" s="108">
        <v>43115</v>
      </c>
      <c r="S79" t="s">
        <v>153</v>
      </c>
      <c r="T79">
        <v>4</v>
      </c>
      <c r="U79" t="s">
        <v>124</v>
      </c>
      <c r="V79">
        <v>4</v>
      </c>
      <c r="W79">
        <v>4</v>
      </c>
      <c r="X79">
        <v>3</v>
      </c>
      <c r="Y79">
        <f>VLOOKUP(Table_clu7sql1_ssdb_REPORT_vw_IE_External_MI_SON[[#This Row],[URN]],[1]Data!$D$2:$BB$1084,31,)</f>
        <v>3</v>
      </c>
      <c r="Z79" t="s">
        <v>2596</v>
      </c>
      <c r="AA79" t="s">
        <v>2596</v>
      </c>
      <c r="AB79" t="s">
        <v>2599</v>
      </c>
      <c r="AC79" t="s">
        <v>2596</v>
      </c>
      <c r="AD79" t="s">
        <v>2596</v>
      </c>
      <c r="AE79" s="108" t="s">
        <v>2596</v>
      </c>
      <c r="AF79" t="s">
        <v>2596</v>
      </c>
      <c r="AG79" s="108" t="s">
        <v>2596</v>
      </c>
      <c r="AH79" t="s">
        <v>2596</v>
      </c>
    </row>
    <row r="80" spans="1:34" x14ac:dyDescent="0.25">
      <c r="A80" s="111" t="str">
        <f>HYPERLINK("http://www.ofsted.gov.uk/inspection-reports/find-inspection-report/provider/ELS/102357 ","Ofsted School Webpage")</f>
        <v>Ofsted School Webpage</v>
      </c>
      <c r="B80">
        <v>102357</v>
      </c>
      <c r="C80">
        <v>3116054</v>
      </c>
      <c r="D80" t="s">
        <v>2302</v>
      </c>
      <c r="E80" t="s">
        <v>36</v>
      </c>
      <c r="F80" t="s">
        <v>142</v>
      </c>
      <c r="G80" t="s">
        <v>369</v>
      </c>
      <c r="H80" t="s">
        <v>2595</v>
      </c>
      <c r="I80" t="s">
        <v>2596</v>
      </c>
      <c r="J80" t="s">
        <v>143</v>
      </c>
      <c r="K80" t="s">
        <v>189</v>
      </c>
      <c r="L80" t="s">
        <v>189</v>
      </c>
      <c r="M80" t="s">
        <v>745</v>
      </c>
      <c r="N80" t="s">
        <v>2303</v>
      </c>
      <c r="O80" t="s">
        <v>2304</v>
      </c>
      <c r="P80" s="108">
        <v>42163</v>
      </c>
      <c r="Q80" s="108">
        <v>42165</v>
      </c>
      <c r="R80" s="108">
        <v>42200</v>
      </c>
      <c r="S80" t="s">
        <v>153</v>
      </c>
      <c r="T80">
        <v>1</v>
      </c>
      <c r="U80" t="s">
        <v>2596</v>
      </c>
      <c r="V80">
        <v>1</v>
      </c>
      <c r="W80" t="s">
        <v>2596</v>
      </c>
      <c r="X80">
        <v>1</v>
      </c>
      <c r="Y80">
        <f>VLOOKUP(Table_clu7sql1_ssdb_REPORT_vw_IE_External_MI_SON[[#This Row],[URN]],[1]Data!$D$2:$BB$1084,31,)</f>
        <v>1</v>
      </c>
      <c r="Z80">
        <v>1</v>
      </c>
      <c r="AA80">
        <v>9</v>
      </c>
      <c r="AB80" t="s">
        <v>2598</v>
      </c>
      <c r="AC80" t="s">
        <v>2596</v>
      </c>
      <c r="AD80" t="s">
        <v>2596</v>
      </c>
      <c r="AE80" s="108" t="s">
        <v>2596</v>
      </c>
      <c r="AF80" t="s">
        <v>2596</v>
      </c>
      <c r="AG80" s="108" t="s">
        <v>2596</v>
      </c>
      <c r="AH80" t="s">
        <v>2596</v>
      </c>
    </row>
    <row r="81" spans="1:34" x14ac:dyDescent="0.25">
      <c r="A81" s="111" t="str">
        <f>HYPERLINK("http://www.ofsted.gov.uk/inspection-reports/find-inspection-report/provider/ELS/102455 ","Ofsted School Webpage")</f>
        <v>Ofsted School Webpage</v>
      </c>
      <c r="B81">
        <v>102455</v>
      </c>
      <c r="C81">
        <v>3126054</v>
      </c>
      <c r="D81" t="s">
        <v>2449</v>
      </c>
      <c r="E81" t="s">
        <v>36</v>
      </c>
      <c r="F81" t="s">
        <v>142</v>
      </c>
      <c r="G81" t="s">
        <v>169</v>
      </c>
      <c r="H81" t="s">
        <v>2595</v>
      </c>
      <c r="I81" t="s">
        <v>2596</v>
      </c>
      <c r="J81" t="s">
        <v>143</v>
      </c>
      <c r="K81" t="s">
        <v>189</v>
      </c>
      <c r="L81" t="s">
        <v>189</v>
      </c>
      <c r="M81" t="s">
        <v>404</v>
      </c>
      <c r="N81" t="s">
        <v>2450</v>
      </c>
      <c r="O81" t="s">
        <v>2451</v>
      </c>
      <c r="P81" s="108">
        <v>40102</v>
      </c>
      <c r="Q81" s="108">
        <v>40102</v>
      </c>
      <c r="R81" s="108">
        <v>40240</v>
      </c>
      <c r="S81" t="s">
        <v>608</v>
      </c>
      <c r="T81">
        <v>1</v>
      </c>
      <c r="U81" t="s">
        <v>2596</v>
      </c>
      <c r="V81" t="s">
        <v>2596</v>
      </c>
      <c r="W81" t="s">
        <v>2596</v>
      </c>
      <c r="X81">
        <v>1</v>
      </c>
      <c r="Y81">
        <f>VLOOKUP(Table_clu7sql1_ssdb_REPORT_vw_IE_External_MI_SON[[#This Row],[URN]],[1]Data!$D$2:$BB$1084,31,)</f>
        <v>1</v>
      </c>
      <c r="Z81">
        <v>1</v>
      </c>
      <c r="AA81" t="s">
        <v>2596</v>
      </c>
      <c r="AB81" t="s">
        <v>2886</v>
      </c>
      <c r="AC81" t="s">
        <v>2596</v>
      </c>
      <c r="AD81" t="s">
        <v>2596</v>
      </c>
      <c r="AE81" t="s">
        <v>2596</v>
      </c>
      <c r="AF81" t="s">
        <v>2596</v>
      </c>
      <c r="AG81" t="s">
        <v>2596</v>
      </c>
      <c r="AH81" t="s">
        <v>2596</v>
      </c>
    </row>
    <row r="82" spans="1:34" x14ac:dyDescent="0.25">
      <c r="A82" s="111" t="str">
        <f>HYPERLINK("http://www.ofsted.gov.uk/inspection-reports/find-inspection-report/provider/ELS/102547 ","Ofsted School Webpage")</f>
        <v>Ofsted School Webpage</v>
      </c>
      <c r="B82">
        <v>102547</v>
      </c>
      <c r="C82">
        <v>3136051</v>
      </c>
      <c r="D82" t="s">
        <v>225</v>
      </c>
      <c r="E82" t="s">
        <v>36</v>
      </c>
      <c r="F82" t="s">
        <v>142</v>
      </c>
      <c r="G82" t="s">
        <v>142</v>
      </c>
      <c r="H82" t="s">
        <v>2595</v>
      </c>
      <c r="I82" t="s">
        <v>2596</v>
      </c>
      <c r="J82" t="s">
        <v>143</v>
      </c>
      <c r="K82" t="s">
        <v>189</v>
      </c>
      <c r="L82" t="s">
        <v>189</v>
      </c>
      <c r="M82" t="s">
        <v>226</v>
      </c>
      <c r="N82" t="s">
        <v>227</v>
      </c>
      <c r="O82">
        <v>10012831</v>
      </c>
      <c r="P82" s="108">
        <v>42997</v>
      </c>
      <c r="Q82" s="108">
        <v>42999</v>
      </c>
      <c r="R82" s="108">
        <v>43025</v>
      </c>
      <c r="S82" t="s">
        <v>153</v>
      </c>
      <c r="T82">
        <v>2</v>
      </c>
      <c r="U82" t="s">
        <v>123</v>
      </c>
      <c r="V82">
        <v>2</v>
      </c>
      <c r="W82">
        <v>1</v>
      </c>
      <c r="X82">
        <v>2</v>
      </c>
      <c r="Y82">
        <f>VLOOKUP(Table_clu7sql1_ssdb_REPORT_vw_IE_External_MI_SON[[#This Row],[URN]],[1]Data!$D$2:$BB$1084,31,)</f>
        <v>2</v>
      </c>
      <c r="Z82">
        <v>2</v>
      </c>
      <c r="AA82" t="s">
        <v>2596</v>
      </c>
      <c r="AB82" t="s">
        <v>2598</v>
      </c>
      <c r="AC82" t="s">
        <v>2596</v>
      </c>
      <c r="AD82" t="s">
        <v>2596</v>
      </c>
      <c r="AE82" t="s">
        <v>2596</v>
      </c>
      <c r="AF82" t="s">
        <v>2596</v>
      </c>
      <c r="AG82" t="s">
        <v>2596</v>
      </c>
      <c r="AH82" t="s">
        <v>2596</v>
      </c>
    </row>
    <row r="83" spans="1:34" x14ac:dyDescent="0.25">
      <c r="A83" s="111" t="str">
        <f>HYPERLINK("http://www.ofsted.gov.uk/inspection-reports/find-inspection-report/provider/ELS/102550 ","Ofsted School Webpage")</f>
        <v>Ofsted School Webpage</v>
      </c>
      <c r="B83">
        <v>102550</v>
      </c>
      <c r="C83">
        <v>3136063</v>
      </c>
      <c r="D83" t="s">
        <v>2237</v>
      </c>
      <c r="E83" t="s">
        <v>36</v>
      </c>
      <c r="F83" t="s">
        <v>142</v>
      </c>
      <c r="G83" t="s">
        <v>142</v>
      </c>
      <c r="H83" t="s">
        <v>2595</v>
      </c>
      <c r="I83" t="s">
        <v>2596</v>
      </c>
      <c r="J83" t="s">
        <v>143</v>
      </c>
      <c r="K83" t="s">
        <v>189</v>
      </c>
      <c r="L83" t="s">
        <v>189</v>
      </c>
      <c r="M83" t="s">
        <v>226</v>
      </c>
      <c r="N83" t="s">
        <v>2238</v>
      </c>
      <c r="O83">
        <v>10008546</v>
      </c>
      <c r="P83" s="108">
        <v>42437</v>
      </c>
      <c r="Q83" s="108">
        <v>42439</v>
      </c>
      <c r="R83" s="108">
        <v>42478</v>
      </c>
      <c r="S83" t="s">
        <v>153</v>
      </c>
      <c r="T83">
        <v>2</v>
      </c>
      <c r="U83" t="s">
        <v>123</v>
      </c>
      <c r="V83">
        <v>2</v>
      </c>
      <c r="W83">
        <v>1</v>
      </c>
      <c r="X83">
        <v>2</v>
      </c>
      <c r="Y83">
        <f>VLOOKUP(Table_clu7sql1_ssdb_REPORT_vw_IE_External_MI_SON[[#This Row],[URN]],[1]Data!$D$2:$BB$1084,31,)</f>
        <v>2</v>
      </c>
      <c r="Z83">
        <v>2</v>
      </c>
      <c r="AA83">
        <v>1</v>
      </c>
      <c r="AB83" t="s">
        <v>2598</v>
      </c>
      <c r="AC83" t="s">
        <v>2596</v>
      </c>
      <c r="AD83" t="s">
        <v>2596</v>
      </c>
      <c r="AE83" t="s">
        <v>2596</v>
      </c>
      <c r="AF83" t="s">
        <v>2596</v>
      </c>
      <c r="AG83" t="s">
        <v>2596</v>
      </c>
      <c r="AH83" t="s">
        <v>2596</v>
      </c>
    </row>
    <row r="84" spans="1:34" x14ac:dyDescent="0.25">
      <c r="A84" s="111" t="str">
        <f>HYPERLINK("http://www.ofsted.gov.uk/inspection-reports/find-inspection-report/provider/ELS/102693 ","Ofsted School Webpage")</f>
        <v>Ofsted School Webpage</v>
      </c>
      <c r="B84">
        <v>102693</v>
      </c>
      <c r="C84">
        <v>3156072</v>
      </c>
      <c r="D84" t="s">
        <v>2317</v>
      </c>
      <c r="E84" t="s">
        <v>36</v>
      </c>
      <c r="F84" t="s">
        <v>142</v>
      </c>
      <c r="G84" t="s">
        <v>142</v>
      </c>
      <c r="H84" t="s">
        <v>2595</v>
      </c>
      <c r="I84" t="s">
        <v>2596</v>
      </c>
      <c r="J84" t="s">
        <v>143</v>
      </c>
      <c r="K84" t="s">
        <v>189</v>
      </c>
      <c r="L84" t="s">
        <v>189</v>
      </c>
      <c r="M84" t="s">
        <v>193</v>
      </c>
      <c r="N84" t="s">
        <v>725</v>
      </c>
      <c r="O84">
        <v>10006058</v>
      </c>
      <c r="P84" s="108">
        <v>42332</v>
      </c>
      <c r="Q84" s="108">
        <v>42334</v>
      </c>
      <c r="R84" s="108">
        <v>42354</v>
      </c>
      <c r="S84" t="s">
        <v>153</v>
      </c>
      <c r="T84">
        <v>3</v>
      </c>
      <c r="U84" t="s">
        <v>123</v>
      </c>
      <c r="V84">
        <v>3</v>
      </c>
      <c r="W84">
        <v>2</v>
      </c>
      <c r="X84">
        <v>3</v>
      </c>
      <c r="Y84">
        <f>VLOOKUP(Table_clu7sql1_ssdb_REPORT_vw_IE_External_MI_SON[[#This Row],[URN]],[1]Data!$D$2:$BB$1084,31,)</f>
        <v>3</v>
      </c>
      <c r="Z84" t="s">
        <v>2596</v>
      </c>
      <c r="AA84" t="s">
        <v>2596</v>
      </c>
      <c r="AB84" t="s">
        <v>2598</v>
      </c>
      <c r="AC84" t="s">
        <v>2596</v>
      </c>
      <c r="AD84" t="s">
        <v>2596</v>
      </c>
      <c r="AE84" t="s">
        <v>2596</v>
      </c>
      <c r="AF84" t="s">
        <v>2596</v>
      </c>
      <c r="AG84" t="s">
        <v>2596</v>
      </c>
      <c r="AH84" t="s">
        <v>2596</v>
      </c>
    </row>
    <row r="85" spans="1:34" x14ac:dyDescent="0.25">
      <c r="A85" s="111" t="str">
        <f>HYPERLINK("http://www.ofsted.gov.uk/inspection-reports/find-inspection-report/provider/ELS/102694 ","Ofsted School Webpage")</f>
        <v>Ofsted School Webpage</v>
      </c>
      <c r="B85">
        <v>102694</v>
      </c>
      <c r="C85">
        <v>3156076</v>
      </c>
      <c r="D85" t="s">
        <v>502</v>
      </c>
      <c r="E85" t="s">
        <v>37</v>
      </c>
      <c r="F85" t="s">
        <v>142</v>
      </c>
      <c r="G85" t="s">
        <v>142</v>
      </c>
      <c r="H85" t="s">
        <v>2595</v>
      </c>
      <c r="I85" t="s">
        <v>2596</v>
      </c>
      <c r="J85" t="s">
        <v>143</v>
      </c>
      <c r="K85" t="s">
        <v>189</v>
      </c>
      <c r="L85" t="s">
        <v>189</v>
      </c>
      <c r="M85" t="s">
        <v>193</v>
      </c>
      <c r="N85" t="s">
        <v>503</v>
      </c>
      <c r="O85">
        <v>10006008</v>
      </c>
      <c r="P85" s="108">
        <v>42710</v>
      </c>
      <c r="Q85" s="108">
        <v>42712</v>
      </c>
      <c r="R85" s="108">
        <v>42790</v>
      </c>
      <c r="S85" t="s">
        <v>153</v>
      </c>
      <c r="T85">
        <v>1</v>
      </c>
      <c r="U85" t="s">
        <v>123</v>
      </c>
      <c r="V85">
        <v>1</v>
      </c>
      <c r="W85">
        <v>1</v>
      </c>
      <c r="X85">
        <v>1</v>
      </c>
      <c r="Y85">
        <f>VLOOKUP(Table_clu7sql1_ssdb_REPORT_vw_IE_External_MI_SON[[#This Row],[URN]],[1]Data!$D$2:$BB$1084,31,)</f>
        <v>1</v>
      </c>
      <c r="Z85">
        <v>1</v>
      </c>
      <c r="AA85">
        <v>1</v>
      </c>
      <c r="AB85" t="s">
        <v>2598</v>
      </c>
      <c r="AC85" t="s">
        <v>2596</v>
      </c>
      <c r="AD85" t="s">
        <v>2596</v>
      </c>
      <c r="AE85" s="108" t="s">
        <v>2596</v>
      </c>
      <c r="AF85" t="s">
        <v>2596</v>
      </c>
      <c r="AG85" s="108" t="s">
        <v>2596</v>
      </c>
      <c r="AH85" t="s">
        <v>2596</v>
      </c>
    </row>
    <row r="86" spans="1:34" x14ac:dyDescent="0.25">
      <c r="A86" s="111" t="str">
        <f>HYPERLINK("http://www.ofsted.gov.uk/inspection-reports/find-inspection-report/provider/ELS/102869 ","Ofsted School Webpage")</f>
        <v>Ofsted School Webpage</v>
      </c>
      <c r="B86">
        <v>102869</v>
      </c>
      <c r="C86">
        <v>3176055</v>
      </c>
      <c r="D86" t="s">
        <v>1860</v>
      </c>
      <c r="E86" t="s">
        <v>36</v>
      </c>
      <c r="F86" t="s">
        <v>142</v>
      </c>
      <c r="G86" t="s">
        <v>142</v>
      </c>
      <c r="H86" t="s">
        <v>2595</v>
      </c>
      <c r="I86" t="s">
        <v>2596</v>
      </c>
      <c r="J86" t="s">
        <v>143</v>
      </c>
      <c r="K86" t="s">
        <v>189</v>
      </c>
      <c r="L86" t="s">
        <v>189</v>
      </c>
      <c r="M86" t="s">
        <v>756</v>
      </c>
      <c r="N86" t="s">
        <v>1861</v>
      </c>
      <c r="O86" t="s">
        <v>1862</v>
      </c>
      <c r="P86" s="108">
        <v>42045</v>
      </c>
      <c r="Q86" s="108">
        <v>42047</v>
      </c>
      <c r="R86" s="108">
        <v>42082</v>
      </c>
      <c r="S86" t="s">
        <v>153</v>
      </c>
      <c r="T86">
        <v>2</v>
      </c>
      <c r="U86" t="s">
        <v>2596</v>
      </c>
      <c r="V86">
        <v>2</v>
      </c>
      <c r="W86" t="s">
        <v>2596</v>
      </c>
      <c r="X86">
        <v>2</v>
      </c>
      <c r="Y86">
        <f>VLOOKUP(Table_clu7sql1_ssdb_REPORT_vw_IE_External_MI_SON[[#This Row],[URN]],[1]Data!$D$2:$BB$1084,31,)</f>
        <v>2</v>
      </c>
      <c r="Z86">
        <v>2</v>
      </c>
      <c r="AA86">
        <v>9</v>
      </c>
      <c r="AB86" t="s">
        <v>2598</v>
      </c>
      <c r="AC86" t="s">
        <v>2596</v>
      </c>
      <c r="AD86" t="s">
        <v>2596</v>
      </c>
      <c r="AE86" s="108" t="s">
        <v>2596</v>
      </c>
      <c r="AF86" t="s">
        <v>2596</v>
      </c>
      <c r="AG86" s="108" t="s">
        <v>2596</v>
      </c>
      <c r="AH86" t="s">
        <v>2596</v>
      </c>
    </row>
    <row r="87" spans="1:34" x14ac:dyDescent="0.25">
      <c r="A87" s="111" t="str">
        <f>HYPERLINK("http://www.ofsted.gov.uk/inspection-reports/find-inspection-report/provider/ELS/102939 ","Ofsted School Webpage")</f>
        <v>Ofsted School Webpage</v>
      </c>
      <c r="B87">
        <v>102939</v>
      </c>
      <c r="C87">
        <v>3186055</v>
      </c>
      <c r="D87" t="s">
        <v>188</v>
      </c>
      <c r="E87" t="s">
        <v>36</v>
      </c>
      <c r="F87" t="s">
        <v>142</v>
      </c>
      <c r="G87" t="s">
        <v>169</v>
      </c>
      <c r="H87" t="s">
        <v>2595</v>
      </c>
      <c r="I87" t="s">
        <v>2596</v>
      </c>
      <c r="J87" t="s">
        <v>143</v>
      </c>
      <c r="K87" t="s">
        <v>189</v>
      </c>
      <c r="L87" t="s">
        <v>189</v>
      </c>
      <c r="M87" t="s">
        <v>190</v>
      </c>
      <c r="N87" t="s">
        <v>191</v>
      </c>
      <c r="O87">
        <v>10038158</v>
      </c>
      <c r="P87" s="108">
        <v>42990</v>
      </c>
      <c r="Q87" s="108">
        <v>42992</v>
      </c>
      <c r="R87" s="108">
        <v>43020</v>
      </c>
      <c r="S87" t="s">
        <v>153</v>
      </c>
      <c r="T87">
        <v>1</v>
      </c>
      <c r="U87" t="s">
        <v>123</v>
      </c>
      <c r="V87">
        <v>1</v>
      </c>
      <c r="W87">
        <v>1</v>
      </c>
      <c r="X87">
        <v>1</v>
      </c>
      <c r="Y87">
        <f>VLOOKUP(Table_clu7sql1_ssdb_REPORT_vw_IE_External_MI_SON[[#This Row],[URN]],[1]Data!$D$2:$BB$1084,31,)</f>
        <v>1</v>
      </c>
      <c r="Z87">
        <v>1</v>
      </c>
      <c r="AA87" t="s">
        <v>2596</v>
      </c>
      <c r="AB87" t="s">
        <v>2598</v>
      </c>
      <c r="AC87" t="s">
        <v>2596</v>
      </c>
      <c r="AD87" t="s">
        <v>2596</v>
      </c>
      <c r="AE87" t="s">
        <v>2596</v>
      </c>
      <c r="AF87" t="s">
        <v>2596</v>
      </c>
      <c r="AG87" t="s">
        <v>2596</v>
      </c>
      <c r="AH87" t="s">
        <v>2596</v>
      </c>
    </row>
    <row r="88" spans="1:34" x14ac:dyDescent="0.25">
      <c r="A88" s="111" t="str">
        <f>HYPERLINK("http://www.ofsted.gov.uk/inspection-reports/find-inspection-report/provider/ELS/102941 ","Ofsted School Webpage")</f>
        <v>Ofsted School Webpage</v>
      </c>
      <c r="B88">
        <v>102941</v>
      </c>
      <c r="C88">
        <v>3186060</v>
      </c>
      <c r="D88" t="s">
        <v>606</v>
      </c>
      <c r="E88" t="s">
        <v>36</v>
      </c>
      <c r="F88" t="s">
        <v>142</v>
      </c>
      <c r="G88" t="s">
        <v>142</v>
      </c>
      <c r="H88" t="s">
        <v>2595</v>
      </c>
      <c r="I88" t="s">
        <v>2596</v>
      </c>
      <c r="J88" t="s">
        <v>143</v>
      </c>
      <c r="K88" t="s">
        <v>189</v>
      </c>
      <c r="L88" t="s">
        <v>189</v>
      </c>
      <c r="M88" t="s">
        <v>190</v>
      </c>
      <c r="N88" t="s">
        <v>607</v>
      </c>
      <c r="O88">
        <v>10008547</v>
      </c>
      <c r="P88" s="108">
        <v>43053</v>
      </c>
      <c r="Q88" s="108">
        <v>43055</v>
      </c>
      <c r="R88" s="108">
        <v>43111</v>
      </c>
      <c r="S88" t="s">
        <v>153</v>
      </c>
      <c r="T88">
        <v>3</v>
      </c>
      <c r="U88" t="s">
        <v>123</v>
      </c>
      <c r="V88">
        <v>3</v>
      </c>
      <c r="W88">
        <v>2</v>
      </c>
      <c r="X88">
        <v>2</v>
      </c>
      <c r="Y88">
        <f>VLOOKUP(Table_clu7sql1_ssdb_REPORT_vw_IE_External_MI_SON[[#This Row],[URN]],[1]Data!$D$2:$BB$1084,31,)</f>
        <v>2</v>
      </c>
      <c r="Z88">
        <v>0</v>
      </c>
      <c r="AA88" t="s">
        <v>2596</v>
      </c>
      <c r="AB88" t="s">
        <v>2599</v>
      </c>
      <c r="AC88" t="s">
        <v>2596</v>
      </c>
      <c r="AD88" t="s">
        <v>2596</v>
      </c>
      <c r="AE88" t="s">
        <v>2596</v>
      </c>
      <c r="AF88" t="s">
        <v>2596</v>
      </c>
      <c r="AG88" t="s">
        <v>2596</v>
      </c>
      <c r="AH88" t="s">
        <v>2596</v>
      </c>
    </row>
    <row r="89" spans="1:34" x14ac:dyDescent="0.25">
      <c r="A89" s="111" t="str">
        <f>HYPERLINK("http://www.ofsted.gov.uk/inspection-reports/find-inspection-report/provider/ELS/102945 ","Ofsted School Webpage")</f>
        <v>Ofsted School Webpage</v>
      </c>
      <c r="B89">
        <v>102945</v>
      </c>
      <c r="C89">
        <v>3186070</v>
      </c>
      <c r="D89" t="s">
        <v>2444</v>
      </c>
      <c r="E89" t="s">
        <v>36</v>
      </c>
      <c r="F89" t="s">
        <v>142</v>
      </c>
      <c r="G89" t="s">
        <v>142</v>
      </c>
      <c r="H89" t="s">
        <v>2595</v>
      </c>
      <c r="I89" t="s">
        <v>2596</v>
      </c>
      <c r="J89" t="s">
        <v>143</v>
      </c>
      <c r="K89" t="s">
        <v>189</v>
      </c>
      <c r="L89" t="s">
        <v>189</v>
      </c>
      <c r="M89" t="s">
        <v>190</v>
      </c>
      <c r="N89" t="s">
        <v>2445</v>
      </c>
      <c r="O89" t="s">
        <v>2446</v>
      </c>
      <c r="P89" s="108">
        <v>41807</v>
      </c>
      <c r="Q89" s="108">
        <v>41809</v>
      </c>
      <c r="R89" s="108">
        <v>41828</v>
      </c>
      <c r="S89" t="s">
        <v>153</v>
      </c>
      <c r="T89">
        <v>1</v>
      </c>
      <c r="U89" t="s">
        <v>2596</v>
      </c>
      <c r="V89">
        <v>1</v>
      </c>
      <c r="W89" t="s">
        <v>2596</v>
      </c>
      <c r="X89">
        <v>1</v>
      </c>
      <c r="Y89">
        <f>VLOOKUP(Table_clu7sql1_ssdb_REPORT_vw_IE_External_MI_SON[[#This Row],[URN]],[1]Data!$D$2:$BB$1084,31,)</f>
        <v>1</v>
      </c>
      <c r="Z89" t="s">
        <v>2596</v>
      </c>
      <c r="AA89" t="s">
        <v>2596</v>
      </c>
      <c r="AB89" t="s">
        <v>2598</v>
      </c>
      <c r="AC89" t="s">
        <v>2596</v>
      </c>
      <c r="AD89" t="s">
        <v>2596</v>
      </c>
      <c r="AE89" s="108" t="s">
        <v>2596</v>
      </c>
      <c r="AF89" t="s">
        <v>2596</v>
      </c>
      <c r="AG89" s="108" t="s">
        <v>2596</v>
      </c>
      <c r="AH89" t="s">
        <v>2596</v>
      </c>
    </row>
    <row r="90" spans="1:34" x14ac:dyDescent="0.25">
      <c r="A90" s="111" t="str">
        <f>HYPERLINK("http://www.ofsted.gov.uk/inspection-reports/find-inspection-report/provider/ELS/102948 ","Ofsted School Webpage")</f>
        <v>Ofsted School Webpage</v>
      </c>
      <c r="B90">
        <v>102948</v>
      </c>
      <c r="C90">
        <v>3186076</v>
      </c>
      <c r="D90" t="s">
        <v>2119</v>
      </c>
      <c r="E90" t="s">
        <v>36</v>
      </c>
      <c r="F90" t="s">
        <v>142</v>
      </c>
      <c r="G90" t="s">
        <v>142</v>
      </c>
      <c r="H90" t="s">
        <v>2595</v>
      </c>
      <c r="I90" t="s">
        <v>2596</v>
      </c>
      <c r="J90" t="s">
        <v>143</v>
      </c>
      <c r="K90" t="s">
        <v>189</v>
      </c>
      <c r="L90" t="s">
        <v>189</v>
      </c>
      <c r="M90" t="s">
        <v>190</v>
      </c>
      <c r="N90" t="s">
        <v>2120</v>
      </c>
      <c r="O90">
        <v>10008884</v>
      </c>
      <c r="P90" s="108">
        <v>42430</v>
      </c>
      <c r="Q90" s="108">
        <v>42432</v>
      </c>
      <c r="R90" s="108">
        <v>42471</v>
      </c>
      <c r="S90" t="s">
        <v>153</v>
      </c>
      <c r="T90">
        <v>1</v>
      </c>
      <c r="U90" t="s">
        <v>123</v>
      </c>
      <c r="V90">
        <v>1</v>
      </c>
      <c r="W90">
        <v>1</v>
      </c>
      <c r="X90">
        <v>1</v>
      </c>
      <c r="Y90">
        <f>VLOOKUP(Table_clu7sql1_ssdb_REPORT_vw_IE_External_MI_SON[[#This Row],[URN]],[1]Data!$D$2:$BB$1084,31,)</f>
        <v>1</v>
      </c>
      <c r="Z90">
        <v>2</v>
      </c>
      <c r="AA90">
        <v>1</v>
      </c>
      <c r="AB90" t="s">
        <v>2598</v>
      </c>
      <c r="AC90" t="s">
        <v>2596</v>
      </c>
      <c r="AD90" t="s">
        <v>2596</v>
      </c>
      <c r="AE90" s="108" t="s">
        <v>2596</v>
      </c>
      <c r="AF90" t="s">
        <v>2596</v>
      </c>
      <c r="AG90" s="108" t="s">
        <v>2596</v>
      </c>
      <c r="AH90" t="s">
        <v>2596</v>
      </c>
    </row>
    <row r="91" spans="1:34" x14ac:dyDescent="0.25">
      <c r="A91" s="111" t="str">
        <f>HYPERLINK("http://www.ofsted.gov.uk/inspection-reports/find-inspection-report/provider/ELS/102950 ","Ofsted School Webpage")</f>
        <v>Ofsted School Webpage</v>
      </c>
      <c r="B91">
        <v>102950</v>
      </c>
      <c r="C91">
        <v>3186078</v>
      </c>
      <c r="D91" t="s">
        <v>2452</v>
      </c>
      <c r="E91" t="s">
        <v>36</v>
      </c>
      <c r="F91" t="s">
        <v>142</v>
      </c>
      <c r="G91" t="s">
        <v>142</v>
      </c>
      <c r="H91" t="s">
        <v>2595</v>
      </c>
      <c r="I91" t="s">
        <v>2596</v>
      </c>
      <c r="J91" t="s">
        <v>143</v>
      </c>
      <c r="K91" t="s">
        <v>189</v>
      </c>
      <c r="L91" t="s">
        <v>189</v>
      </c>
      <c r="M91" t="s">
        <v>190</v>
      </c>
      <c r="N91" t="s">
        <v>2453</v>
      </c>
      <c r="O91" t="s">
        <v>2454</v>
      </c>
      <c r="P91" s="108">
        <v>40940</v>
      </c>
      <c r="Q91" s="108">
        <v>40941</v>
      </c>
      <c r="R91" s="108">
        <v>41241</v>
      </c>
      <c r="S91" t="s">
        <v>153</v>
      </c>
      <c r="T91">
        <v>2</v>
      </c>
      <c r="U91" t="s">
        <v>2596</v>
      </c>
      <c r="V91" t="s">
        <v>2596</v>
      </c>
      <c r="W91" t="s">
        <v>2596</v>
      </c>
      <c r="X91">
        <v>2</v>
      </c>
      <c r="Y91">
        <f>VLOOKUP(Table_clu7sql1_ssdb_REPORT_vw_IE_External_MI_SON[[#This Row],[URN]],[1]Data!$D$2:$BB$1084,31,)</f>
        <v>2</v>
      </c>
      <c r="Z91">
        <v>8</v>
      </c>
      <c r="AA91" t="s">
        <v>2596</v>
      </c>
      <c r="AB91" t="s">
        <v>2598</v>
      </c>
      <c r="AC91" t="s">
        <v>2596</v>
      </c>
      <c r="AD91" t="s">
        <v>2596</v>
      </c>
      <c r="AE91" t="s">
        <v>2596</v>
      </c>
      <c r="AF91" t="s">
        <v>2596</v>
      </c>
      <c r="AG91" t="s">
        <v>2596</v>
      </c>
      <c r="AH91" t="s">
        <v>2596</v>
      </c>
    </row>
    <row r="92" spans="1:34" x14ac:dyDescent="0.25">
      <c r="A92" s="111" t="str">
        <f>HYPERLINK("http://www.ofsted.gov.uk/inspection-reports/find-inspection-report/provider/ELS/103111 ","Ofsted School Webpage")</f>
        <v>Ofsted School Webpage</v>
      </c>
      <c r="B92">
        <v>103111</v>
      </c>
      <c r="C92">
        <v>3096005</v>
      </c>
      <c r="D92" t="s">
        <v>1692</v>
      </c>
      <c r="E92" t="s">
        <v>36</v>
      </c>
      <c r="F92" t="s">
        <v>142</v>
      </c>
      <c r="G92" t="s">
        <v>644</v>
      </c>
      <c r="H92" t="s">
        <v>2595</v>
      </c>
      <c r="I92" t="s">
        <v>2596</v>
      </c>
      <c r="J92" t="s">
        <v>143</v>
      </c>
      <c r="K92" t="s">
        <v>189</v>
      </c>
      <c r="L92" t="s">
        <v>189</v>
      </c>
      <c r="M92" t="s">
        <v>650</v>
      </c>
      <c r="N92" t="s">
        <v>1693</v>
      </c>
      <c r="O92">
        <v>10020784</v>
      </c>
      <c r="P92" s="108">
        <v>42759</v>
      </c>
      <c r="Q92" s="108">
        <v>42761</v>
      </c>
      <c r="R92" s="108">
        <v>42816</v>
      </c>
      <c r="S92" t="s">
        <v>153</v>
      </c>
      <c r="T92">
        <v>3</v>
      </c>
      <c r="U92" t="s">
        <v>123</v>
      </c>
      <c r="V92">
        <v>3</v>
      </c>
      <c r="W92">
        <v>2</v>
      </c>
      <c r="X92">
        <v>3</v>
      </c>
      <c r="Y92">
        <f>VLOOKUP(Table_clu7sql1_ssdb_REPORT_vw_IE_External_MI_SON[[#This Row],[URN]],[1]Data!$D$2:$BB$1084,31,)</f>
        <v>3</v>
      </c>
      <c r="Z92">
        <v>1</v>
      </c>
      <c r="AA92" t="s">
        <v>2596</v>
      </c>
      <c r="AB92" t="s">
        <v>2598</v>
      </c>
      <c r="AC92" t="s">
        <v>2596</v>
      </c>
      <c r="AD92" t="s">
        <v>2596</v>
      </c>
      <c r="AE92" s="108" t="s">
        <v>2596</v>
      </c>
      <c r="AF92" t="s">
        <v>2596</v>
      </c>
      <c r="AG92" s="108" t="s">
        <v>2596</v>
      </c>
      <c r="AH92" t="s">
        <v>2596</v>
      </c>
    </row>
    <row r="93" spans="1:34" x14ac:dyDescent="0.25">
      <c r="A93" s="111" t="str">
        <f>HYPERLINK("http://www.ofsted.gov.uk/inspection-reports/find-inspection-report/provider/ELS/103573 ","Ofsted School Webpage")</f>
        <v>Ofsted School Webpage</v>
      </c>
      <c r="B93">
        <v>103573</v>
      </c>
      <c r="C93">
        <v>3306048</v>
      </c>
      <c r="D93" t="s">
        <v>2297</v>
      </c>
      <c r="E93" t="s">
        <v>36</v>
      </c>
      <c r="F93" t="s">
        <v>142</v>
      </c>
      <c r="G93" t="s">
        <v>142</v>
      </c>
      <c r="H93" t="s">
        <v>2595</v>
      </c>
      <c r="I93" t="s">
        <v>2596</v>
      </c>
      <c r="J93" t="s">
        <v>143</v>
      </c>
      <c r="K93" t="s">
        <v>150</v>
      </c>
      <c r="L93" t="s">
        <v>150</v>
      </c>
      <c r="M93" t="s">
        <v>167</v>
      </c>
      <c r="N93" t="s">
        <v>2298</v>
      </c>
      <c r="O93">
        <v>10020734</v>
      </c>
      <c r="P93" s="108">
        <v>43046</v>
      </c>
      <c r="Q93" s="108">
        <v>43048</v>
      </c>
      <c r="R93" s="108">
        <v>43139</v>
      </c>
      <c r="S93" t="s">
        <v>153</v>
      </c>
      <c r="T93">
        <v>2</v>
      </c>
      <c r="U93" t="s">
        <v>123</v>
      </c>
      <c r="V93">
        <v>2</v>
      </c>
      <c r="W93">
        <v>1</v>
      </c>
      <c r="X93">
        <v>2</v>
      </c>
      <c r="Y93">
        <f>VLOOKUP(Table_clu7sql1_ssdb_REPORT_vw_IE_External_MI_SON[[#This Row],[URN]],[1]Data!$D$2:$BB$1084,31,)</f>
        <v>2</v>
      </c>
      <c r="Z93">
        <v>2</v>
      </c>
      <c r="AA93" t="s">
        <v>2596</v>
      </c>
      <c r="AB93" t="s">
        <v>2598</v>
      </c>
      <c r="AC93" t="s">
        <v>2596</v>
      </c>
      <c r="AD93" t="s">
        <v>2596</v>
      </c>
      <c r="AE93" t="s">
        <v>2596</v>
      </c>
      <c r="AF93" t="s">
        <v>2596</v>
      </c>
      <c r="AG93" t="s">
        <v>2596</v>
      </c>
      <c r="AH93" t="s">
        <v>2596</v>
      </c>
    </row>
    <row r="94" spans="1:34" x14ac:dyDescent="0.25">
      <c r="A94" s="111" t="str">
        <f>HYPERLINK("http://www.ofsted.gov.uk/inspection-reports/find-inspection-report/provider/ELS/103578 ","Ofsted School Webpage")</f>
        <v>Ofsted School Webpage</v>
      </c>
      <c r="B94">
        <v>103578</v>
      </c>
      <c r="C94">
        <v>3306064</v>
      </c>
      <c r="D94" t="s">
        <v>2115</v>
      </c>
      <c r="E94" t="s">
        <v>36</v>
      </c>
      <c r="F94" t="s">
        <v>142</v>
      </c>
      <c r="G94" t="s">
        <v>142</v>
      </c>
      <c r="H94" t="s">
        <v>2595</v>
      </c>
      <c r="I94" t="s">
        <v>2596</v>
      </c>
      <c r="J94" t="s">
        <v>143</v>
      </c>
      <c r="K94" t="s">
        <v>150</v>
      </c>
      <c r="L94" t="s">
        <v>150</v>
      </c>
      <c r="M94" t="s">
        <v>167</v>
      </c>
      <c r="N94" t="s">
        <v>2116</v>
      </c>
      <c r="O94">
        <v>10020746</v>
      </c>
      <c r="P94" s="108">
        <v>42899</v>
      </c>
      <c r="Q94" s="108">
        <v>42901</v>
      </c>
      <c r="R94" s="108">
        <v>42927</v>
      </c>
      <c r="S94" t="s">
        <v>153</v>
      </c>
      <c r="T94">
        <v>3</v>
      </c>
      <c r="U94" t="s">
        <v>123</v>
      </c>
      <c r="V94">
        <v>3</v>
      </c>
      <c r="W94">
        <v>2</v>
      </c>
      <c r="X94">
        <v>3</v>
      </c>
      <c r="Y94">
        <f>VLOOKUP(Table_clu7sql1_ssdb_REPORT_vw_IE_External_MI_SON[[#This Row],[URN]],[1]Data!$D$2:$BB$1084,31,)</f>
        <v>3</v>
      </c>
      <c r="Z94">
        <v>2</v>
      </c>
      <c r="AA94" t="s">
        <v>2596</v>
      </c>
      <c r="AB94" t="s">
        <v>2599</v>
      </c>
      <c r="AC94">
        <v>10044187</v>
      </c>
      <c r="AD94" t="s">
        <v>144</v>
      </c>
      <c r="AE94" s="108">
        <v>43144</v>
      </c>
      <c r="AF94" t="s">
        <v>2636</v>
      </c>
      <c r="AG94" s="108">
        <v>43171</v>
      </c>
      <c r="AH94" t="s">
        <v>174</v>
      </c>
    </row>
    <row r="95" spans="1:34" x14ac:dyDescent="0.25">
      <c r="A95" s="111" t="str">
        <f>HYPERLINK("http://www.ofsted.gov.uk/inspection-reports/find-inspection-report/provider/ELS/103586 ","Ofsted School Webpage")</f>
        <v>Ofsted School Webpage</v>
      </c>
      <c r="B95">
        <v>103586</v>
      </c>
      <c r="C95">
        <v>3306078</v>
      </c>
      <c r="D95" t="s">
        <v>359</v>
      </c>
      <c r="E95" t="s">
        <v>36</v>
      </c>
      <c r="F95" t="s">
        <v>142</v>
      </c>
      <c r="G95" t="s">
        <v>180</v>
      </c>
      <c r="H95" t="s">
        <v>2595</v>
      </c>
      <c r="I95" t="s">
        <v>2596</v>
      </c>
      <c r="J95" t="s">
        <v>143</v>
      </c>
      <c r="K95" t="s">
        <v>150</v>
      </c>
      <c r="L95" t="s">
        <v>150</v>
      </c>
      <c r="M95" t="s">
        <v>167</v>
      </c>
      <c r="N95" t="s">
        <v>360</v>
      </c>
      <c r="O95">
        <v>10038825</v>
      </c>
      <c r="P95" s="108">
        <v>42997</v>
      </c>
      <c r="Q95" s="108">
        <v>42999</v>
      </c>
      <c r="R95" s="108">
        <v>43040</v>
      </c>
      <c r="S95" t="s">
        <v>153</v>
      </c>
      <c r="T95">
        <v>2</v>
      </c>
      <c r="U95" t="s">
        <v>123</v>
      </c>
      <c r="V95">
        <v>2</v>
      </c>
      <c r="W95">
        <v>2</v>
      </c>
      <c r="X95">
        <v>2</v>
      </c>
      <c r="Y95">
        <f>VLOOKUP(Table_clu7sql1_ssdb_REPORT_vw_IE_External_MI_SON[[#This Row],[URN]],[1]Data!$D$2:$BB$1084,31,)</f>
        <v>2</v>
      </c>
      <c r="Z95" t="s">
        <v>2596</v>
      </c>
      <c r="AA95" t="s">
        <v>2596</v>
      </c>
      <c r="AB95" t="s">
        <v>2598</v>
      </c>
      <c r="AC95" t="s">
        <v>2596</v>
      </c>
      <c r="AD95" t="s">
        <v>2596</v>
      </c>
      <c r="AE95" s="108" t="s">
        <v>2596</v>
      </c>
      <c r="AF95" t="s">
        <v>2596</v>
      </c>
      <c r="AG95" s="108" t="s">
        <v>2596</v>
      </c>
      <c r="AH95" t="s">
        <v>2596</v>
      </c>
    </row>
    <row r="96" spans="1:34" x14ac:dyDescent="0.25">
      <c r="A96" s="111" t="str">
        <f>HYPERLINK("http://www.ofsted.gov.uk/inspection-reports/find-inspection-report/provider/ELS/103587 ","Ofsted School Webpage")</f>
        <v>Ofsted School Webpage</v>
      </c>
      <c r="B96">
        <v>103587</v>
      </c>
      <c r="C96">
        <v>3306079</v>
      </c>
      <c r="D96" t="s">
        <v>672</v>
      </c>
      <c r="E96" t="s">
        <v>36</v>
      </c>
      <c r="F96" t="s">
        <v>142</v>
      </c>
      <c r="G96" t="s">
        <v>142</v>
      </c>
      <c r="H96" t="s">
        <v>2595</v>
      </c>
      <c r="I96" t="s">
        <v>2596</v>
      </c>
      <c r="J96" t="s">
        <v>143</v>
      </c>
      <c r="K96" t="s">
        <v>150</v>
      </c>
      <c r="L96" t="s">
        <v>150</v>
      </c>
      <c r="M96" t="s">
        <v>167</v>
      </c>
      <c r="N96" t="s">
        <v>673</v>
      </c>
      <c r="O96" t="s">
        <v>674</v>
      </c>
      <c r="P96" s="108">
        <v>41906</v>
      </c>
      <c r="Q96" s="108">
        <v>41908</v>
      </c>
      <c r="R96" s="108">
        <v>41929</v>
      </c>
      <c r="S96" t="s">
        <v>153</v>
      </c>
      <c r="T96">
        <v>1</v>
      </c>
      <c r="U96" t="s">
        <v>2596</v>
      </c>
      <c r="V96">
        <v>1</v>
      </c>
      <c r="W96" t="s">
        <v>2596</v>
      </c>
      <c r="X96">
        <v>1</v>
      </c>
      <c r="Y96">
        <f>VLOOKUP(Table_clu7sql1_ssdb_REPORT_vw_IE_External_MI_SON[[#This Row],[URN]],[1]Data!$D$2:$BB$1084,31,)</f>
        <v>1</v>
      </c>
      <c r="Z96" t="s">
        <v>2596</v>
      </c>
      <c r="AA96" t="s">
        <v>2596</v>
      </c>
      <c r="AB96" t="s">
        <v>2598</v>
      </c>
      <c r="AC96" t="s">
        <v>2596</v>
      </c>
      <c r="AD96" t="s">
        <v>2596</v>
      </c>
      <c r="AE96" s="108" t="s">
        <v>2596</v>
      </c>
      <c r="AF96" t="s">
        <v>2596</v>
      </c>
      <c r="AG96" s="108" t="s">
        <v>2596</v>
      </c>
      <c r="AH96" t="s">
        <v>2596</v>
      </c>
    </row>
    <row r="97" spans="1:34" x14ac:dyDescent="0.25">
      <c r="A97" s="111" t="str">
        <f>HYPERLINK("http://www.ofsted.gov.uk/inspection-reports/find-inspection-report/provider/ELS/103588 ","Ofsted School Webpage")</f>
        <v>Ofsted School Webpage</v>
      </c>
      <c r="B97">
        <v>103588</v>
      </c>
      <c r="C97">
        <v>3306080</v>
      </c>
      <c r="D97" t="s">
        <v>858</v>
      </c>
      <c r="E97" t="s">
        <v>37</v>
      </c>
      <c r="F97" t="s">
        <v>142</v>
      </c>
      <c r="G97" t="s">
        <v>142</v>
      </c>
      <c r="H97" t="s">
        <v>2595</v>
      </c>
      <c r="I97" t="s">
        <v>2596</v>
      </c>
      <c r="J97" t="s">
        <v>143</v>
      </c>
      <c r="K97" t="s">
        <v>150</v>
      </c>
      <c r="L97" t="s">
        <v>150</v>
      </c>
      <c r="M97" t="s">
        <v>167</v>
      </c>
      <c r="N97" t="s">
        <v>859</v>
      </c>
      <c r="O97">
        <v>10012864</v>
      </c>
      <c r="P97" s="108">
        <v>42514</v>
      </c>
      <c r="Q97" s="108">
        <v>42516</v>
      </c>
      <c r="R97" s="108">
        <v>42569</v>
      </c>
      <c r="S97" t="s">
        <v>153</v>
      </c>
      <c r="T97">
        <v>1</v>
      </c>
      <c r="U97" t="s">
        <v>123</v>
      </c>
      <c r="V97">
        <v>1</v>
      </c>
      <c r="W97">
        <v>1</v>
      </c>
      <c r="X97">
        <v>1</v>
      </c>
      <c r="Y97">
        <f>VLOOKUP(Table_clu7sql1_ssdb_REPORT_vw_IE_External_MI_SON[[#This Row],[URN]],[1]Data!$D$2:$BB$1084,31,)</f>
        <v>1</v>
      </c>
      <c r="Z97">
        <v>1</v>
      </c>
      <c r="AA97" t="s">
        <v>2596</v>
      </c>
      <c r="AB97" t="s">
        <v>2598</v>
      </c>
      <c r="AC97" t="s">
        <v>2596</v>
      </c>
      <c r="AD97" t="s">
        <v>2596</v>
      </c>
      <c r="AE97" t="s">
        <v>2596</v>
      </c>
      <c r="AF97" t="s">
        <v>2596</v>
      </c>
      <c r="AG97" t="s">
        <v>2596</v>
      </c>
      <c r="AH97" t="s">
        <v>2596</v>
      </c>
    </row>
    <row r="98" spans="1:34" x14ac:dyDescent="0.25">
      <c r="A98" s="111" t="str">
        <f>HYPERLINK("http://www.ofsted.gov.uk/inspection-reports/find-inspection-report/provider/ELS/103591 ","Ofsted School Webpage")</f>
        <v>Ofsted School Webpage</v>
      </c>
      <c r="B98">
        <v>103591</v>
      </c>
      <c r="C98">
        <v>3306083</v>
      </c>
      <c r="D98" t="s">
        <v>1536</v>
      </c>
      <c r="E98" t="s">
        <v>36</v>
      </c>
      <c r="F98" t="s">
        <v>142</v>
      </c>
      <c r="G98" t="s">
        <v>180</v>
      </c>
      <c r="H98" t="s">
        <v>2595</v>
      </c>
      <c r="I98" t="s">
        <v>2596</v>
      </c>
      <c r="J98" t="s">
        <v>143</v>
      </c>
      <c r="K98" t="s">
        <v>150</v>
      </c>
      <c r="L98" t="s">
        <v>150</v>
      </c>
      <c r="M98" t="s">
        <v>167</v>
      </c>
      <c r="N98" t="s">
        <v>1537</v>
      </c>
      <c r="O98" t="s">
        <v>2596</v>
      </c>
      <c r="P98" s="108" t="s">
        <v>2596</v>
      </c>
      <c r="Q98" s="108" t="s">
        <v>2596</v>
      </c>
      <c r="R98" s="108" t="s">
        <v>2596</v>
      </c>
      <c r="S98" t="s">
        <v>2596</v>
      </c>
      <c r="T98" t="s">
        <v>2596</v>
      </c>
      <c r="U98" t="s">
        <v>2596</v>
      </c>
      <c r="V98" t="s">
        <v>2596</v>
      </c>
      <c r="W98" t="s">
        <v>2596</v>
      </c>
      <c r="X98" t="s">
        <v>2596</v>
      </c>
      <c r="Y98" t="str">
        <f>VLOOKUP(Table_clu7sql1_ssdb_REPORT_vw_IE_External_MI_SON[[#This Row],[URN]],[1]Data!$D$2:$BB$1084,31,)</f>
        <v>NULL</v>
      </c>
      <c r="Z98" t="s">
        <v>2596</v>
      </c>
      <c r="AA98" t="s">
        <v>2596</v>
      </c>
      <c r="AB98" t="s">
        <v>2596</v>
      </c>
      <c r="AC98" t="s">
        <v>2596</v>
      </c>
      <c r="AD98" t="s">
        <v>2596</v>
      </c>
      <c r="AE98" t="s">
        <v>2596</v>
      </c>
      <c r="AF98" t="s">
        <v>2596</v>
      </c>
      <c r="AG98" t="s">
        <v>2596</v>
      </c>
      <c r="AH98" t="s">
        <v>2596</v>
      </c>
    </row>
    <row r="99" spans="1:34" x14ac:dyDescent="0.25">
      <c r="A99" s="111" t="str">
        <f>HYPERLINK("http://www.ofsted.gov.uk/inspection-reports/find-inspection-report/provider/ELS/103595 ","Ofsted School Webpage")</f>
        <v>Ofsted School Webpage</v>
      </c>
      <c r="B99">
        <v>103595</v>
      </c>
      <c r="C99">
        <v>3306088</v>
      </c>
      <c r="D99" t="s">
        <v>1424</v>
      </c>
      <c r="E99" t="s">
        <v>36</v>
      </c>
      <c r="F99" t="s">
        <v>142</v>
      </c>
      <c r="G99" t="s">
        <v>180</v>
      </c>
      <c r="H99" t="s">
        <v>2595</v>
      </c>
      <c r="I99" t="s">
        <v>2596</v>
      </c>
      <c r="J99" t="s">
        <v>143</v>
      </c>
      <c r="K99" t="s">
        <v>150</v>
      </c>
      <c r="L99" t="s">
        <v>150</v>
      </c>
      <c r="M99" t="s">
        <v>167</v>
      </c>
      <c r="N99" t="s">
        <v>1425</v>
      </c>
      <c r="O99">
        <v>10020735</v>
      </c>
      <c r="P99" s="108">
        <v>42878</v>
      </c>
      <c r="Q99" s="108">
        <v>42880</v>
      </c>
      <c r="R99" s="108">
        <v>42907</v>
      </c>
      <c r="S99" t="s">
        <v>153</v>
      </c>
      <c r="T99">
        <v>2</v>
      </c>
      <c r="U99" t="s">
        <v>123</v>
      </c>
      <c r="V99">
        <v>2</v>
      </c>
      <c r="W99">
        <v>2</v>
      </c>
      <c r="X99">
        <v>2</v>
      </c>
      <c r="Y99">
        <f>VLOOKUP(Table_clu7sql1_ssdb_REPORT_vw_IE_External_MI_SON[[#This Row],[URN]],[1]Data!$D$2:$BB$1084,31,)</f>
        <v>2</v>
      </c>
      <c r="Z99" t="s">
        <v>2596</v>
      </c>
      <c r="AA99" t="s">
        <v>2596</v>
      </c>
      <c r="AB99" t="s">
        <v>2598</v>
      </c>
      <c r="AC99" t="s">
        <v>2596</v>
      </c>
      <c r="AD99" t="s">
        <v>2596</v>
      </c>
      <c r="AE99" t="s">
        <v>2596</v>
      </c>
      <c r="AF99" t="s">
        <v>2596</v>
      </c>
      <c r="AG99" t="s">
        <v>2596</v>
      </c>
      <c r="AH99" t="s">
        <v>2596</v>
      </c>
    </row>
    <row r="100" spans="1:34" x14ac:dyDescent="0.25">
      <c r="A100" s="111" t="str">
        <f>HYPERLINK("http://www.ofsted.gov.uk/inspection-reports/find-inspection-report/provider/ELS/103753 ","Ofsted School Webpage")</f>
        <v>Ofsted School Webpage</v>
      </c>
      <c r="B100">
        <v>103753</v>
      </c>
      <c r="C100">
        <v>3316022</v>
      </c>
      <c r="D100" t="s">
        <v>414</v>
      </c>
      <c r="E100" t="s">
        <v>36</v>
      </c>
      <c r="F100" t="s">
        <v>261</v>
      </c>
      <c r="G100" t="s">
        <v>180</v>
      </c>
      <c r="H100" t="s">
        <v>2595</v>
      </c>
      <c r="I100" t="s">
        <v>2596</v>
      </c>
      <c r="J100" t="s">
        <v>143</v>
      </c>
      <c r="K100" t="s">
        <v>150</v>
      </c>
      <c r="L100" t="s">
        <v>150</v>
      </c>
      <c r="M100" t="s">
        <v>415</v>
      </c>
      <c r="N100" t="s">
        <v>416</v>
      </c>
      <c r="O100">
        <v>10038826</v>
      </c>
      <c r="P100" s="108">
        <v>43018</v>
      </c>
      <c r="Q100" s="108">
        <v>43020</v>
      </c>
      <c r="R100" s="108">
        <v>43059</v>
      </c>
      <c r="S100" t="s">
        <v>153</v>
      </c>
      <c r="T100">
        <v>3</v>
      </c>
      <c r="U100" t="s">
        <v>123</v>
      </c>
      <c r="V100">
        <v>2</v>
      </c>
      <c r="W100">
        <v>2</v>
      </c>
      <c r="X100">
        <v>3</v>
      </c>
      <c r="Y100">
        <f>VLOOKUP(Table_clu7sql1_ssdb_REPORT_vw_IE_External_MI_SON[[#This Row],[URN]],[1]Data!$D$2:$BB$1084,31,)</f>
        <v>3</v>
      </c>
      <c r="Z100">
        <v>2</v>
      </c>
      <c r="AA100" t="s">
        <v>2596</v>
      </c>
      <c r="AB100" t="s">
        <v>2598</v>
      </c>
      <c r="AC100" t="s">
        <v>2596</v>
      </c>
      <c r="AD100" t="s">
        <v>2596</v>
      </c>
      <c r="AE100" t="s">
        <v>2596</v>
      </c>
      <c r="AF100" t="s">
        <v>2596</v>
      </c>
      <c r="AG100" t="s">
        <v>2596</v>
      </c>
      <c r="AH100" t="s">
        <v>2596</v>
      </c>
    </row>
    <row r="101" spans="1:34" x14ac:dyDescent="0.25">
      <c r="A101" s="111" t="str">
        <f>HYPERLINK("http://www.ofsted.gov.uk/inspection-reports/find-inspection-report/provider/ELS/104128 ","Ofsted School Webpage")</f>
        <v>Ofsted School Webpage</v>
      </c>
      <c r="B101">
        <v>104128</v>
      </c>
      <c r="C101">
        <v>3346009</v>
      </c>
      <c r="D101" t="s">
        <v>1648</v>
      </c>
      <c r="E101" t="s">
        <v>36</v>
      </c>
      <c r="F101" t="s">
        <v>142</v>
      </c>
      <c r="G101" t="s">
        <v>142</v>
      </c>
      <c r="H101" t="s">
        <v>2595</v>
      </c>
      <c r="I101" t="s">
        <v>2596</v>
      </c>
      <c r="J101" t="s">
        <v>143</v>
      </c>
      <c r="K101" t="s">
        <v>150</v>
      </c>
      <c r="L101" t="s">
        <v>150</v>
      </c>
      <c r="M101" t="s">
        <v>1649</v>
      </c>
      <c r="N101" t="s">
        <v>1650</v>
      </c>
      <c r="O101" t="s">
        <v>1651</v>
      </c>
      <c r="P101" s="108">
        <v>41822</v>
      </c>
      <c r="Q101" s="108">
        <v>41824</v>
      </c>
      <c r="R101" s="108">
        <v>41897</v>
      </c>
      <c r="S101" t="s">
        <v>153</v>
      </c>
      <c r="T101">
        <v>1</v>
      </c>
      <c r="U101" t="s">
        <v>2596</v>
      </c>
      <c r="V101">
        <v>1</v>
      </c>
      <c r="W101" t="s">
        <v>2596</v>
      </c>
      <c r="X101">
        <v>1</v>
      </c>
      <c r="Y101">
        <f>VLOOKUP(Table_clu7sql1_ssdb_REPORT_vw_IE_External_MI_SON[[#This Row],[URN]],[1]Data!$D$2:$BB$1084,31,)</f>
        <v>1</v>
      </c>
      <c r="Z101" t="s">
        <v>2596</v>
      </c>
      <c r="AA101" t="s">
        <v>2596</v>
      </c>
      <c r="AB101" t="s">
        <v>2598</v>
      </c>
      <c r="AC101" t="s">
        <v>2596</v>
      </c>
      <c r="AD101" t="s">
        <v>2596</v>
      </c>
      <c r="AE101" s="108" t="s">
        <v>2596</v>
      </c>
      <c r="AF101" t="s">
        <v>2596</v>
      </c>
      <c r="AG101" s="108" t="s">
        <v>2596</v>
      </c>
      <c r="AH101" t="s">
        <v>2596</v>
      </c>
    </row>
    <row r="102" spans="1:34" x14ac:dyDescent="0.25">
      <c r="A102" s="111" t="str">
        <f>HYPERLINK("http://www.ofsted.gov.uk/inspection-reports/find-inspection-report/provider/ELS/104267 ","Ofsted School Webpage")</f>
        <v>Ofsted School Webpage</v>
      </c>
      <c r="B102">
        <v>104267</v>
      </c>
      <c r="C102">
        <v>3356008</v>
      </c>
      <c r="D102" t="s">
        <v>1971</v>
      </c>
      <c r="E102" t="s">
        <v>36</v>
      </c>
      <c r="F102" t="s">
        <v>142</v>
      </c>
      <c r="G102" t="s">
        <v>180</v>
      </c>
      <c r="H102" t="s">
        <v>2595</v>
      </c>
      <c r="I102" t="s">
        <v>2596</v>
      </c>
      <c r="J102" t="s">
        <v>143</v>
      </c>
      <c r="K102" t="s">
        <v>150</v>
      </c>
      <c r="L102" t="s">
        <v>150</v>
      </c>
      <c r="M102" t="s">
        <v>1452</v>
      </c>
      <c r="N102" t="s">
        <v>1972</v>
      </c>
      <c r="O102">
        <v>10007690</v>
      </c>
      <c r="P102" s="108">
        <v>42276</v>
      </c>
      <c r="Q102" s="108">
        <v>42278</v>
      </c>
      <c r="R102" s="108">
        <v>42326</v>
      </c>
      <c r="S102" t="s">
        <v>153</v>
      </c>
      <c r="T102">
        <v>4</v>
      </c>
      <c r="U102" t="s">
        <v>124</v>
      </c>
      <c r="V102">
        <v>4</v>
      </c>
      <c r="W102">
        <v>4</v>
      </c>
      <c r="X102">
        <v>4</v>
      </c>
      <c r="Y102">
        <f>VLOOKUP(Table_clu7sql1_ssdb_REPORT_vw_IE_External_MI_SON[[#This Row],[URN]],[1]Data!$D$2:$BB$1084,31,)</f>
        <v>4</v>
      </c>
      <c r="Z102">
        <v>4</v>
      </c>
      <c r="AA102" t="s">
        <v>2596</v>
      </c>
      <c r="AB102" t="s">
        <v>2599</v>
      </c>
      <c r="AC102">
        <v>10025654</v>
      </c>
      <c r="AD102" t="s">
        <v>144</v>
      </c>
      <c r="AE102" s="108">
        <v>42661</v>
      </c>
      <c r="AF102" t="s">
        <v>2634</v>
      </c>
      <c r="AG102" s="108">
        <v>42705</v>
      </c>
      <c r="AH102" t="s">
        <v>146</v>
      </c>
    </row>
    <row r="103" spans="1:34" x14ac:dyDescent="0.25">
      <c r="A103" s="111" t="str">
        <f>HYPERLINK("http://www.ofsted.gov.uk/inspection-reports/find-inspection-report/provider/ELS/104730 ","Ofsted School Webpage")</f>
        <v>Ofsted School Webpage</v>
      </c>
      <c r="B103">
        <v>104730</v>
      </c>
      <c r="C103">
        <v>3416040</v>
      </c>
      <c r="D103" t="s">
        <v>626</v>
      </c>
      <c r="E103" t="s">
        <v>36</v>
      </c>
      <c r="F103" t="s">
        <v>169</v>
      </c>
      <c r="G103" t="s">
        <v>169</v>
      </c>
      <c r="H103" t="s">
        <v>2595</v>
      </c>
      <c r="I103" t="s">
        <v>2596</v>
      </c>
      <c r="J103" t="s">
        <v>143</v>
      </c>
      <c r="K103" t="s">
        <v>162</v>
      </c>
      <c r="L103" t="s">
        <v>162</v>
      </c>
      <c r="M103" t="s">
        <v>611</v>
      </c>
      <c r="N103" t="s">
        <v>627</v>
      </c>
      <c r="O103">
        <v>10020913</v>
      </c>
      <c r="P103" s="108">
        <v>42780</v>
      </c>
      <c r="Q103" s="108">
        <v>42782</v>
      </c>
      <c r="R103" s="108">
        <v>42880</v>
      </c>
      <c r="S103" t="s">
        <v>153</v>
      </c>
      <c r="T103">
        <v>2</v>
      </c>
      <c r="U103" t="s">
        <v>123</v>
      </c>
      <c r="V103">
        <v>2</v>
      </c>
      <c r="W103">
        <v>1</v>
      </c>
      <c r="X103">
        <v>2</v>
      </c>
      <c r="Y103">
        <f>VLOOKUP(Table_clu7sql1_ssdb_REPORT_vw_IE_External_MI_SON[[#This Row],[URN]],[1]Data!$D$2:$BB$1084,31,)</f>
        <v>2</v>
      </c>
      <c r="Z103">
        <v>2</v>
      </c>
      <c r="AA103" t="s">
        <v>2596</v>
      </c>
      <c r="AB103" t="s">
        <v>2598</v>
      </c>
      <c r="AC103" t="s">
        <v>2596</v>
      </c>
      <c r="AD103" t="s">
        <v>2596</v>
      </c>
      <c r="AE103" s="108" t="s">
        <v>2596</v>
      </c>
      <c r="AF103" t="s">
        <v>2596</v>
      </c>
      <c r="AG103" s="108" t="s">
        <v>2596</v>
      </c>
      <c r="AH103" t="s">
        <v>2596</v>
      </c>
    </row>
    <row r="104" spans="1:34" x14ac:dyDescent="0.25">
      <c r="A104" s="111" t="str">
        <f>HYPERLINK("http://www.ofsted.gov.uk/inspection-reports/find-inspection-report/provider/ELS/104839 ","Ofsted School Webpage")</f>
        <v>Ofsted School Webpage</v>
      </c>
      <c r="B104">
        <v>104839</v>
      </c>
      <c r="C104">
        <v>3426004</v>
      </c>
      <c r="D104" t="s">
        <v>989</v>
      </c>
      <c r="E104" t="s">
        <v>37</v>
      </c>
      <c r="F104" t="s">
        <v>142</v>
      </c>
      <c r="G104" t="s">
        <v>142</v>
      </c>
      <c r="H104" t="s">
        <v>2595</v>
      </c>
      <c r="I104" t="s">
        <v>2596</v>
      </c>
      <c r="J104" t="s">
        <v>143</v>
      </c>
      <c r="K104" t="s">
        <v>162</v>
      </c>
      <c r="L104" t="s">
        <v>162</v>
      </c>
      <c r="M104" t="s">
        <v>770</v>
      </c>
      <c r="N104" t="s">
        <v>990</v>
      </c>
      <c r="O104">
        <v>10008860</v>
      </c>
      <c r="P104" s="108">
        <v>42920</v>
      </c>
      <c r="Q104" s="108">
        <v>42922</v>
      </c>
      <c r="R104" s="108">
        <v>42989</v>
      </c>
      <c r="S104" t="s">
        <v>3005</v>
      </c>
      <c r="T104">
        <v>2</v>
      </c>
      <c r="U104" t="s">
        <v>123</v>
      </c>
      <c r="V104">
        <v>2</v>
      </c>
      <c r="W104">
        <v>2</v>
      </c>
      <c r="X104">
        <v>2</v>
      </c>
      <c r="Y104">
        <f>VLOOKUP(Table_clu7sql1_ssdb_REPORT_vw_IE_External_MI_SON[[#This Row],[URN]],[1]Data!$D$2:$BB$1084,31,)</f>
        <v>2</v>
      </c>
      <c r="Z104" t="s">
        <v>2596</v>
      </c>
      <c r="AA104">
        <v>2</v>
      </c>
      <c r="AB104" t="s">
        <v>2598</v>
      </c>
      <c r="AC104" t="s">
        <v>2596</v>
      </c>
      <c r="AD104" t="s">
        <v>2596</v>
      </c>
      <c r="AE104" s="108" t="s">
        <v>2596</v>
      </c>
      <c r="AF104" t="s">
        <v>2596</v>
      </c>
      <c r="AG104" s="108" t="s">
        <v>2596</v>
      </c>
      <c r="AH104" t="s">
        <v>2596</v>
      </c>
    </row>
    <row r="105" spans="1:34" x14ac:dyDescent="0.25">
      <c r="A105" s="111" t="str">
        <f>HYPERLINK("http://www.ofsted.gov.uk/inspection-reports/find-inspection-report/provider/ELS/104966 ","Ofsted School Webpage")</f>
        <v>Ofsted School Webpage</v>
      </c>
      <c r="B105">
        <v>104966</v>
      </c>
      <c r="C105">
        <v>3436001</v>
      </c>
      <c r="D105" t="s">
        <v>710</v>
      </c>
      <c r="E105" t="s">
        <v>36</v>
      </c>
      <c r="F105" t="s">
        <v>142</v>
      </c>
      <c r="G105" t="s">
        <v>142</v>
      </c>
      <c r="H105" t="s">
        <v>2595</v>
      </c>
      <c r="I105" t="s">
        <v>2596</v>
      </c>
      <c r="J105" t="s">
        <v>143</v>
      </c>
      <c r="K105" t="s">
        <v>162</v>
      </c>
      <c r="L105" t="s">
        <v>162</v>
      </c>
      <c r="M105" t="s">
        <v>711</v>
      </c>
      <c r="N105" t="s">
        <v>712</v>
      </c>
      <c r="O105">
        <v>10020917</v>
      </c>
      <c r="P105" s="108">
        <v>42759</v>
      </c>
      <c r="Q105" s="108">
        <v>42761</v>
      </c>
      <c r="R105" s="108">
        <v>42780</v>
      </c>
      <c r="S105" t="s">
        <v>153</v>
      </c>
      <c r="T105">
        <v>3</v>
      </c>
      <c r="U105" t="s">
        <v>123</v>
      </c>
      <c r="V105">
        <v>3</v>
      </c>
      <c r="W105">
        <v>2</v>
      </c>
      <c r="X105">
        <v>3</v>
      </c>
      <c r="Y105">
        <f>VLOOKUP(Table_clu7sql1_ssdb_REPORT_vw_IE_External_MI_SON[[#This Row],[URN]],[1]Data!$D$2:$BB$1084,31,)</f>
        <v>3</v>
      </c>
      <c r="Z105">
        <v>2</v>
      </c>
      <c r="AA105" t="s">
        <v>2596</v>
      </c>
      <c r="AB105" t="s">
        <v>2598</v>
      </c>
      <c r="AC105" t="s">
        <v>2596</v>
      </c>
      <c r="AD105" t="s">
        <v>2596</v>
      </c>
      <c r="AE105" t="s">
        <v>2596</v>
      </c>
      <c r="AF105" t="s">
        <v>2596</v>
      </c>
      <c r="AG105" t="s">
        <v>2596</v>
      </c>
      <c r="AH105" t="s">
        <v>2596</v>
      </c>
    </row>
    <row r="106" spans="1:34" x14ac:dyDescent="0.25">
      <c r="A106" s="111" t="str">
        <f>HYPERLINK("http://www.ofsted.gov.uk/inspection-reports/find-inspection-report/provider/ELS/104975 ","Ofsted School Webpage")</f>
        <v>Ofsted School Webpage</v>
      </c>
      <c r="B106">
        <v>104975</v>
      </c>
      <c r="C106">
        <v>3436131</v>
      </c>
      <c r="D106" t="s">
        <v>818</v>
      </c>
      <c r="E106" t="s">
        <v>37</v>
      </c>
      <c r="F106" t="s">
        <v>142</v>
      </c>
      <c r="G106" t="s">
        <v>142</v>
      </c>
      <c r="H106" t="s">
        <v>2595</v>
      </c>
      <c r="I106" t="s">
        <v>2596</v>
      </c>
      <c r="J106" t="s">
        <v>143</v>
      </c>
      <c r="K106" t="s">
        <v>162</v>
      </c>
      <c r="L106" t="s">
        <v>162</v>
      </c>
      <c r="M106" t="s">
        <v>711</v>
      </c>
      <c r="N106" t="s">
        <v>819</v>
      </c>
      <c r="O106">
        <v>10008521</v>
      </c>
      <c r="P106" s="108">
        <v>42906</v>
      </c>
      <c r="Q106" s="108">
        <v>42908</v>
      </c>
      <c r="R106" s="108">
        <v>42986</v>
      </c>
      <c r="S106" t="s">
        <v>153</v>
      </c>
      <c r="T106">
        <v>2</v>
      </c>
      <c r="U106" t="s">
        <v>123</v>
      </c>
      <c r="V106">
        <v>2</v>
      </c>
      <c r="W106">
        <v>2</v>
      </c>
      <c r="X106">
        <v>2</v>
      </c>
      <c r="Y106">
        <f>VLOOKUP(Table_clu7sql1_ssdb_REPORT_vw_IE_External_MI_SON[[#This Row],[URN]],[1]Data!$D$2:$BB$1084,31,)</f>
        <v>2</v>
      </c>
      <c r="Z106" t="s">
        <v>2596</v>
      </c>
      <c r="AA106">
        <v>2</v>
      </c>
      <c r="AB106" t="s">
        <v>2598</v>
      </c>
      <c r="AC106" t="s">
        <v>2596</v>
      </c>
      <c r="AD106" t="s">
        <v>2596</v>
      </c>
      <c r="AE106" t="s">
        <v>2596</v>
      </c>
      <c r="AF106" t="s">
        <v>2596</v>
      </c>
      <c r="AG106" t="s">
        <v>2596</v>
      </c>
      <c r="AH106" t="s">
        <v>2596</v>
      </c>
    </row>
    <row r="107" spans="1:34" x14ac:dyDescent="0.25">
      <c r="A107" s="111" t="str">
        <f>HYPERLINK("http://www.ofsted.gov.uk/inspection-reports/find-inspection-report/provider/ELS/105269 ","Ofsted School Webpage")</f>
        <v>Ofsted School Webpage</v>
      </c>
      <c r="B107">
        <v>105269</v>
      </c>
      <c r="C107">
        <v>3506000</v>
      </c>
      <c r="D107" t="s">
        <v>1664</v>
      </c>
      <c r="E107" t="s">
        <v>36</v>
      </c>
      <c r="F107" t="s">
        <v>142</v>
      </c>
      <c r="G107" t="s">
        <v>142</v>
      </c>
      <c r="H107" t="s">
        <v>2595</v>
      </c>
      <c r="I107" t="s">
        <v>2596</v>
      </c>
      <c r="J107" t="s">
        <v>143</v>
      </c>
      <c r="K107" t="s">
        <v>162</v>
      </c>
      <c r="L107" t="s">
        <v>162</v>
      </c>
      <c r="M107" t="s">
        <v>1202</v>
      </c>
      <c r="N107" t="s">
        <v>1665</v>
      </c>
      <c r="O107">
        <v>10012840</v>
      </c>
      <c r="P107" s="108">
        <v>42808</v>
      </c>
      <c r="Q107" s="108">
        <v>42810</v>
      </c>
      <c r="R107" s="108">
        <v>42851</v>
      </c>
      <c r="S107" t="s">
        <v>153</v>
      </c>
      <c r="T107">
        <v>2</v>
      </c>
      <c r="U107" t="s">
        <v>123</v>
      </c>
      <c r="V107">
        <v>2</v>
      </c>
      <c r="W107">
        <v>2</v>
      </c>
      <c r="X107">
        <v>2</v>
      </c>
      <c r="Y107">
        <f>VLOOKUP(Table_clu7sql1_ssdb_REPORT_vw_IE_External_MI_SON[[#This Row],[URN]],[1]Data!$D$2:$BB$1084,31,)</f>
        <v>2</v>
      </c>
      <c r="Z107" t="s">
        <v>2596</v>
      </c>
      <c r="AA107">
        <v>2</v>
      </c>
      <c r="AB107" t="s">
        <v>2598</v>
      </c>
      <c r="AC107" t="s">
        <v>2596</v>
      </c>
      <c r="AD107" t="s">
        <v>2596</v>
      </c>
      <c r="AE107" t="s">
        <v>2596</v>
      </c>
      <c r="AF107" t="s">
        <v>2596</v>
      </c>
      <c r="AG107" t="s">
        <v>2596</v>
      </c>
      <c r="AH107" t="s">
        <v>2596</v>
      </c>
    </row>
    <row r="108" spans="1:34" x14ac:dyDescent="0.25">
      <c r="A108" s="111" t="str">
        <f>HYPERLINK("http://www.ofsted.gov.uk/inspection-reports/find-inspection-report/provider/ELS/105372 ","Ofsted School Webpage")</f>
        <v>Ofsted School Webpage</v>
      </c>
      <c r="B108">
        <v>105372</v>
      </c>
      <c r="C108">
        <v>3516007</v>
      </c>
      <c r="D108" t="s">
        <v>1619</v>
      </c>
      <c r="E108" t="s">
        <v>36</v>
      </c>
      <c r="F108" t="s">
        <v>261</v>
      </c>
      <c r="G108" t="s">
        <v>180</v>
      </c>
      <c r="H108" t="s">
        <v>2595</v>
      </c>
      <c r="I108" t="s">
        <v>2596</v>
      </c>
      <c r="J108" t="s">
        <v>143</v>
      </c>
      <c r="K108" t="s">
        <v>162</v>
      </c>
      <c r="L108" t="s">
        <v>162</v>
      </c>
      <c r="M108" t="s">
        <v>409</v>
      </c>
      <c r="N108" t="s">
        <v>1620</v>
      </c>
      <c r="O108" t="s">
        <v>1621</v>
      </c>
      <c r="P108" s="108">
        <v>41947</v>
      </c>
      <c r="Q108" s="108">
        <v>41949</v>
      </c>
      <c r="R108" s="108">
        <v>41970</v>
      </c>
      <c r="S108" t="s">
        <v>153</v>
      </c>
      <c r="T108">
        <v>1</v>
      </c>
      <c r="U108" t="s">
        <v>2596</v>
      </c>
      <c r="V108">
        <v>1</v>
      </c>
      <c r="W108" t="s">
        <v>2596</v>
      </c>
      <c r="X108">
        <v>1</v>
      </c>
      <c r="Y108">
        <f>VLOOKUP(Table_clu7sql1_ssdb_REPORT_vw_IE_External_MI_SON[[#This Row],[URN]],[1]Data!$D$2:$BB$1084,31,)</f>
        <v>1</v>
      </c>
      <c r="Z108">
        <v>9</v>
      </c>
      <c r="AA108">
        <v>1</v>
      </c>
      <c r="AB108" t="s">
        <v>2598</v>
      </c>
      <c r="AC108" t="s">
        <v>2596</v>
      </c>
      <c r="AD108" t="s">
        <v>2596</v>
      </c>
      <c r="AE108" s="108" t="s">
        <v>2596</v>
      </c>
      <c r="AF108" t="s">
        <v>2596</v>
      </c>
      <c r="AG108" s="108" t="s">
        <v>2596</v>
      </c>
      <c r="AH108" t="s">
        <v>2596</v>
      </c>
    </row>
    <row r="109" spans="1:34" x14ac:dyDescent="0.25">
      <c r="A109" s="111" t="str">
        <f>HYPERLINK("http://www.ofsted.gov.uk/inspection-reports/find-inspection-report/provider/ELS/105585 ","Ofsted School Webpage")</f>
        <v>Ofsted School Webpage</v>
      </c>
      <c r="B109">
        <v>105585</v>
      </c>
      <c r="C109">
        <v>3526001</v>
      </c>
      <c r="D109" t="s">
        <v>2024</v>
      </c>
      <c r="E109" t="s">
        <v>36</v>
      </c>
      <c r="F109" t="s">
        <v>142</v>
      </c>
      <c r="G109" t="s">
        <v>169</v>
      </c>
      <c r="H109" t="s">
        <v>2595</v>
      </c>
      <c r="I109" t="s">
        <v>2596</v>
      </c>
      <c r="J109" t="s">
        <v>143</v>
      </c>
      <c r="K109" t="s">
        <v>162</v>
      </c>
      <c r="L109" t="s">
        <v>162</v>
      </c>
      <c r="M109" t="s">
        <v>263</v>
      </c>
      <c r="N109" t="s">
        <v>2025</v>
      </c>
      <c r="O109" t="s">
        <v>2596</v>
      </c>
      <c r="P109" s="108" t="s">
        <v>2596</v>
      </c>
      <c r="Q109" s="108" t="s">
        <v>2596</v>
      </c>
      <c r="R109" s="108" t="s">
        <v>2596</v>
      </c>
      <c r="S109" t="s">
        <v>2596</v>
      </c>
      <c r="T109" t="s">
        <v>2596</v>
      </c>
      <c r="U109" t="s">
        <v>2596</v>
      </c>
      <c r="V109" t="s">
        <v>2596</v>
      </c>
      <c r="W109" t="s">
        <v>2596</v>
      </c>
      <c r="X109" t="s">
        <v>2596</v>
      </c>
      <c r="Y109" t="str">
        <f>VLOOKUP(Table_clu7sql1_ssdb_REPORT_vw_IE_External_MI_SON[[#This Row],[URN]],[1]Data!$D$2:$BB$1084,31,)</f>
        <v>NULL</v>
      </c>
      <c r="Z109" t="s">
        <v>2596</v>
      </c>
      <c r="AA109" t="s">
        <v>2596</v>
      </c>
      <c r="AB109" t="s">
        <v>2596</v>
      </c>
      <c r="AC109" t="s">
        <v>2596</v>
      </c>
      <c r="AD109" t="s">
        <v>2596</v>
      </c>
      <c r="AE109" t="s">
        <v>2596</v>
      </c>
      <c r="AF109" t="s">
        <v>2596</v>
      </c>
      <c r="AG109" t="s">
        <v>2596</v>
      </c>
      <c r="AH109" t="s">
        <v>2596</v>
      </c>
    </row>
    <row r="110" spans="1:34" x14ac:dyDescent="0.25">
      <c r="A110" s="111" t="str">
        <f>HYPERLINK("http://www.ofsted.gov.uk/inspection-reports/find-inspection-report/provider/ELS/105587 ","Ofsted School Webpage")</f>
        <v>Ofsted School Webpage</v>
      </c>
      <c r="B110">
        <v>105587</v>
      </c>
      <c r="C110">
        <v>3536017</v>
      </c>
      <c r="D110" t="s">
        <v>1626</v>
      </c>
      <c r="E110" t="s">
        <v>36</v>
      </c>
      <c r="F110" t="s">
        <v>142</v>
      </c>
      <c r="G110" t="s">
        <v>397</v>
      </c>
      <c r="H110" t="s">
        <v>2595</v>
      </c>
      <c r="I110" t="s">
        <v>2596</v>
      </c>
      <c r="J110" t="s">
        <v>143</v>
      </c>
      <c r="K110" t="s">
        <v>162</v>
      </c>
      <c r="L110" t="s">
        <v>162</v>
      </c>
      <c r="M110" t="s">
        <v>423</v>
      </c>
      <c r="N110" t="s">
        <v>1627</v>
      </c>
      <c r="O110">
        <v>10012976</v>
      </c>
      <c r="P110" s="108">
        <v>42822</v>
      </c>
      <c r="Q110" s="108">
        <v>42824</v>
      </c>
      <c r="R110" s="108">
        <v>42859</v>
      </c>
      <c r="S110" t="s">
        <v>153</v>
      </c>
      <c r="T110">
        <v>3</v>
      </c>
      <c r="U110" t="s">
        <v>123</v>
      </c>
      <c r="V110">
        <v>3</v>
      </c>
      <c r="W110">
        <v>2</v>
      </c>
      <c r="X110">
        <v>3</v>
      </c>
      <c r="Y110">
        <f>VLOOKUP(Table_clu7sql1_ssdb_REPORT_vw_IE_External_MI_SON[[#This Row],[URN]],[1]Data!$D$2:$BB$1084,31,)</f>
        <v>3</v>
      </c>
      <c r="Z110">
        <v>2</v>
      </c>
      <c r="AA110" t="s">
        <v>2596</v>
      </c>
      <c r="AB110" t="s">
        <v>2598</v>
      </c>
      <c r="AC110" t="s">
        <v>2596</v>
      </c>
      <c r="AD110" t="s">
        <v>2596</v>
      </c>
      <c r="AE110" t="s">
        <v>2596</v>
      </c>
      <c r="AF110" t="s">
        <v>2596</v>
      </c>
      <c r="AG110" t="s">
        <v>2596</v>
      </c>
      <c r="AH110" t="s">
        <v>2596</v>
      </c>
    </row>
    <row r="111" spans="1:34" x14ac:dyDescent="0.25">
      <c r="A111" s="111" t="str">
        <f>HYPERLINK("http://www.ofsted.gov.uk/inspection-reports/find-inspection-report/provider/ELS/105596 ","Ofsted School Webpage")</f>
        <v>Ofsted School Webpage</v>
      </c>
      <c r="B111">
        <v>105596</v>
      </c>
      <c r="C111">
        <v>3526037</v>
      </c>
      <c r="D111" t="s">
        <v>1584</v>
      </c>
      <c r="E111" t="s">
        <v>36</v>
      </c>
      <c r="F111" t="s">
        <v>142</v>
      </c>
      <c r="G111" t="s">
        <v>169</v>
      </c>
      <c r="H111" t="s">
        <v>2595</v>
      </c>
      <c r="I111" t="s">
        <v>2596</v>
      </c>
      <c r="J111" t="s">
        <v>143</v>
      </c>
      <c r="K111" t="s">
        <v>162</v>
      </c>
      <c r="L111" t="s">
        <v>162</v>
      </c>
      <c r="M111" t="s">
        <v>263</v>
      </c>
      <c r="N111" t="s">
        <v>1585</v>
      </c>
      <c r="O111">
        <v>10044719</v>
      </c>
      <c r="P111" s="108">
        <v>43116</v>
      </c>
      <c r="Q111" s="108">
        <v>43118</v>
      </c>
      <c r="R111" s="108">
        <v>43143</v>
      </c>
      <c r="S111" t="s">
        <v>153</v>
      </c>
      <c r="T111">
        <v>3</v>
      </c>
      <c r="U111" t="s">
        <v>123</v>
      </c>
      <c r="V111">
        <v>3</v>
      </c>
      <c r="W111">
        <v>2</v>
      </c>
      <c r="X111">
        <v>3</v>
      </c>
      <c r="Y111">
        <f>VLOOKUP(Table_clu7sql1_ssdb_REPORT_vw_IE_External_MI_SON[[#This Row],[URN]],[1]Data!$D$2:$BB$1084,31,)</f>
        <v>3</v>
      </c>
      <c r="Z111">
        <v>3</v>
      </c>
      <c r="AA111">
        <v>3</v>
      </c>
      <c r="AB111" t="s">
        <v>2598</v>
      </c>
      <c r="AC111" t="s">
        <v>2596</v>
      </c>
      <c r="AD111" t="s">
        <v>2596</v>
      </c>
      <c r="AE111" t="s">
        <v>2596</v>
      </c>
      <c r="AF111" t="s">
        <v>2596</v>
      </c>
      <c r="AG111" t="s">
        <v>2596</v>
      </c>
      <c r="AH111" t="s">
        <v>2596</v>
      </c>
    </row>
    <row r="112" spans="1:34" x14ac:dyDescent="0.25">
      <c r="A112" s="111" t="str">
        <f>HYPERLINK("http://www.ofsted.gov.uk/inspection-reports/find-inspection-report/provider/ELS/105598 ","Ofsted School Webpage")</f>
        <v>Ofsted School Webpage</v>
      </c>
      <c r="B112">
        <v>105598</v>
      </c>
      <c r="C112">
        <v>3526041</v>
      </c>
      <c r="D112" t="s">
        <v>2258</v>
      </c>
      <c r="E112" t="s">
        <v>36</v>
      </c>
      <c r="F112" t="s">
        <v>261</v>
      </c>
      <c r="G112" t="s">
        <v>180</v>
      </c>
      <c r="H112" t="s">
        <v>2595</v>
      </c>
      <c r="I112" t="s">
        <v>2596</v>
      </c>
      <c r="J112" t="s">
        <v>143</v>
      </c>
      <c r="K112" t="s">
        <v>162</v>
      </c>
      <c r="L112" t="s">
        <v>162</v>
      </c>
      <c r="M112" t="s">
        <v>263</v>
      </c>
      <c r="N112" t="s">
        <v>2259</v>
      </c>
      <c r="O112">
        <v>10043368</v>
      </c>
      <c r="P112" s="108">
        <v>43137</v>
      </c>
      <c r="Q112" s="108">
        <v>43139</v>
      </c>
      <c r="R112" s="108">
        <v>43172</v>
      </c>
      <c r="S112" t="s">
        <v>153</v>
      </c>
      <c r="T112">
        <v>2</v>
      </c>
      <c r="U112" t="s">
        <v>123</v>
      </c>
      <c r="V112">
        <v>2</v>
      </c>
      <c r="W112">
        <v>1</v>
      </c>
      <c r="X112">
        <v>2</v>
      </c>
      <c r="Y112">
        <f>VLOOKUP(Table_clu7sql1_ssdb_REPORT_vw_IE_External_MI_SON[[#This Row],[URN]],[1]Data!$D$2:$BB$1084,31,)</f>
        <v>2</v>
      </c>
      <c r="Z112">
        <v>2</v>
      </c>
      <c r="AA112" t="s">
        <v>2596</v>
      </c>
      <c r="AB112" t="s">
        <v>2598</v>
      </c>
      <c r="AC112" t="s">
        <v>2596</v>
      </c>
      <c r="AD112" t="s">
        <v>2596</v>
      </c>
      <c r="AE112" t="s">
        <v>2596</v>
      </c>
      <c r="AF112" t="s">
        <v>2596</v>
      </c>
      <c r="AG112" t="s">
        <v>2596</v>
      </c>
      <c r="AH112" t="s">
        <v>2596</v>
      </c>
    </row>
    <row r="113" spans="1:34" x14ac:dyDescent="0.25">
      <c r="A113" s="111" t="str">
        <f>HYPERLINK("http://www.ofsted.gov.uk/inspection-reports/find-inspection-report/provider/ELS/105747 ","Ofsted School Webpage")</f>
        <v>Ofsted School Webpage</v>
      </c>
      <c r="B113">
        <v>105747</v>
      </c>
      <c r="C113">
        <v>3536014</v>
      </c>
      <c r="D113" t="s">
        <v>422</v>
      </c>
      <c r="E113" t="s">
        <v>36</v>
      </c>
      <c r="F113" t="s">
        <v>142</v>
      </c>
      <c r="G113" t="s">
        <v>142</v>
      </c>
      <c r="H113" t="s">
        <v>2595</v>
      </c>
      <c r="I113" t="s">
        <v>2596</v>
      </c>
      <c r="J113" t="s">
        <v>143</v>
      </c>
      <c r="K113" t="s">
        <v>162</v>
      </c>
      <c r="L113" t="s">
        <v>162</v>
      </c>
      <c r="M113" t="s">
        <v>423</v>
      </c>
      <c r="N113" t="s">
        <v>424</v>
      </c>
      <c r="O113">
        <v>10034020</v>
      </c>
      <c r="P113" s="108">
        <v>43004</v>
      </c>
      <c r="Q113" s="108">
        <v>43006</v>
      </c>
      <c r="R113" s="108">
        <v>43025</v>
      </c>
      <c r="S113" t="s">
        <v>153</v>
      </c>
      <c r="T113">
        <v>2</v>
      </c>
      <c r="U113" t="s">
        <v>123</v>
      </c>
      <c r="V113">
        <v>2</v>
      </c>
      <c r="W113">
        <v>1</v>
      </c>
      <c r="X113">
        <v>2</v>
      </c>
      <c r="Y113">
        <f>VLOOKUP(Table_clu7sql1_ssdb_REPORT_vw_IE_External_MI_SON[[#This Row],[URN]],[1]Data!$D$2:$BB$1084,31,)</f>
        <v>2</v>
      </c>
      <c r="Z113">
        <v>3</v>
      </c>
      <c r="AA113" t="s">
        <v>2596</v>
      </c>
      <c r="AB113" t="s">
        <v>2598</v>
      </c>
      <c r="AC113" t="s">
        <v>2596</v>
      </c>
      <c r="AD113" t="s">
        <v>2596</v>
      </c>
      <c r="AE113" t="s">
        <v>2596</v>
      </c>
      <c r="AF113" t="s">
        <v>2596</v>
      </c>
      <c r="AG113" t="s">
        <v>2596</v>
      </c>
      <c r="AH113" t="s">
        <v>2596</v>
      </c>
    </row>
    <row r="114" spans="1:34" x14ac:dyDescent="0.25">
      <c r="A114" s="111" t="str">
        <f>HYPERLINK("http://www.ofsted.gov.uk/inspection-reports/find-inspection-report/provider/ELS/105748 ","Ofsted School Webpage")</f>
        <v>Ofsted School Webpage</v>
      </c>
      <c r="B114">
        <v>105748</v>
      </c>
      <c r="C114">
        <v>3536015</v>
      </c>
      <c r="D114" t="s">
        <v>1303</v>
      </c>
      <c r="E114" t="s">
        <v>37</v>
      </c>
      <c r="F114" t="s">
        <v>142</v>
      </c>
      <c r="G114" t="s">
        <v>142</v>
      </c>
      <c r="H114" t="s">
        <v>2595</v>
      </c>
      <c r="I114" t="s">
        <v>2596</v>
      </c>
      <c r="J114" t="s">
        <v>143</v>
      </c>
      <c r="K114" t="s">
        <v>162</v>
      </c>
      <c r="L114" t="s">
        <v>162</v>
      </c>
      <c r="M114" t="s">
        <v>423</v>
      </c>
      <c r="N114" t="s">
        <v>1304</v>
      </c>
      <c r="O114">
        <v>10008576</v>
      </c>
      <c r="P114" s="108">
        <v>42682</v>
      </c>
      <c r="Q114" s="108">
        <v>42684</v>
      </c>
      <c r="R114" s="108">
        <v>42724</v>
      </c>
      <c r="S114" t="s">
        <v>153</v>
      </c>
      <c r="T114">
        <v>2</v>
      </c>
      <c r="U114" t="s">
        <v>123</v>
      </c>
      <c r="V114">
        <v>2</v>
      </c>
      <c r="W114">
        <v>2</v>
      </c>
      <c r="X114">
        <v>2</v>
      </c>
      <c r="Y114">
        <f>VLOOKUP(Table_clu7sql1_ssdb_REPORT_vw_IE_External_MI_SON[[#This Row],[URN]],[1]Data!$D$2:$BB$1084,31,)</f>
        <v>2</v>
      </c>
      <c r="Z114" t="s">
        <v>2596</v>
      </c>
      <c r="AA114">
        <v>3</v>
      </c>
      <c r="AB114" t="s">
        <v>2598</v>
      </c>
      <c r="AC114" t="s">
        <v>2596</v>
      </c>
      <c r="AD114" t="s">
        <v>2596</v>
      </c>
      <c r="AE114" t="s">
        <v>2596</v>
      </c>
      <c r="AF114" t="s">
        <v>2596</v>
      </c>
      <c r="AG114" t="s">
        <v>2596</v>
      </c>
      <c r="AH114" t="s">
        <v>2596</v>
      </c>
    </row>
    <row r="115" spans="1:34" x14ac:dyDescent="0.25">
      <c r="A115" s="111" t="str">
        <f>HYPERLINK("http://www.ofsted.gov.uk/inspection-reports/find-inspection-report/provider/ELS/105993 ","Ofsted School Webpage")</f>
        <v>Ofsted School Webpage</v>
      </c>
      <c r="B115">
        <v>105993</v>
      </c>
      <c r="C115">
        <v>3556007</v>
      </c>
      <c r="D115" t="s">
        <v>2891</v>
      </c>
      <c r="E115" t="s">
        <v>36</v>
      </c>
      <c r="F115" t="s">
        <v>142</v>
      </c>
      <c r="G115" t="s">
        <v>275</v>
      </c>
      <c r="H115" t="s">
        <v>2595</v>
      </c>
      <c r="I115" t="s">
        <v>2596</v>
      </c>
      <c r="J115" t="s">
        <v>143</v>
      </c>
      <c r="K115" t="s">
        <v>162</v>
      </c>
      <c r="L115" t="s">
        <v>162</v>
      </c>
      <c r="M115" t="s">
        <v>804</v>
      </c>
      <c r="N115" t="s">
        <v>2046</v>
      </c>
      <c r="O115">
        <v>10020752</v>
      </c>
      <c r="P115" s="108">
        <v>42556</v>
      </c>
      <c r="Q115" s="108">
        <v>42558</v>
      </c>
      <c r="R115" s="108">
        <v>42627</v>
      </c>
      <c r="S115" t="s">
        <v>153</v>
      </c>
      <c r="T115">
        <v>4</v>
      </c>
      <c r="U115" t="s">
        <v>124</v>
      </c>
      <c r="V115">
        <v>4</v>
      </c>
      <c r="W115">
        <v>4</v>
      </c>
      <c r="X115">
        <v>3</v>
      </c>
      <c r="Y115">
        <f>VLOOKUP(Table_clu7sql1_ssdb_REPORT_vw_IE_External_MI_SON[[#This Row],[URN]],[1]Data!$D$2:$BB$1084,31,)</f>
        <v>3</v>
      </c>
      <c r="Z115">
        <v>3</v>
      </c>
      <c r="AA115" t="s">
        <v>2596</v>
      </c>
      <c r="AB115" t="s">
        <v>2599</v>
      </c>
      <c r="AC115">
        <v>10033604</v>
      </c>
      <c r="AD115" t="s">
        <v>144</v>
      </c>
      <c r="AE115" s="108">
        <v>42914</v>
      </c>
      <c r="AF115" t="s">
        <v>2634</v>
      </c>
      <c r="AG115" s="108">
        <v>42941</v>
      </c>
      <c r="AH115" t="s">
        <v>174</v>
      </c>
    </row>
    <row r="116" spans="1:34" x14ac:dyDescent="0.25">
      <c r="A116" s="111" t="str">
        <f>HYPERLINK("http://www.ofsted.gov.uk/inspection-reports/find-inspection-report/provider/ELS/105996 ","Ofsted School Webpage")</f>
        <v>Ofsted School Webpage</v>
      </c>
      <c r="B116">
        <v>105996</v>
      </c>
      <c r="C116">
        <v>3556011</v>
      </c>
      <c r="D116" t="s">
        <v>1842</v>
      </c>
      <c r="E116" t="s">
        <v>36</v>
      </c>
      <c r="F116" t="s">
        <v>142</v>
      </c>
      <c r="G116" t="s">
        <v>275</v>
      </c>
      <c r="H116" t="s">
        <v>2595</v>
      </c>
      <c r="I116" t="s">
        <v>2596</v>
      </c>
      <c r="J116" t="s">
        <v>143</v>
      </c>
      <c r="K116" t="s">
        <v>162</v>
      </c>
      <c r="L116" t="s">
        <v>162</v>
      </c>
      <c r="M116" t="s">
        <v>804</v>
      </c>
      <c r="N116" t="s">
        <v>1843</v>
      </c>
      <c r="O116">
        <v>10034022</v>
      </c>
      <c r="P116" s="108">
        <v>42920</v>
      </c>
      <c r="Q116" s="108">
        <v>42922</v>
      </c>
      <c r="R116" s="108">
        <v>43042</v>
      </c>
      <c r="S116" t="s">
        <v>153</v>
      </c>
      <c r="T116">
        <v>2</v>
      </c>
      <c r="U116" t="s">
        <v>123</v>
      </c>
      <c r="V116">
        <v>2</v>
      </c>
      <c r="W116">
        <v>2</v>
      </c>
      <c r="X116">
        <v>2</v>
      </c>
      <c r="Y116">
        <f>VLOOKUP(Table_clu7sql1_ssdb_REPORT_vw_IE_External_MI_SON[[#This Row],[URN]],[1]Data!$D$2:$BB$1084,31,)</f>
        <v>2</v>
      </c>
      <c r="Z116">
        <v>2</v>
      </c>
      <c r="AA116" t="s">
        <v>2596</v>
      </c>
      <c r="AB116" t="s">
        <v>2598</v>
      </c>
      <c r="AC116" t="s">
        <v>2596</v>
      </c>
      <c r="AD116" t="s">
        <v>2596</v>
      </c>
      <c r="AE116" s="108" t="s">
        <v>2596</v>
      </c>
      <c r="AF116" t="s">
        <v>2596</v>
      </c>
      <c r="AG116" s="108" t="s">
        <v>2596</v>
      </c>
      <c r="AH116" t="s">
        <v>2596</v>
      </c>
    </row>
    <row r="117" spans="1:34" x14ac:dyDescent="0.25">
      <c r="A117" s="111" t="str">
        <f>HYPERLINK("http://www.ofsted.gov.uk/inspection-reports/find-inspection-report/provider/ELS/105997 ","Ofsted School Webpage")</f>
        <v>Ofsted School Webpage</v>
      </c>
      <c r="B117">
        <v>105997</v>
      </c>
      <c r="C117">
        <v>3516012</v>
      </c>
      <c r="D117" t="s">
        <v>2087</v>
      </c>
      <c r="E117" t="s">
        <v>36</v>
      </c>
      <c r="F117" t="s">
        <v>142</v>
      </c>
      <c r="G117" t="s">
        <v>142</v>
      </c>
      <c r="H117" t="s">
        <v>2595</v>
      </c>
      <c r="I117" t="s">
        <v>2596</v>
      </c>
      <c r="J117" t="s">
        <v>143</v>
      </c>
      <c r="K117" t="s">
        <v>162</v>
      </c>
      <c r="L117" t="s">
        <v>162</v>
      </c>
      <c r="M117" t="s">
        <v>409</v>
      </c>
      <c r="N117" t="s">
        <v>2088</v>
      </c>
      <c r="O117">
        <v>10026000</v>
      </c>
      <c r="P117" s="108">
        <v>42773</v>
      </c>
      <c r="Q117" s="108">
        <v>42775</v>
      </c>
      <c r="R117" s="108">
        <v>42857</v>
      </c>
      <c r="S117" t="s">
        <v>153</v>
      </c>
      <c r="T117">
        <v>4</v>
      </c>
      <c r="U117" t="s">
        <v>123</v>
      </c>
      <c r="V117">
        <v>4</v>
      </c>
      <c r="W117">
        <v>2</v>
      </c>
      <c r="X117">
        <v>3</v>
      </c>
      <c r="Y117">
        <f>VLOOKUP(Table_clu7sql1_ssdb_REPORT_vw_IE_External_MI_SON[[#This Row],[URN]],[1]Data!$D$2:$BB$1084,31,)</f>
        <v>3</v>
      </c>
      <c r="Z117">
        <v>3</v>
      </c>
      <c r="AA117" t="s">
        <v>2596</v>
      </c>
      <c r="AB117" t="s">
        <v>2599</v>
      </c>
      <c r="AC117">
        <v>10043701</v>
      </c>
      <c r="AD117" t="s">
        <v>144</v>
      </c>
      <c r="AE117" s="108">
        <v>43047</v>
      </c>
      <c r="AF117" t="s">
        <v>2636</v>
      </c>
      <c r="AG117" s="108">
        <v>43073</v>
      </c>
      <c r="AH117" t="s">
        <v>174</v>
      </c>
    </row>
    <row r="118" spans="1:34" x14ac:dyDescent="0.25">
      <c r="A118" s="111" t="str">
        <f>HYPERLINK("http://www.ofsted.gov.uk/inspection-reports/find-inspection-report/provider/ELS/105999 ","Ofsted School Webpage")</f>
        <v>Ofsted School Webpage</v>
      </c>
      <c r="B118">
        <v>105999</v>
      </c>
      <c r="C118">
        <v>3556020</v>
      </c>
      <c r="D118" t="s">
        <v>1961</v>
      </c>
      <c r="E118" t="s">
        <v>36</v>
      </c>
      <c r="F118" t="s">
        <v>142</v>
      </c>
      <c r="G118" t="s">
        <v>275</v>
      </c>
      <c r="H118" t="s">
        <v>2595</v>
      </c>
      <c r="I118" t="s">
        <v>2596</v>
      </c>
      <c r="J118" t="s">
        <v>143</v>
      </c>
      <c r="K118" t="s">
        <v>162</v>
      </c>
      <c r="L118" t="s">
        <v>162</v>
      </c>
      <c r="M118" t="s">
        <v>804</v>
      </c>
      <c r="N118" t="s">
        <v>1962</v>
      </c>
      <c r="O118">
        <v>10021800</v>
      </c>
      <c r="P118" s="108">
        <v>42822</v>
      </c>
      <c r="Q118" s="108">
        <v>42824</v>
      </c>
      <c r="R118" s="108">
        <v>42864</v>
      </c>
      <c r="S118" t="s">
        <v>153</v>
      </c>
      <c r="T118">
        <v>4</v>
      </c>
      <c r="U118" t="s">
        <v>123</v>
      </c>
      <c r="V118">
        <v>4</v>
      </c>
      <c r="W118">
        <v>3</v>
      </c>
      <c r="X118">
        <v>2</v>
      </c>
      <c r="Y118">
        <f>VLOOKUP(Table_clu7sql1_ssdb_REPORT_vw_IE_External_MI_SON[[#This Row],[URN]],[1]Data!$D$2:$BB$1084,31,)</f>
        <v>2</v>
      </c>
      <c r="Z118" t="s">
        <v>2596</v>
      </c>
      <c r="AA118" t="s">
        <v>2596</v>
      </c>
      <c r="AB118" t="s">
        <v>2599</v>
      </c>
      <c r="AC118" t="s">
        <v>2596</v>
      </c>
      <c r="AD118" t="s">
        <v>2596</v>
      </c>
      <c r="AE118" t="s">
        <v>2596</v>
      </c>
      <c r="AF118" t="s">
        <v>2596</v>
      </c>
      <c r="AG118" t="s">
        <v>2596</v>
      </c>
      <c r="AH118" t="s">
        <v>2596</v>
      </c>
    </row>
    <row r="119" spans="1:34" x14ac:dyDescent="0.25">
      <c r="A119" s="111" t="str">
        <f>HYPERLINK("http://www.ofsted.gov.uk/inspection-reports/find-inspection-report/provider/ELS/106002 ","Ofsted School Webpage")</f>
        <v>Ofsted School Webpage</v>
      </c>
      <c r="B119">
        <v>106002</v>
      </c>
      <c r="C119">
        <v>3556024</v>
      </c>
      <c r="D119" t="s">
        <v>1989</v>
      </c>
      <c r="E119" t="s">
        <v>36</v>
      </c>
      <c r="F119" t="s">
        <v>776</v>
      </c>
      <c r="G119" t="s">
        <v>142</v>
      </c>
      <c r="H119" t="s">
        <v>2595</v>
      </c>
      <c r="I119" t="s">
        <v>2596</v>
      </c>
      <c r="J119" t="s">
        <v>143</v>
      </c>
      <c r="K119" t="s">
        <v>162</v>
      </c>
      <c r="L119" t="s">
        <v>162</v>
      </c>
      <c r="M119" t="s">
        <v>804</v>
      </c>
      <c r="N119" t="s">
        <v>1990</v>
      </c>
      <c r="O119">
        <v>10026001</v>
      </c>
      <c r="P119" s="108">
        <v>43053</v>
      </c>
      <c r="Q119" s="108">
        <v>43055</v>
      </c>
      <c r="R119" s="108">
        <v>43109</v>
      </c>
      <c r="S119" t="s">
        <v>153</v>
      </c>
      <c r="T119">
        <v>3</v>
      </c>
      <c r="U119" t="s">
        <v>123</v>
      </c>
      <c r="V119">
        <v>3</v>
      </c>
      <c r="W119">
        <v>2</v>
      </c>
      <c r="X119">
        <v>3</v>
      </c>
      <c r="Y119">
        <f>VLOOKUP(Table_clu7sql1_ssdb_REPORT_vw_IE_External_MI_SON[[#This Row],[URN]],[1]Data!$D$2:$BB$1084,31,)</f>
        <v>3</v>
      </c>
      <c r="Z119">
        <v>2</v>
      </c>
      <c r="AA119" t="s">
        <v>2596</v>
      </c>
      <c r="AB119" t="s">
        <v>2598</v>
      </c>
      <c r="AC119" t="s">
        <v>2596</v>
      </c>
      <c r="AD119" t="s">
        <v>2596</v>
      </c>
      <c r="AE119" t="s">
        <v>2596</v>
      </c>
      <c r="AF119" t="s">
        <v>2596</v>
      </c>
      <c r="AG119" t="s">
        <v>2596</v>
      </c>
      <c r="AH119" t="s">
        <v>2596</v>
      </c>
    </row>
    <row r="120" spans="1:34" x14ac:dyDescent="0.25">
      <c r="A120" s="111" t="str">
        <f>HYPERLINK("http://www.ofsted.gov.uk/inspection-reports/find-inspection-report/provider/ELS/106003 ","Ofsted School Webpage")</f>
        <v>Ofsted School Webpage</v>
      </c>
      <c r="B120">
        <v>106003</v>
      </c>
      <c r="C120">
        <v>3556027</v>
      </c>
      <c r="D120" t="s">
        <v>2256</v>
      </c>
      <c r="E120" t="s">
        <v>36</v>
      </c>
      <c r="F120" t="s">
        <v>776</v>
      </c>
      <c r="G120" t="s">
        <v>275</v>
      </c>
      <c r="H120" t="s">
        <v>2595</v>
      </c>
      <c r="I120" t="s">
        <v>2596</v>
      </c>
      <c r="J120" t="s">
        <v>143</v>
      </c>
      <c r="K120" t="s">
        <v>162</v>
      </c>
      <c r="L120" t="s">
        <v>162</v>
      </c>
      <c r="M120" t="s">
        <v>804</v>
      </c>
      <c r="N120" t="s">
        <v>2257</v>
      </c>
      <c r="O120">
        <v>10026002</v>
      </c>
      <c r="P120" s="108">
        <v>42773</v>
      </c>
      <c r="Q120" s="108">
        <v>42775</v>
      </c>
      <c r="R120" s="108">
        <v>42930</v>
      </c>
      <c r="S120" t="s">
        <v>153</v>
      </c>
      <c r="T120">
        <v>3</v>
      </c>
      <c r="U120" t="s">
        <v>123</v>
      </c>
      <c r="V120">
        <v>3</v>
      </c>
      <c r="W120">
        <v>3</v>
      </c>
      <c r="X120">
        <v>2</v>
      </c>
      <c r="Y120">
        <f>VLOOKUP(Table_clu7sql1_ssdb_REPORT_vw_IE_External_MI_SON[[#This Row],[URN]],[1]Data!$D$2:$BB$1084,31,)</f>
        <v>2</v>
      </c>
      <c r="Z120">
        <v>2</v>
      </c>
      <c r="AA120" t="s">
        <v>2596</v>
      </c>
      <c r="AB120" t="s">
        <v>2599</v>
      </c>
      <c r="AC120">
        <v>10043704</v>
      </c>
      <c r="AD120" t="s">
        <v>144</v>
      </c>
      <c r="AE120" s="108">
        <v>43061</v>
      </c>
      <c r="AF120" t="s">
        <v>2636</v>
      </c>
      <c r="AG120" s="108">
        <v>43109</v>
      </c>
      <c r="AH120" t="s">
        <v>146</v>
      </c>
    </row>
    <row r="121" spans="1:34" x14ac:dyDescent="0.25">
      <c r="A121" s="111" t="str">
        <f>HYPERLINK("http://www.ofsted.gov.uk/inspection-reports/find-inspection-report/provider/ELS/106150 ","Ofsted School Webpage")</f>
        <v>Ofsted School Webpage</v>
      </c>
      <c r="B121">
        <v>106150</v>
      </c>
      <c r="C121">
        <v>3566008</v>
      </c>
      <c r="D121" t="s">
        <v>1226</v>
      </c>
      <c r="E121" t="s">
        <v>37</v>
      </c>
      <c r="F121" t="s">
        <v>142</v>
      </c>
      <c r="G121" t="s">
        <v>142</v>
      </c>
      <c r="H121" t="s">
        <v>2595</v>
      </c>
      <c r="I121" t="s">
        <v>2596</v>
      </c>
      <c r="J121" t="s">
        <v>143</v>
      </c>
      <c r="K121" t="s">
        <v>162</v>
      </c>
      <c r="L121" t="s">
        <v>162</v>
      </c>
      <c r="M121" t="s">
        <v>302</v>
      </c>
      <c r="N121" t="s">
        <v>1227</v>
      </c>
      <c r="O121">
        <v>10017450</v>
      </c>
      <c r="P121" s="108">
        <v>42626</v>
      </c>
      <c r="Q121" s="108">
        <v>42628</v>
      </c>
      <c r="R121" s="108">
        <v>42654</v>
      </c>
      <c r="S121" t="s">
        <v>153</v>
      </c>
      <c r="T121">
        <v>4</v>
      </c>
      <c r="U121" t="s">
        <v>123</v>
      </c>
      <c r="V121">
        <v>4</v>
      </c>
      <c r="W121">
        <v>2</v>
      </c>
      <c r="X121">
        <v>3</v>
      </c>
      <c r="Y121">
        <f>VLOOKUP(Table_clu7sql1_ssdb_REPORT_vw_IE_External_MI_SON[[#This Row],[URN]],[1]Data!$D$2:$BB$1084,31,)</f>
        <v>4</v>
      </c>
      <c r="Z121" t="s">
        <v>2596</v>
      </c>
      <c r="AA121" t="s">
        <v>2596</v>
      </c>
      <c r="AB121" t="s">
        <v>2599</v>
      </c>
      <c r="AC121">
        <v>10034806</v>
      </c>
      <c r="AD121" t="s">
        <v>144</v>
      </c>
      <c r="AE121" s="108">
        <v>42894</v>
      </c>
      <c r="AF121" t="s">
        <v>2634</v>
      </c>
      <c r="AG121" s="108">
        <v>42912</v>
      </c>
      <c r="AH121" t="s">
        <v>146</v>
      </c>
    </row>
    <row r="122" spans="1:34" x14ac:dyDescent="0.25">
      <c r="A122" s="111" t="str">
        <f>HYPERLINK("http://www.ofsted.gov.uk/inspection-reports/find-inspection-report/provider/ELS/106154 ","Ofsted School Webpage")</f>
        <v>Ofsted School Webpage</v>
      </c>
      <c r="B122">
        <v>106154</v>
      </c>
      <c r="C122">
        <v>3566016</v>
      </c>
      <c r="D122" t="s">
        <v>706</v>
      </c>
      <c r="E122" t="s">
        <v>36</v>
      </c>
      <c r="F122" t="s">
        <v>142</v>
      </c>
      <c r="G122" t="s">
        <v>369</v>
      </c>
      <c r="H122" t="s">
        <v>2595</v>
      </c>
      <c r="I122" t="s">
        <v>2596</v>
      </c>
      <c r="J122" t="s">
        <v>143</v>
      </c>
      <c r="K122" t="s">
        <v>162</v>
      </c>
      <c r="L122" t="s">
        <v>162</v>
      </c>
      <c r="M122" t="s">
        <v>302</v>
      </c>
      <c r="N122" t="s">
        <v>707</v>
      </c>
      <c r="O122">
        <v>10026003</v>
      </c>
      <c r="P122" s="108">
        <v>42703</v>
      </c>
      <c r="Q122" s="108">
        <v>42705</v>
      </c>
      <c r="R122" s="108">
        <v>42746</v>
      </c>
      <c r="S122" t="s">
        <v>153</v>
      </c>
      <c r="T122">
        <v>2</v>
      </c>
      <c r="U122" t="s">
        <v>123</v>
      </c>
      <c r="V122">
        <v>2</v>
      </c>
      <c r="W122">
        <v>2</v>
      </c>
      <c r="X122">
        <v>2</v>
      </c>
      <c r="Y122">
        <f>VLOOKUP(Table_clu7sql1_ssdb_REPORT_vw_IE_External_MI_SON[[#This Row],[URN]],[1]Data!$D$2:$BB$1084,31,)</f>
        <v>2</v>
      </c>
      <c r="Z122">
        <v>2</v>
      </c>
      <c r="AA122" t="s">
        <v>2596</v>
      </c>
      <c r="AB122" t="s">
        <v>2598</v>
      </c>
      <c r="AC122" t="s">
        <v>2596</v>
      </c>
      <c r="AD122" t="s">
        <v>2596</v>
      </c>
      <c r="AE122" t="s">
        <v>2596</v>
      </c>
      <c r="AF122" t="s">
        <v>2596</v>
      </c>
      <c r="AG122" t="s">
        <v>2596</v>
      </c>
      <c r="AH122" t="s">
        <v>2596</v>
      </c>
    </row>
    <row r="123" spans="1:34" x14ac:dyDescent="0.25">
      <c r="A123" s="111" t="str">
        <f>HYPERLINK("http://www.ofsted.gov.uk/inspection-reports/find-inspection-report/provider/ELS/106158 ","Ofsted School Webpage")</f>
        <v>Ofsted School Webpage</v>
      </c>
      <c r="B123">
        <v>106158</v>
      </c>
      <c r="C123">
        <v>3566021</v>
      </c>
      <c r="D123" t="s">
        <v>1850</v>
      </c>
      <c r="E123" t="s">
        <v>36</v>
      </c>
      <c r="F123" t="s">
        <v>1449</v>
      </c>
      <c r="G123" t="s">
        <v>169</v>
      </c>
      <c r="H123" t="s">
        <v>2595</v>
      </c>
      <c r="I123" t="s">
        <v>2596</v>
      </c>
      <c r="J123" t="s">
        <v>143</v>
      </c>
      <c r="K123" t="s">
        <v>162</v>
      </c>
      <c r="L123" t="s">
        <v>162</v>
      </c>
      <c r="M123" t="s">
        <v>302</v>
      </c>
      <c r="N123" t="s">
        <v>1851</v>
      </c>
      <c r="O123">
        <v>10007902</v>
      </c>
      <c r="P123" s="108">
        <v>42283</v>
      </c>
      <c r="Q123" s="108">
        <v>42284</v>
      </c>
      <c r="R123" s="108">
        <v>42321</v>
      </c>
      <c r="S123" t="s">
        <v>153</v>
      </c>
      <c r="T123">
        <v>4</v>
      </c>
      <c r="U123" t="s">
        <v>124</v>
      </c>
      <c r="V123">
        <v>4</v>
      </c>
      <c r="W123">
        <v>4</v>
      </c>
      <c r="X123">
        <v>3</v>
      </c>
      <c r="Y123">
        <f>VLOOKUP(Table_clu7sql1_ssdb_REPORT_vw_IE_External_MI_SON[[#This Row],[URN]],[1]Data!$D$2:$BB$1084,31,)</f>
        <v>3</v>
      </c>
      <c r="Z123" t="s">
        <v>2596</v>
      </c>
      <c r="AA123" t="s">
        <v>2596</v>
      </c>
      <c r="AB123" t="s">
        <v>2599</v>
      </c>
      <c r="AC123">
        <v>10034447</v>
      </c>
      <c r="AD123" t="s">
        <v>144</v>
      </c>
      <c r="AE123" s="108">
        <v>42858</v>
      </c>
      <c r="AF123" t="s">
        <v>2634</v>
      </c>
      <c r="AG123" s="108">
        <v>42899</v>
      </c>
      <c r="AH123" t="s">
        <v>174</v>
      </c>
    </row>
    <row r="124" spans="1:34" x14ac:dyDescent="0.25">
      <c r="A124" s="111" t="str">
        <f>HYPERLINK("http://www.ofsted.gov.uk/inspection-reports/find-inspection-report/provider/ELS/106162 ","Ofsted School Webpage")</f>
        <v>Ofsted School Webpage</v>
      </c>
      <c r="B124">
        <v>106162</v>
      </c>
      <c r="C124">
        <v>3566025</v>
      </c>
      <c r="D124" t="s">
        <v>1081</v>
      </c>
      <c r="E124" t="s">
        <v>37</v>
      </c>
      <c r="F124" t="s">
        <v>142</v>
      </c>
      <c r="G124" t="s">
        <v>142</v>
      </c>
      <c r="H124" t="s">
        <v>2595</v>
      </c>
      <c r="I124" t="s">
        <v>2596</v>
      </c>
      <c r="J124" t="s">
        <v>143</v>
      </c>
      <c r="K124" t="s">
        <v>162</v>
      </c>
      <c r="L124" t="s">
        <v>162</v>
      </c>
      <c r="M124" t="s">
        <v>302</v>
      </c>
      <c r="N124" t="s">
        <v>1082</v>
      </c>
      <c r="O124">
        <v>10008861</v>
      </c>
      <c r="P124" s="108">
        <v>42542</v>
      </c>
      <c r="Q124" s="108">
        <v>42544</v>
      </c>
      <c r="R124" s="108">
        <v>42573</v>
      </c>
      <c r="S124" t="s">
        <v>3005</v>
      </c>
      <c r="T124">
        <v>2</v>
      </c>
      <c r="U124" t="s">
        <v>123</v>
      </c>
      <c r="V124">
        <v>2</v>
      </c>
      <c r="W124">
        <v>1</v>
      </c>
      <c r="X124">
        <v>2</v>
      </c>
      <c r="Y124">
        <f>VLOOKUP(Table_clu7sql1_ssdb_REPORT_vw_IE_External_MI_SON[[#This Row],[URN]],[1]Data!$D$2:$BB$1084,31,)</f>
        <v>2</v>
      </c>
      <c r="Z124" t="s">
        <v>2596</v>
      </c>
      <c r="AA124" t="s">
        <v>2596</v>
      </c>
      <c r="AB124" t="s">
        <v>2598</v>
      </c>
      <c r="AC124" t="s">
        <v>2596</v>
      </c>
      <c r="AD124" t="s">
        <v>2596</v>
      </c>
      <c r="AE124" s="108" t="s">
        <v>2596</v>
      </c>
      <c r="AF124" t="s">
        <v>2596</v>
      </c>
      <c r="AG124" s="108" t="s">
        <v>2596</v>
      </c>
      <c r="AH124" t="s">
        <v>2596</v>
      </c>
    </row>
    <row r="125" spans="1:34" x14ac:dyDescent="0.25">
      <c r="A125" s="111" t="str">
        <f>HYPERLINK("http://www.ofsted.gov.uk/inspection-reports/find-inspection-report/provider/ELS/106386 ","Ofsted School Webpage")</f>
        <v>Ofsted School Webpage</v>
      </c>
      <c r="B125">
        <v>106386</v>
      </c>
      <c r="C125">
        <v>3586012</v>
      </c>
      <c r="D125" t="s">
        <v>1514</v>
      </c>
      <c r="E125" t="s">
        <v>36</v>
      </c>
      <c r="F125" t="s">
        <v>142</v>
      </c>
      <c r="G125" t="s">
        <v>142</v>
      </c>
      <c r="H125" t="s">
        <v>2595</v>
      </c>
      <c r="I125" t="s">
        <v>2596</v>
      </c>
      <c r="J125" t="s">
        <v>143</v>
      </c>
      <c r="K125" t="s">
        <v>162</v>
      </c>
      <c r="L125" t="s">
        <v>162</v>
      </c>
      <c r="M125" t="s">
        <v>1319</v>
      </c>
      <c r="N125" t="s">
        <v>1515</v>
      </c>
      <c r="O125">
        <v>10034023</v>
      </c>
      <c r="P125" s="108">
        <v>42893</v>
      </c>
      <c r="Q125" s="108">
        <v>42895</v>
      </c>
      <c r="R125" s="108">
        <v>42936</v>
      </c>
      <c r="S125" t="s">
        <v>153</v>
      </c>
      <c r="T125">
        <v>1</v>
      </c>
      <c r="U125" t="s">
        <v>123</v>
      </c>
      <c r="V125">
        <v>1</v>
      </c>
      <c r="W125">
        <v>1</v>
      </c>
      <c r="X125">
        <v>1</v>
      </c>
      <c r="Y125">
        <f>VLOOKUP(Table_clu7sql1_ssdb_REPORT_vw_IE_External_MI_SON[[#This Row],[URN]],[1]Data!$D$2:$BB$1084,31,)</f>
        <v>1</v>
      </c>
      <c r="Z125">
        <v>1</v>
      </c>
      <c r="AA125" t="s">
        <v>2596</v>
      </c>
      <c r="AB125" t="s">
        <v>2598</v>
      </c>
      <c r="AC125" t="s">
        <v>2596</v>
      </c>
      <c r="AD125" t="s">
        <v>2596</v>
      </c>
      <c r="AE125" t="s">
        <v>2596</v>
      </c>
      <c r="AF125" t="s">
        <v>2596</v>
      </c>
      <c r="AG125" t="s">
        <v>2596</v>
      </c>
      <c r="AH125" t="s">
        <v>2596</v>
      </c>
    </row>
    <row r="126" spans="1:34" x14ac:dyDescent="0.25">
      <c r="A126" s="111" t="str">
        <f>HYPERLINK("http://www.ofsted.gov.uk/inspection-reports/find-inspection-report/provider/ELS/106814 ","Ofsted School Webpage")</f>
        <v>Ofsted School Webpage</v>
      </c>
      <c r="B126">
        <v>106814</v>
      </c>
      <c r="C126">
        <v>3716005</v>
      </c>
      <c r="D126" t="s">
        <v>1550</v>
      </c>
      <c r="E126" t="s">
        <v>37</v>
      </c>
      <c r="F126" t="s">
        <v>142</v>
      </c>
      <c r="G126" t="s">
        <v>142</v>
      </c>
      <c r="H126" t="s">
        <v>2595</v>
      </c>
      <c r="I126" t="s">
        <v>2596</v>
      </c>
      <c r="J126" t="s">
        <v>143</v>
      </c>
      <c r="K126" t="s">
        <v>202</v>
      </c>
      <c r="L126" t="s">
        <v>203</v>
      </c>
      <c r="M126" t="s">
        <v>1096</v>
      </c>
      <c r="N126" t="s">
        <v>1551</v>
      </c>
      <c r="O126">
        <v>10006036</v>
      </c>
      <c r="P126" s="108">
        <v>42318</v>
      </c>
      <c r="Q126" s="108">
        <v>42320</v>
      </c>
      <c r="R126" s="108">
        <v>42353</v>
      </c>
      <c r="S126" t="s">
        <v>3005</v>
      </c>
      <c r="T126">
        <v>1</v>
      </c>
      <c r="U126" t="s">
        <v>123</v>
      </c>
      <c r="V126">
        <v>1</v>
      </c>
      <c r="W126">
        <v>1</v>
      </c>
      <c r="X126">
        <v>1</v>
      </c>
      <c r="Y126">
        <f>VLOOKUP(Table_clu7sql1_ssdb_REPORT_vw_IE_External_MI_SON[[#This Row],[URN]],[1]Data!$D$2:$BB$1084,31,)</f>
        <v>1</v>
      </c>
      <c r="Z126" t="s">
        <v>2596</v>
      </c>
      <c r="AA126">
        <v>1</v>
      </c>
      <c r="AB126" t="s">
        <v>2598</v>
      </c>
      <c r="AC126" t="s">
        <v>2596</v>
      </c>
      <c r="AD126" t="s">
        <v>2596</v>
      </c>
      <c r="AE126" s="108" t="s">
        <v>2596</v>
      </c>
      <c r="AF126" t="s">
        <v>2596</v>
      </c>
      <c r="AG126" s="108" t="s">
        <v>2596</v>
      </c>
      <c r="AH126" t="s">
        <v>2596</v>
      </c>
    </row>
    <row r="127" spans="1:34" x14ac:dyDescent="0.25">
      <c r="A127" s="111" t="str">
        <f>HYPERLINK("http://www.ofsted.gov.uk/inspection-reports/find-inspection-report/provider/ELS/106816 ","Ofsted School Webpage")</f>
        <v>Ofsted School Webpage</v>
      </c>
      <c r="B127">
        <v>106816</v>
      </c>
      <c r="C127">
        <v>3716010</v>
      </c>
      <c r="D127" t="s">
        <v>2440</v>
      </c>
      <c r="E127" t="s">
        <v>36</v>
      </c>
      <c r="F127" t="s">
        <v>142</v>
      </c>
      <c r="G127" t="s">
        <v>142</v>
      </c>
      <c r="H127" t="s">
        <v>2595</v>
      </c>
      <c r="I127" t="s">
        <v>2596</v>
      </c>
      <c r="J127" t="s">
        <v>143</v>
      </c>
      <c r="K127" t="s">
        <v>202</v>
      </c>
      <c r="L127" t="s">
        <v>203</v>
      </c>
      <c r="M127" t="s">
        <v>1096</v>
      </c>
      <c r="N127" t="s">
        <v>2441</v>
      </c>
      <c r="O127">
        <v>10012838</v>
      </c>
      <c r="P127" s="108">
        <v>42500</v>
      </c>
      <c r="Q127" s="108">
        <v>42502</v>
      </c>
      <c r="R127" s="108">
        <v>42534</v>
      </c>
      <c r="S127" t="s">
        <v>153</v>
      </c>
      <c r="T127">
        <v>3</v>
      </c>
      <c r="U127" t="s">
        <v>123</v>
      </c>
      <c r="V127">
        <v>3</v>
      </c>
      <c r="W127">
        <v>2</v>
      </c>
      <c r="X127">
        <v>2</v>
      </c>
      <c r="Y127">
        <f>VLOOKUP(Table_clu7sql1_ssdb_REPORT_vw_IE_External_MI_SON[[#This Row],[URN]],[1]Data!$D$2:$BB$1084,31,)</f>
        <v>2</v>
      </c>
      <c r="Z127">
        <v>2</v>
      </c>
      <c r="AA127" t="s">
        <v>2596</v>
      </c>
      <c r="AB127" t="s">
        <v>2598</v>
      </c>
      <c r="AC127" t="s">
        <v>2596</v>
      </c>
      <c r="AD127" t="s">
        <v>2596</v>
      </c>
      <c r="AE127" t="s">
        <v>2596</v>
      </c>
      <c r="AF127" t="s">
        <v>2596</v>
      </c>
      <c r="AG127" t="s">
        <v>2596</v>
      </c>
      <c r="AH127" t="s">
        <v>2596</v>
      </c>
    </row>
    <row r="128" spans="1:34" x14ac:dyDescent="0.25">
      <c r="A128" s="111" t="str">
        <f>HYPERLINK("http://www.ofsted.gov.uk/inspection-reports/find-inspection-report/provider/ELS/106817 ","Ofsted School Webpage")</f>
        <v>Ofsted School Webpage</v>
      </c>
      <c r="B128">
        <v>106817</v>
      </c>
      <c r="C128">
        <v>3716011</v>
      </c>
      <c r="D128" t="s">
        <v>1095</v>
      </c>
      <c r="E128" t="s">
        <v>37</v>
      </c>
      <c r="F128" t="s">
        <v>142</v>
      </c>
      <c r="G128" t="s">
        <v>142</v>
      </c>
      <c r="H128" t="s">
        <v>2595</v>
      </c>
      <c r="I128" t="s">
        <v>2596</v>
      </c>
      <c r="J128" t="s">
        <v>143</v>
      </c>
      <c r="K128" t="s">
        <v>202</v>
      </c>
      <c r="L128" t="s">
        <v>203</v>
      </c>
      <c r="M128" t="s">
        <v>1096</v>
      </c>
      <c r="N128" t="s">
        <v>1097</v>
      </c>
      <c r="O128">
        <v>10006869</v>
      </c>
      <c r="P128" s="108">
        <v>42325</v>
      </c>
      <c r="Q128" s="108">
        <v>42327</v>
      </c>
      <c r="R128" s="108">
        <v>42381</v>
      </c>
      <c r="S128" t="s">
        <v>153</v>
      </c>
      <c r="T128">
        <v>2</v>
      </c>
      <c r="U128" t="s">
        <v>123</v>
      </c>
      <c r="V128">
        <v>2</v>
      </c>
      <c r="W128">
        <v>2</v>
      </c>
      <c r="X128">
        <v>2</v>
      </c>
      <c r="Y128">
        <f>VLOOKUP(Table_clu7sql1_ssdb_REPORT_vw_IE_External_MI_SON[[#This Row],[URN]],[1]Data!$D$2:$BB$1084,31,)</f>
        <v>2</v>
      </c>
      <c r="Z128" t="s">
        <v>2596</v>
      </c>
      <c r="AA128" t="s">
        <v>2596</v>
      </c>
      <c r="AB128" t="s">
        <v>2598</v>
      </c>
      <c r="AC128" t="s">
        <v>2596</v>
      </c>
      <c r="AD128" t="s">
        <v>2596</v>
      </c>
      <c r="AE128" t="s">
        <v>2596</v>
      </c>
      <c r="AF128" t="s">
        <v>2596</v>
      </c>
      <c r="AG128" t="s">
        <v>2596</v>
      </c>
      <c r="AH128" t="s">
        <v>2596</v>
      </c>
    </row>
    <row r="129" spans="1:34" x14ac:dyDescent="0.25">
      <c r="A129" s="111" t="str">
        <f>HYPERLINK("http://www.ofsted.gov.uk/inspection-reports/find-inspection-report/provider/ELS/106965 ","Ofsted School Webpage")</f>
        <v>Ofsted School Webpage</v>
      </c>
      <c r="B129">
        <v>106965</v>
      </c>
      <c r="C129">
        <v>3706004</v>
      </c>
      <c r="D129" t="s">
        <v>575</v>
      </c>
      <c r="E129" t="s">
        <v>37</v>
      </c>
      <c r="F129" t="s">
        <v>142</v>
      </c>
      <c r="G129" t="s">
        <v>142</v>
      </c>
      <c r="H129" t="s">
        <v>2595</v>
      </c>
      <c r="I129" t="s">
        <v>2596</v>
      </c>
      <c r="J129" t="s">
        <v>143</v>
      </c>
      <c r="K129" t="s">
        <v>202</v>
      </c>
      <c r="L129" t="s">
        <v>203</v>
      </c>
      <c r="M129" t="s">
        <v>521</v>
      </c>
      <c r="N129" t="s">
        <v>576</v>
      </c>
      <c r="O129" t="s">
        <v>577</v>
      </c>
      <c r="P129" s="108">
        <v>42038</v>
      </c>
      <c r="Q129" s="108">
        <v>42040</v>
      </c>
      <c r="R129" s="108">
        <v>42074</v>
      </c>
      <c r="S129" t="s">
        <v>224</v>
      </c>
      <c r="T129">
        <v>2</v>
      </c>
      <c r="U129" t="s">
        <v>2596</v>
      </c>
      <c r="V129">
        <v>2</v>
      </c>
      <c r="W129" t="s">
        <v>2596</v>
      </c>
      <c r="X129">
        <v>2</v>
      </c>
      <c r="Y129">
        <f>VLOOKUP(Table_clu7sql1_ssdb_REPORT_vw_IE_External_MI_SON[[#This Row],[URN]],[1]Data!$D$2:$BB$1084,31,)</f>
        <v>2</v>
      </c>
      <c r="Z129">
        <v>9</v>
      </c>
      <c r="AA129">
        <v>2</v>
      </c>
      <c r="AB129" t="s">
        <v>2598</v>
      </c>
      <c r="AC129" t="s">
        <v>2596</v>
      </c>
      <c r="AD129" t="s">
        <v>2596</v>
      </c>
      <c r="AE129" t="s">
        <v>2596</v>
      </c>
      <c r="AF129" t="s">
        <v>2596</v>
      </c>
      <c r="AG129" t="s">
        <v>2596</v>
      </c>
      <c r="AH129" t="s">
        <v>2596</v>
      </c>
    </row>
    <row r="130" spans="1:34" x14ac:dyDescent="0.25">
      <c r="A130" s="111" t="str">
        <f>HYPERLINK("http://www.ofsted.gov.uk/inspection-reports/find-inspection-report/provider/ELS/107168 ","Ofsted School Webpage")</f>
        <v>Ofsted School Webpage</v>
      </c>
      <c r="B130">
        <v>107168</v>
      </c>
      <c r="C130">
        <v>3736027</v>
      </c>
      <c r="D130" t="s">
        <v>1528</v>
      </c>
      <c r="E130" t="s">
        <v>36</v>
      </c>
      <c r="F130" t="s">
        <v>169</v>
      </c>
      <c r="G130" t="s">
        <v>169</v>
      </c>
      <c r="H130" t="s">
        <v>2595</v>
      </c>
      <c r="I130" t="s">
        <v>2596</v>
      </c>
      <c r="J130" t="s">
        <v>143</v>
      </c>
      <c r="K130" t="s">
        <v>202</v>
      </c>
      <c r="L130" t="s">
        <v>203</v>
      </c>
      <c r="M130" t="s">
        <v>617</v>
      </c>
      <c r="N130" t="s">
        <v>1529</v>
      </c>
      <c r="O130">
        <v>10007853</v>
      </c>
      <c r="P130" s="108">
        <v>42291</v>
      </c>
      <c r="Q130" s="108">
        <v>42293</v>
      </c>
      <c r="R130" s="108">
        <v>42328</v>
      </c>
      <c r="S130" t="s">
        <v>153</v>
      </c>
      <c r="T130">
        <v>2</v>
      </c>
      <c r="U130" t="s">
        <v>123</v>
      </c>
      <c r="V130">
        <v>2</v>
      </c>
      <c r="W130">
        <v>2</v>
      </c>
      <c r="X130">
        <v>2</v>
      </c>
      <c r="Y130">
        <f>VLOOKUP(Table_clu7sql1_ssdb_REPORT_vw_IE_External_MI_SON[[#This Row],[URN]],[1]Data!$D$2:$BB$1084,31,)</f>
        <v>2</v>
      </c>
      <c r="Z130">
        <v>2</v>
      </c>
      <c r="AA130" t="s">
        <v>2596</v>
      </c>
      <c r="AB130" t="s">
        <v>2598</v>
      </c>
      <c r="AC130" t="s">
        <v>2596</v>
      </c>
      <c r="AD130" t="s">
        <v>2596</v>
      </c>
      <c r="AE130" s="108" t="s">
        <v>2596</v>
      </c>
      <c r="AF130" t="s">
        <v>2596</v>
      </c>
      <c r="AG130" s="108" t="s">
        <v>2596</v>
      </c>
      <c r="AH130" t="s">
        <v>2596</v>
      </c>
    </row>
    <row r="131" spans="1:34" x14ac:dyDescent="0.25">
      <c r="A131" s="111" t="str">
        <f>HYPERLINK("http://www.ofsted.gov.uk/inspection-reports/find-inspection-report/provider/ELS/107460 ","Ofsted School Webpage")</f>
        <v>Ofsted School Webpage</v>
      </c>
      <c r="B131">
        <v>107460</v>
      </c>
      <c r="C131">
        <v>3806109</v>
      </c>
      <c r="D131" t="s">
        <v>1705</v>
      </c>
      <c r="E131" t="s">
        <v>36</v>
      </c>
      <c r="F131" t="s">
        <v>180</v>
      </c>
      <c r="G131" t="s">
        <v>180</v>
      </c>
      <c r="H131" t="s">
        <v>2595</v>
      </c>
      <c r="I131" t="s">
        <v>2596</v>
      </c>
      <c r="J131" t="s">
        <v>143</v>
      </c>
      <c r="K131" t="s">
        <v>202</v>
      </c>
      <c r="L131" t="s">
        <v>203</v>
      </c>
      <c r="M131" t="s">
        <v>295</v>
      </c>
      <c r="N131" t="s">
        <v>1706</v>
      </c>
      <c r="O131" t="s">
        <v>1707</v>
      </c>
      <c r="P131" s="108">
        <v>42143</v>
      </c>
      <c r="Q131" s="108">
        <v>42146</v>
      </c>
      <c r="R131" s="108">
        <v>42185</v>
      </c>
      <c r="S131" t="s">
        <v>224</v>
      </c>
      <c r="T131">
        <v>2</v>
      </c>
      <c r="U131" t="s">
        <v>2596</v>
      </c>
      <c r="V131">
        <v>2</v>
      </c>
      <c r="W131" t="s">
        <v>2596</v>
      </c>
      <c r="X131">
        <v>2</v>
      </c>
      <c r="Y131">
        <f>VLOOKUP(Table_clu7sql1_ssdb_REPORT_vw_IE_External_MI_SON[[#This Row],[URN]],[1]Data!$D$2:$BB$1084,31,)</f>
        <v>2</v>
      </c>
      <c r="Z131">
        <v>9</v>
      </c>
      <c r="AA131">
        <v>9</v>
      </c>
      <c r="AB131" t="s">
        <v>2598</v>
      </c>
      <c r="AC131" t="s">
        <v>2596</v>
      </c>
      <c r="AD131" t="s">
        <v>2596</v>
      </c>
      <c r="AE131" t="s">
        <v>2596</v>
      </c>
      <c r="AF131" t="s">
        <v>2596</v>
      </c>
      <c r="AG131" t="s">
        <v>2596</v>
      </c>
      <c r="AH131" t="s">
        <v>2596</v>
      </c>
    </row>
    <row r="132" spans="1:34" x14ac:dyDescent="0.25">
      <c r="A132" s="111" t="str">
        <f>HYPERLINK("http://www.ofsted.gov.uk/inspection-reports/find-inspection-report/provider/ELS/107461 ","Ofsted School Webpage")</f>
        <v>Ofsted School Webpage</v>
      </c>
      <c r="B132">
        <v>107461</v>
      </c>
      <c r="C132">
        <v>3806110</v>
      </c>
      <c r="D132" t="s">
        <v>2156</v>
      </c>
      <c r="E132" t="s">
        <v>36</v>
      </c>
      <c r="F132" t="s">
        <v>142</v>
      </c>
      <c r="G132" t="s">
        <v>169</v>
      </c>
      <c r="H132" t="s">
        <v>2595</v>
      </c>
      <c r="I132" t="s">
        <v>2596</v>
      </c>
      <c r="J132" t="s">
        <v>143</v>
      </c>
      <c r="K132" t="s">
        <v>202</v>
      </c>
      <c r="L132" t="s">
        <v>203</v>
      </c>
      <c r="M132" t="s">
        <v>295</v>
      </c>
      <c r="N132" t="s">
        <v>2157</v>
      </c>
      <c r="O132">
        <v>10020709</v>
      </c>
      <c r="P132" s="108">
        <v>42696</v>
      </c>
      <c r="Q132" s="108">
        <v>42698</v>
      </c>
      <c r="R132" s="108">
        <v>42747</v>
      </c>
      <c r="S132" t="s">
        <v>153</v>
      </c>
      <c r="T132">
        <v>4</v>
      </c>
      <c r="U132" t="s">
        <v>124</v>
      </c>
      <c r="V132">
        <v>4</v>
      </c>
      <c r="W132">
        <v>3</v>
      </c>
      <c r="X132">
        <v>2</v>
      </c>
      <c r="Y132">
        <f>VLOOKUP(Table_clu7sql1_ssdb_REPORT_vw_IE_External_MI_SON[[#This Row],[URN]],[1]Data!$D$2:$BB$1084,31,)</f>
        <v>2</v>
      </c>
      <c r="Z132">
        <v>4</v>
      </c>
      <c r="AA132" t="s">
        <v>2596</v>
      </c>
      <c r="AB132" t="s">
        <v>2599</v>
      </c>
      <c r="AC132">
        <v>10041417</v>
      </c>
      <c r="AD132" t="s">
        <v>144</v>
      </c>
      <c r="AE132" s="108">
        <v>43041</v>
      </c>
      <c r="AF132" t="s">
        <v>2636</v>
      </c>
      <c r="AG132" s="108">
        <v>43082</v>
      </c>
      <c r="AH132" t="s">
        <v>146</v>
      </c>
    </row>
    <row r="133" spans="1:34" x14ac:dyDescent="0.25">
      <c r="A133" s="111" t="str">
        <f>HYPERLINK("http://www.ofsted.gov.uk/inspection-reports/find-inspection-report/provider/ELS/107787 ","Ofsted School Webpage")</f>
        <v>Ofsted School Webpage</v>
      </c>
      <c r="B133">
        <v>107787</v>
      </c>
      <c r="C133">
        <v>3826006</v>
      </c>
      <c r="D133" t="s">
        <v>719</v>
      </c>
      <c r="E133" t="s">
        <v>36</v>
      </c>
      <c r="F133" t="s">
        <v>142</v>
      </c>
      <c r="G133" t="s">
        <v>142</v>
      </c>
      <c r="H133" t="s">
        <v>2595</v>
      </c>
      <c r="I133" t="s">
        <v>2596</v>
      </c>
      <c r="J133" t="s">
        <v>143</v>
      </c>
      <c r="K133" t="s">
        <v>202</v>
      </c>
      <c r="L133" t="s">
        <v>203</v>
      </c>
      <c r="M133" t="s">
        <v>720</v>
      </c>
      <c r="N133" t="s">
        <v>721</v>
      </c>
      <c r="O133">
        <v>10008554</v>
      </c>
      <c r="P133" s="108">
        <v>42409</v>
      </c>
      <c r="Q133" s="108">
        <v>42411</v>
      </c>
      <c r="R133" s="108">
        <v>42437</v>
      </c>
      <c r="S133" t="s">
        <v>153</v>
      </c>
      <c r="T133">
        <v>2</v>
      </c>
      <c r="U133" t="s">
        <v>123</v>
      </c>
      <c r="V133">
        <v>2</v>
      </c>
      <c r="W133">
        <v>2</v>
      </c>
      <c r="X133">
        <v>2</v>
      </c>
      <c r="Y133">
        <f>VLOOKUP(Table_clu7sql1_ssdb_REPORT_vw_IE_External_MI_SON[[#This Row],[URN]],[1]Data!$D$2:$BB$1084,31,)</f>
        <v>2</v>
      </c>
      <c r="Z133">
        <v>2</v>
      </c>
      <c r="AA133" t="s">
        <v>2596</v>
      </c>
      <c r="AB133" t="s">
        <v>2598</v>
      </c>
      <c r="AC133" t="s">
        <v>2596</v>
      </c>
      <c r="AD133" t="s">
        <v>2596</v>
      </c>
      <c r="AE133" t="s">
        <v>2596</v>
      </c>
      <c r="AF133" t="s">
        <v>2596</v>
      </c>
      <c r="AG133" t="s">
        <v>2596</v>
      </c>
      <c r="AH133" t="s">
        <v>2596</v>
      </c>
    </row>
    <row r="134" spans="1:34" x14ac:dyDescent="0.25">
      <c r="A134" s="111" t="str">
        <f>HYPERLINK("http://www.ofsted.gov.uk/inspection-reports/find-inspection-report/provider/ELS/107791 ","Ofsted School Webpage")</f>
        <v>Ofsted School Webpage</v>
      </c>
      <c r="B134">
        <v>107791</v>
      </c>
      <c r="C134">
        <v>3826013</v>
      </c>
      <c r="D134" t="s">
        <v>2230</v>
      </c>
      <c r="E134" t="s">
        <v>36</v>
      </c>
      <c r="F134" t="s">
        <v>142</v>
      </c>
      <c r="G134" t="s">
        <v>180</v>
      </c>
      <c r="H134" t="s">
        <v>2595</v>
      </c>
      <c r="I134" t="s">
        <v>2596</v>
      </c>
      <c r="J134" t="s">
        <v>143</v>
      </c>
      <c r="K134" t="s">
        <v>202</v>
      </c>
      <c r="L134" t="s">
        <v>203</v>
      </c>
      <c r="M134" t="s">
        <v>720</v>
      </c>
      <c r="N134" t="s">
        <v>2231</v>
      </c>
      <c r="O134">
        <v>10044408</v>
      </c>
      <c r="P134" s="108">
        <v>43067</v>
      </c>
      <c r="Q134" s="108">
        <v>43069</v>
      </c>
      <c r="R134" s="108">
        <v>43115</v>
      </c>
      <c r="S134" t="s">
        <v>224</v>
      </c>
      <c r="T134">
        <v>2</v>
      </c>
      <c r="U134" t="s">
        <v>123</v>
      </c>
      <c r="V134">
        <v>2</v>
      </c>
      <c r="W134">
        <v>1</v>
      </c>
      <c r="X134">
        <v>2</v>
      </c>
      <c r="Y134">
        <f>VLOOKUP(Table_clu7sql1_ssdb_REPORT_vw_IE_External_MI_SON[[#This Row],[URN]],[1]Data!$D$2:$BB$1084,31,)</f>
        <v>2</v>
      </c>
      <c r="Z134" t="s">
        <v>2596</v>
      </c>
      <c r="AA134">
        <v>2</v>
      </c>
      <c r="AB134" t="s">
        <v>2598</v>
      </c>
      <c r="AC134" t="s">
        <v>2596</v>
      </c>
      <c r="AD134" t="s">
        <v>2596</v>
      </c>
      <c r="AE134" t="s">
        <v>2596</v>
      </c>
      <c r="AF134" t="s">
        <v>2596</v>
      </c>
      <c r="AG134" t="s">
        <v>2596</v>
      </c>
      <c r="AH134" t="s">
        <v>2596</v>
      </c>
    </row>
    <row r="135" spans="1:34" x14ac:dyDescent="0.25">
      <c r="A135" s="111" t="str">
        <f>HYPERLINK("http://www.ofsted.gov.uk/inspection-reports/find-inspection-report/provider/ELS/107792 ","Ofsted School Webpage")</f>
        <v>Ofsted School Webpage</v>
      </c>
      <c r="B135">
        <v>107792</v>
      </c>
      <c r="C135">
        <v>3826015</v>
      </c>
      <c r="D135" t="s">
        <v>2470</v>
      </c>
      <c r="E135" t="s">
        <v>36</v>
      </c>
      <c r="F135" t="s">
        <v>142</v>
      </c>
      <c r="G135" t="s">
        <v>180</v>
      </c>
      <c r="H135" t="s">
        <v>2595</v>
      </c>
      <c r="I135" t="s">
        <v>2596</v>
      </c>
      <c r="J135" t="s">
        <v>143</v>
      </c>
      <c r="K135" t="s">
        <v>202</v>
      </c>
      <c r="L135" t="s">
        <v>203</v>
      </c>
      <c r="M135" t="s">
        <v>720</v>
      </c>
      <c r="N135" t="s">
        <v>2471</v>
      </c>
      <c r="O135">
        <v>10020761</v>
      </c>
      <c r="P135" s="108">
        <v>42640</v>
      </c>
      <c r="Q135" s="108">
        <v>42642</v>
      </c>
      <c r="R135" s="108">
        <v>42690</v>
      </c>
      <c r="S135" t="s">
        <v>153</v>
      </c>
      <c r="T135">
        <v>3</v>
      </c>
      <c r="U135" t="s">
        <v>123</v>
      </c>
      <c r="V135">
        <v>3</v>
      </c>
      <c r="W135">
        <v>2</v>
      </c>
      <c r="X135">
        <v>3</v>
      </c>
      <c r="Y135">
        <f>VLOOKUP(Table_clu7sql1_ssdb_REPORT_vw_IE_External_MI_SON[[#This Row],[URN]],[1]Data!$D$2:$BB$1084,31,)</f>
        <v>3</v>
      </c>
      <c r="Z135" t="s">
        <v>2596</v>
      </c>
      <c r="AA135" t="s">
        <v>2596</v>
      </c>
      <c r="AB135" t="s">
        <v>2599</v>
      </c>
      <c r="AC135">
        <v>10040369</v>
      </c>
      <c r="AD135" t="s">
        <v>144</v>
      </c>
      <c r="AE135" s="108">
        <v>43070</v>
      </c>
      <c r="AF135" t="s">
        <v>2636</v>
      </c>
      <c r="AG135" s="108">
        <v>43115</v>
      </c>
      <c r="AH135" t="s">
        <v>174</v>
      </c>
    </row>
    <row r="136" spans="1:34" x14ac:dyDescent="0.25">
      <c r="A136" s="111" t="str">
        <f>HYPERLINK("http://www.ofsted.gov.uk/inspection-reports/find-inspection-report/provider/ELS/107793 ","Ofsted School Webpage")</f>
        <v>Ofsted School Webpage</v>
      </c>
      <c r="B136">
        <v>107793</v>
      </c>
      <c r="C136">
        <v>3826016</v>
      </c>
      <c r="D136" t="s">
        <v>2188</v>
      </c>
      <c r="E136" t="s">
        <v>36</v>
      </c>
      <c r="F136" t="s">
        <v>142</v>
      </c>
      <c r="G136" t="s">
        <v>180</v>
      </c>
      <c r="H136" t="s">
        <v>2595</v>
      </c>
      <c r="I136" t="s">
        <v>2596</v>
      </c>
      <c r="J136" t="s">
        <v>143</v>
      </c>
      <c r="K136" t="s">
        <v>202</v>
      </c>
      <c r="L136" t="s">
        <v>203</v>
      </c>
      <c r="M136" t="s">
        <v>720</v>
      </c>
      <c r="N136" t="s">
        <v>2884</v>
      </c>
      <c r="O136">
        <v>10012841</v>
      </c>
      <c r="P136" s="108">
        <v>42487</v>
      </c>
      <c r="Q136" s="108">
        <v>42489</v>
      </c>
      <c r="R136" s="108">
        <v>42641</v>
      </c>
      <c r="S136" t="s">
        <v>153</v>
      </c>
      <c r="T136">
        <v>4</v>
      </c>
      <c r="U136" t="s">
        <v>124</v>
      </c>
      <c r="V136">
        <v>4</v>
      </c>
      <c r="W136">
        <v>4</v>
      </c>
      <c r="X136">
        <v>2</v>
      </c>
      <c r="Y136">
        <f>VLOOKUP(Table_clu7sql1_ssdb_REPORT_vw_IE_External_MI_SON[[#This Row],[URN]],[1]Data!$D$2:$BB$1084,31,)</f>
        <v>2</v>
      </c>
      <c r="Z136" t="s">
        <v>2596</v>
      </c>
      <c r="AA136" t="s">
        <v>2596</v>
      </c>
      <c r="AB136" t="s">
        <v>2599</v>
      </c>
      <c r="AC136">
        <v>10044497</v>
      </c>
      <c r="AD136" t="s">
        <v>144</v>
      </c>
      <c r="AE136" s="108">
        <v>43124</v>
      </c>
      <c r="AF136" t="s">
        <v>2636</v>
      </c>
      <c r="AG136" s="108">
        <v>43179</v>
      </c>
      <c r="AH136" t="s">
        <v>174</v>
      </c>
    </row>
    <row r="137" spans="1:34" x14ac:dyDescent="0.25">
      <c r="A137" s="111" t="str">
        <f>HYPERLINK("http://www.ofsted.gov.uk/inspection-reports/find-inspection-report/provider/ELS/107794 ","Ofsted School Webpage")</f>
        <v>Ofsted School Webpage</v>
      </c>
      <c r="B137">
        <v>107794</v>
      </c>
      <c r="C137">
        <v>3826017</v>
      </c>
      <c r="D137" t="s">
        <v>1718</v>
      </c>
      <c r="E137" t="s">
        <v>36</v>
      </c>
      <c r="F137" t="s">
        <v>142</v>
      </c>
      <c r="G137" t="s">
        <v>180</v>
      </c>
      <c r="H137" t="s">
        <v>2595</v>
      </c>
      <c r="I137" t="s">
        <v>2596</v>
      </c>
      <c r="J137" t="s">
        <v>143</v>
      </c>
      <c r="K137" t="s">
        <v>202</v>
      </c>
      <c r="L137" t="s">
        <v>203</v>
      </c>
      <c r="M137" t="s">
        <v>720</v>
      </c>
      <c r="N137" t="s">
        <v>1719</v>
      </c>
      <c r="O137">
        <v>10020762</v>
      </c>
      <c r="P137" s="108">
        <v>42654</v>
      </c>
      <c r="Q137" s="108">
        <v>42656</v>
      </c>
      <c r="R137" s="108">
        <v>42695</v>
      </c>
      <c r="S137" t="s">
        <v>153</v>
      </c>
      <c r="T137">
        <v>2</v>
      </c>
      <c r="U137" t="s">
        <v>123</v>
      </c>
      <c r="V137">
        <v>2</v>
      </c>
      <c r="W137">
        <v>2</v>
      </c>
      <c r="X137">
        <v>2</v>
      </c>
      <c r="Y137">
        <f>VLOOKUP(Table_clu7sql1_ssdb_REPORT_vw_IE_External_MI_SON[[#This Row],[URN]],[1]Data!$D$2:$BB$1084,31,)</f>
        <v>2</v>
      </c>
      <c r="Z137">
        <v>2</v>
      </c>
      <c r="AA137" t="s">
        <v>2596</v>
      </c>
      <c r="AB137" t="s">
        <v>2598</v>
      </c>
      <c r="AC137" t="s">
        <v>2596</v>
      </c>
      <c r="AD137" t="s">
        <v>2596</v>
      </c>
      <c r="AE137" s="108" t="s">
        <v>2596</v>
      </c>
      <c r="AF137" t="s">
        <v>2596</v>
      </c>
      <c r="AG137" s="108" t="s">
        <v>2596</v>
      </c>
      <c r="AH137" t="s">
        <v>2596</v>
      </c>
    </row>
    <row r="138" spans="1:34" x14ac:dyDescent="0.25">
      <c r="A138" s="111" t="str">
        <f>HYPERLINK("http://www.ofsted.gov.uk/inspection-reports/find-inspection-report/provider/ELS/107795 ","Ofsted School Webpage")</f>
        <v>Ofsted School Webpage</v>
      </c>
      <c r="B138">
        <v>107795</v>
      </c>
      <c r="C138">
        <v>3826018</v>
      </c>
      <c r="D138" t="s">
        <v>1871</v>
      </c>
      <c r="E138" t="s">
        <v>36</v>
      </c>
      <c r="F138" t="s">
        <v>169</v>
      </c>
      <c r="G138" t="s">
        <v>169</v>
      </c>
      <c r="H138" t="s">
        <v>2595</v>
      </c>
      <c r="I138" t="s">
        <v>2596</v>
      </c>
      <c r="J138" t="s">
        <v>143</v>
      </c>
      <c r="K138" t="s">
        <v>202</v>
      </c>
      <c r="L138" t="s">
        <v>203</v>
      </c>
      <c r="M138" t="s">
        <v>720</v>
      </c>
      <c r="N138" t="s">
        <v>1872</v>
      </c>
      <c r="O138">
        <v>10008555</v>
      </c>
      <c r="P138" s="108">
        <v>42409</v>
      </c>
      <c r="Q138" s="108">
        <v>42411</v>
      </c>
      <c r="R138" s="108">
        <v>42437</v>
      </c>
      <c r="S138" t="s">
        <v>153</v>
      </c>
      <c r="T138">
        <v>2</v>
      </c>
      <c r="U138" t="s">
        <v>123</v>
      </c>
      <c r="V138">
        <v>2</v>
      </c>
      <c r="W138">
        <v>2</v>
      </c>
      <c r="X138">
        <v>2</v>
      </c>
      <c r="Y138">
        <f>VLOOKUP(Table_clu7sql1_ssdb_REPORT_vw_IE_External_MI_SON[[#This Row],[URN]],[1]Data!$D$2:$BB$1084,31,)</f>
        <v>2</v>
      </c>
      <c r="Z138">
        <v>3</v>
      </c>
      <c r="AA138" t="s">
        <v>2596</v>
      </c>
      <c r="AB138" t="s">
        <v>2598</v>
      </c>
      <c r="AC138" t="s">
        <v>2596</v>
      </c>
      <c r="AD138" t="s">
        <v>2596</v>
      </c>
      <c r="AE138" t="s">
        <v>2596</v>
      </c>
      <c r="AF138" t="s">
        <v>2596</v>
      </c>
      <c r="AG138" t="s">
        <v>2596</v>
      </c>
      <c r="AH138" t="s">
        <v>2596</v>
      </c>
    </row>
    <row r="139" spans="1:34" x14ac:dyDescent="0.25">
      <c r="A139" s="111" t="str">
        <f>HYPERLINK("http://www.ofsted.gov.uk/inspection-reports/find-inspection-report/provider/ELS/108109 ","Ofsted School Webpage")</f>
        <v>Ofsted School Webpage</v>
      </c>
      <c r="B139">
        <v>108109</v>
      </c>
      <c r="C139">
        <v>3836098</v>
      </c>
      <c r="D139" t="s">
        <v>690</v>
      </c>
      <c r="E139" t="s">
        <v>36</v>
      </c>
      <c r="F139" t="s">
        <v>142</v>
      </c>
      <c r="G139" t="s">
        <v>169</v>
      </c>
      <c r="H139" t="s">
        <v>2595</v>
      </c>
      <c r="I139" t="s">
        <v>2596</v>
      </c>
      <c r="J139" t="s">
        <v>143</v>
      </c>
      <c r="K139" t="s">
        <v>202</v>
      </c>
      <c r="L139" t="s">
        <v>203</v>
      </c>
      <c r="M139" t="s">
        <v>667</v>
      </c>
      <c r="N139" t="s">
        <v>691</v>
      </c>
      <c r="O139">
        <v>10020785</v>
      </c>
      <c r="P139" s="108">
        <v>42689</v>
      </c>
      <c r="Q139" s="108">
        <v>42691</v>
      </c>
      <c r="R139" s="108">
        <v>42761</v>
      </c>
      <c r="S139" t="s">
        <v>153</v>
      </c>
      <c r="T139">
        <v>2</v>
      </c>
      <c r="U139" t="s">
        <v>123</v>
      </c>
      <c r="V139">
        <v>2</v>
      </c>
      <c r="W139">
        <v>1</v>
      </c>
      <c r="X139">
        <v>2</v>
      </c>
      <c r="Y139">
        <f>VLOOKUP(Table_clu7sql1_ssdb_REPORT_vw_IE_External_MI_SON[[#This Row],[URN]],[1]Data!$D$2:$BB$1084,31,)</f>
        <v>2</v>
      </c>
      <c r="Z139">
        <v>2</v>
      </c>
      <c r="AA139" t="s">
        <v>2596</v>
      </c>
      <c r="AB139" t="s">
        <v>2598</v>
      </c>
      <c r="AC139" t="s">
        <v>2596</v>
      </c>
      <c r="AD139" t="s">
        <v>2596</v>
      </c>
      <c r="AE139" t="s">
        <v>2596</v>
      </c>
      <c r="AF139" t="s">
        <v>2596</v>
      </c>
      <c r="AG139" t="s">
        <v>2596</v>
      </c>
      <c r="AH139" t="s">
        <v>2596</v>
      </c>
    </row>
    <row r="140" spans="1:34" x14ac:dyDescent="0.25">
      <c r="A140" s="111" t="str">
        <f>HYPERLINK("http://www.ofsted.gov.uk/inspection-reports/find-inspection-report/provider/ELS/108110 ","Ofsted School Webpage")</f>
        <v>Ofsted School Webpage</v>
      </c>
      <c r="B140">
        <v>108110</v>
      </c>
      <c r="C140">
        <v>3836099</v>
      </c>
      <c r="D140" t="s">
        <v>669</v>
      </c>
      <c r="E140" t="s">
        <v>36</v>
      </c>
      <c r="F140" t="s">
        <v>142</v>
      </c>
      <c r="G140" t="s">
        <v>275</v>
      </c>
      <c r="H140" t="s">
        <v>2595</v>
      </c>
      <c r="I140" t="s">
        <v>2596</v>
      </c>
      <c r="J140" t="s">
        <v>143</v>
      </c>
      <c r="K140" t="s">
        <v>202</v>
      </c>
      <c r="L140" t="s">
        <v>203</v>
      </c>
      <c r="M140" t="s">
        <v>667</v>
      </c>
      <c r="N140" t="s">
        <v>670</v>
      </c>
      <c r="O140">
        <v>10012883</v>
      </c>
      <c r="P140" s="108">
        <v>42570</v>
      </c>
      <c r="Q140" s="108">
        <v>42572</v>
      </c>
      <c r="R140" s="108">
        <v>42634</v>
      </c>
      <c r="S140" t="s">
        <v>153</v>
      </c>
      <c r="T140">
        <v>2</v>
      </c>
      <c r="U140" t="s">
        <v>123</v>
      </c>
      <c r="V140">
        <v>2</v>
      </c>
      <c r="W140">
        <v>1</v>
      </c>
      <c r="X140">
        <v>2</v>
      </c>
      <c r="Y140">
        <f>VLOOKUP(Table_clu7sql1_ssdb_REPORT_vw_IE_External_MI_SON[[#This Row],[URN]],[1]Data!$D$2:$BB$1084,31,)</f>
        <v>2</v>
      </c>
      <c r="Z140">
        <v>2</v>
      </c>
      <c r="AA140" t="s">
        <v>2596</v>
      </c>
      <c r="AB140" t="s">
        <v>2598</v>
      </c>
      <c r="AC140" t="s">
        <v>2596</v>
      </c>
      <c r="AD140" t="s">
        <v>2596</v>
      </c>
      <c r="AE140" t="s">
        <v>2596</v>
      </c>
      <c r="AF140" t="s">
        <v>2596</v>
      </c>
      <c r="AG140" t="s">
        <v>2596</v>
      </c>
      <c r="AH140" t="s">
        <v>2596</v>
      </c>
    </row>
    <row r="141" spans="1:34" x14ac:dyDescent="0.25">
      <c r="A141" s="111" t="str">
        <f>HYPERLINK("http://www.ofsted.gov.uk/inspection-reports/find-inspection-report/provider/ELS/108307 ","Ofsted School Webpage")</f>
        <v>Ofsted School Webpage</v>
      </c>
      <c r="B141">
        <v>108307</v>
      </c>
      <c r="C141">
        <v>3846116</v>
      </c>
      <c r="D141" t="s">
        <v>2329</v>
      </c>
      <c r="E141" t="s">
        <v>36</v>
      </c>
      <c r="F141" t="s">
        <v>142</v>
      </c>
      <c r="G141" t="s">
        <v>249</v>
      </c>
      <c r="H141" t="s">
        <v>2595</v>
      </c>
      <c r="I141" t="s">
        <v>2596</v>
      </c>
      <c r="J141" t="s">
        <v>143</v>
      </c>
      <c r="K141" t="s">
        <v>202</v>
      </c>
      <c r="L141" t="s">
        <v>203</v>
      </c>
      <c r="M141" t="s">
        <v>518</v>
      </c>
      <c r="N141" t="s">
        <v>2330</v>
      </c>
      <c r="O141">
        <v>10006062</v>
      </c>
      <c r="P141" s="108">
        <v>42486</v>
      </c>
      <c r="Q141" s="108">
        <v>42488</v>
      </c>
      <c r="R141" s="108">
        <v>42510</v>
      </c>
      <c r="S141" t="s">
        <v>153</v>
      </c>
      <c r="T141">
        <v>2</v>
      </c>
      <c r="U141" t="s">
        <v>123</v>
      </c>
      <c r="V141">
        <v>2</v>
      </c>
      <c r="W141">
        <v>1</v>
      </c>
      <c r="X141">
        <v>2</v>
      </c>
      <c r="Y141">
        <f>VLOOKUP(Table_clu7sql1_ssdb_REPORT_vw_IE_External_MI_SON[[#This Row],[URN]],[1]Data!$D$2:$BB$1084,31,)</f>
        <v>2</v>
      </c>
      <c r="Z141">
        <v>2</v>
      </c>
      <c r="AA141" t="s">
        <v>2596</v>
      </c>
      <c r="AB141" t="s">
        <v>2598</v>
      </c>
      <c r="AC141" t="s">
        <v>2596</v>
      </c>
      <c r="AD141" t="s">
        <v>2596</v>
      </c>
      <c r="AE141" t="s">
        <v>2596</v>
      </c>
      <c r="AF141" t="s">
        <v>2596</v>
      </c>
      <c r="AG141" t="s">
        <v>2596</v>
      </c>
      <c r="AH141" t="s">
        <v>2596</v>
      </c>
    </row>
    <row r="142" spans="1:34" x14ac:dyDescent="0.25">
      <c r="A142" s="111" t="str">
        <f>HYPERLINK("http://www.ofsted.gov.uk/inspection-reports/find-inspection-report/provider/ELS/108414 ","Ofsted School Webpage")</f>
        <v>Ofsted School Webpage</v>
      </c>
      <c r="B142">
        <v>108414</v>
      </c>
      <c r="C142">
        <v>3906002</v>
      </c>
      <c r="D142" t="s">
        <v>2222</v>
      </c>
      <c r="E142" t="s">
        <v>36</v>
      </c>
      <c r="F142" t="s">
        <v>142</v>
      </c>
      <c r="G142" t="s">
        <v>275</v>
      </c>
      <c r="H142" t="s">
        <v>2595</v>
      </c>
      <c r="I142" t="s">
        <v>2596</v>
      </c>
      <c r="J142" t="s">
        <v>143</v>
      </c>
      <c r="K142" t="s">
        <v>202</v>
      </c>
      <c r="L142" t="s">
        <v>234</v>
      </c>
      <c r="M142" t="s">
        <v>604</v>
      </c>
      <c r="N142" t="s">
        <v>2223</v>
      </c>
      <c r="O142">
        <v>10008556</v>
      </c>
      <c r="P142" s="108">
        <v>42556</v>
      </c>
      <c r="Q142" s="108">
        <v>42558</v>
      </c>
      <c r="R142" s="108">
        <v>42639</v>
      </c>
      <c r="S142" t="s">
        <v>153</v>
      </c>
      <c r="T142">
        <v>4</v>
      </c>
      <c r="U142" t="s">
        <v>123</v>
      </c>
      <c r="V142">
        <v>4</v>
      </c>
      <c r="W142">
        <v>3</v>
      </c>
      <c r="X142">
        <v>3</v>
      </c>
      <c r="Y142">
        <f>VLOOKUP(Table_clu7sql1_ssdb_REPORT_vw_IE_External_MI_SON[[#This Row],[URN]],[1]Data!$D$2:$BB$1084,31,)</f>
        <v>3</v>
      </c>
      <c r="Z142" t="s">
        <v>2596</v>
      </c>
      <c r="AA142" t="s">
        <v>2596</v>
      </c>
      <c r="AB142" t="s">
        <v>2599</v>
      </c>
      <c r="AC142">
        <v>10034201</v>
      </c>
      <c r="AD142" t="s">
        <v>144</v>
      </c>
      <c r="AE142" s="108">
        <v>42850</v>
      </c>
      <c r="AF142" t="s">
        <v>2634</v>
      </c>
      <c r="AG142" s="108">
        <v>42898</v>
      </c>
      <c r="AH142" t="s">
        <v>146</v>
      </c>
    </row>
    <row r="143" spans="1:34" x14ac:dyDescent="0.25">
      <c r="A143" s="111" t="str">
        <f>HYPERLINK("http://www.ofsted.gov.uk/inspection-reports/find-inspection-report/provider/ELS/108416 ","Ofsted School Webpage")</f>
        <v>Ofsted School Webpage</v>
      </c>
      <c r="B143">
        <v>108416</v>
      </c>
      <c r="C143">
        <v>3906004</v>
      </c>
      <c r="D143" t="s">
        <v>1680</v>
      </c>
      <c r="E143" t="s">
        <v>36</v>
      </c>
      <c r="F143" t="s">
        <v>142</v>
      </c>
      <c r="G143" t="s">
        <v>142</v>
      </c>
      <c r="H143" t="s">
        <v>2595</v>
      </c>
      <c r="I143" t="s">
        <v>2596</v>
      </c>
      <c r="J143" t="s">
        <v>143</v>
      </c>
      <c r="K143" t="s">
        <v>202</v>
      </c>
      <c r="L143" t="s">
        <v>234</v>
      </c>
      <c r="M143" t="s">
        <v>604</v>
      </c>
      <c r="N143" t="s">
        <v>1681</v>
      </c>
      <c r="O143">
        <v>10010417</v>
      </c>
      <c r="P143" s="108">
        <v>42430</v>
      </c>
      <c r="Q143" s="108">
        <v>42432</v>
      </c>
      <c r="R143" s="108">
        <v>42466</v>
      </c>
      <c r="S143" t="s">
        <v>224</v>
      </c>
      <c r="T143">
        <v>2</v>
      </c>
      <c r="U143" t="s">
        <v>123</v>
      </c>
      <c r="V143">
        <v>2</v>
      </c>
      <c r="W143">
        <v>2</v>
      </c>
      <c r="X143">
        <v>2</v>
      </c>
      <c r="Y143">
        <f>VLOOKUP(Table_clu7sql1_ssdb_REPORT_vw_IE_External_MI_SON[[#This Row],[URN]],[1]Data!$D$2:$BB$1084,31,)</f>
        <v>2</v>
      </c>
      <c r="Z143" t="s">
        <v>2596</v>
      </c>
      <c r="AA143" t="s">
        <v>2596</v>
      </c>
      <c r="AB143" t="s">
        <v>2598</v>
      </c>
      <c r="AC143" t="s">
        <v>2596</v>
      </c>
      <c r="AD143" t="s">
        <v>2596</v>
      </c>
      <c r="AE143" t="s">
        <v>2596</v>
      </c>
      <c r="AF143" t="s">
        <v>2596</v>
      </c>
      <c r="AG143" t="s">
        <v>2596</v>
      </c>
      <c r="AH143" t="s">
        <v>2596</v>
      </c>
    </row>
    <row r="144" spans="1:34" x14ac:dyDescent="0.25">
      <c r="A144" s="111" t="str">
        <f>HYPERLINK("http://www.ofsted.gov.uk/inspection-reports/find-inspection-report/provider/ELS/108419 ","Ofsted School Webpage")</f>
        <v>Ofsted School Webpage</v>
      </c>
      <c r="B144">
        <v>108419</v>
      </c>
      <c r="C144">
        <v>3906007</v>
      </c>
      <c r="D144" t="s">
        <v>1628</v>
      </c>
      <c r="E144" t="s">
        <v>36</v>
      </c>
      <c r="F144" t="s">
        <v>142</v>
      </c>
      <c r="G144" t="s">
        <v>275</v>
      </c>
      <c r="H144" t="s">
        <v>2595</v>
      </c>
      <c r="I144" t="s">
        <v>2596</v>
      </c>
      <c r="J144" t="s">
        <v>143</v>
      </c>
      <c r="K144" t="s">
        <v>202</v>
      </c>
      <c r="L144" t="s">
        <v>234</v>
      </c>
      <c r="M144" t="s">
        <v>604</v>
      </c>
      <c r="N144" t="s">
        <v>1629</v>
      </c>
      <c r="O144" t="s">
        <v>1630</v>
      </c>
      <c r="P144" s="108">
        <v>41716</v>
      </c>
      <c r="Q144" s="108">
        <v>41718</v>
      </c>
      <c r="R144" s="108">
        <v>41739</v>
      </c>
      <c r="S144" t="s">
        <v>153</v>
      </c>
      <c r="T144">
        <v>2</v>
      </c>
      <c r="U144" t="s">
        <v>2596</v>
      </c>
      <c r="V144">
        <v>2</v>
      </c>
      <c r="W144" t="s">
        <v>2596</v>
      </c>
      <c r="X144">
        <v>2</v>
      </c>
      <c r="Y144">
        <f>VLOOKUP(Table_clu7sql1_ssdb_REPORT_vw_IE_External_MI_SON[[#This Row],[URN]],[1]Data!$D$2:$BB$1084,31,)</f>
        <v>2</v>
      </c>
      <c r="Z144" t="s">
        <v>2596</v>
      </c>
      <c r="AA144" t="s">
        <v>2596</v>
      </c>
      <c r="AB144" t="s">
        <v>2886</v>
      </c>
      <c r="AC144" t="s">
        <v>2596</v>
      </c>
      <c r="AD144" t="s">
        <v>2596</v>
      </c>
      <c r="AE144" t="s">
        <v>2596</v>
      </c>
      <c r="AF144" t="s">
        <v>2596</v>
      </c>
      <c r="AG144" t="s">
        <v>2596</v>
      </c>
      <c r="AH144" t="s">
        <v>2596</v>
      </c>
    </row>
    <row r="145" spans="1:34" x14ac:dyDescent="0.25">
      <c r="A145" s="111" t="str">
        <f>HYPERLINK("http://www.ofsted.gov.uk/inspection-reports/find-inspection-report/provider/ELS/108877 ","Ofsted School Webpage")</f>
        <v>Ofsted School Webpage</v>
      </c>
      <c r="B145">
        <v>108877</v>
      </c>
      <c r="C145">
        <v>3946015</v>
      </c>
      <c r="D145" t="s">
        <v>1242</v>
      </c>
      <c r="E145" t="s">
        <v>37</v>
      </c>
      <c r="F145" t="s">
        <v>142</v>
      </c>
      <c r="G145" t="s">
        <v>142</v>
      </c>
      <c r="H145" t="s">
        <v>2595</v>
      </c>
      <c r="I145" t="s">
        <v>2596</v>
      </c>
      <c r="J145" t="s">
        <v>143</v>
      </c>
      <c r="K145" t="s">
        <v>202</v>
      </c>
      <c r="L145" t="s">
        <v>234</v>
      </c>
      <c r="M145" t="s">
        <v>1243</v>
      </c>
      <c r="N145" t="s">
        <v>1244</v>
      </c>
      <c r="O145">
        <v>10008894</v>
      </c>
      <c r="P145" s="108">
        <v>42346</v>
      </c>
      <c r="Q145" s="108">
        <v>42348</v>
      </c>
      <c r="R145" s="108">
        <v>42390</v>
      </c>
      <c r="S145" t="s">
        <v>153</v>
      </c>
      <c r="T145">
        <v>2</v>
      </c>
      <c r="U145" t="s">
        <v>123</v>
      </c>
      <c r="V145">
        <v>2</v>
      </c>
      <c r="W145">
        <v>2</v>
      </c>
      <c r="X145">
        <v>2</v>
      </c>
      <c r="Y145">
        <f>VLOOKUP(Table_clu7sql1_ssdb_REPORT_vw_IE_External_MI_SON[[#This Row],[URN]],[1]Data!$D$2:$BB$1084,31,)</f>
        <v>2</v>
      </c>
      <c r="Z145">
        <v>2</v>
      </c>
      <c r="AA145">
        <v>2</v>
      </c>
      <c r="AB145" t="s">
        <v>2598</v>
      </c>
      <c r="AC145" t="s">
        <v>2596</v>
      </c>
      <c r="AD145" t="s">
        <v>2596</v>
      </c>
      <c r="AE145" s="108" t="s">
        <v>2596</v>
      </c>
      <c r="AF145" t="s">
        <v>2596</v>
      </c>
      <c r="AG145" s="108" t="s">
        <v>2596</v>
      </c>
      <c r="AH145" t="s">
        <v>2596</v>
      </c>
    </row>
    <row r="146" spans="1:34" x14ac:dyDescent="0.25">
      <c r="A146" s="111" t="str">
        <f>HYPERLINK("http://www.ofsted.gov.uk/inspection-reports/find-inspection-report/provider/ELS/108886 ","Ofsted School Webpage")</f>
        <v>Ofsted School Webpage</v>
      </c>
      <c r="B146">
        <v>108886</v>
      </c>
      <c r="C146">
        <v>8736051</v>
      </c>
      <c r="D146" t="s">
        <v>1030</v>
      </c>
      <c r="E146" t="s">
        <v>37</v>
      </c>
      <c r="F146" t="s">
        <v>142</v>
      </c>
      <c r="G146" t="s">
        <v>142</v>
      </c>
      <c r="H146" t="s">
        <v>2595</v>
      </c>
      <c r="I146" t="s">
        <v>2596</v>
      </c>
      <c r="J146" t="s">
        <v>143</v>
      </c>
      <c r="K146" t="s">
        <v>177</v>
      </c>
      <c r="L146" t="s">
        <v>177</v>
      </c>
      <c r="M146" t="s">
        <v>241</v>
      </c>
      <c r="N146" t="s">
        <v>1031</v>
      </c>
      <c r="O146">
        <v>10043517</v>
      </c>
      <c r="P146" s="108">
        <v>43060</v>
      </c>
      <c r="Q146" s="108">
        <v>43062</v>
      </c>
      <c r="R146" s="108">
        <v>43117</v>
      </c>
      <c r="S146" t="s">
        <v>153</v>
      </c>
      <c r="T146">
        <v>1</v>
      </c>
      <c r="U146" t="s">
        <v>123</v>
      </c>
      <c r="V146">
        <v>1</v>
      </c>
      <c r="W146">
        <v>1</v>
      </c>
      <c r="X146">
        <v>1</v>
      </c>
      <c r="Y146">
        <f>VLOOKUP(Table_clu7sql1_ssdb_REPORT_vw_IE_External_MI_SON[[#This Row],[URN]],[1]Data!$D$2:$BB$1084,31,)</f>
        <v>1</v>
      </c>
      <c r="Z146" t="s">
        <v>2596</v>
      </c>
      <c r="AA146" t="s">
        <v>2596</v>
      </c>
      <c r="AB146" t="s">
        <v>2598</v>
      </c>
      <c r="AC146" t="s">
        <v>2596</v>
      </c>
      <c r="AD146" t="s">
        <v>2596</v>
      </c>
      <c r="AE146" t="s">
        <v>2596</v>
      </c>
      <c r="AF146" t="s">
        <v>2596</v>
      </c>
      <c r="AG146" t="s">
        <v>2596</v>
      </c>
      <c r="AH146" t="s">
        <v>2596</v>
      </c>
    </row>
    <row r="147" spans="1:34" x14ac:dyDescent="0.25">
      <c r="A147" s="111" t="str">
        <f>HYPERLINK("http://www.ofsted.gov.uk/inspection-reports/find-inspection-report/provider/ELS/109342 ","Ofsted School Webpage")</f>
        <v>Ofsted School Webpage</v>
      </c>
      <c r="B147">
        <v>109342</v>
      </c>
      <c r="C147">
        <v>8016008</v>
      </c>
      <c r="D147" t="s">
        <v>316</v>
      </c>
      <c r="E147" t="s">
        <v>37</v>
      </c>
      <c r="F147" t="s">
        <v>142</v>
      </c>
      <c r="G147" t="s">
        <v>142</v>
      </c>
      <c r="H147" t="s">
        <v>2595</v>
      </c>
      <c r="I147" t="s">
        <v>2596</v>
      </c>
      <c r="J147" t="s">
        <v>143</v>
      </c>
      <c r="K147" t="s">
        <v>182</v>
      </c>
      <c r="L147" t="s">
        <v>182</v>
      </c>
      <c r="M147" t="s">
        <v>317</v>
      </c>
      <c r="N147" t="s">
        <v>318</v>
      </c>
      <c r="O147">
        <v>10006037</v>
      </c>
      <c r="P147" s="108">
        <v>42758</v>
      </c>
      <c r="Q147" s="108">
        <v>42760</v>
      </c>
      <c r="R147" s="108">
        <v>42794</v>
      </c>
      <c r="S147" t="s">
        <v>153</v>
      </c>
      <c r="T147">
        <v>3</v>
      </c>
      <c r="U147" t="s">
        <v>123</v>
      </c>
      <c r="V147">
        <v>3</v>
      </c>
      <c r="W147">
        <v>2</v>
      </c>
      <c r="X147">
        <v>3</v>
      </c>
      <c r="Y147">
        <f>VLOOKUP(Table_clu7sql1_ssdb_REPORT_vw_IE_External_MI_SON[[#This Row],[URN]],[1]Data!$D$2:$BB$1084,31,)</f>
        <v>3</v>
      </c>
      <c r="Z147" t="s">
        <v>2596</v>
      </c>
      <c r="AA147">
        <v>3</v>
      </c>
      <c r="AB147" t="s">
        <v>2599</v>
      </c>
      <c r="AC147">
        <v>10040215</v>
      </c>
      <c r="AD147" t="s">
        <v>144</v>
      </c>
      <c r="AE147" s="108">
        <v>43018</v>
      </c>
      <c r="AF147" t="s">
        <v>2636</v>
      </c>
      <c r="AG147" s="108">
        <v>43045</v>
      </c>
      <c r="AH147" t="s">
        <v>146</v>
      </c>
    </row>
    <row r="148" spans="1:34" x14ac:dyDescent="0.25">
      <c r="A148" s="111" t="str">
        <f>HYPERLINK("http://www.ofsted.gov.uk/inspection-reports/find-inspection-report/provider/ELS/109343 ","Ofsted School Webpage")</f>
        <v>Ofsted School Webpage</v>
      </c>
      <c r="B148">
        <v>109343</v>
      </c>
      <c r="C148">
        <v>8016009</v>
      </c>
      <c r="D148" t="s">
        <v>2173</v>
      </c>
      <c r="E148" t="s">
        <v>36</v>
      </c>
      <c r="F148" t="s">
        <v>142</v>
      </c>
      <c r="G148" t="s">
        <v>142</v>
      </c>
      <c r="H148" t="s">
        <v>2595</v>
      </c>
      <c r="I148" t="s">
        <v>2596</v>
      </c>
      <c r="J148" t="s">
        <v>143</v>
      </c>
      <c r="K148" t="s">
        <v>182</v>
      </c>
      <c r="L148" t="s">
        <v>182</v>
      </c>
      <c r="M148" t="s">
        <v>317</v>
      </c>
      <c r="N148" t="s">
        <v>2174</v>
      </c>
      <c r="O148">
        <v>10006064</v>
      </c>
      <c r="P148" s="108">
        <v>42381</v>
      </c>
      <c r="Q148" s="108">
        <v>42383</v>
      </c>
      <c r="R148" s="108">
        <v>42423</v>
      </c>
      <c r="S148" t="s">
        <v>153</v>
      </c>
      <c r="T148">
        <v>2</v>
      </c>
      <c r="U148" t="s">
        <v>123</v>
      </c>
      <c r="V148">
        <v>2</v>
      </c>
      <c r="W148">
        <v>2</v>
      </c>
      <c r="X148">
        <v>2</v>
      </c>
      <c r="Y148">
        <f>VLOOKUP(Table_clu7sql1_ssdb_REPORT_vw_IE_External_MI_SON[[#This Row],[URN]],[1]Data!$D$2:$BB$1084,31,)</f>
        <v>2</v>
      </c>
      <c r="Z148">
        <v>2</v>
      </c>
      <c r="AA148" t="s">
        <v>2596</v>
      </c>
      <c r="AB148" t="s">
        <v>2598</v>
      </c>
      <c r="AC148" t="s">
        <v>2596</v>
      </c>
      <c r="AD148" t="s">
        <v>2596</v>
      </c>
      <c r="AE148" t="s">
        <v>2596</v>
      </c>
      <c r="AF148" t="s">
        <v>2596</v>
      </c>
      <c r="AG148" t="s">
        <v>2596</v>
      </c>
      <c r="AH148" t="s">
        <v>2596</v>
      </c>
    </row>
    <row r="149" spans="1:34" x14ac:dyDescent="0.25">
      <c r="A149" s="111" t="str">
        <f>HYPERLINK("http://www.ofsted.gov.uk/inspection-reports/find-inspection-report/provider/ELS/109353 ","Ofsted School Webpage")</f>
        <v>Ofsted School Webpage</v>
      </c>
      <c r="B149">
        <v>109353</v>
      </c>
      <c r="C149">
        <v>8036000</v>
      </c>
      <c r="D149" t="s">
        <v>566</v>
      </c>
      <c r="E149" t="s">
        <v>37</v>
      </c>
      <c r="F149" t="s">
        <v>142</v>
      </c>
      <c r="G149" t="s">
        <v>169</v>
      </c>
      <c r="H149" t="s">
        <v>2595</v>
      </c>
      <c r="I149" t="s">
        <v>2596</v>
      </c>
      <c r="J149" t="s">
        <v>143</v>
      </c>
      <c r="K149" t="s">
        <v>182</v>
      </c>
      <c r="L149" t="s">
        <v>182</v>
      </c>
      <c r="M149" t="s">
        <v>567</v>
      </c>
      <c r="N149" t="s">
        <v>568</v>
      </c>
      <c r="O149">
        <v>10026035</v>
      </c>
      <c r="P149" s="108">
        <v>42906</v>
      </c>
      <c r="Q149" s="108">
        <v>42908</v>
      </c>
      <c r="R149" s="108">
        <v>42933</v>
      </c>
      <c r="S149" t="s">
        <v>153</v>
      </c>
      <c r="T149">
        <v>2</v>
      </c>
      <c r="U149" t="s">
        <v>123</v>
      </c>
      <c r="V149">
        <v>2</v>
      </c>
      <c r="W149">
        <v>2</v>
      </c>
      <c r="X149">
        <v>2</v>
      </c>
      <c r="Y149">
        <f>VLOOKUP(Table_clu7sql1_ssdb_REPORT_vw_IE_External_MI_SON[[#This Row],[URN]],[1]Data!$D$2:$BB$1084,31,)</f>
        <v>2</v>
      </c>
      <c r="Z149" t="s">
        <v>2596</v>
      </c>
      <c r="AA149">
        <v>2</v>
      </c>
      <c r="AB149" t="s">
        <v>2598</v>
      </c>
      <c r="AC149" t="s">
        <v>2596</v>
      </c>
      <c r="AD149" t="s">
        <v>2596</v>
      </c>
      <c r="AE149" t="s">
        <v>2596</v>
      </c>
      <c r="AF149" t="s">
        <v>2596</v>
      </c>
      <c r="AG149" t="s">
        <v>2596</v>
      </c>
      <c r="AH149" t="s">
        <v>2596</v>
      </c>
    </row>
    <row r="150" spans="1:34" x14ac:dyDescent="0.25">
      <c r="A150" s="111" t="str">
        <f>HYPERLINK("http://www.ofsted.gov.uk/inspection-reports/find-inspection-report/provider/ELS/109355 ","Ofsted School Webpage")</f>
        <v>Ofsted School Webpage</v>
      </c>
      <c r="B150">
        <v>109355</v>
      </c>
      <c r="C150">
        <v>8036002</v>
      </c>
      <c r="D150" t="s">
        <v>2101</v>
      </c>
      <c r="E150" t="s">
        <v>36</v>
      </c>
      <c r="F150" t="s">
        <v>142</v>
      </c>
      <c r="G150" t="s">
        <v>397</v>
      </c>
      <c r="H150" t="s">
        <v>2595</v>
      </c>
      <c r="I150" t="s">
        <v>2596</v>
      </c>
      <c r="J150" t="s">
        <v>143</v>
      </c>
      <c r="K150" t="s">
        <v>182</v>
      </c>
      <c r="L150" t="s">
        <v>182</v>
      </c>
      <c r="M150" t="s">
        <v>567</v>
      </c>
      <c r="N150" t="s">
        <v>2102</v>
      </c>
      <c r="O150">
        <v>10020727</v>
      </c>
      <c r="P150" s="108">
        <v>42697</v>
      </c>
      <c r="Q150" s="108">
        <v>42699</v>
      </c>
      <c r="R150" s="108">
        <v>42745</v>
      </c>
      <c r="S150" t="s">
        <v>153</v>
      </c>
      <c r="T150">
        <v>1</v>
      </c>
      <c r="U150" t="s">
        <v>123</v>
      </c>
      <c r="V150">
        <v>1</v>
      </c>
      <c r="W150">
        <v>1</v>
      </c>
      <c r="X150">
        <v>1</v>
      </c>
      <c r="Y150">
        <f>VLOOKUP(Table_clu7sql1_ssdb_REPORT_vw_IE_External_MI_SON[[#This Row],[URN]],[1]Data!$D$2:$BB$1084,31,)</f>
        <v>1</v>
      </c>
      <c r="Z150">
        <v>1</v>
      </c>
      <c r="AA150" t="s">
        <v>2596</v>
      </c>
      <c r="AB150" t="s">
        <v>2598</v>
      </c>
      <c r="AC150" t="s">
        <v>2596</v>
      </c>
      <c r="AD150" t="s">
        <v>2596</v>
      </c>
      <c r="AE150" t="s">
        <v>2596</v>
      </c>
      <c r="AF150" t="s">
        <v>2596</v>
      </c>
      <c r="AG150" t="s">
        <v>2596</v>
      </c>
      <c r="AH150" t="s">
        <v>2596</v>
      </c>
    </row>
    <row r="151" spans="1:34" x14ac:dyDescent="0.25">
      <c r="A151" s="111" t="str">
        <f>HYPERLINK("http://www.ofsted.gov.uk/inspection-reports/find-inspection-report/provider/ELS/109364 ","Ofsted School Webpage")</f>
        <v>Ofsted School Webpage</v>
      </c>
      <c r="B151">
        <v>109364</v>
      </c>
      <c r="C151">
        <v>8026004</v>
      </c>
      <c r="D151" t="s">
        <v>1525</v>
      </c>
      <c r="E151" t="s">
        <v>36</v>
      </c>
      <c r="F151" t="s">
        <v>142</v>
      </c>
      <c r="G151" t="s">
        <v>142</v>
      </c>
      <c r="H151" t="s">
        <v>2595</v>
      </c>
      <c r="I151" t="s">
        <v>2596</v>
      </c>
      <c r="J151" t="s">
        <v>143</v>
      </c>
      <c r="K151" t="s">
        <v>182</v>
      </c>
      <c r="L151" t="s">
        <v>182</v>
      </c>
      <c r="M151" t="s">
        <v>1526</v>
      </c>
      <c r="N151" t="s">
        <v>1527</v>
      </c>
      <c r="O151">
        <v>10041373</v>
      </c>
      <c r="P151" s="108">
        <v>43123</v>
      </c>
      <c r="Q151" s="108">
        <v>43125</v>
      </c>
      <c r="R151" s="108">
        <v>43151</v>
      </c>
      <c r="S151" t="s">
        <v>153</v>
      </c>
      <c r="T151">
        <v>2</v>
      </c>
      <c r="U151" t="s">
        <v>123</v>
      </c>
      <c r="V151">
        <v>2</v>
      </c>
      <c r="W151">
        <v>1</v>
      </c>
      <c r="X151">
        <v>2</v>
      </c>
      <c r="Y151">
        <f>VLOOKUP(Table_clu7sql1_ssdb_REPORT_vw_IE_External_MI_SON[[#This Row],[URN]],[1]Data!$D$2:$BB$1084,31,)</f>
        <v>2</v>
      </c>
      <c r="Z151">
        <v>2</v>
      </c>
      <c r="AA151" t="s">
        <v>2596</v>
      </c>
      <c r="AB151" t="s">
        <v>2598</v>
      </c>
      <c r="AC151" t="s">
        <v>2596</v>
      </c>
      <c r="AD151" t="s">
        <v>2596</v>
      </c>
      <c r="AE151" s="108" t="s">
        <v>2596</v>
      </c>
      <c r="AF151" t="s">
        <v>2596</v>
      </c>
      <c r="AG151" s="108" t="s">
        <v>2596</v>
      </c>
      <c r="AH151" t="s">
        <v>2596</v>
      </c>
    </row>
    <row r="152" spans="1:34" x14ac:dyDescent="0.25">
      <c r="A152" s="111" t="str">
        <f>HYPERLINK("http://www.ofsted.gov.uk/inspection-reports/find-inspection-report/provider/ELS/109723 ","Ofsted School Webpage")</f>
        <v>Ofsted School Webpage</v>
      </c>
      <c r="B152">
        <v>109723</v>
      </c>
      <c r="C152">
        <v>8236007</v>
      </c>
      <c r="D152" t="s">
        <v>370</v>
      </c>
      <c r="E152" t="s">
        <v>36</v>
      </c>
      <c r="F152" t="s">
        <v>142</v>
      </c>
      <c r="G152" t="s">
        <v>142</v>
      </c>
      <c r="H152" t="s">
        <v>2595</v>
      </c>
      <c r="I152" t="s">
        <v>2596</v>
      </c>
      <c r="J152" t="s">
        <v>143</v>
      </c>
      <c r="K152" t="s">
        <v>177</v>
      </c>
      <c r="L152" t="s">
        <v>177</v>
      </c>
      <c r="M152" t="s">
        <v>371</v>
      </c>
      <c r="N152" t="s">
        <v>372</v>
      </c>
      <c r="O152">
        <v>10026060</v>
      </c>
      <c r="P152" s="108">
        <v>43011</v>
      </c>
      <c r="Q152" s="108">
        <v>43013</v>
      </c>
      <c r="R152" s="108">
        <v>43055</v>
      </c>
      <c r="S152" t="s">
        <v>153</v>
      </c>
      <c r="T152">
        <v>2</v>
      </c>
      <c r="U152" t="s">
        <v>123</v>
      </c>
      <c r="V152">
        <v>2</v>
      </c>
      <c r="W152">
        <v>2</v>
      </c>
      <c r="X152">
        <v>2</v>
      </c>
      <c r="Y152">
        <f>VLOOKUP(Table_clu7sql1_ssdb_REPORT_vw_IE_External_MI_SON[[#This Row],[URN]],[1]Data!$D$2:$BB$1084,31,)</f>
        <v>2</v>
      </c>
      <c r="Z152">
        <v>2</v>
      </c>
      <c r="AA152" t="s">
        <v>2596</v>
      </c>
      <c r="AB152" t="s">
        <v>2598</v>
      </c>
      <c r="AC152" t="s">
        <v>2596</v>
      </c>
      <c r="AD152" t="s">
        <v>2596</v>
      </c>
      <c r="AE152" t="s">
        <v>2596</v>
      </c>
      <c r="AF152" t="s">
        <v>2596</v>
      </c>
      <c r="AG152" t="s">
        <v>2596</v>
      </c>
      <c r="AH152" t="s">
        <v>2596</v>
      </c>
    </row>
    <row r="153" spans="1:34" x14ac:dyDescent="0.25">
      <c r="A153" s="111" t="str">
        <f>HYPERLINK("http://www.ofsted.gov.uk/inspection-reports/find-inspection-report/provider/ELS/109774 ","Ofsted School Webpage")</f>
        <v>Ofsted School Webpage</v>
      </c>
      <c r="B153">
        <v>109774</v>
      </c>
      <c r="C153">
        <v>3156588</v>
      </c>
      <c r="D153" t="s">
        <v>2600</v>
      </c>
      <c r="E153" t="s">
        <v>36</v>
      </c>
      <c r="F153" t="s">
        <v>142</v>
      </c>
      <c r="G153" t="s">
        <v>261</v>
      </c>
      <c r="H153" t="s">
        <v>2595</v>
      </c>
      <c r="I153" t="s">
        <v>2596</v>
      </c>
      <c r="J153" t="s">
        <v>143</v>
      </c>
      <c r="K153" t="s">
        <v>189</v>
      </c>
      <c r="L153" t="s">
        <v>189</v>
      </c>
      <c r="M153" t="s">
        <v>193</v>
      </c>
      <c r="N153" t="s">
        <v>194</v>
      </c>
      <c r="O153">
        <v>10034417</v>
      </c>
      <c r="P153" s="108">
        <v>42990</v>
      </c>
      <c r="Q153" s="108">
        <v>42992</v>
      </c>
      <c r="R153" s="108">
        <v>43045</v>
      </c>
      <c r="S153" t="s">
        <v>153</v>
      </c>
      <c r="T153">
        <v>4</v>
      </c>
      <c r="U153" t="s">
        <v>123</v>
      </c>
      <c r="V153">
        <v>4</v>
      </c>
      <c r="W153">
        <v>3</v>
      </c>
      <c r="X153">
        <v>4</v>
      </c>
      <c r="Y153">
        <f>VLOOKUP(Table_clu7sql1_ssdb_REPORT_vw_IE_External_MI_SON[[#This Row],[URN]],[1]Data!$D$2:$BB$1084,31,)</f>
        <v>4</v>
      </c>
      <c r="Z153">
        <v>3</v>
      </c>
      <c r="AA153" t="s">
        <v>2596</v>
      </c>
      <c r="AB153" t="s">
        <v>2599</v>
      </c>
      <c r="AC153" t="s">
        <v>2596</v>
      </c>
      <c r="AD153" t="s">
        <v>2596</v>
      </c>
      <c r="AE153" t="s">
        <v>2596</v>
      </c>
      <c r="AF153" t="s">
        <v>2596</v>
      </c>
      <c r="AG153" t="s">
        <v>2596</v>
      </c>
      <c r="AH153" t="s">
        <v>2596</v>
      </c>
    </row>
    <row r="154" spans="1:34" x14ac:dyDescent="0.25">
      <c r="A154" s="111" t="str">
        <f>HYPERLINK("http://www.ofsted.gov.uk/inspection-reports/find-inspection-report/provider/ELS/110141 ","Ofsted School Webpage")</f>
        <v>Ofsted School Webpage</v>
      </c>
      <c r="B154">
        <v>110141</v>
      </c>
      <c r="C154">
        <v>8676004</v>
      </c>
      <c r="D154" t="s">
        <v>1720</v>
      </c>
      <c r="E154" t="s">
        <v>36</v>
      </c>
      <c r="F154" t="s">
        <v>142</v>
      </c>
      <c r="G154" t="s">
        <v>644</v>
      </c>
      <c r="H154" t="s">
        <v>2595</v>
      </c>
      <c r="I154" t="s">
        <v>2596</v>
      </c>
      <c r="J154" t="s">
        <v>143</v>
      </c>
      <c r="K154" t="s">
        <v>139</v>
      </c>
      <c r="L154" t="s">
        <v>139</v>
      </c>
      <c r="M154" t="s">
        <v>977</v>
      </c>
      <c r="N154" t="s">
        <v>1721</v>
      </c>
      <c r="O154">
        <v>10012939</v>
      </c>
      <c r="P154" s="108">
        <v>42486</v>
      </c>
      <c r="Q154" s="108">
        <v>42488</v>
      </c>
      <c r="R154" s="108">
        <v>42508</v>
      </c>
      <c r="S154" t="s">
        <v>153</v>
      </c>
      <c r="T154">
        <v>2</v>
      </c>
      <c r="U154" t="s">
        <v>123</v>
      </c>
      <c r="V154">
        <v>2</v>
      </c>
      <c r="W154">
        <v>2</v>
      </c>
      <c r="X154">
        <v>2</v>
      </c>
      <c r="Y154">
        <f>VLOOKUP(Table_clu7sql1_ssdb_REPORT_vw_IE_External_MI_SON[[#This Row],[URN]],[1]Data!$D$2:$BB$1084,31,)</f>
        <v>2</v>
      </c>
      <c r="Z154">
        <v>2</v>
      </c>
      <c r="AA154" t="s">
        <v>2596</v>
      </c>
      <c r="AB154" t="s">
        <v>2598</v>
      </c>
      <c r="AC154" t="s">
        <v>2596</v>
      </c>
      <c r="AD154" t="s">
        <v>2596</v>
      </c>
      <c r="AE154" t="s">
        <v>2596</v>
      </c>
      <c r="AF154" t="s">
        <v>2596</v>
      </c>
      <c r="AG154" t="s">
        <v>2596</v>
      </c>
      <c r="AH154" t="s">
        <v>2596</v>
      </c>
    </row>
    <row r="155" spans="1:34" x14ac:dyDescent="0.25">
      <c r="A155" s="111" t="str">
        <f>HYPERLINK("http://www.ofsted.gov.uk/inspection-reports/find-inspection-report/provider/ELS/110147 ","Ofsted School Webpage")</f>
        <v>Ofsted School Webpage</v>
      </c>
      <c r="B155">
        <v>110147</v>
      </c>
      <c r="C155">
        <v>8686011</v>
      </c>
      <c r="D155" t="s">
        <v>2892</v>
      </c>
      <c r="E155" t="s">
        <v>36</v>
      </c>
      <c r="F155" t="s">
        <v>369</v>
      </c>
      <c r="G155" t="s">
        <v>369</v>
      </c>
      <c r="H155" t="s">
        <v>2595</v>
      </c>
      <c r="I155" t="s">
        <v>2596</v>
      </c>
      <c r="J155" t="s">
        <v>143</v>
      </c>
      <c r="K155" t="s">
        <v>139</v>
      </c>
      <c r="L155" t="s">
        <v>139</v>
      </c>
      <c r="M155" t="s">
        <v>1436</v>
      </c>
      <c r="N155" t="s">
        <v>1437</v>
      </c>
      <c r="O155" t="s">
        <v>2596</v>
      </c>
      <c r="P155" s="108" t="s">
        <v>2596</v>
      </c>
      <c r="Q155" s="108" t="s">
        <v>2596</v>
      </c>
      <c r="R155" s="108" t="s">
        <v>2596</v>
      </c>
      <c r="S155" t="s">
        <v>2596</v>
      </c>
      <c r="T155" t="s">
        <v>2596</v>
      </c>
      <c r="U155" t="s">
        <v>2596</v>
      </c>
      <c r="V155" t="s">
        <v>2596</v>
      </c>
      <c r="W155" t="s">
        <v>2596</v>
      </c>
      <c r="X155" t="s">
        <v>2596</v>
      </c>
      <c r="Y155" t="str">
        <f>VLOOKUP(Table_clu7sql1_ssdb_REPORT_vw_IE_External_MI_SON[[#This Row],[URN]],[1]Data!$D$2:$BB$1084,31,)</f>
        <v>NULL</v>
      </c>
      <c r="Z155" t="s">
        <v>2596</v>
      </c>
      <c r="AA155" t="s">
        <v>2596</v>
      </c>
      <c r="AB155" t="s">
        <v>2596</v>
      </c>
      <c r="AC155" t="s">
        <v>2596</v>
      </c>
      <c r="AD155" t="s">
        <v>2596</v>
      </c>
      <c r="AE155" t="s">
        <v>2596</v>
      </c>
      <c r="AF155" t="s">
        <v>2596</v>
      </c>
      <c r="AG155" t="s">
        <v>2596</v>
      </c>
      <c r="AH155" t="s">
        <v>2596</v>
      </c>
    </row>
    <row r="156" spans="1:34" x14ac:dyDescent="0.25">
      <c r="A156" s="111" t="str">
        <f>HYPERLINK("http://www.ofsted.gov.uk/inspection-reports/find-inspection-report/provider/ELS/110178 ","Ofsted School Webpage")</f>
        <v>Ofsted School Webpage</v>
      </c>
      <c r="B156">
        <v>110178</v>
      </c>
      <c r="C156">
        <v>8676580</v>
      </c>
      <c r="D156" t="s">
        <v>1366</v>
      </c>
      <c r="E156" t="s">
        <v>37</v>
      </c>
      <c r="F156" t="s">
        <v>142</v>
      </c>
      <c r="G156" t="s">
        <v>142</v>
      </c>
      <c r="H156" t="s">
        <v>2595</v>
      </c>
      <c r="I156" t="s">
        <v>2596</v>
      </c>
      <c r="J156" t="s">
        <v>143</v>
      </c>
      <c r="K156" t="s">
        <v>139</v>
      </c>
      <c r="L156" t="s">
        <v>139</v>
      </c>
      <c r="M156" t="s">
        <v>977</v>
      </c>
      <c r="N156" t="s">
        <v>1367</v>
      </c>
      <c r="O156">
        <v>10006109</v>
      </c>
      <c r="P156" s="108">
        <v>42920</v>
      </c>
      <c r="Q156" s="108">
        <v>42922</v>
      </c>
      <c r="R156" s="108">
        <v>42985</v>
      </c>
      <c r="S156" t="s">
        <v>153</v>
      </c>
      <c r="T156">
        <v>2</v>
      </c>
      <c r="U156" t="s">
        <v>123</v>
      </c>
      <c r="V156">
        <v>2</v>
      </c>
      <c r="W156">
        <v>2</v>
      </c>
      <c r="X156">
        <v>2</v>
      </c>
      <c r="Y156">
        <f>VLOOKUP(Table_clu7sql1_ssdb_REPORT_vw_IE_External_MI_SON[[#This Row],[URN]],[1]Data!$D$2:$BB$1084,31,)</f>
        <v>2</v>
      </c>
      <c r="Z156" t="s">
        <v>2596</v>
      </c>
      <c r="AA156" t="s">
        <v>2596</v>
      </c>
      <c r="AB156" t="s">
        <v>2598</v>
      </c>
      <c r="AC156" t="s">
        <v>2596</v>
      </c>
      <c r="AD156" t="s">
        <v>2596</v>
      </c>
      <c r="AE156" t="s">
        <v>2596</v>
      </c>
      <c r="AF156" t="s">
        <v>2596</v>
      </c>
      <c r="AG156" t="s">
        <v>2596</v>
      </c>
      <c r="AH156" t="s">
        <v>2596</v>
      </c>
    </row>
    <row r="157" spans="1:34" x14ac:dyDescent="0.25">
      <c r="A157" s="111" t="str">
        <f>HYPERLINK("http://www.ofsted.gov.uk/inspection-reports/find-inspection-report/provider/ELS/110557 ","Ofsted School Webpage")</f>
        <v>Ofsted School Webpage</v>
      </c>
      <c r="B157">
        <v>110557</v>
      </c>
      <c r="C157">
        <v>8256016</v>
      </c>
      <c r="D157" t="s">
        <v>1668</v>
      </c>
      <c r="E157" t="s">
        <v>36</v>
      </c>
      <c r="F157" t="s">
        <v>142</v>
      </c>
      <c r="G157" t="s">
        <v>142</v>
      </c>
      <c r="H157" t="s">
        <v>2595</v>
      </c>
      <c r="I157" t="s">
        <v>2596</v>
      </c>
      <c r="J157" t="s">
        <v>143</v>
      </c>
      <c r="K157" t="s">
        <v>139</v>
      </c>
      <c r="L157" t="s">
        <v>139</v>
      </c>
      <c r="M157" t="s">
        <v>208</v>
      </c>
      <c r="N157" t="s">
        <v>1669</v>
      </c>
      <c r="O157">
        <v>10012906</v>
      </c>
      <c r="P157" s="108">
        <v>42535</v>
      </c>
      <c r="Q157" s="108">
        <v>42537</v>
      </c>
      <c r="R157" s="108">
        <v>42562</v>
      </c>
      <c r="S157" t="s">
        <v>153</v>
      </c>
      <c r="T157">
        <v>3</v>
      </c>
      <c r="U157" t="s">
        <v>123</v>
      </c>
      <c r="V157">
        <v>3</v>
      </c>
      <c r="W157">
        <v>2</v>
      </c>
      <c r="X157">
        <v>2</v>
      </c>
      <c r="Y157">
        <f>VLOOKUP(Table_clu7sql1_ssdb_REPORT_vw_IE_External_MI_SON[[#This Row],[URN]],[1]Data!$D$2:$BB$1084,31,)</f>
        <v>2</v>
      </c>
      <c r="Z157">
        <v>3</v>
      </c>
      <c r="AA157" t="s">
        <v>2596</v>
      </c>
      <c r="AB157" t="s">
        <v>2598</v>
      </c>
      <c r="AC157" t="s">
        <v>2596</v>
      </c>
      <c r="AD157" t="s">
        <v>2596</v>
      </c>
      <c r="AE157" t="s">
        <v>2596</v>
      </c>
      <c r="AF157" t="s">
        <v>2596</v>
      </c>
      <c r="AG157" t="s">
        <v>2596</v>
      </c>
      <c r="AH157" t="s">
        <v>2596</v>
      </c>
    </row>
    <row r="158" spans="1:34" x14ac:dyDescent="0.25">
      <c r="A158" s="111" t="str">
        <f>HYPERLINK("http://www.ofsted.gov.uk/inspection-reports/find-inspection-report/provider/ELS/110564 ","Ofsted School Webpage")</f>
        <v>Ofsted School Webpage</v>
      </c>
      <c r="B158">
        <v>110564</v>
      </c>
      <c r="C158">
        <v>8256011</v>
      </c>
      <c r="D158" t="s">
        <v>930</v>
      </c>
      <c r="E158" t="s">
        <v>37</v>
      </c>
      <c r="F158" t="s">
        <v>142</v>
      </c>
      <c r="G158" t="s">
        <v>142</v>
      </c>
      <c r="H158" t="s">
        <v>2595</v>
      </c>
      <c r="I158" t="s">
        <v>2596</v>
      </c>
      <c r="J158" t="s">
        <v>143</v>
      </c>
      <c r="K158" t="s">
        <v>139</v>
      </c>
      <c r="L158" t="s">
        <v>139</v>
      </c>
      <c r="M158" t="s">
        <v>208</v>
      </c>
      <c r="N158" t="s">
        <v>931</v>
      </c>
      <c r="O158">
        <v>10025975</v>
      </c>
      <c r="P158" s="108">
        <v>42899</v>
      </c>
      <c r="Q158" s="108">
        <v>42901</v>
      </c>
      <c r="R158" s="108">
        <v>42922</v>
      </c>
      <c r="S158" t="s">
        <v>153</v>
      </c>
      <c r="T158">
        <v>2</v>
      </c>
      <c r="U158" t="s">
        <v>123</v>
      </c>
      <c r="V158">
        <v>2</v>
      </c>
      <c r="W158">
        <v>1</v>
      </c>
      <c r="X158">
        <v>2</v>
      </c>
      <c r="Y158">
        <f>VLOOKUP(Table_clu7sql1_ssdb_REPORT_vw_IE_External_MI_SON[[#This Row],[URN]],[1]Data!$D$2:$BB$1084,31,)</f>
        <v>2</v>
      </c>
      <c r="Z158" t="s">
        <v>2596</v>
      </c>
      <c r="AA158">
        <v>2</v>
      </c>
      <c r="AB158" t="s">
        <v>2598</v>
      </c>
      <c r="AC158" t="s">
        <v>2596</v>
      </c>
      <c r="AD158" t="s">
        <v>2596</v>
      </c>
      <c r="AE158" t="s">
        <v>2596</v>
      </c>
      <c r="AF158" t="s">
        <v>2596</v>
      </c>
      <c r="AG158" t="s">
        <v>2596</v>
      </c>
      <c r="AH158" t="s">
        <v>2596</v>
      </c>
    </row>
    <row r="159" spans="1:34" x14ac:dyDescent="0.25">
      <c r="A159" s="111" t="str">
        <f>HYPERLINK("http://www.ofsted.gov.uk/inspection-reports/find-inspection-report/provider/ELS/110920 ","Ofsted School Webpage")</f>
        <v>Ofsted School Webpage</v>
      </c>
      <c r="B159">
        <v>110920</v>
      </c>
      <c r="C159">
        <v>8736008</v>
      </c>
      <c r="D159" t="s">
        <v>529</v>
      </c>
      <c r="E159" t="s">
        <v>37</v>
      </c>
      <c r="F159" t="s">
        <v>142</v>
      </c>
      <c r="G159" t="s">
        <v>142</v>
      </c>
      <c r="H159" t="s">
        <v>2595</v>
      </c>
      <c r="I159" t="s">
        <v>2596</v>
      </c>
      <c r="J159" t="s">
        <v>143</v>
      </c>
      <c r="K159" t="s">
        <v>177</v>
      </c>
      <c r="L159" t="s">
        <v>177</v>
      </c>
      <c r="M159" t="s">
        <v>241</v>
      </c>
      <c r="N159" t="s">
        <v>530</v>
      </c>
      <c r="O159">
        <v>10020932</v>
      </c>
      <c r="P159" s="108">
        <v>43047</v>
      </c>
      <c r="Q159" s="108">
        <v>43049</v>
      </c>
      <c r="R159" s="108">
        <v>43082</v>
      </c>
      <c r="S159" t="s">
        <v>153</v>
      </c>
      <c r="T159">
        <v>2</v>
      </c>
      <c r="U159" t="s">
        <v>123</v>
      </c>
      <c r="V159">
        <v>2</v>
      </c>
      <c r="W159">
        <v>2</v>
      </c>
      <c r="X159">
        <v>2</v>
      </c>
      <c r="Y159">
        <f>VLOOKUP(Table_clu7sql1_ssdb_REPORT_vw_IE_External_MI_SON[[#This Row],[URN]],[1]Data!$D$2:$BB$1084,31,)</f>
        <v>2</v>
      </c>
      <c r="Z159" t="s">
        <v>2596</v>
      </c>
      <c r="AA159">
        <v>2</v>
      </c>
      <c r="AB159" t="s">
        <v>2598</v>
      </c>
      <c r="AC159" t="s">
        <v>2596</v>
      </c>
      <c r="AD159" t="s">
        <v>2596</v>
      </c>
      <c r="AE159" t="s">
        <v>2596</v>
      </c>
      <c r="AF159" t="s">
        <v>2596</v>
      </c>
      <c r="AG159" t="s">
        <v>2596</v>
      </c>
      <c r="AH159" t="s">
        <v>2596</v>
      </c>
    </row>
    <row r="160" spans="1:34" x14ac:dyDescent="0.25">
      <c r="A160" s="111" t="str">
        <f>HYPERLINK("http://www.ofsted.gov.uk/inspection-reports/find-inspection-report/provider/ELS/110930 ","Ofsted School Webpage")</f>
        <v>Ofsted School Webpage</v>
      </c>
      <c r="B160">
        <v>110930</v>
      </c>
      <c r="C160">
        <v>8736017</v>
      </c>
      <c r="D160" t="s">
        <v>2893</v>
      </c>
      <c r="E160" t="s">
        <v>36</v>
      </c>
      <c r="F160" t="s">
        <v>142</v>
      </c>
      <c r="G160" t="s">
        <v>397</v>
      </c>
      <c r="H160" t="s">
        <v>2595</v>
      </c>
      <c r="I160" t="s">
        <v>2596</v>
      </c>
      <c r="J160" t="s">
        <v>143</v>
      </c>
      <c r="K160" t="s">
        <v>177</v>
      </c>
      <c r="L160" t="s">
        <v>177</v>
      </c>
      <c r="M160" t="s">
        <v>241</v>
      </c>
      <c r="N160" t="s">
        <v>671</v>
      </c>
      <c r="O160">
        <v>10008885</v>
      </c>
      <c r="P160" s="108">
        <v>42682</v>
      </c>
      <c r="Q160" s="108">
        <v>42684</v>
      </c>
      <c r="R160" s="108">
        <v>42726</v>
      </c>
      <c r="S160" t="s">
        <v>153</v>
      </c>
      <c r="T160">
        <v>1</v>
      </c>
      <c r="U160" t="s">
        <v>123</v>
      </c>
      <c r="V160">
        <v>1</v>
      </c>
      <c r="W160">
        <v>1</v>
      </c>
      <c r="X160">
        <v>1</v>
      </c>
      <c r="Y160">
        <f>VLOOKUP(Table_clu7sql1_ssdb_REPORT_vw_IE_External_MI_SON[[#This Row],[URN]],[1]Data!$D$2:$BB$1084,31,)</f>
        <v>1</v>
      </c>
      <c r="Z160" t="s">
        <v>2596</v>
      </c>
      <c r="AA160">
        <v>1</v>
      </c>
      <c r="AB160" t="s">
        <v>2598</v>
      </c>
      <c r="AC160" t="s">
        <v>2596</v>
      </c>
      <c r="AD160" t="s">
        <v>2596</v>
      </c>
      <c r="AE160" s="108" t="s">
        <v>2596</v>
      </c>
      <c r="AF160" t="s">
        <v>2596</v>
      </c>
      <c r="AG160" s="108" t="s">
        <v>2596</v>
      </c>
      <c r="AH160" t="s">
        <v>2596</v>
      </c>
    </row>
    <row r="161" spans="1:34" x14ac:dyDescent="0.25">
      <c r="A161" s="111" t="str">
        <f>HYPERLINK("http://www.ofsted.gov.uk/inspection-reports/find-inspection-report/provider/ELS/110931 ","Ofsted School Webpage")</f>
        <v>Ofsted School Webpage</v>
      </c>
      <c r="B161">
        <v>110931</v>
      </c>
      <c r="C161">
        <v>8736018</v>
      </c>
      <c r="D161" t="s">
        <v>876</v>
      </c>
      <c r="E161" t="s">
        <v>37</v>
      </c>
      <c r="F161" t="s">
        <v>142</v>
      </c>
      <c r="G161" t="s">
        <v>142</v>
      </c>
      <c r="H161" t="s">
        <v>2595</v>
      </c>
      <c r="I161" t="s">
        <v>2596</v>
      </c>
      <c r="J161" t="s">
        <v>143</v>
      </c>
      <c r="K161" t="s">
        <v>177</v>
      </c>
      <c r="L161" t="s">
        <v>177</v>
      </c>
      <c r="M161" t="s">
        <v>241</v>
      </c>
      <c r="N161" t="s">
        <v>877</v>
      </c>
      <c r="O161">
        <v>10038901</v>
      </c>
      <c r="P161" s="108">
        <v>43116</v>
      </c>
      <c r="Q161" s="108">
        <v>43118</v>
      </c>
      <c r="R161" s="108">
        <v>43153</v>
      </c>
      <c r="S161" t="s">
        <v>153</v>
      </c>
      <c r="T161">
        <v>2</v>
      </c>
      <c r="U161" t="s">
        <v>123</v>
      </c>
      <c r="V161">
        <v>2</v>
      </c>
      <c r="W161">
        <v>1</v>
      </c>
      <c r="X161">
        <v>2</v>
      </c>
      <c r="Y161">
        <f>VLOOKUP(Table_clu7sql1_ssdb_REPORT_vw_IE_External_MI_SON[[#This Row],[URN]],[1]Data!$D$2:$BB$1084,31,)</f>
        <v>2</v>
      </c>
      <c r="Z161" t="s">
        <v>2596</v>
      </c>
      <c r="AA161" t="s">
        <v>2596</v>
      </c>
      <c r="AB161" t="s">
        <v>2598</v>
      </c>
      <c r="AC161" t="s">
        <v>2596</v>
      </c>
      <c r="AD161" t="s">
        <v>2596</v>
      </c>
      <c r="AE161" t="s">
        <v>2596</v>
      </c>
      <c r="AF161" t="s">
        <v>2596</v>
      </c>
      <c r="AG161" t="s">
        <v>2596</v>
      </c>
      <c r="AH161" t="s">
        <v>2596</v>
      </c>
    </row>
    <row r="162" spans="1:34" x14ac:dyDescent="0.25">
      <c r="A162" s="111" t="str">
        <f>HYPERLINK("http://www.ofsted.gov.uk/inspection-reports/find-inspection-report/provider/ELS/110932 ","Ofsted School Webpage")</f>
        <v>Ofsted School Webpage</v>
      </c>
      <c r="B162">
        <v>110932</v>
      </c>
      <c r="C162">
        <v>8736019</v>
      </c>
      <c r="D162" t="s">
        <v>2103</v>
      </c>
      <c r="E162" t="s">
        <v>36</v>
      </c>
      <c r="F162" t="s">
        <v>142</v>
      </c>
      <c r="G162" t="s">
        <v>142</v>
      </c>
      <c r="H162" t="s">
        <v>2595</v>
      </c>
      <c r="I162" t="s">
        <v>2596</v>
      </c>
      <c r="J162" t="s">
        <v>143</v>
      </c>
      <c r="K162" t="s">
        <v>177</v>
      </c>
      <c r="L162" t="s">
        <v>177</v>
      </c>
      <c r="M162" t="s">
        <v>241</v>
      </c>
      <c r="N162" t="s">
        <v>2104</v>
      </c>
      <c r="O162" t="s">
        <v>2105</v>
      </c>
      <c r="P162" s="108">
        <v>42045</v>
      </c>
      <c r="Q162" s="108">
        <v>42047</v>
      </c>
      <c r="R162" s="108">
        <v>42072</v>
      </c>
      <c r="S162" t="s">
        <v>153</v>
      </c>
      <c r="T162">
        <v>2</v>
      </c>
      <c r="U162" t="s">
        <v>2596</v>
      </c>
      <c r="V162">
        <v>2</v>
      </c>
      <c r="W162" t="s">
        <v>2596</v>
      </c>
      <c r="X162">
        <v>2</v>
      </c>
      <c r="Y162">
        <f>VLOOKUP(Table_clu7sql1_ssdb_REPORT_vw_IE_External_MI_SON[[#This Row],[URN]],[1]Data!$D$2:$BB$1084,31,)</f>
        <v>2</v>
      </c>
      <c r="Z162">
        <v>9</v>
      </c>
      <c r="AA162">
        <v>2</v>
      </c>
      <c r="AB162" t="s">
        <v>2598</v>
      </c>
      <c r="AC162" t="s">
        <v>2596</v>
      </c>
      <c r="AD162" t="s">
        <v>2596</v>
      </c>
      <c r="AE162" t="s">
        <v>2596</v>
      </c>
      <c r="AF162" t="s">
        <v>2596</v>
      </c>
      <c r="AG162" t="s">
        <v>2596</v>
      </c>
      <c r="AH162" t="s">
        <v>2596</v>
      </c>
    </row>
    <row r="163" spans="1:34" x14ac:dyDescent="0.25">
      <c r="A163" s="111" t="str">
        <f>HYPERLINK("http://www.ofsted.gov.uk/inspection-reports/find-inspection-report/provider/ELS/111479 ","Ofsted School Webpage")</f>
        <v>Ofsted School Webpage</v>
      </c>
      <c r="B163">
        <v>111479</v>
      </c>
      <c r="C163">
        <v>8956013</v>
      </c>
      <c r="D163" t="s">
        <v>2464</v>
      </c>
      <c r="E163" t="s">
        <v>36</v>
      </c>
      <c r="F163" t="s">
        <v>142</v>
      </c>
      <c r="G163" t="s">
        <v>169</v>
      </c>
      <c r="H163" t="s">
        <v>2595</v>
      </c>
      <c r="I163" t="s">
        <v>2596</v>
      </c>
      <c r="J163" t="s">
        <v>143</v>
      </c>
      <c r="K163" t="s">
        <v>162</v>
      </c>
      <c r="L163" t="s">
        <v>162</v>
      </c>
      <c r="M163" t="s">
        <v>801</v>
      </c>
      <c r="N163" t="s">
        <v>2465</v>
      </c>
      <c r="O163">
        <v>10012948</v>
      </c>
      <c r="P163" s="108">
        <v>42781</v>
      </c>
      <c r="Q163" s="108">
        <v>42783</v>
      </c>
      <c r="R163" s="108">
        <v>42814</v>
      </c>
      <c r="S163" t="s">
        <v>153</v>
      </c>
      <c r="T163">
        <v>2</v>
      </c>
      <c r="U163" t="s">
        <v>123</v>
      </c>
      <c r="V163">
        <v>2</v>
      </c>
      <c r="W163">
        <v>2</v>
      </c>
      <c r="X163">
        <v>1</v>
      </c>
      <c r="Y163">
        <f>VLOOKUP(Table_clu7sql1_ssdb_REPORT_vw_IE_External_MI_SON[[#This Row],[URN]],[1]Data!$D$2:$BB$1084,31,)</f>
        <v>1</v>
      </c>
      <c r="Z163">
        <v>1</v>
      </c>
      <c r="AA163" t="s">
        <v>2596</v>
      </c>
      <c r="AB163" t="s">
        <v>2598</v>
      </c>
      <c r="AC163" t="s">
        <v>2596</v>
      </c>
      <c r="AD163" t="s">
        <v>2596</v>
      </c>
      <c r="AE163" t="s">
        <v>2596</v>
      </c>
      <c r="AF163" t="s">
        <v>2596</v>
      </c>
      <c r="AG163" t="s">
        <v>2596</v>
      </c>
      <c r="AH163" t="s">
        <v>2596</v>
      </c>
    </row>
    <row r="164" spans="1:34" x14ac:dyDescent="0.25">
      <c r="A164" s="111" t="str">
        <f>HYPERLINK("http://www.ofsted.gov.uk/inspection-reports/find-inspection-report/provider/ELS/112452 ","Ofsted School Webpage")</f>
        <v>Ofsted School Webpage</v>
      </c>
      <c r="B164">
        <v>112452</v>
      </c>
      <c r="C164">
        <v>9096027</v>
      </c>
      <c r="D164" t="s">
        <v>1254</v>
      </c>
      <c r="E164" t="s">
        <v>37</v>
      </c>
      <c r="F164" t="s">
        <v>142</v>
      </c>
      <c r="G164" t="s">
        <v>142</v>
      </c>
      <c r="H164" t="s">
        <v>2595</v>
      </c>
      <c r="I164" t="s">
        <v>2596</v>
      </c>
      <c r="J164" t="s">
        <v>143</v>
      </c>
      <c r="K164" t="s">
        <v>162</v>
      </c>
      <c r="L164" t="s">
        <v>162</v>
      </c>
      <c r="M164" t="s">
        <v>895</v>
      </c>
      <c r="N164" t="s">
        <v>1255</v>
      </c>
      <c r="O164">
        <v>10043369</v>
      </c>
      <c r="P164" s="108">
        <v>43116</v>
      </c>
      <c r="Q164" s="108">
        <v>43118</v>
      </c>
      <c r="R164" s="108">
        <v>43157</v>
      </c>
      <c r="S164" t="s">
        <v>153</v>
      </c>
      <c r="T164">
        <v>2</v>
      </c>
      <c r="U164" t="s">
        <v>123</v>
      </c>
      <c r="V164">
        <v>2</v>
      </c>
      <c r="W164">
        <v>2</v>
      </c>
      <c r="X164">
        <v>2</v>
      </c>
      <c r="Y164">
        <f>VLOOKUP(Table_clu7sql1_ssdb_REPORT_vw_IE_External_MI_SON[[#This Row],[URN]],[1]Data!$D$2:$BB$1084,31,)</f>
        <v>2</v>
      </c>
      <c r="Z164" t="s">
        <v>2596</v>
      </c>
      <c r="AA164">
        <v>2</v>
      </c>
      <c r="AB164" t="s">
        <v>2598</v>
      </c>
      <c r="AC164" t="s">
        <v>2596</v>
      </c>
      <c r="AD164" t="s">
        <v>2596</v>
      </c>
      <c r="AE164" t="s">
        <v>2596</v>
      </c>
      <c r="AF164" t="s">
        <v>2596</v>
      </c>
      <c r="AG164" t="s">
        <v>2596</v>
      </c>
      <c r="AH164" t="s">
        <v>2596</v>
      </c>
    </row>
    <row r="165" spans="1:34" x14ac:dyDescent="0.25">
      <c r="A165" s="111" t="str">
        <f>HYPERLINK("http://www.ofsted.gov.uk/inspection-reports/find-inspection-report/provider/ELS/112456 ","Ofsted School Webpage")</f>
        <v>Ofsted School Webpage</v>
      </c>
      <c r="B165">
        <v>112456</v>
      </c>
      <c r="C165">
        <v>8156041</v>
      </c>
      <c r="D165" t="s">
        <v>508</v>
      </c>
      <c r="E165" t="s">
        <v>37</v>
      </c>
      <c r="F165" t="s">
        <v>142</v>
      </c>
      <c r="G165" t="s">
        <v>142</v>
      </c>
      <c r="H165" t="s">
        <v>2595</v>
      </c>
      <c r="I165" t="s">
        <v>2596</v>
      </c>
      <c r="J165" t="s">
        <v>143</v>
      </c>
      <c r="K165" t="s">
        <v>202</v>
      </c>
      <c r="L165" t="s">
        <v>203</v>
      </c>
      <c r="M165" t="s">
        <v>509</v>
      </c>
      <c r="N165" t="s">
        <v>510</v>
      </c>
      <c r="O165">
        <v>10018438</v>
      </c>
      <c r="P165" s="108">
        <v>42486</v>
      </c>
      <c r="Q165" s="108">
        <v>42488</v>
      </c>
      <c r="R165" s="108">
        <v>42507</v>
      </c>
      <c r="S165" t="s">
        <v>224</v>
      </c>
      <c r="T165">
        <v>2</v>
      </c>
      <c r="U165" t="s">
        <v>123</v>
      </c>
      <c r="V165">
        <v>2</v>
      </c>
      <c r="W165">
        <v>2</v>
      </c>
      <c r="X165">
        <v>2</v>
      </c>
      <c r="Y165">
        <f>VLOOKUP(Table_clu7sql1_ssdb_REPORT_vw_IE_External_MI_SON[[#This Row],[URN]],[1]Data!$D$2:$BB$1084,31,)</f>
        <v>2</v>
      </c>
      <c r="Z165" t="s">
        <v>2596</v>
      </c>
      <c r="AA165">
        <v>2</v>
      </c>
      <c r="AB165" t="s">
        <v>2598</v>
      </c>
      <c r="AC165" t="s">
        <v>2596</v>
      </c>
      <c r="AD165" t="s">
        <v>2596</v>
      </c>
      <c r="AE165" t="s">
        <v>2596</v>
      </c>
      <c r="AF165" t="s">
        <v>2596</v>
      </c>
      <c r="AG165" t="s">
        <v>2596</v>
      </c>
      <c r="AH165" t="s">
        <v>2596</v>
      </c>
    </row>
    <row r="166" spans="1:34" x14ac:dyDescent="0.25">
      <c r="A166" s="111" t="str">
        <f>HYPERLINK("http://www.ofsted.gov.uk/inspection-reports/find-inspection-report/provider/ELS/112461 ","Ofsted School Webpage")</f>
        <v>Ofsted School Webpage</v>
      </c>
      <c r="B166">
        <v>112461</v>
      </c>
      <c r="C166">
        <v>9096044</v>
      </c>
      <c r="D166" t="s">
        <v>1415</v>
      </c>
      <c r="E166" t="s">
        <v>37</v>
      </c>
      <c r="F166" t="s">
        <v>142</v>
      </c>
      <c r="G166" t="s">
        <v>142</v>
      </c>
      <c r="H166" t="s">
        <v>2595</v>
      </c>
      <c r="I166" t="s">
        <v>2596</v>
      </c>
      <c r="J166" t="s">
        <v>143</v>
      </c>
      <c r="K166" t="s">
        <v>162</v>
      </c>
      <c r="L166" t="s">
        <v>162</v>
      </c>
      <c r="M166" t="s">
        <v>895</v>
      </c>
      <c r="N166" t="s">
        <v>1416</v>
      </c>
      <c r="O166">
        <v>10008938</v>
      </c>
      <c r="P166" s="108">
        <v>43109</v>
      </c>
      <c r="Q166" s="108">
        <v>43111</v>
      </c>
      <c r="R166" s="108">
        <v>43146</v>
      </c>
      <c r="S166" t="s">
        <v>153</v>
      </c>
      <c r="T166">
        <v>1</v>
      </c>
      <c r="U166" t="s">
        <v>123</v>
      </c>
      <c r="V166">
        <v>1</v>
      </c>
      <c r="W166">
        <v>1</v>
      </c>
      <c r="X166">
        <v>1</v>
      </c>
      <c r="Y166">
        <f>VLOOKUP(Table_clu7sql1_ssdb_REPORT_vw_IE_External_MI_SON[[#This Row],[URN]],[1]Data!$D$2:$BB$1084,31,)</f>
        <v>1</v>
      </c>
      <c r="Z166" t="s">
        <v>2596</v>
      </c>
      <c r="AA166">
        <v>1</v>
      </c>
      <c r="AB166" t="s">
        <v>2598</v>
      </c>
      <c r="AC166" t="s">
        <v>2596</v>
      </c>
      <c r="AD166" t="s">
        <v>2596</v>
      </c>
      <c r="AE166" t="s">
        <v>2596</v>
      </c>
      <c r="AF166" t="s">
        <v>2596</v>
      </c>
      <c r="AG166" t="s">
        <v>2596</v>
      </c>
      <c r="AH166" t="s">
        <v>2596</v>
      </c>
    </row>
    <row r="167" spans="1:34" x14ac:dyDescent="0.25">
      <c r="A167" s="111" t="str">
        <f>HYPERLINK("http://www.ofsted.gov.uk/inspection-reports/find-inspection-report/provider/ELS/113019 ","Ofsted School Webpage")</f>
        <v>Ofsted School Webpage</v>
      </c>
      <c r="B167">
        <v>113019</v>
      </c>
      <c r="C167">
        <v>8306009</v>
      </c>
      <c r="D167" t="s">
        <v>498</v>
      </c>
      <c r="E167" t="s">
        <v>37</v>
      </c>
      <c r="F167" t="s">
        <v>142</v>
      </c>
      <c r="G167" t="s">
        <v>142</v>
      </c>
      <c r="H167" t="s">
        <v>2595</v>
      </c>
      <c r="I167" t="s">
        <v>2596</v>
      </c>
      <c r="J167" t="s">
        <v>143</v>
      </c>
      <c r="K167" t="s">
        <v>171</v>
      </c>
      <c r="L167" t="s">
        <v>171</v>
      </c>
      <c r="M167" t="s">
        <v>320</v>
      </c>
      <c r="N167" t="s">
        <v>499</v>
      </c>
      <c r="O167">
        <v>10012886</v>
      </c>
      <c r="P167" s="108">
        <v>42494</v>
      </c>
      <c r="Q167" s="108">
        <v>42496</v>
      </c>
      <c r="R167" s="108">
        <v>42538</v>
      </c>
      <c r="S167" t="s">
        <v>153</v>
      </c>
      <c r="T167">
        <v>2</v>
      </c>
      <c r="U167" t="s">
        <v>123</v>
      </c>
      <c r="V167">
        <v>2</v>
      </c>
      <c r="W167">
        <v>2</v>
      </c>
      <c r="X167">
        <v>2</v>
      </c>
      <c r="Y167">
        <f>VLOOKUP(Table_clu7sql1_ssdb_REPORT_vw_IE_External_MI_SON[[#This Row],[URN]],[1]Data!$D$2:$BB$1084,31,)</f>
        <v>2</v>
      </c>
      <c r="Z167" t="s">
        <v>2596</v>
      </c>
      <c r="AA167">
        <v>2</v>
      </c>
      <c r="AB167" t="s">
        <v>2598</v>
      </c>
      <c r="AC167" t="s">
        <v>2596</v>
      </c>
      <c r="AD167" t="s">
        <v>2596</v>
      </c>
      <c r="AE167" t="s">
        <v>2596</v>
      </c>
      <c r="AF167" t="s">
        <v>2596</v>
      </c>
      <c r="AG167" t="s">
        <v>2596</v>
      </c>
      <c r="AH167" t="s">
        <v>2596</v>
      </c>
    </row>
    <row r="168" spans="1:34" x14ac:dyDescent="0.25">
      <c r="A168" s="111" t="str">
        <f>HYPERLINK("http://www.ofsted.gov.uk/inspection-reports/find-inspection-report/provider/ELS/113021 ","Ofsted School Webpage")</f>
        <v>Ofsted School Webpage</v>
      </c>
      <c r="B168">
        <v>113021</v>
      </c>
      <c r="C168">
        <v>8306016</v>
      </c>
      <c r="D168" t="s">
        <v>1008</v>
      </c>
      <c r="E168" t="s">
        <v>37</v>
      </c>
      <c r="F168" t="s">
        <v>142</v>
      </c>
      <c r="G168" t="s">
        <v>142</v>
      </c>
      <c r="H168" t="s">
        <v>2595</v>
      </c>
      <c r="I168" t="s">
        <v>2596</v>
      </c>
      <c r="J168" t="s">
        <v>143</v>
      </c>
      <c r="K168" t="s">
        <v>171</v>
      </c>
      <c r="L168" t="s">
        <v>171</v>
      </c>
      <c r="M168" t="s">
        <v>320</v>
      </c>
      <c r="N168" t="s">
        <v>1009</v>
      </c>
      <c r="O168" t="s">
        <v>1010</v>
      </c>
      <c r="P168" s="108">
        <v>41821</v>
      </c>
      <c r="Q168" s="108">
        <v>41898</v>
      </c>
      <c r="R168" s="108">
        <v>41957</v>
      </c>
      <c r="S168" t="s">
        <v>3005</v>
      </c>
      <c r="T168">
        <v>2</v>
      </c>
      <c r="U168" t="s">
        <v>2596</v>
      </c>
      <c r="V168">
        <v>2</v>
      </c>
      <c r="W168" t="s">
        <v>2596</v>
      </c>
      <c r="X168">
        <v>2</v>
      </c>
      <c r="Y168">
        <f>VLOOKUP(Table_clu7sql1_ssdb_REPORT_vw_IE_External_MI_SON[[#This Row],[URN]],[1]Data!$D$2:$BB$1084,31,)</f>
        <v>2</v>
      </c>
      <c r="Z168" t="s">
        <v>2596</v>
      </c>
      <c r="AA168" t="s">
        <v>2596</v>
      </c>
      <c r="AB168" t="s">
        <v>2598</v>
      </c>
      <c r="AC168" t="s">
        <v>2596</v>
      </c>
      <c r="AD168" t="s">
        <v>2596</v>
      </c>
      <c r="AE168" t="s">
        <v>2596</v>
      </c>
      <c r="AF168" t="s">
        <v>2596</v>
      </c>
      <c r="AG168" t="s">
        <v>2596</v>
      </c>
      <c r="AH168" t="s">
        <v>2596</v>
      </c>
    </row>
    <row r="169" spans="1:34" x14ac:dyDescent="0.25">
      <c r="A169" s="111" t="str">
        <f>HYPERLINK("http://www.ofsted.gov.uk/inspection-reports/find-inspection-report/provider/ELS/113023 ","Ofsted School Webpage")</f>
        <v>Ofsted School Webpage</v>
      </c>
      <c r="B169">
        <v>113023</v>
      </c>
      <c r="C169">
        <v>8306020</v>
      </c>
      <c r="D169" t="s">
        <v>319</v>
      </c>
      <c r="E169" t="s">
        <v>36</v>
      </c>
      <c r="F169" t="s">
        <v>142</v>
      </c>
      <c r="G169" t="s">
        <v>142</v>
      </c>
      <c r="H169" t="s">
        <v>2595</v>
      </c>
      <c r="I169" t="s">
        <v>2596</v>
      </c>
      <c r="J169" t="s">
        <v>143</v>
      </c>
      <c r="K169" t="s">
        <v>171</v>
      </c>
      <c r="L169" t="s">
        <v>171</v>
      </c>
      <c r="M169" t="s">
        <v>320</v>
      </c>
      <c r="N169" t="s">
        <v>321</v>
      </c>
      <c r="O169">
        <v>10026044</v>
      </c>
      <c r="P169" s="108">
        <v>42893</v>
      </c>
      <c r="Q169" s="108">
        <v>42895</v>
      </c>
      <c r="R169" s="108">
        <v>42992</v>
      </c>
      <c r="S169" t="s">
        <v>153</v>
      </c>
      <c r="T169">
        <v>4</v>
      </c>
      <c r="U169" t="s">
        <v>124</v>
      </c>
      <c r="V169">
        <v>4</v>
      </c>
      <c r="W169">
        <v>4</v>
      </c>
      <c r="X169">
        <v>2</v>
      </c>
      <c r="Y169">
        <f>VLOOKUP(Table_clu7sql1_ssdb_REPORT_vw_IE_External_MI_SON[[#This Row],[URN]],[1]Data!$D$2:$BB$1084,31,)</f>
        <v>2</v>
      </c>
      <c r="Z169">
        <v>4</v>
      </c>
      <c r="AA169" t="s">
        <v>2596</v>
      </c>
      <c r="AB169" t="s">
        <v>2599</v>
      </c>
      <c r="AC169">
        <v>10043874</v>
      </c>
      <c r="AD169" t="s">
        <v>144</v>
      </c>
      <c r="AE169" s="108">
        <v>43047</v>
      </c>
      <c r="AF169" t="s">
        <v>2636</v>
      </c>
      <c r="AG169" s="108">
        <v>43066</v>
      </c>
      <c r="AH169" t="s">
        <v>146</v>
      </c>
    </row>
    <row r="170" spans="1:34" x14ac:dyDescent="0.25">
      <c r="A170" s="111" t="str">
        <f>HYPERLINK("http://www.ofsted.gov.uk/inspection-reports/find-inspection-report/provider/ELS/113026 ","Ofsted School Webpage")</f>
        <v>Ofsted School Webpage</v>
      </c>
      <c r="B170">
        <v>113026</v>
      </c>
      <c r="C170">
        <v>8306013</v>
      </c>
      <c r="D170" t="s">
        <v>893</v>
      </c>
      <c r="E170" t="s">
        <v>37</v>
      </c>
      <c r="F170" t="s">
        <v>142</v>
      </c>
      <c r="G170" t="s">
        <v>142</v>
      </c>
      <c r="H170" t="s">
        <v>2595</v>
      </c>
      <c r="I170" t="s">
        <v>2596</v>
      </c>
      <c r="J170" t="s">
        <v>143</v>
      </c>
      <c r="K170" t="s">
        <v>171</v>
      </c>
      <c r="L170" t="s">
        <v>171</v>
      </c>
      <c r="M170" t="s">
        <v>320</v>
      </c>
      <c r="N170" t="s">
        <v>894</v>
      </c>
      <c r="O170">
        <v>10006083</v>
      </c>
      <c r="P170" s="108">
        <v>42346</v>
      </c>
      <c r="Q170" s="108">
        <v>42348</v>
      </c>
      <c r="R170" s="108">
        <v>42375</v>
      </c>
      <c r="S170" t="s">
        <v>153</v>
      </c>
      <c r="T170">
        <v>2</v>
      </c>
      <c r="U170" t="s">
        <v>123</v>
      </c>
      <c r="V170">
        <v>2</v>
      </c>
      <c r="W170">
        <v>2</v>
      </c>
      <c r="X170">
        <v>2</v>
      </c>
      <c r="Y170">
        <f>VLOOKUP(Table_clu7sql1_ssdb_REPORT_vw_IE_External_MI_SON[[#This Row],[URN]],[1]Data!$D$2:$BB$1084,31,)</f>
        <v>2</v>
      </c>
      <c r="Z170" t="s">
        <v>2596</v>
      </c>
      <c r="AA170">
        <v>2</v>
      </c>
      <c r="AB170" t="s">
        <v>2598</v>
      </c>
      <c r="AC170" t="s">
        <v>2596</v>
      </c>
      <c r="AD170" t="s">
        <v>2596</v>
      </c>
      <c r="AE170" t="s">
        <v>2596</v>
      </c>
      <c r="AF170" t="s">
        <v>2596</v>
      </c>
      <c r="AG170" t="s">
        <v>2596</v>
      </c>
      <c r="AH170" t="s">
        <v>2596</v>
      </c>
    </row>
    <row r="171" spans="1:34" x14ac:dyDescent="0.25">
      <c r="A171" s="111" t="str">
        <f>HYPERLINK("http://www.ofsted.gov.uk/inspection-reports/find-inspection-report/provider/ELS/113562 ","Ofsted School Webpage")</f>
        <v>Ofsted School Webpage</v>
      </c>
      <c r="B171">
        <v>113562</v>
      </c>
      <c r="C171">
        <v>8786001</v>
      </c>
      <c r="D171" t="s">
        <v>2158</v>
      </c>
      <c r="E171" t="s">
        <v>36</v>
      </c>
      <c r="F171" t="s">
        <v>142</v>
      </c>
      <c r="G171" t="s">
        <v>142</v>
      </c>
      <c r="H171" t="s">
        <v>2595</v>
      </c>
      <c r="I171" t="s">
        <v>2596</v>
      </c>
      <c r="J171" t="s">
        <v>143</v>
      </c>
      <c r="K171" t="s">
        <v>182</v>
      </c>
      <c r="L171" t="s">
        <v>182</v>
      </c>
      <c r="M171" t="s">
        <v>323</v>
      </c>
      <c r="N171" t="s">
        <v>2159</v>
      </c>
      <c r="O171">
        <v>10006072</v>
      </c>
      <c r="P171" s="108">
        <v>42326</v>
      </c>
      <c r="Q171" s="108">
        <v>42328</v>
      </c>
      <c r="R171" s="108">
        <v>42429</v>
      </c>
      <c r="S171" t="s">
        <v>153</v>
      </c>
      <c r="T171">
        <v>2</v>
      </c>
      <c r="U171" t="s">
        <v>123</v>
      </c>
      <c r="V171">
        <v>2</v>
      </c>
      <c r="W171">
        <v>1</v>
      </c>
      <c r="X171">
        <v>2</v>
      </c>
      <c r="Y171">
        <f>VLOOKUP(Table_clu7sql1_ssdb_REPORT_vw_IE_External_MI_SON[[#This Row],[URN]],[1]Data!$D$2:$BB$1084,31,)</f>
        <v>2</v>
      </c>
      <c r="Z171">
        <v>2</v>
      </c>
      <c r="AA171">
        <v>2</v>
      </c>
      <c r="AB171" t="s">
        <v>2598</v>
      </c>
      <c r="AC171" t="s">
        <v>2596</v>
      </c>
      <c r="AD171" t="s">
        <v>2596</v>
      </c>
      <c r="AE171" t="s">
        <v>2596</v>
      </c>
      <c r="AF171" t="s">
        <v>2596</v>
      </c>
      <c r="AG171" t="s">
        <v>2596</v>
      </c>
      <c r="AH171" t="s">
        <v>2596</v>
      </c>
    </row>
    <row r="172" spans="1:34" x14ac:dyDescent="0.25">
      <c r="A172" s="111" t="str">
        <f>HYPERLINK("http://www.ofsted.gov.uk/inspection-reports/find-inspection-report/provider/ELS/113567 ","Ofsted School Webpage")</f>
        <v>Ofsted School Webpage</v>
      </c>
      <c r="B172">
        <v>113567</v>
      </c>
      <c r="C172">
        <v>8786004</v>
      </c>
      <c r="D172" t="s">
        <v>322</v>
      </c>
      <c r="E172" t="s">
        <v>36</v>
      </c>
      <c r="F172" t="s">
        <v>142</v>
      </c>
      <c r="G172" t="s">
        <v>249</v>
      </c>
      <c r="H172" t="s">
        <v>2595</v>
      </c>
      <c r="I172" t="s">
        <v>2596</v>
      </c>
      <c r="J172" t="s">
        <v>143</v>
      </c>
      <c r="K172" t="s">
        <v>182</v>
      </c>
      <c r="L172" t="s">
        <v>182</v>
      </c>
      <c r="M172" t="s">
        <v>323</v>
      </c>
      <c r="N172" t="s">
        <v>324</v>
      </c>
      <c r="O172">
        <v>10033881</v>
      </c>
      <c r="P172" s="108">
        <v>43025</v>
      </c>
      <c r="Q172" s="108">
        <v>43027</v>
      </c>
      <c r="R172" s="108">
        <v>43059</v>
      </c>
      <c r="S172" t="s">
        <v>153</v>
      </c>
      <c r="T172">
        <v>2</v>
      </c>
      <c r="U172" t="s">
        <v>123</v>
      </c>
      <c r="V172">
        <v>2</v>
      </c>
      <c r="W172">
        <v>2</v>
      </c>
      <c r="X172">
        <v>2</v>
      </c>
      <c r="Y172">
        <f>VLOOKUP(Table_clu7sql1_ssdb_REPORT_vw_IE_External_MI_SON[[#This Row],[URN]],[1]Data!$D$2:$BB$1084,31,)</f>
        <v>2</v>
      </c>
      <c r="Z172">
        <v>2</v>
      </c>
      <c r="AA172" t="s">
        <v>2596</v>
      </c>
      <c r="AB172" t="s">
        <v>2598</v>
      </c>
      <c r="AC172" t="s">
        <v>2596</v>
      </c>
      <c r="AD172" t="s">
        <v>2596</v>
      </c>
      <c r="AE172" t="s">
        <v>2596</v>
      </c>
      <c r="AF172" t="s">
        <v>2596</v>
      </c>
      <c r="AG172" t="s">
        <v>2596</v>
      </c>
      <c r="AH172" t="s">
        <v>2596</v>
      </c>
    </row>
    <row r="173" spans="1:34" x14ac:dyDescent="0.25">
      <c r="A173" s="111" t="str">
        <f>HYPERLINK("http://www.ofsted.gov.uk/inspection-reports/find-inspection-report/provider/ELS/113571 ","Ofsted School Webpage")</f>
        <v>Ofsted School Webpage</v>
      </c>
      <c r="B173">
        <v>113571</v>
      </c>
      <c r="C173">
        <v>8786007</v>
      </c>
      <c r="D173" t="s">
        <v>1185</v>
      </c>
      <c r="E173" t="s">
        <v>37</v>
      </c>
      <c r="F173" t="s">
        <v>142</v>
      </c>
      <c r="G173" t="s">
        <v>142</v>
      </c>
      <c r="H173" t="s">
        <v>2595</v>
      </c>
      <c r="I173" t="s">
        <v>2596</v>
      </c>
      <c r="J173" t="s">
        <v>143</v>
      </c>
      <c r="K173" t="s">
        <v>182</v>
      </c>
      <c r="L173" t="s">
        <v>182</v>
      </c>
      <c r="M173" t="s">
        <v>323</v>
      </c>
      <c r="N173" t="s">
        <v>1186</v>
      </c>
      <c r="O173" t="s">
        <v>1187</v>
      </c>
      <c r="P173" s="108">
        <v>42192</v>
      </c>
      <c r="Q173" s="108">
        <v>42194</v>
      </c>
      <c r="R173" s="108">
        <v>42221</v>
      </c>
      <c r="S173" t="s">
        <v>153</v>
      </c>
      <c r="T173">
        <v>2</v>
      </c>
      <c r="U173" t="s">
        <v>2596</v>
      </c>
      <c r="V173">
        <v>2</v>
      </c>
      <c r="W173" t="s">
        <v>2596</v>
      </c>
      <c r="X173">
        <v>2</v>
      </c>
      <c r="Y173">
        <f>VLOOKUP(Table_clu7sql1_ssdb_REPORT_vw_IE_External_MI_SON[[#This Row],[URN]],[1]Data!$D$2:$BB$1084,31,)</f>
        <v>2</v>
      </c>
      <c r="Z173">
        <v>1</v>
      </c>
      <c r="AA173">
        <v>9</v>
      </c>
      <c r="AB173" t="s">
        <v>2598</v>
      </c>
      <c r="AC173" t="s">
        <v>2596</v>
      </c>
      <c r="AD173" t="s">
        <v>2596</v>
      </c>
      <c r="AE173" t="s">
        <v>2596</v>
      </c>
      <c r="AF173" t="s">
        <v>2596</v>
      </c>
      <c r="AG173" t="s">
        <v>2596</v>
      </c>
      <c r="AH173" t="s">
        <v>2596</v>
      </c>
    </row>
    <row r="174" spans="1:34" x14ac:dyDescent="0.25">
      <c r="A174" s="111" t="str">
        <f>HYPERLINK("http://www.ofsted.gov.uk/inspection-reports/find-inspection-report/provider/ELS/113594 ","Ofsted School Webpage")</f>
        <v>Ofsted School Webpage</v>
      </c>
      <c r="B174">
        <v>113594</v>
      </c>
      <c r="C174">
        <v>8796001</v>
      </c>
      <c r="D174" t="s">
        <v>643</v>
      </c>
      <c r="E174" t="s">
        <v>36</v>
      </c>
      <c r="F174" t="s">
        <v>644</v>
      </c>
      <c r="G174" t="s">
        <v>644</v>
      </c>
      <c r="H174" t="s">
        <v>2595</v>
      </c>
      <c r="I174" t="s">
        <v>2596</v>
      </c>
      <c r="J174" t="s">
        <v>143</v>
      </c>
      <c r="K174" t="s">
        <v>182</v>
      </c>
      <c r="L174" t="s">
        <v>182</v>
      </c>
      <c r="M174" t="s">
        <v>645</v>
      </c>
      <c r="N174" t="s">
        <v>646</v>
      </c>
      <c r="O174">
        <v>10020897</v>
      </c>
      <c r="P174" s="108">
        <v>42822</v>
      </c>
      <c r="Q174" s="108">
        <v>42824</v>
      </c>
      <c r="R174" s="108">
        <v>42866</v>
      </c>
      <c r="S174" t="s">
        <v>153</v>
      </c>
      <c r="T174">
        <v>2</v>
      </c>
      <c r="U174" t="s">
        <v>123</v>
      </c>
      <c r="V174">
        <v>2</v>
      </c>
      <c r="W174">
        <v>1</v>
      </c>
      <c r="X174">
        <v>2</v>
      </c>
      <c r="Y174">
        <f>VLOOKUP(Table_clu7sql1_ssdb_REPORT_vw_IE_External_MI_SON[[#This Row],[URN]],[1]Data!$D$2:$BB$1084,31,)</f>
        <v>2</v>
      </c>
      <c r="Z174">
        <v>2</v>
      </c>
      <c r="AA174" t="s">
        <v>2596</v>
      </c>
      <c r="AB174" t="s">
        <v>2598</v>
      </c>
      <c r="AC174" t="s">
        <v>2596</v>
      </c>
      <c r="AD174" t="s">
        <v>2596</v>
      </c>
      <c r="AE174" t="s">
        <v>2596</v>
      </c>
      <c r="AF174" t="s">
        <v>2596</v>
      </c>
      <c r="AG174" t="s">
        <v>2596</v>
      </c>
      <c r="AH174" t="s">
        <v>2596</v>
      </c>
    </row>
    <row r="175" spans="1:34" x14ac:dyDescent="0.25">
      <c r="A175" s="111" t="str">
        <f>HYPERLINK("http://www.ofsted.gov.uk/inspection-reports/find-inspection-report/provider/ELS/113616 ","Ofsted School Webpage")</f>
        <v>Ofsted School Webpage</v>
      </c>
      <c r="B175">
        <v>113616</v>
      </c>
      <c r="C175">
        <v>8786039</v>
      </c>
      <c r="D175" t="s">
        <v>878</v>
      </c>
      <c r="E175" t="s">
        <v>37</v>
      </c>
      <c r="F175" t="s">
        <v>142</v>
      </c>
      <c r="G175" t="s">
        <v>142</v>
      </c>
      <c r="H175" t="s">
        <v>2595</v>
      </c>
      <c r="I175" t="s">
        <v>2596</v>
      </c>
      <c r="J175" t="s">
        <v>143</v>
      </c>
      <c r="K175" t="s">
        <v>182</v>
      </c>
      <c r="L175" t="s">
        <v>182</v>
      </c>
      <c r="M175" t="s">
        <v>323</v>
      </c>
      <c r="N175" t="s">
        <v>879</v>
      </c>
      <c r="O175" t="s">
        <v>880</v>
      </c>
      <c r="P175" s="108">
        <v>42192</v>
      </c>
      <c r="Q175" s="108">
        <v>42194</v>
      </c>
      <c r="R175" s="108">
        <v>42221</v>
      </c>
      <c r="S175" t="s">
        <v>3005</v>
      </c>
      <c r="T175">
        <v>2</v>
      </c>
      <c r="U175" t="s">
        <v>2596</v>
      </c>
      <c r="V175">
        <v>2</v>
      </c>
      <c r="W175" t="s">
        <v>2596</v>
      </c>
      <c r="X175">
        <v>2</v>
      </c>
      <c r="Y175">
        <f>VLOOKUP(Table_clu7sql1_ssdb_REPORT_vw_IE_External_MI_SON[[#This Row],[URN]],[1]Data!$D$2:$BB$1084,31,)</f>
        <v>2</v>
      </c>
      <c r="Z175">
        <v>9</v>
      </c>
      <c r="AA175">
        <v>2</v>
      </c>
      <c r="AB175" t="s">
        <v>2598</v>
      </c>
      <c r="AC175" t="s">
        <v>2596</v>
      </c>
      <c r="AD175" t="s">
        <v>2596</v>
      </c>
      <c r="AE175" t="s">
        <v>2596</v>
      </c>
      <c r="AF175" t="s">
        <v>2596</v>
      </c>
      <c r="AG175" t="s">
        <v>2596</v>
      </c>
      <c r="AH175" t="s">
        <v>2596</v>
      </c>
    </row>
    <row r="176" spans="1:34" x14ac:dyDescent="0.25">
      <c r="A176" s="111" t="str">
        <f>HYPERLINK("http://www.ofsted.gov.uk/inspection-reports/find-inspection-report/provider/ELS/113617 ","Ofsted School Webpage")</f>
        <v>Ofsted School Webpage</v>
      </c>
      <c r="B176">
        <v>113617</v>
      </c>
      <c r="C176">
        <v>8786040</v>
      </c>
      <c r="D176" t="s">
        <v>2032</v>
      </c>
      <c r="E176" t="s">
        <v>36</v>
      </c>
      <c r="F176" t="s">
        <v>142</v>
      </c>
      <c r="G176" t="s">
        <v>142</v>
      </c>
      <c r="H176" t="s">
        <v>2595</v>
      </c>
      <c r="I176" t="s">
        <v>2596</v>
      </c>
      <c r="J176" t="s">
        <v>143</v>
      </c>
      <c r="K176" t="s">
        <v>182</v>
      </c>
      <c r="L176" t="s">
        <v>182</v>
      </c>
      <c r="M176" t="s">
        <v>323</v>
      </c>
      <c r="N176" t="s">
        <v>2033</v>
      </c>
      <c r="O176">
        <v>10008562</v>
      </c>
      <c r="P176" s="108">
        <v>42500</v>
      </c>
      <c r="Q176" s="108">
        <v>42502</v>
      </c>
      <c r="R176" s="108">
        <v>42542</v>
      </c>
      <c r="S176" t="s">
        <v>153</v>
      </c>
      <c r="T176">
        <v>2</v>
      </c>
      <c r="U176" t="s">
        <v>123</v>
      </c>
      <c r="V176">
        <v>2</v>
      </c>
      <c r="W176">
        <v>2</v>
      </c>
      <c r="X176">
        <v>2</v>
      </c>
      <c r="Y176">
        <f>VLOOKUP(Table_clu7sql1_ssdb_REPORT_vw_IE_External_MI_SON[[#This Row],[URN]],[1]Data!$D$2:$BB$1084,31,)</f>
        <v>2</v>
      </c>
      <c r="Z176">
        <v>2</v>
      </c>
      <c r="AA176" t="s">
        <v>2596</v>
      </c>
      <c r="AB176" t="s">
        <v>2598</v>
      </c>
      <c r="AC176" t="s">
        <v>2596</v>
      </c>
      <c r="AD176" t="s">
        <v>2596</v>
      </c>
      <c r="AE176" t="s">
        <v>2596</v>
      </c>
      <c r="AF176" t="s">
        <v>2596</v>
      </c>
      <c r="AG176" t="s">
        <v>2596</v>
      </c>
      <c r="AH176" t="s">
        <v>2596</v>
      </c>
    </row>
    <row r="177" spans="1:34" x14ac:dyDescent="0.25">
      <c r="A177" s="111" t="str">
        <f>HYPERLINK("http://www.ofsted.gov.uk/inspection-reports/find-inspection-report/provider/ELS/113623 ","Ofsted School Webpage")</f>
        <v>Ofsted School Webpage</v>
      </c>
      <c r="B177">
        <v>113623</v>
      </c>
      <c r="C177">
        <v>8786045</v>
      </c>
      <c r="D177" t="s">
        <v>1472</v>
      </c>
      <c r="E177" t="s">
        <v>36</v>
      </c>
      <c r="F177" t="s">
        <v>142</v>
      </c>
      <c r="G177" t="s">
        <v>142</v>
      </c>
      <c r="H177" t="s">
        <v>2595</v>
      </c>
      <c r="I177" t="s">
        <v>2596</v>
      </c>
      <c r="J177" t="s">
        <v>143</v>
      </c>
      <c r="K177" t="s">
        <v>182</v>
      </c>
      <c r="L177" t="s">
        <v>182</v>
      </c>
      <c r="M177" t="s">
        <v>323</v>
      </c>
      <c r="N177" t="s">
        <v>1473</v>
      </c>
      <c r="O177">
        <v>10035558</v>
      </c>
      <c r="P177" s="108">
        <v>43067</v>
      </c>
      <c r="Q177" s="108">
        <v>43069</v>
      </c>
      <c r="R177" s="108">
        <v>43116</v>
      </c>
      <c r="S177" t="s">
        <v>153</v>
      </c>
      <c r="T177">
        <v>4</v>
      </c>
      <c r="U177" t="s">
        <v>123</v>
      </c>
      <c r="V177">
        <v>4</v>
      </c>
      <c r="W177">
        <v>4</v>
      </c>
      <c r="X177">
        <v>4</v>
      </c>
      <c r="Y177">
        <f>VLOOKUP(Table_clu7sql1_ssdb_REPORT_vw_IE_External_MI_SON[[#This Row],[URN]],[1]Data!$D$2:$BB$1084,31,)</f>
        <v>4</v>
      </c>
      <c r="Z177" t="s">
        <v>2596</v>
      </c>
      <c r="AA177" t="s">
        <v>2596</v>
      </c>
      <c r="AB177" t="s">
        <v>2599</v>
      </c>
      <c r="AC177" t="s">
        <v>2596</v>
      </c>
      <c r="AD177" t="s">
        <v>2596</v>
      </c>
      <c r="AE177" t="s">
        <v>2596</v>
      </c>
      <c r="AF177" t="s">
        <v>2596</v>
      </c>
      <c r="AG177" t="s">
        <v>2596</v>
      </c>
      <c r="AH177" t="s">
        <v>2596</v>
      </c>
    </row>
    <row r="178" spans="1:34" x14ac:dyDescent="0.25">
      <c r="A178" s="111" t="str">
        <f>HYPERLINK("http://www.ofsted.gov.uk/inspection-reports/find-inspection-report/provider/ELS/113632 ","Ofsted School Webpage")</f>
        <v>Ofsted School Webpage</v>
      </c>
      <c r="B178">
        <v>113632</v>
      </c>
      <c r="C178">
        <v>8786051</v>
      </c>
      <c r="D178" t="s">
        <v>1924</v>
      </c>
      <c r="E178" t="s">
        <v>36</v>
      </c>
      <c r="F178" t="s">
        <v>142</v>
      </c>
      <c r="G178" t="s">
        <v>142</v>
      </c>
      <c r="H178" t="s">
        <v>2595</v>
      </c>
      <c r="I178" t="s">
        <v>2596</v>
      </c>
      <c r="J178" t="s">
        <v>143</v>
      </c>
      <c r="K178" t="s">
        <v>182</v>
      </c>
      <c r="L178" t="s">
        <v>182</v>
      </c>
      <c r="M178" t="s">
        <v>323</v>
      </c>
      <c r="N178" t="s">
        <v>1925</v>
      </c>
      <c r="O178">
        <v>10020949</v>
      </c>
      <c r="P178" s="108">
        <v>42703</v>
      </c>
      <c r="Q178" s="108">
        <v>42705</v>
      </c>
      <c r="R178" s="108">
        <v>42761</v>
      </c>
      <c r="S178" t="s">
        <v>153</v>
      </c>
      <c r="T178">
        <v>2</v>
      </c>
      <c r="U178" t="s">
        <v>123</v>
      </c>
      <c r="V178">
        <v>2</v>
      </c>
      <c r="W178">
        <v>2</v>
      </c>
      <c r="X178">
        <v>1</v>
      </c>
      <c r="Y178">
        <f>VLOOKUP(Table_clu7sql1_ssdb_REPORT_vw_IE_External_MI_SON[[#This Row],[URN]],[1]Data!$D$2:$BB$1084,31,)</f>
        <v>1</v>
      </c>
      <c r="Z178" t="s">
        <v>2596</v>
      </c>
      <c r="AA178">
        <v>1</v>
      </c>
      <c r="AB178" t="s">
        <v>2598</v>
      </c>
      <c r="AC178" t="s">
        <v>2596</v>
      </c>
      <c r="AD178" t="s">
        <v>2596</v>
      </c>
      <c r="AE178" t="s">
        <v>2596</v>
      </c>
      <c r="AF178" t="s">
        <v>2596</v>
      </c>
      <c r="AG178" t="s">
        <v>2596</v>
      </c>
      <c r="AH178" t="s">
        <v>2596</v>
      </c>
    </row>
    <row r="179" spans="1:34" x14ac:dyDescent="0.25">
      <c r="A179" s="111" t="str">
        <f>HYPERLINK("http://www.ofsted.gov.uk/inspection-reports/find-inspection-report/provider/ELS/113930 ","Ofsted School Webpage")</f>
        <v>Ofsted School Webpage</v>
      </c>
      <c r="B179">
        <v>113930</v>
      </c>
      <c r="C179">
        <v>8366004</v>
      </c>
      <c r="D179" t="s">
        <v>1445</v>
      </c>
      <c r="E179" t="s">
        <v>36</v>
      </c>
      <c r="F179" t="s">
        <v>142</v>
      </c>
      <c r="G179" t="s">
        <v>169</v>
      </c>
      <c r="H179" t="s">
        <v>2595</v>
      </c>
      <c r="I179" t="s">
        <v>2596</v>
      </c>
      <c r="J179" t="s">
        <v>143</v>
      </c>
      <c r="K179" t="s">
        <v>182</v>
      </c>
      <c r="L179" t="s">
        <v>182</v>
      </c>
      <c r="M179" t="s">
        <v>1446</v>
      </c>
      <c r="N179" t="s">
        <v>1447</v>
      </c>
      <c r="O179">
        <v>10012907</v>
      </c>
      <c r="P179" s="108">
        <v>42871</v>
      </c>
      <c r="Q179" s="108">
        <v>42873</v>
      </c>
      <c r="R179" s="108">
        <v>42901</v>
      </c>
      <c r="S179" t="s">
        <v>153</v>
      </c>
      <c r="T179">
        <v>3</v>
      </c>
      <c r="U179" t="s">
        <v>123</v>
      </c>
      <c r="V179">
        <v>3</v>
      </c>
      <c r="W179">
        <v>2</v>
      </c>
      <c r="X179">
        <v>3</v>
      </c>
      <c r="Y179">
        <f>VLOOKUP(Table_clu7sql1_ssdb_REPORT_vw_IE_External_MI_SON[[#This Row],[URN]],[1]Data!$D$2:$BB$1084,31,)</f>
        <v>3</v>
      </c>
      <c r="Z179">
        <v>3</v>
      </c>
      <c r="AA179" t="s">
        <v>2596</v>
      </c>
      <c r="AB179" t="s">
        <v>2598</v>
      </c>
      <c r="AC179" t="s">
        <v>2596</v>
      </c>
      <c r="AD179" t="s">
        <v>2596</v>
      </c>
      <c r="AE179" t="s">
        <v>2596</v>
      </c>
      <c r="AF179" t="s">
        <v>2596</v>
      </c>
      <c r="AG179" t="s">
        <v>2596</v>
      </c>
      <c r="AH179" t="s">
        <v>2596</v>
      </c>
    </row>
    <row r="180" spans="1:34" x14ac:dyDescent="0.25">
      <c r="A180" s="111" t="str">
        <f>HYPERLINK("http://www.ofsted.gov.uk/inspection-reports/find-inspection-report/provider/ELS/113940 ","Ofsted School Webpage")</f>
        <v>Ofsted School Webpage</v>
      </c>
      <c r="B180">
        <v>113940</v>
      </c>
      <c r="C180">
        <v>8376003</v>
      </c>
      <c r="D180" t="s">
        <v>246</v>
      </c>
      <c r="E180" t="s">
        <v>36</v>
      </c>
      <c r="F180" t="s">
        <v>249</v>
      </c>
      <c r="G180" t="s">
        <v>249</v>
      </c>
      <c r="H180" t="s">
        <v>2595</v>
      </c>
      <c r="I180" t="s">
        <v>2596</v>
      </c>
      <c r="J180" t="s">
        <v>143</v>
      </c>
      <c r="K180" t="s">
        <v>182</v>
      </c>
      <c r="L180" t="s">
        <v>182</v>
      </c>
      <c r="M180" t="s">
        <v>247</v>
      </c>
      <c r="N180" t="s">
        <v>248</v>
      </c>
      <c r="O180">
        <v>10033883</v>
      </c>
      <c r="P180" s="108">
        <v>43004</v>
      </c>
      <c r="Q180" s="108">
        <v>43006</v>
      </c>
      <c r="R180" s="108">
        <v>43038</v>
      </c>
      <c r="S180" t="s">
        <v>153</v>
      </c>
      <c r="T180">
        <v>2</v>
      </c>
      <c r="U180" t="s">
        <v>123</v>
      </c>
      <c r="V180">
        <v>2</v>
      </c>
      <c r="W180">
        <v>2</v>
      </c>
      <c r="X180">
        <v>2</v>
      </c>
      <c r="Y180">
        <f>VLOOKUP(Table_clu7sql1_ssdb_REPORT_vw_IE_External_MI_SON[[#This Row],[URN]],[1]Data!$D$2:$BB$1084,31,)</f>
        <v>2</v>
      </c>
      <c r="Z180">
        <v>3</v>
      </c>
      <c r="AA180" t="s">
        <v>2596</v>
      </c>
      <c r="AB180" t="s">
        <v>2598</v>
      </c>
      <c r="AC180" t="s">
        <v>2596</v>
      </c>
      <c r="AD180" t="s">
        <v>2596</v>
      </c>
      <c r="AE180" s="108" t="s">
        <v>2596</v>
      </c>
      <c r="AF180" t="s">
        <v>2596</v>
      </c>
      <c r="AG180" s="108" t="s">
        <v>2596</v>
      </c>
      <c r="AH180" t="s">
        <v>2596</v>
      </c>
    </row>
    <row r="181" spans="1:34" x14ac:dyDescent="0.25">
      <c r="A181" s="111" t="str">
        <f>HYPERLINK("http://www.ofsted.gov.uk/inspection-reports/find-inspection-report/provider/ELS/113944 ","Ofsted School Webpage")</f>
        <v>Ofsted School Webpage</v>
      </c>
      <c r="B181">
        <v>113944</v>
      </c>
      <c r="C181">
        <v>8376004</v>
      </c>
      <c r="D181" t="s">
        <v>367</v>
      </c>
      <c r="E181" t="s">
        <v>36</v>
      </c>
      <c r="F181" t="s">
        <v>369</v>
      </c>
      <c r="G181" t="s">
        <v>369</v>
      </c>
      <c r="H181" t="s">
        <v>2595</v>
      </c>
      <c r="I181" t="s">
        <v>2596</v>
      </c>
      <c r="J181" t="s">
        <v>143</v>
      </c>
      <c r="K181" t="s">
        <v>182</v>
      </c>
      <c r="L181" t="s">
        <v>182</v>
      </c>
      <c r="M181" t="s">
        <v>247</v>
      </c>
      <c r="N181" t="s">
        <v>368</v>
      </c>
      <c r="O181">
        <v>10033884</v>
      </c>
      <c r="P181" s="108">
        <v>42997</v>
      </c>
      <c r="Q181" s="108">
        <v>42999</v>
      </c>
      <c r="R181" s="108">
        <v>43021</v>
      </c>
      <c r="S181" t="s">
        <v>153</v>
      </c>
      <c r="T181">
        <v>2</v>
      </c>
      <c r="U181" t="s">
        <v>123</v>
      </c>
      <c r="V181">
        <v>2</v>
      </c>
      <c r="W181">
        <v>2</v>
      </c>
      <c r="X181">
        <v>2</v>
      </c>
      <c r="Y181">
        <f>VLOOKUP(Table_clu7sql1_ssdb_REPORT_vw_IE_External_MI_SON[[#This Row],[URN]],[1]Data!$D$2:$BB$1084,31,)</f>
        <v>2</v>
      </c>
      <c r="Z181">
        <v>2</v>
      </c>
      <c r="AA181" t="s">
        <v>2596</v>
      </c>
      <c r="AB181" t="s">
        <v>2598</v>
      </c>
      <c r="AC181" t="s">
        <v>2596</v>
      </c>
      <c r="AD181" t="s">
        <v>2596</v>
      </c>
      <c r="AE181" t="s">
        <v>2596</v>
      </c>
      <c r="AF181" t="s">
        <v>2596</v>
      </c>
      <c r="AG181" t="s">
        <v>2596</v>
      </c>
      <c r="AH181" t="s">
        <v>2596</v>
      </c>
    </row>
    <row r="182" spans="1:34" x14ac:dyDescent="0.25">
      <c r="A182" s="111" t="str">
        <f>HYPERLINK("http://www.ofsted.gov.uk/inspection-reports/find-inspection-report/provider/ELS/113950 ","Ofsted School Webpage")</f>
        <v>Ofsted School Webpage</v>
      </c>
      <c r="B182">
        <v>113950</v>
      </c>
      <c r="C182">
        <v>8356016</v>
      </c>
      <c r="D182" t="s">
        <v>1405</v>
      </c>
      <c r="E182" t="s">
        <v>37</v>
      </c>
      <c r="F182" t="s">
        <v>142</v>
      </c>
      <c r="G182" t="s">
        <v>142</v>
      </c>
      <c r="H182" t="s">
        <v>2595</v>
      </c>
      <c r="I182" t="s">
        <v>2596</v>
      </c>
      <c r="J182" t="s">
        <v>143</v>
      </c>
      <c r="K182" t="s">
        <v>182</v>
      </c>
      <c r="L182" t="s">
        <v>182</v>
      </c>
      <c r="M182" t="s">
        <v>564</v>
      </c>
      <c r="N182" t="s">
        <v>1406</v>
      </c>
      <c r="O182">
        <v>10026039</v>
      </c>
      <c r="P182" s="108">
        <v>42913</v>
      </c>
      <c r="Q182" s="108">
        <v>42915</v>
      </c>
      <c r="R182" s="108">
        <v>42948</v>
      </c>
      <c r="S182" t="s">
        <v>153</v>
      </c>
      <c r="T182">
        <v>4</v>
      </c>
      <c r="U182" t="s">
        <v>124</v>
      </c>
      <c r="V182">
        <v>4</v>
      </c>
      <c r="W182">
        <v>4</v>
      </c>
      <c r="X182">
        <v>2</v>
      </c>
      <c r="Y182">
        <f>VLOOKUP(Table_clu7sql1_ssdb_REPORT_vw_IE_External_MI_SON[[#This Row],[URN]],[1]Data!$D$2:$BB$1084,31,)</f>
        <v>2</v>
      </c>
      <c r="Z182" t="s">
        <v>2596</v>
      </c>
      <c r="AA182">
        <v>4</v>
      </c>
      <c r="AB182" t="s">
        <v>2599</v>
      </c>
      <c r="AC182" t="s">
        <v>2596</v>
      </c>
      <c r="AD182" t="s">
        <v>2596</v>
      </c>
      <c r="AE182" t="s">
        <v>2596</v>
      </c>
      <c r="AF182" t="s">
        <v>2596</v>
      </c>
      <c r="AG182" t="s">
        <v>2596</v>
      </c>
      <c r="AH182" t="s">
        <v>2596</v>
      </c>
    </row>
    <row r="183" spans="1:34" x14ac:dyDescent="0.25">
      <c r="A183" s="111" t="str">
        <f>HYPERLINK("http://www.ofsted.gov.uk/inspection-reports/find-inspection-report/provider/ELS/113952 ","Ofsted School Webpage")</f>
        <v>Ofsted School Webpage</v>
      </c>
      <c r="B183">
        <v>113952</v>
      </c>
      <c r="C183">
        <v>8356004</v>
      </c>
      <c r="D183" t="s">
        <v>563</v>
      </c>
      <c r="E183" t="s">
        <v>37</v>
      </c>
      <c r="F183" t="s">
        <v>142</v>
      </c>
      <c r="G183" t="s">
        <v>142</v>
      </c>
      <c r="H183" t="s">
        <v>2595</v>
      </c>
      <c r="I183" t="s">
        <v>2596</v>
      </c>
      <c r="J183" t="s">
        <v>143</v>
      </c>
      <c r="K183" t="s">
        <v>182</v>
      </c>
      <c r="L183" t="s">
        <v>182</v>
      </c>
      <c r="M183" t="s">
        <v>564</v>
      </c>
      <c r="N183" t="s">
        <v>565</v>
      </c>
      <c r="O183">
        <v>10035560</v>
      </c>
      <c r="P183" s="108">
        <v>43067</v>
      </c>
      <c r="Q183" s="108">
        <v>43069</v>
      </c>
      <c r="R183" s="108">
        <v>43117</v>
      </c>
      <c r="S183" t="s">
        <v>3005</v>
      </c>
      <c r="T183">
        <v>2</v>
      </c>
      <c r="U183" t="s">
        <v>123</v>
      </c>
      <c r="V183">
        <v>2</v>
      </c>
      <c r="W183">
        <v>2</v>
      </c>
      <c r="X183">
        <v>2</v>
      </c>
      <c r="Y183">
        <f>VLOOKUP(Table_clu7sql1_ssdb_REPORT_vw_IE_External_MI_SON[[#This Row],[URN]],[1]Data!$D$2:$BB$1084,31,)</f>
        <v>2</v>
      </c>
      <c r="Z183" t="s">
        <v>2596</v>
      </c>
      <c r="AA183">
        <v>2</v>
      </c>
      <c r="AB183" t="s">
        <v>2598</v>
      </c>
      <c r="AC183" t="s">
        <v>2596</v>
      </c>
      <c r="AD183" t="s">
        <v>2596</v>
      </c>
      <c r="AE183" t="s">
        <v>2596</v>
      </c>
      <c r="AF183" t="s">
        <v>2596</v>
      </c>
      <c r="AG183" t="s">
        <v>2596</v>
      </c>
      <c r="AH183" t="s">
        <v>2596</v>
      </c>
    </row>
    <row r="184" spans="1:34" x14ac:dyDescent="0.25">
      <c r="A184" s="111" t="str">
        <f>HYPERLINK("http://www.ofsted.gov.uk/inspection-reports/find-inspection-report/provider/ELS/114635 ","Ofsted School Webpage")</f>
        <v>Ofsted School Webpage</v>
      </c>
      <c r="B184">
        <v>114635</v>
      </c>
      <c r="C184">
        <v>8456002</v>
      </c>
      <c r="D184" t="s">
        <v>1090</v>
      </c>
      <c r="E184" t="s">
        <v>37</v>
      </c>
      <c r="F184" t="s">
        <v>142</v>
      </c>
      <c r="G184" t="s">
        <v>397</v>
      </c>
      <c r="H184" t="s">
        <v>2595</v>
      </c>
      <c r="I184" t="s">
        <v>2596</v>
      </c>
      <c r="J184" t="s">
        <v>143</v>
      </c>
      <c r="K184" t="s">
        <v>139</v>
      </c>
      <c r="L184" t="s">
        <v>139</v>
      </c>
      <c r="M184" t="s">
        <v>394</v>
      </c>
      <c r="N184" t="s">
        <v>1091</v>
      </c>
      <c r="O184">
        <v>10018187</v>
      </c>
      <c r="P184" s="108">
        <v>42535</v>
      </c>
      <c r="Q184" s="108">
        <v>42537</v>
      </c>
      <c r="R184" s="108">
        <v>42558</v>
      </c>
      <c r="S184" t="s">
        <v>153</v>
      </c>
      <c r="T184">
        <v>2</v>
      </c>
      <c r="U184" t="s">
        <v>123</v>
      </c>
      <c r="V184">
        <v>2</v>
      </c>
      <c r="W184">
        <v>1</v>
      </c>
      <c r="X184">
        <v>2</v>
      </c>
      <c r="Y184">
        <f>VLOOKUP(Table_clu7sql1_ssdb_REPORT_vw_IE_External_MI_SON[[#This Row],[URN]],[1]Data!$D$2:$BB$1084,31,)</f>
        <v>2</v>
      </c>
      <c r="Z184" t="s">
        <v>2596</v>
      </c>
      <c r="AA184">
        <v>2</v>
      </c>
      <c r="AB184" t="s">
        <v>2598</v>
      </c>
      <c r="AC184" t="s">
        <v>2596</v>
      </c>
      <c r="AD184" t="s">
        <v>2596</v>
      </c>
      <c r="AE184" s="108" t="s">
        <v>2596</v>
      </c>
      <c r="AF184" t="s">
        <v>2596</v>
      </c>
      <c r="AG184" s="108" t="s">
        <v>2596</v>
      </c>
      <c r="AH184" t="s">
        <v>2596</v>
      </c>
    </row>
    <row r="185" spans="1:34" x14ac:dyDescent="0.25">
      <c r="A185" s="111" t="str">
        <f>HYPERLINK("http://www.ofsted.gov.uk/inspection-reports/find-inspection-report/provider/ELS/114640 ","Ofsted School Webpage")</f>
        <v>Ofsted School Webpage</v>
      </c>
      <c r="B185">
        <v>114640</v>
      </c>
      <c r="C185">
        <v>8456010</v>
      </c>
      <c r="D185" t="s">
        <v>393</v>
      </c>
      <c r="E185" t="s">
        <v>36</v>
      </c>
      <c r="F185" t="s">
        <v>142</v>
      </c>
      <c r="G185" t="s">
        <v>142</v>
      </c>
      <c r="H185" t="s">
        <v>2595</v>
      </c>
      <c r="I185" t="s">
        <v>2596</v>
      </c>
      <c r="J185" t="s">
        <v>143</v>
      </c>
      <c r="K185" t="s">
        <v>139</v>
      </c>
      <c r="L185" t="s">
        <v>139</v>
      </c>
      <c r="M185" t="s">
        <v>394</v>
      </c>
      <c r="N185" t="s">
        <v>395</v>
      </c>
      <c r="O185">
        <v>10017315</v>
      </c>
      <c r="P185" s="108">
        <v>42486</v>
      </c>
      <c r="Q185" s="108">
        <v>42488</v>
      </c>
      <c r="R185" s="108">
        <v>42517</v>
      </c>
      <c r="S185" t="s">
        <v>153</v>
      </c>
      <c r="T185">
        <v>1</v>
      </c>
      <c r="U185" t="s">
        <v>123</v>
      </c>
      <c r="V185">
        <v>1</v>
      </c>
      <c r="W185">
        <v>1</v>
      </c>
      <c r="X185">
        <v>1</v>
      </c>
      <c r="Y185">
        <f>VLOOKUP(Table_clu7sql1_ssdb_REPORT_vw_IE_External_MI_SON[[#This Row],[URN]],[1]Data!$D$2:$BB$1084,31,)</f>
        <v>1</v>
      </c>
      <c r="Z185">
        <v>1</v>
      </c>
      <c r="AA185">
        <v>1</v>
      </c>
      <c r="AB185" t="s">
        <v>2598</v>
      </c>
      <c r="AC185" t="s">
        <v>2596</v>
      </c>
      <c r="AD185" t="s">
        <v>2596</v>
      </c>
      <c r="AE185" t="s">
        <v>2596</v>
      </c>
      <c r="AF185" t="s">
        <v>2596</v>
      </c>
      <c r="AG185" t="s">
        <v>2596</v>
      </c>
      <c r="AH185" t="s">
        <v>2596</v>
      </c>
    </row>
    <row r="186" spans="1:34" x14ac:dyDescent="0.25">
      <c r="A186" s="111" t="str">
        <f>HYPERLINK("http://www.ofsted.gov.uk/inspection-reports/find-inspection-report/provider/ELS/114645 ","Ofsted School Webpage")</f>
        <v>Ofsted School Webpage</v>
      </c>
      <c r="B186">
        <v>114645</v>
      </c>
      <c r="C186">
        <v>8456028</v>
      </c>
      <c r="D186" t="s">
        <v>983</v>
      </c>
      <c r="E186" t="s">
        <v>37</v>
      </c>
      <c r="F186" t="s">
        <v>142</v>
      </c>
      <c r="G186" t="s">
        <v>397</v>
      </c>
      <c r="H186" t="s">
        <v>2595</v>
      </c>
      <c r="I186" t="s">
        <v>2596</v>
      </c>
      <c r="J186" t="s">
        <v>143</v>
      </c>
      <c r="K186" t="s">
        <v>139</v>
      </c>
      <c r="L186" t="s">
        <v>139</v>
      </c>
      <c r="M186" t="s">
        <v>394</v>
      </c>
      <c r="N186" t="s">
        <v>984</v>
      </c>
      <c r="O186" t="s">
        <v>985</v>
      </c>
      <c r="P186" s="108">
        <v>41961</v>
      </c>
      <c r="Q186" s="108">
        <v>41963</v>
      </c>
      <c r="R186" s="108">
        <v>42025</v>
      </c>
      <c r="S186" t="s">
        <v>224</v>
      </c>
      <c r="T186">
        <v>3</v>
      </c>
      <c r="U186" t="s">
        <v>2596</v>
      </c>
      <c r="V186">
        <v>3</v>
      </c>
      <c r="W186" t="s">
        <v>2596</v>
      </c>
      <c r="X186">
        <v>3</v>
      </c>
      <c r="Y186">
        <f>VLOOKUP(Table_clu7sql1_ssdb_REPORT_vw_IE_External_MI_SON[[#This Row],[URN]],[1]Data!$D$2:$BB$1084,31,)</f>
        <v>3</v>
      </c>
      <c r="Z186">
        <v>9</v>
      </c>
      <c r="AA186">
        <v>2</v>
      </c>
      <c r="AB186" t="s">
        <v>2599</v>
      </c>
      <c r="AC186">
        <v>10025690</v>
      </c>
      <c r="AD186" t="s">
        <v>2635</v>
      </c>
      <c r="AE186" s="108">
        <v>42690</v>
      </c>
      <c r="AF186" t="s">
        <v>2634</v>
      </c>
      <c r="AG186" s="108">
        <v>42746</v>
      </c>
      <c r="AH186" t="s">
        <v>146</v>
      </c>
    </row>
    <row r="187" spans="1:34" x14ac:dyDescent="0.25">
      <c r="A187" s="111" t="str">
        <f>HYPERLINK("http://www.ofsted.gov.uk/inspection-reports/find-inspection-report/provider/ELS/114646 ","Ofsted School Webpage")</f>
        <v>Ofsted School Webpage</v>
      </c>
      <c r="B187">
        <v>114646</v>
      </c>
      <c r="C187">
        <v>8456003</v>
      </c>
      <c r="D187" t="s">
        <v>1918</v>
      </c>
      <c r="E187" t="s">
        <v>36</v>
      </c>
      <c r="F187" t="s">
        <v>142</v>
      </c>
      <c r="G187" t="s">
        <v>169</v>
      </c>
      <c r="H187" t="s">
        <v>2595</v>
      </c>
      <c r="I187" t="s">
        <v>2596</v>
      </c>
      <c r="J187" t="s">
        <v>143</v>
      </c>
      <c r="K187" t="s">
        <v>139</v>
      </c>
      <c r="L187" t="s">
        <v>139</v>
      </c>
      <c r="M187" t="s">
        <v>394</v>
      </c>
      <c r="N187" t="s">
        <v>1919</v>
      </c>
      <c r="O187" t="s">
        <v>1920</v>
      </c>
      <c r="P187" s="108">
        <v>40499</v>
      </c>
      <c r="Q187" s="108">
        <v>40499</v>
      </c>
      <c r="R187" s="108">
        <v>40518</v>
      </c>
      <c r="S187" t="s">
        <v>608</v>
      </c>
      <c r="T187">
        <v>2</v>
      </c>
      <c r="U187" t="s">
        <v>2596</v>
      </c>
      <c r="V187" t="s">
        <v>2596</v>
      </c>
      <c r="W187" t="s">
        <v>2596</v>
      </c>
      <c r="X187">
        <v>2</v>
      </c>
      <c r="Y187">
        <f>VLOOKUP(Table_clu7sql1_ssdb_REPORT_vw_IE_External_MI_SON[[#This Row],[URN]],[1]Data!$D$2:$BB$1084,31,)</f>
        <v>2</v>
      </c>
      <c r="Z187">
        <v>8</v>
      </c>
      <c r="AA187" t="s">
        <v>2596</v>
      </c>
      <c r="AB187" t="s">
        <v>2598</v>
      </c>
      <c r="AC187" t="s">
        <v>2596</v>
      </c>
      <c r="AD187" t="s">
        <v>2596</v>
      </c>
      <c r="AE187" s="108" t="s">
        <v>2596</v>
      </c>
      <c r="AF187" t="s">
        <v>2596</v>
      </c>
      <c r="AG187" s="108" t="s">
        <v>2596</v>
      </c>
      <c r="AH187" t="s">
        <v>2596</v>
      </c>
    </row>
    <row r="188" spans="1:34" x14ac:dyDescent="0.25">
      <c r="A188" s="111" t="str">
        <f>HYPERLINK("http://www.ofsted.gov.uk/inspection-reports/find-inspection-report/provider/ELS/114656 ","Ofsted School Webpage")</f>
        <v>Ofsted School Webpage</v>
      </c>
      <c r="B188">
        <v>114656</v>
      </c>
      <c r="C188">
        <v>8456031</v>
      </c>
      <c r="D188" t="s">
        <v>1563</v>
      </c>
      <c r="E188" t="s">
        <v>36</v>
      </c>
      <c r="F188" t="s">
        <v>142</v>
      </c>
      <c r="G188" t="s">
        <v>142</v>
      </c>
      <c r="H188" t="s">
        <v>2595</v>
      </c>
      <c r="I188" t="s">
        <v>2596</v>
      </c>
      <c r="J188" t="s">
        <v>143</v>
      </c>
      <c r="K188" t="s">
        <v>139</v>
      </c>
      <c r="L188" t="s">
        <v>139</v>
      </c>
      <c r="M188" t="s">
        <v>394</v>
      </c>
      <c r="N188" t="s">
        <v>1564</v>
      </c>
      <c r="O188">
        <v>10020905</v>
      </c>
      <c r="P188" s="108">
        <v>42822</v>
      </c>
      <c r="Q188" s="108">
        <v>42824</v>
      </c>
      <c r="R188" s="108">
        <v>42867</v>
      </c>
      <c r="S188" t="s">
        <v>224</v>
      </c>
      <c r="T188">
        <v>4</v>
      </c>
      <c r="U188" t="s">
        <v>124</v>
      </c>
      <c r="V188">
        <v>4</v>
      </c>
      <c r="W188">
        <v>4</v>
      </c>
      <c r="X188">
        <v>3</v>
      </c>
      <c r="Y188">
        <f>VLOOKUP(Table_clu7sql1_ssdb_REPORT_vw_IE_External_MI_SON[[#This Row],[URN]],[1]Data!$D$2:$BB$1084,31,)</f>
        <v>3</v>
      </c>
      <c r="Z188" t="s">
        <v>2596</v>
      </c>
      <c r="AA188">
        <v>4</v>
      </c>
      <c r="AB188" t="s">
        <v>2599</v>
      </c>
      <c r="AC188">
        <v>10047033</v>
      </c>
      <c r="AD188" t="s">
        <v>2635</v>
      </c>
      <c r="AE188" s="108">
        <v>43131</v>
      </c>
      <c r="AF188" t="s">
        <v>2636</v>
      </c>
      <c r="AG188" s="108">
        <v>43165</v>
      </c>
      <c r="AH188" t="s">
        <v>174</v>
      </c>
    </row>
    <row r="189" spans="1:34" x14ac:dyDescent="0.25">
      <c r="A189" s="111" t="str">
        <f>HYPERLINK("http://www.ofsted.gov.uk/inspection-reports/find-inspection-report/provider/ELS/114660 ","Ofsted School Webpage")</f>
        <v>Ofsted School Webpage</v>
      </c>
      <c r="B189">
        <v>114660</v>
      </c>
      <c r="C189">
        <v>8456007</v>
      </c>
      <c r="D189" t="s">
        <v>1050</v>
      </c>
      <c r="E189" t="s">
        <v>37</v>
      </c>
      <c r="F189" t="s">
        <v>169</v>
      </c>
      <c r="G189" t="s">
        <v>169</v>
      </c>
      <c r="H189" t="s">
        <v>2595</v>
      </c>
      <c r="I189" t="s">
        <v>2596</v>
      </c>
      <c r="J189" t="s">
        <v>143</v>
      </c>
      <c r="K189" t="s">
        <v>139</v>
      </c>
      <c r="L189" t="s">
        <v>139</v>
      </c>
      <c r="M189" t="s">
        <v>394</v>
      </c>
      <c r="N189" t="s">
        <v>1051</v>
      </c>
      <c r="O189">
        <v>10008896</v>
      </c>
      <c r="P189" s="108">
        <v>42395</v>
      </c>
      <c r="Q189" s="108">
        <v>42397</v>
      </c>
      <c r="R189" s="108">
        <v>42425</v>
      </c>
      <c r="S189" t="s">
        <v>153</v>
      </c>
      <c r="T189">
        <v>2</v>
      </c>
      <c r="U189" t="s">
        <v>123</v>
      </c>
      <c r="V189">
        <v>2</v>
      </c>
      <c r="W189">
        <v>1</v>
      </c>
      <c r="X189">
        <v>2</v>
      </c>
      <c r="Y189">
        <f>VLOOKUP(Table_clu7sql1_ssdb_REPORT_vw_IE_External_MI_SON[[#This Row],[URN]],[1]Data!$D$2:$BB$1084,31,)</f>
        <v>2</v>
      </c>
      <c r="Z189" t="s">
        <v>2596</v>
      </c>
      <c r="AA189">
        <v>2</v>
      </c>
      <c r="AB189" t="s">
        <v>2598</v>
      </c>
      <c r="AC189" t="s">
        <v>2596</v>
      </c>
      <c r="AD189" t="s">
        <v>2596</v>
      </c>
      <c r="AE189" t="s">
        <v>2596</v>
      </c>
      <c r="AF189" t="s">
        <v>2596</v>
      </c>
      <c r="AG189" t="s">
        <v>2596</v>
      </c>
      <c r="AH189" t="s">
        <v>2596</v>
      </c>
    </row>
    <row r="190" spans="1:34" x14ac:dyDescent="0.25">
      <c r="A190" s="111" t="str">
        <f>HYPERLINK("http://www.ofsted.gov.uk/inspection-reports/find-inspection-report/provider/ELS/115408 ","Ofsted School Webpage")</f>
        <v>Ofsted School Webpage</v>
      </c>
      <c r="B190">
        <v>115408</v>
      </c>
      <c r="C190">
        <v>8826007</v>
      </c>
      <c r="D190" t="s">
        <v>698</v>
      </c>
      <c r="E190" t="s">
        <v>36</v>
      </c>
      <c r="F190" t="s">
        <v>142</v>
      </c>
      <c r="G190" t="s">
        <v>142</v>
      </c>
      <c r="H190" t="s">
        <v>2595</v>
      </c>
      <c r="I190" t="s">
        <v>2596</v>
      </c>
      <c r="J190" t="s">
        <v>143</v>
      </c>
      <c r="K190" t="s">
        <v>177</v>
      </c>
      <c r="L190" t="s">
        <v>177</v>
      </c>
      <c r="M190" t="s">
        <v>699</v>
      </c>
      <c r="N190" t="s">
        <v>700</v>
      </c>
      <c r="O190">
        <v>10033600</v>
      </c>
      <c r="P190" s="108">
        <v>42928</v>
      </c>
      <c r="Q190" s="108">
        <v>42930</v>
      </c>
      <c r="R190" s="108">
        <v>42996</v>
      </c>
      <c r="S190" t="s">
        <v>153</v>
      </c>
      <c r="T190">
        <v>3</v>
      </c>
      <c r="U190" t="s">
        <v>123</v>
      </c>
      <c r="V190">
        <v>3</v>
      </c>
      <c r="W190">
        <v>1</v>
      </c>
      <c r="X190">
        <v>2</v>
      </c>
      <c r="Y190">
        <f>VLOOKUP(Table_clu7sql1_ssdb_REPORT_vw_IE_External_MI_SON[[#This Row],[URN]],[1]Data!$D$2:$BB$1084,31,)</f>
        <v>2</v>
      </c>
      <c r="Z190">
        <v>2</v>
      </c>
      <c r="AA190" t="s">
        <v>2596</v>
      </c>
      <c r="AB190" t="s">
        <v>2599</v>
      </c>
      <c r="AC190" t="s">
        <v>2596</v>
      </c>
      <c r="AD190" t="s">
        <v>2596</v>
      </c>
      <c r="AE190" t="s">
        <v>2596</v>
      </c>
      <c r="AF190" t="s">
        <v>2596</v>
      </c>
      <c r="AG190" t="s">
        <v>2596</v>
      </c>
      <c r="AH190" t="s">
        <v>2596</v>
      </c>
    </row>
    <row r="191" spans="1:34" x14ac:dyDescent="0.25">
      <c r="A191" s="111" t="str">
        <f>HYPERLINK("http://www.ofsted.gov.uk/inspection-reports/find-inspection-report/provider/ELS/115418 ","Ofsted School Webpage")</f>
        <v>Ofsted School Webpage</v>
      </c>
      <c r="B191">
        <v>115418</v>
      </c>
      <c r="C191">
        <v>8816024</v>
      </c>
      <c r="D191" t="s">
        <v>654</v>
      </c>
      <c r="E191" t="s">
        <v>36</v>
      </c>
      <c r="F191" t="s">
        <v>142</v>
      </c>
      <c r="G191" t="s">
        <v>142</v>
      </c>
      <c r="H191" t="s">
        <v>2595</v>
      </c>
      <c r="I191" t="s">
        <v>2596</v>
      </c>
      <c r="J191" t="s">
        <v>143</v>
      </c>
      <c r="K191" t="s">
        <v>177</v>
      </c>
      <c r="L191" t="s">
        <v>177</v>
      </c>
      <c r="M191" t="s">
        <v>280</v>
      </c>
      <c r="N191" t="s">
        <v>655</v>
      </c>
      <c r="O191">
        <v>10008564</v>
      </c>
      <c r="P191" s="108">
        <v>42535</v>
      </c>
      <c r="Q191" s="108">
        <v>42537</v>
      </c>
      <c r="R191" s="108">
        <v>42625</v>
      </c>
      <c r="S191" t="s">
        <v>153</v>
      </c>
      <c r="T191">
        <v>2</v>
      </c>
      <c r="U191" t="s">
        <v>123</v>
      </c>
      <c r="V191">
        <v>2</v>
      </c>
      <c r="W191">
        <v>1</v>
      </c>
      <c r="X191">
        <v>2</v>
      </c>
      <c r="Y191">
        <f>VLOOKUP(Table_clu7sql1_ssdb_REPORT_vw_IE_External_MI_SON[[#This Row],[URN]],[1]Data!$D$2:$BB$1084,31,)</f>
        <v>2</v>
      </c>
      <c r="Z191">
        <v>2</v>
      </c>
      <c r="AA191" t="s">
        <v>2596</v>
      </c>
      <c r="AB191" t="s">
        <v>2598</v>
      </c>
      <c r="AC191" t="s">
        <v>2596</v>
      </c>
      <c r="AD191" t="s">
        <v>2596</v>
      </c>
      <c r="AE191" s="108" t="s">
        <v>2596</v>
      </c>
      <c r="AF191" t="s">
        <v>2596</v>
      </c>
      <c r="AG191" s="108" t="s">
        <v>2596</v>
      </c>
      <c r="AH191" t="s">
        <v>2596</v>
      </c>
    </row>
    <row r="192" spans="1:34" x14ac:dyDescent="0.25">
      <c r="A192" s="111" t="str">
        <f>HYPERLINK("http://www.ofsted.gov.uk/inspection-reports/find-inspection-report/provider/ELS/115425 ","Ofsted School Webpage")</f>
        <v>Ofsted School Webpage</v>
      </c>
      <c r="B192">
        <v>115425</v>
      </c>
      <c r="C192">
        <v>8816031</v>
      </c>
      <c r="D192" t="s">
        <v>1820</v>
      </c>
      <c r="E192" t="s">
        <v>37</v>
      </c>
      <c r="F192" t="s">
        <v>142</v>
      </c>
      <c r="G192" t="s">
        <v>142</v>
      </c>
      <c r="H192" t="s">
        <v>2595</v>
      </c>
      <c r="I192" t="s">
        <v>2596</v>
      </c>
      <c r="J192" t="s">
        <v>143</v>
      </c>
      <c r="K192" t="s">
        <v>177</v>
      </c>
      <c r="L192" t="s">
        <v>177</v>
      </c>
      <c r="M192" t="s">
        <v>280</v>
      </c>
      <c r="N192" t="s">
        <v>1821</v>
      </c>
      <c r="O192">
        <v>10006009</v>
      </c>
      <c r="P192" s="108">
        <v>42543</v>
      </c>
      <c r="Q192" s="108">
        <v>42545</v>
      </c>
      <c r="R192" s="108">
        <v>42570</v>
      </c>
      <c r="S192" t="s">
        <v>153</v>
      </c>
      <c r="T192">
        <v>2</v>
      </c>
      <c r="U192" t="s">
        <v>123</v>
      </c>
      <c r="V192">
        <v>2</v>
      </c>
      <c r="W192">
        <v>2</v>
      </c>
      <c r="X192">
        <v>2</v>
      </c>
      <c r="Y192">
        <f>VLOOKUP(Table_clu7sql1_ssdb_REPORT_vw_IE_External_MI_SON[[#This Row],[URN]],[1]Data!$D$2:$BB$1084,31,)</f>
        <v>2</v>
      </c>
      <c r="Z192" t="s">
        <v>2596</v>
      </c>
      <c r="AA192" t="s">
        <v>2596</v>
      </c>
      <c r="AB192" t="s">
        <v>2598</v>
      </c>
      <c r="AC192" t="s">
        <v>2596</v>
      </c>
      <c r="AD192" t="s">
        <v>2596</v>
      </c>
      <c r="AE192" t="s">
        <v>2596</v>
      </c>
      <c r="AF192" t="s">
        <v>2596</v>
      </c>
      <c r="AG192" t="s">
        <v>2596</v>
      </c>
      <c r="AH192" t="s">
        <v>2596</v>
      </c>
    </row>
    <row r="193" spans="1:34" x14ac:dyDescent="0.25">
      <c r="A193" s="111" t="str">
        <f>HYPERLINK("http://www.ofsted.gov.uk/inspection-reports/find-inspection-report/provider/ELS/115426 ","Ofsted School Webpage")</f>
        <v>Ofsted School Webpage</v>
      </c>
      <c r="B193">
        <v>115426</v>
      </c>
      <c r="C193">
        <v>8816032</v>
      </c>
      <c r="D193" t="s">
        <v>279</v>
      </c>
      <c r="E193" t="s">
        <v>37</v>
      </c>
      <c r="F193" t="s">
        <v>142</v>
      </c>
      <c r="G193" t="s">
        <v>142</v>
      </c>
      <c r="H193" t="s">
        <v>2595</v>
      </c>
      <c r="I193" t="s">
        <v>2596</v>
      </c>
      <c r="J193" t="s">
        <v>143</v>
      </c>
      <c r="K193" t="s">
        <v>177</v>
      </c>
      <c r="L193" t="s">
        <v>177</v>
      </c>
      <c r="M193" t="s">
        <v>280</v>
      </c>
      <c r="N193" t="s">
        <v>281</v>
      </c>
      <c r="O193">
        <v>10026061</v>
      </c>
      <c r="P193" s="108">
        <v>42773</v>
      </c>
      <c r="Q193" s="108">
        <v>42775</v>
      </c>
      <c r="R193" s="108">
        <v>42821</v>
      </c>
      <c r="S193" t="s">
        <v>224</v>
      </c>
      <c r="T193">
        <v>3</v>
      </c>
      <c r="U193" t="s">
        <v>123</v>
      </c>
      <c r="V193">
        <v>3</v>
      </c>
      <c r="W193">
        <v>3</v>
      </c>
      <c r="X193">
        <v>2</v>
      </c>
      <c r="Y193">
        <f>VLOOKUP(Table_clu7sql1_ssdb_REPORT_vw_IE_External_MI_SON[[#This Row],[URN]],[1]Data!$D$2:$BB$1084,31,)</f>
        <v>2</v>
      </c>
      <c r="Z193">
        <v>0</v>
      </c>
      <c r="AA193">
        <v>2</v>
      </c>
      <c r="AB193" t="s">
        <v>2599</v>
      </c>
      <c r="AC193">
        <v>10039953</v>
      </c>
      <c r="AD193" t="s">
        <v>144</v>
      </c>
      <c r="AE193" s="108">
        <v>43019</v>
      </c>
      <c r="AF193" t="s">
        <v>2636</v>
      </c>
      <c r="AG193" s="108">
        <v>43048</v>
      </c>
      <c r="AH193" t="s">
        <v>174</v>
      </c>
    </row>
    <row r="194" spans="1:34" x14ac:dyDescent="0.25">
      <c r="A194" s="111" t="str">
        <f>HYPERLINK("http://www.ofsted.gov.uk/inspection-reports/find-inspection-report/provider/ELS/115436 ","Ofsted School Webpage")</f>
        <v>Ofsted School Webpage</v>
      </c>
      <c r="B194">
        <v>115436</v>
      </c>
      <c r="C194">
        <v>8816041</v>
      </c>
      <c r="D194" t="s">
        <v>1876</v>
      </c>
      <c r="E194" t="s">
        <v>36</v>
      </c>
      <c r="F194" t="s">
        <v>169</v>
      </c>
      <c r="G194" t="s">
        <v>169</v>
      </c>
      <c r="H194" t="s">
        <v>2595</v>
      </c>
      <c r="I194" t="s">
        <v>2596</v>
      </c>
      <c r="J194" t="s">
        <v>143</v>
      </c>
      <c r="K194" t="s">
        <v>177</v>
      </c>
      <c r="L194" t="s">
        <v>177</v>
      </c>
      <c r="M194" t="s">
        <v>280</v>
      </c>
      <c r="N194" t="s">
        <v>1877</v>
      </c>
      <c r="O194">
        <v>10040367</v>
      </c>
      <c r="P194" s="108">
        <v>43074</v>
      </c>
      <c r="Q194" s="108">
        <v>43076</v>
      </c>
      <c r="R194" s="108">
        <v>43124</v>
      </c>
      <c r="S194" t="s">
        <v>153</v>
      </c>
      <c r="T194">
        <v>3</v>
      </c>
      <c r="U194" t="s">
        <v>123</v>
      </c>
      <c r="V194">
        <v>3</v>
      </c>
      <c r="W194">
        <v>2</v>
      </c>
      <c r="X194">
        <v>2</v>
      </c>
      <c r="Y194">
        <f>VLOOKUP(Table_clu7sql1_ssdb_REPORT_vw_IE_External_MI_SON[[#This Row],[URN]],[1]Data!$D$2:$BB$1084,31,)</f>
        <v>2</v>
      </c>
      <c r="Z194">
        <v>2</v>
      </c>
      <c r="AA194" t="s">
        <v>2596</v>
      </c>
      <c r="AB194" t="s">
        <v>2599</v>
      </c>
      <c r="AC194" t="s">
        <v>2596</v>
      </c>
      <c r="AD194" t="s">
        <v>2596</v>
      </c>
      <c r="AE194" t="s">
        <v>2596</v>
      </c>
      <c r="AF194" t="s">
        <v>2596</v>
      </c>
      <c r="AG194" t="s">
        <v>2596</v>
      </c>
      <c r="AH194" t="s">
        <v>2596</v>
      </c>
    </row>
    <row r="195" spans="1:34" x14ac:dyDescent="0.25">
      <c r="A195" s="111" t="str">
        <f>HYPERLINK("http://www.ofsted.gov.uk/inspection-reports/find-inspection-report/provider/ELS/115437 ","Ofsted School Webpage")</f>
        <v>Ofsted School Webpage</v>
      </c>
      <c r="B195">
        <v>115437</v>
      </c>
      <c r="C195">
        <v>8816042</v>
      </c>
      <c r="D195" t="s">
        <v>1635</v>
      </c>
      <c r="E195" t="s">
        <v>36</v>
      </c>
      <c r="F195" t="s">
        <v>142</v>
      </c>
      <c r="G195" t="s">
        <v>1636</v>
      </c>
      <c r="H195" t="s">
        <v>2595</v>
      </c>
      <c r="I195" t="s">
        <v>2596</v>
      </c>
      <c r="J195" t="s">
        <v>143</v>
      </c>
      <c r="K195" t="s">
        <v>177</v>
      </c>
      <c r="L195" t="s">
        <v>177</v>
      </c>
      <c r="M195" t="s">
        <v>280</v>
      </c>
      <c r="N195" t="s">
        <v>1637</v>
      </c>
      <c r="O195">
        <v>10033601</v>
      </c>
      <c r="P195" s="108">
        <v>43004</v>
      </c>
      <c r="Q195" s="108">
        <v>43006</v>
      </c>
      <c r="R195" s="108">
        <v>43109</v>
      </c>
      <c r="S195" t="s">
        <v>153</v>
      </c>
      <c r="T195">
        <v>4</v>
      </c>
      <c r="U195" t="s">
        <v>124</v>
      </c>
      <c r="V195">
        <v>4</v>
      </c>
      <c r="W195">
        <v>4</v>
      </c>
      <c r="X195">
        <v>2</v>
      </c>
      <c r="Y195">
        <f>VLOOKUP(Table_clu7sql1_ssdb_REPORT_vw_IE_External_MI_SON[[#This Row],[URN]],[1]Data!$D$2:$BB$1084,31,)</f>
        <v>2</v>
      </c>
      <c r="Z195">
        <v>4</v>
      </c>
      <c r="AA195">
        <v>4</v>
      </c>
      <c r="AB195" t="s">
        <v>2599</v>
      </c>
      <c r="AC195" t="s">
        <v>2596</v>
      </c>
      <c r="AD195" t="s">
        <v>2596</v>
      </c>
      <c r="AE195" t="s">
        <v>2596</v>
      </c>
      <c r="AF195" t="s">
        <v>2596</v>
      </c>
      <c r="AG195" t="s">
        <v>2596</v>
      </c>
      <c r="AH195" t="s">
        <v>2596</v>
      </c>
    </row>
    <row r="196" spans="1:34" x14ac:dyDescent="0.25">
      <c r="A196" s="111" t="str">
        <f>HYPERLINK("http://www.ofsted.gov.uk/inspection-reports/find-inspection-report/provider/ELS/115802 ","Ofsted School Webpage")</f>
        <v>Ofsted School Webpage</v>
      </c>
      <c r="B196">
        <v>115802</v>
      </c>
      <c r="C196">
        <v>9166040</v>
      </c>
      <c r="D196" t="s">
        <v>221</v>
      </c>
      <c r="E196" t="s">
        <v>37</v>
      </c>
      <c r="F196" t="s">
        <v>142</v>
      </c>
      <c r="G196" t="s">
        <v>169</v>
      </c>
      <c r="H196" t="s">
        <v>2595</v>
      </c>
      <c r="I196" t="s">
        <v>2596</v>
      </c>
      <c r="J196" t="s">
        <v>143</v>
      </c>
      <c r="K196" t="s">
        <v>182</v>
      </c>
      <c r="L196" t="s">
        <v>182</v>
      </c>
      <c r="M196" t="s">
        <v>222</v>
      </c>
      <c r="N196" t="s">
        <v>223</v>
      </c>
      <c r="O196">
        <v>10035561</v>
      </c>
      <c r="P196" s="108">
        <v>43004</v>
      </c>
      <c r="Q196" s="108">
        <v>43006</v>
      </c>
      <c r="R196" s="108">
        <v>43045</v>
      </c>
      <c r="S196" t="s">
        <v>224</v>
      </c>
      <c r="T196">
        <v>2</v>
      </c>
      <c r="U196" t="s">
        <v>123</v>
      </c>
      <c r="V196">
        <v>2</v>
      </c>
      <c r="W196">
        <v>2</v>
      </c>
      <c r="X196">
        <v>2</v>
      </c>
      <c r="Y196">
        <f>VLOOKUP(Table_clu7sql1_ssdb_REPORT_vw_IE_External_MI_SON[[#This Row],[URN]],[1]Data!$D$2:$BB$1084,31,)</f>
        <v>2</v>
      </c>
      <c r="Z196" t="s">
        <v>2596</v>
      </c>
      <c r="AA196">
        <v>2</v>
      </c>
      <c r="AB196" t="s">
        <v>2598</v>
      </c>
      <c r="AC196" t="s">
        <v>2596</v>
      </c>
      <c r="AD196" t="s">
        <v>2596</v>
      </c>
      <c r="AE196" t="s">
        <v>2596</v>
      </c>
      <c r="AF196" t="s">
        <v>2596</v>
      </c>
      <c r="AG196" t="s">
        <v>2596</v>
      </c>
      <c r="AH196" t="s">
        <v>2596</v>
      </c>
    </row>
    <row r="197" spans="1:34" x14ac:dyDescent="0.25">
      <c r="A197" s="111" t="str">
        <f>HYPERLINK("http://www.ofsted.gov.uk/inspection-reports/find-inspection-report/provider/ELS/115803 ","Ofsted School Webpage")</f>
        <v>Ofsted School Webpage</v>
      </c>
      <c r="B197">
        <v>115803</v>
      </c>
      <c r="C197">
        <v>9166047</v>
      </c>
      <c r="D197" t="s">
        <v>634</v>
      </c>
      <c r="E197" t="s">
        <v>36</v>
      </c>
      <c r="F197" t="s">
        <v>142</v>
      </c>
      <c r="G197" t="s">
        <v>249</v>
      </c>
      <c r="H197" t="s">
        <v>2595</v>
      </c>
      <c r="I197" t="s">
        <v>2596</v>
      </c>
      <c r="J197" t="s">
        <v>143</v>
      </c>
      <c r="K197" t="s">
        <v>182</v>
      </c>
      <c r="L197" t="s">
        <v>182</v>
      </c>
      <c r="M197" t="s">
        <v>222</v>
      </c>
      <c r="N197" t="s">
        <v>635</v>
      </c>
      <c r="O197">
        <v>10008569</v>
      </c>
      <c r="P197" s="108">
        <v>42479</v>
      </c>
      <c r="Q197" s="108">
        <v>42481</v>
      </c>
      <c r="R197" s="108">
        <v>42527</v>
      </c>
      <c r="S197" t="s">
        <v>153</v>
      </c>
      <c r="T197">
        <v>2</v>
      </c>
      <c r="U197" t="s">
        <v>123</v>
      </c>
      <c r="V197">
        <v>2</v>
      </c>
      <c r="W197">
        <v>1</v>
      </c>
      <c r="X197">
        <v>2</v>
      </c>
      <c r="Y197">
        <f>VLOOKUP(Table_clu7sql1_ssdb_REPORT_vw_IE_External_MI_SON[[#This Row],[URN]],[1]Data!$D$2:$BB$1084,31,)</f>
        <v>2</v>
      </c>
      <c r="Z197">
        <v>2</v>
      </c>
      <c r="AA197" t="s">
        <v>2596</v>
      </c>
      <c r="AB197" t="s">
        <v>2598</v>
      </c>
      <c r="AC197" t="s">
        <v>2596</v>
      </c>
      <c r="AD197" t="s">
        <v>2596</v>
      </c>
      <c r="AE197" s="108" t="s">
        <v>2596</v>
      </c>
      <c r="AF197" t="s">
        <v>2596</v>
      </c>
      <c r="AG197" s="108" t="s">
        <v>2596</v>
      </c>
      <c r="AH197" t="s">
        <v>2596</v>
      </c>
    </row>
    <row r="198" spans="1:34" x14ac:dyDescent="0.25">
      <c r="A198" s="111" t="str">
        <f>HYPERLINK("http://www.ofsted.gov.uk/inspection-reports/find-inspection-report/provider/ELS/115808 ","Ofsted School Webpage")</f>
        <v>Ofsted School Webpage</v>
      </c>
      <c r="B198">
        <v>115808</v>
      </c>
      <c r="C198">
        <v>9166068</v>
      </c>
      <c r="D198" t="s">
        <v>2312</v>
      </c>
      <c r="E198" t="s">
        <v>36</v>
      </c>
      <c r="F198" t="s">
        <v>142</v>
      </c>
      <c r="G198" t="s">
        <v>169</v>
      </c>
      <c r="H198" t="s">
        <v>2595</v>
      </c>
      <c r="I198" t="s">
        <v>2596</v>
      </c>
      <c r="J198" t="s">
        <v>143</v>
      </c>
      <c r="K198" t="s">
        <v>182</v>
      </c>
      <c r="L198" t="s">
        <v>182</v>
      </c>
      <c r="M198" t="s">
        <v>222</v>
      </c>
      <c r="N198" t="s">
        <v>2313</v>
      </c>
      <c r="O198">
        <v>10012958</v>
      </c>
      <c r="P198" s="108">
        <v>42542</v>
      </c>
      <c r="Q198" s="108">
        <v>42544</v>
      </c>
      <c r="R198" s="108">
        <v>42632</v>
      </c>
      <c r="S198" t="s">
        <v>153</v>
      </c>
      <c r="T198">
        <v>2</v>
      </c>
      <c r="U198" t="s">
        <v>123</v>
      </c>
      <c r="V198">
        <v>2</v>
      </c>
      <c r="W198">
        <v>2</v>
      </c>
      <c r="X198">
        <v>2</v>
      </c>
      <c r="Y198">
        <f>VLOOKUP(Table_clu7sql1_ssdb_REPORT_vw_IE_External_MI_SON[[#This Row],[URN]],[1]Data!$D$2:$BB$1084,31,)</f>
        <v>2</v>
      </c>
      <c r="Z198" t="s">
        <v>2596</v>
      </c>
      <c r="AA198">
        <v>2</v>
      </c>
      <c r="AB198" t="s">
        <v>2598</v>
      </c>
      <c r="AC198" t="s">
        <v>2596</v>
      </c>
      <c r="AD198" t="s">
        <v>2596</v>
      </c>
      <c r="AE198" t="s">
        <v>2596</v>
      </c>
      <c r="AF198" t="s">
        <v>2596</v>
      </c>
      <c r="AG198" t="s">
        <v>2596</v>
      </c>
      <c r="AH198" t="s">
        <v>2596</v>
      </c>
    </row>
    <row r="199" spans="1:34" x14ac:dyDescent="0.25">
      <c r="A199" s="111" t="str">
        <f>HYPERLINK("http://www.ofsted.gov.uk/inspection-reports/find-inspection-report/provider/ELS/115809 ","Ofsted School Webpage")</f>
        <v>Ofsted School Webpage</v>
      </c>
      <c r="B199">
        <v>115809</v>
      </c>
      <c r="C199">
        <v>9166072</v>
      </c>
      <c r="D199" t="s">
        <v>1500</v>
      </c>
      <c r="E199" t="s">
        <v>37</v>
      </c>
      <c r="F199" t="s">
        <v>142</v>
      </c>
      <c r="G199" t="s">
        <v>142</v>
      </c>
      <c r="H199" t="s">
        <v>2595</v>
      </c>
      <c r="I199" t="s">
        <v>2596</v>
      </c>
      <c r="J199" t="s">
        <v>143</v>
      </c>
      <c r="K199" t="s">
        <v>182</v>
      </c>
      <c r="L199" t="s">
        <v>182</v>
      </c>
      <c r="M199" t="s">
        <v>222</v>
      </c>
      <c r="N199" t="s">
        <v>1501</v>
      </c>
      <c r="O199" t="s">
        <v>1502</v>
      </c>
      <c r="P199" s="108">
        <v>42157</v>
      </c>
      <c r="Q199" s="108">
        <v>42159</v>
      </c>
      <c r="R199" s="108">
        <v>42194</v>
      </c>
      <c r="S199" t="s">
        <v>153</v>
      </c>
      <c r="T199">
        <v>2</v>
      </c>
      <c r="U199" t="s">
        <v>2596</v>
      </c>
      <c r="V199">
        <v>2</v>
      </c>
      <c r="W199" t="s">
        <v>2596</v>
      </c>
      <c r="X199">
        <v>2</v>
      </c>
      <c r="Y199">
        <f>VLOOKUP(Table_clu7sql1_ssdb_REPORT_vw_IE_External_MI_SON[[#This Row],[URN]],[1]Data!$D$2:$BB$1084,31,)</f>
        <v>2</v>
      </c>
      <c r="Z199">
        <v>9</v>
      </c>
      <c r="AA199">
        <v>9</v>
      </c>
      <c r="AB199" t="s">
        <v>2598</v>
      </c>
      <c r="AC199" t="s">
        <v>2596</v>
      </c>
      <c r="AD199" t="s">
        <v>2596</v>
      </c>
      <c r="AE199" s="108" t="s">
        <v>2596</v>
      </c>
      <c r="AF199" t="s">
        <v>2596</v>
      </c>
      <c r="AG199" s="108" t="s">
        <v>2596</v>
      </c>
      <c r="AH199" t="s">
        <v>2596</v>
      </c>
    </row>
    <row r="200" spans="1:34" x14ac:dyDescent="0.25">
      <c r="A200" s="111" t="str">
        <f>HYPERLINK("http://www.ofsted.gov.uk/inspection-reports/find-inspection-report/provider/ELS/115810 ","Ofsted School Webpage")</f>
        <v>Ofsted School Webpage</v>
      </c>
      <c r="B200">
        <v>115810</v>
      </c>
      <c r="C200">
        <v>9166073</v>
      </c>
      <c r="D200" t="s">
        <v>601</v>
      </c>
      <c r="E200" t="s">
        <v>36</v>
      </c>
      <c r="F200" t="s">
        <v>142</v>
      </c>
      <c r="G200" t="s">
        <v>180</v>
      </c>
      <c r="H200" t="s">
        <v>2595</v>
      </c>
      <c r="I200" t="s">
        <v>2596</v>
      </c>
      <c r="J200" t="s">
        <v>143</v>
      </c>
      <c r="K200" t="s">
        <v>182</v>
      </c>
      <c r="L200" t="s">
        <v>182</v>
      </c>
      <c r="M200" t="s">
        <v>222</v>
      </c>
      <c r="N200" t="s">
        <v>602</v>
      </c>
      <c r="O200">
        <v>10033886</v>
      </c>
      <c r="P200" s="108">
        <v>43053</v>
      </c>
      <c r="Q200" s="108">
        <v>43055</v>
      </c>
      <c r="R200" s="108">
        <v>43109</v>
      </c>
      <c r="S200" t="s">
        <v>153</v>
      </c>
      <c r="T200">
        <v>3</v>
      </c>
      <c r="U200" t="s">
        <v>123</v>
      </c>
      <c r="V200">
        <v>3</v>
      </c>
      <c r="W200">
        <v>2</v>
      </c>
      <c r="X200">
        <v>3</v>
      </c>
      <c r="Y200">
        <f>VLOOKUP(Table_clu7sql1_ssdb_REPORT_vw_IE_External_MI_SON[[#This Row],[URN]],[1]Data!$D$2:$BB$1084,31,)</f>
        <v>3</v>
      </c>
      <c r="Z200" t="s">
        <v>2596</v>
      </c>
      <c r="AA200" t="s">
        <v>2596</v>
      </c>
      <c r="AB200" t="s">
        <v>2598</v>
      </c>
      <c r="AC200" t="s">
        <v>2596</v>
      </c>
      <c r="AD200" t="s">
        <v>2596</v>
      </c>
      <c r="AE200" t="s">
        <v>2596</v>
      </c>
      <c r="AF200" t="s">
        <v>2596</v>
      </c>
      <c r="AG200" t="s">
        <v>2596</v>
      </c>
      <c r="AH200" t="s">
        <v>2596</v>
      </c>
    </row>
    <row r="201" spans="1:34" x14ac:dyDescent="0.25">
      <c r="A201" s="111" t="str">
        <f>HYPERLINK("http://www.ofsted.gov.uk/inspection-reports/find-inspection-report/provider/ELS/116540 ","Ofsted School Webpage")</f>
        <v>Ofsted School Webpage</v>
      </c>
      <c r="B201">
        <v>116540</v>
      </c>
      <c r="C201">
        <v>8506014</v>
      </c>
      <c r="D201" t="s">
        <v>2504</v>
      </c>
      <c r="E201" t="s">
        <v>36</v>
      </c>
      <c r="F201" t="s">
        <v>142</v>
      </c>
      <c r="G201" t="s">
        <v>142</v>
      </c>
      <c r="H201" t="s">
        <v>2595</v>
      </c>
      <c r="I201" t="s">
        <v>2596</v>
      </c>
      <c r="J201" t="s">
        <v>143</v>
      </c>
      <c r="K201" t="s">
        <v>139</v>
      </c>
      <c r="L201" t="s">
        <v>139</v>
      </c>
      <c r="M201" t="s">
        <v>158</v>
      </c>
      <c r="N201" t="s">
        <v>2505</v>
      </c>
      <c r="O201">
        <v>10020950</v>
      </c>
      <c r="P201" s="108">
        <v>42647</v>
      </c>
      <c r="Q201" s="108">
        <v>42649</v>
      </c>
      <c r="R201" s="108">
        <v>42696</v>
      </c>
      <c r="S201" t="s">
        <v>153</v>
      </c>
      <c r="T201">
        <v>4</v>
      </c>
      <c r="U201" t="s">
        <v>124</v>
      </c>
      <c r="V201">
        <v>4</v>
      </c>
      <c r="W201">
        <v>4</v>
      </c>
      <c r="X201">
        <v>2</v>
      </c>
      <c r="Y201">
        <f>VLOOKUP(Table_clu7sql1_ssdb_REPORT_vw_IE_External_MI_SON[[#This Row],[URN]],[1]Data!$D$2:$BB$1084,31,)</f>
        <v>2</v>
      </c>
      <c r="Z201">
        <v>4</v>
      </c>
      <c r="AA201" t="s">
        <v>2596</v>
      </c>
      <c r="AB201" t="s">
        <v>2599</v>
      </c>
      <c r="AC201">
        <v>10033996</v>
      </c>
      <c r="AD201" t="s">
        <v>144</v>
      </c>
      <c r="AE201" s="108">
        <v>42853</v>
      </c>
      <c r="AF201" t="s">
        <v>2634</v>
      </c>
      <c r="AG201" s="108">
        <v>42873</v>
      </c>
      <c r="AH201" t="s">
        <v>146</v>
      </c>
    </row>
    <row r="202" spans="1:34" x14ac:dyDescent="0.25">
      <c r="A202" s="111" t="str">
        <f>HYPERLINK("http://www.ofsted.gov.uk/inspection-reports/find-inspection-report/provider/ELS/116546 ","Ofsted School Webpage")</f>
        <v>Ofsted School Webpage</v>
      </c>
      <c r="B202">
        <v>116546</v>
      </c>
      <c r="C202">
        <v>8506029</v>
      </c>
      <c r="D202" t="s">
        <v>339</v>
      </c>
      <c r="E202" t="s">
        <v>36</v>
      </c>
      <c r="F202" t="s">
        <v>142</v>
      </c>
      <c r="G202" t="s">
        <v>142</v>
      </c>
      <c r="H202" t="s">
        <v>2595</v>
      </c>
      <c r="I202" t="s">
        <v>2596</v>
      </c>
      <c r="J202" t="s">
        <v>143</v>
      </c>
      <c r="K202" t="s">
        <v>139</v>
      </c>
      <c r="L202" t="s">
        <v>139</v>
      </c>
      <c r="M202" t="s">
        <v>158</v>
      </c>
      <c r="N202" t="s">
        <v>340</v>
      </c>
      <c r="O202">
        <v>10025976</v>
      </c>
      <c r="P202" s="108">
        <v>43039</v>
      </c>
      <c r="Q202" s="108">
        <v>43041</v>
      </c>
      <c r="R202" s="108">
        <v>43061</v>
      </c>
      <c r="S202" t="s">
        <v>153</v>
      </c>
      <c r="T202">
        <v>2</v>
      </c>
      <c r="U202" t="s">
        <v>123</v>
      </c>
      <c r="V202">
        <v>2</v>
      </c>
      <c r="W202">
        <v>2</v>
      </c>
      <c r="X202">
        <v>2</v>
      </c>
      <c r="Y202">
        <f>VLOOKUP(Table_clu7sql1_ssdb_REPORT_vw_IE_External_MI_SON[[#This Row],[URN]],[1]Data!$D$2:$BB$1084,31,)</f>
        <v>2</v>
      </c>
      <c r="Z202">
        <v>2</v>
      </c>
      <c r="AA202" t="s">
        <v>2596</v>
      </c>
      <c r="AB202" t="s">
        <v>2598</v>
      </c>
      <c r="AC202" t="s">
        <v>2596</v>
      </c>
      <c r="AD202" t="s">
        <v>2596</v>
      </c>
      <c r="AE202" t="s">
        <v>2596</v>
      </c>
      <c r="AF202" t="s">
        <v>2596</v>
      </c>
      <c r="AG202" t="s">
        <v>2596</v>
      </c>
      <c r="AH202" t="s">
        <v>2596</v>
      </c>
    </row>
    <row r="203" spans="1:34" x14ac:dyDescent="0.25">
      <c r="A203" s="111" t="str">
        <f>HYPERLINK("http://www.ofsted.gov.uk/inspection-reports/find-inspection-report/provider/ELS/116564 ","Ofsted School Webpage")</f>
        <v>Ofsted School Webpage</v>
      </c>
      <c r="B203">
        <v>116564</v>
      </c>
      <c r="C203">
        <v>8506030</v>
      </c>
      <c r="D203" t="s">
        <v>337</v>
      </c>
      <c r="E203" t="s">
        <v>37</v>
      </c>
      <c r="F203" t="s">
        <v>142</v>
      </c>
      <c r="G203" t="s">
        <v>142</v>
      </c>
      <c r="H203" t="s">
        <v>2595</v>
      </c>
      <c r="I203" t="s">
        <v>2596</v>
      </c>
      <c r="J203" t="s">
        <v>143</v>
      </c>
      <c r="K203" t="s">
        <v>139</v>
      </c>
      <c r="L203" t="s">
        <v>139</v>
      </c>
      <c r="M203" t="s">
        <v>158</v>
      </c>
      <c r="N203" t="s">
        <v>338</v>
      </c>
      <c r="O203">
        <v>10035876</v>
      </c>
      <c r="P203" s="108">
        <v>43011</v>
      </c>
      <c r="Q203" s="108">
        <v>43013</v>
      </c>
      <c r="R203" s="108">
        <v>43053</v>
      </c>
      <c r="S203" t="s">
        <v>3005</v>
      </c>
      <c r="T203">
        <v>2</v>
      </c>
      <c r="U203" t="s">
        <v>123</v>
      </c>
      <c r="V203">
        <v>2</v>
      </c>
      <c r="W203">
        <v>2</v>
      </c>
      <c r="X203">
        <v>2</v>
      </c>
      <c r="Y203">
        <f>VLOOKUP(Table_clu7sql1_ssdb_REPORT_vw_IE_External_MI_SON[[#This Row],[URN]],[1]Data!$D$2:$BB$1084,31,)</f>
        <v>2</v>
      </c>
      <c r="Z203" t="s">
        <v>2596</v>
      </c>
      <c r="AA203" t="s">
        <v>2596</v>
      </c>
      <c r="AB203" t="s">
        <v>2598</v>
      </c>
      <c r="AC203" t="s">
        <v>2596</v>
      </c>
      <c r="AD203" t="s">
        <v>2596</v>
      </c>
      <c r="AE203" s="108" t="s">
        <v>2596</v>
      </c>
      <c r="AF203" t="s">
        <v>2596</v>
      </c>
      <c r="AG203" s="108" t="s">
        <v>2596</v>
      </c>
      <c r="AH203" t="s">
        <v>2596</v>
      </c>
    </row>
    <row r="204" spans="1:34" x14ac:dyDescent="0.25">
      <c r="A204" s="111" t="str">
        <f>HYPERLINK("http://www.ofsted.gov.uk/inspection-reports/find-inspection-report/provider/ELS/116565 ","Ofsted School Webpage")</f>
        <v>Ofsted School Webpage</v>
      </c>
      <c r="B204">
        <v>116565</v>
      </c>
      <c r="C204">
        <v>8506031</v>
      </c>
      <c r="D204" t="s">
        <v>1323</v>
      </c>
      <c r="E204" t="s">
        <v>37</v>
      </c>
      <c r="F204" t="s">
        <v>142</v>
      </c>
      <c r="G204" t="s">
        <v>142</v>
      </c>
      <c r="H204" t="s">
        <v>2595</v>
      </c>
      <c r="I204" t="s">
        <v>2596</v>
      </c>
      <c r="J204" t="s">
        <v>143</v>
      </c>
      <c r="K204" t="s">
        <v>139</v>
      </c>
      <c r="L204" t="s">
        <v>139</v>
      </c>
      <c r="M204" t="s">
        <v>158</v>
      </c>
      <c r="N204" t="s">
        <v>1324</v>
      </c>
      <c r="O204">
        <v>10008897</v>
      </c>
      <c r="P204" s="108">
        <v>42906</v>
      </c>
      <c r="Q204" s="108">
        <v>42908</v>
      </c>
      <c r="R204" s="108">
        <v>42947</v>
      </c>
      <c r="S204" t="s">
        <v>153</v>
      </c>
      <c r="T204">
        <v>1</v>
      </c>
      <c r="U204" t="s">
        <v>123</v>
      </c>
      <c r="V204">
        <v>1</v>
      </c>
      <c r="W204">
        <v>1</v>
      </c>
      <c r="X204">
        <v>1</v>
      </c>
      <c r="Y204">
        <f>VLOOKUP(Table_clu7sql1_ssdb_REPORT_vw_IE_External_MI_SON[[#This Row],[URN]],[1]Data!$D$2:$BB$1084,31,)</f>
        <v>1</v>
      </c>
      <c r="Z204" t="s">
        <v>2596</v>
      </c>
      <c r="AA204">
        <v>1</v>
      </c>
      <c r="AB204" t="s">
        <v>2598</v>
      </c>
      <c r="AC204" t="s">
        <v>2596</v>
      </c>
      <c r="AD204" t="s">
        <v>2596</v>
      </c>
      <c r="AE204" t="s">
        <v>2596</v>
      </c>
      <c r="AF204" t="s">
        <v>2596</v>
      </c>
      <c r="AG204" t="s">
        <v>2596</v>
      </c>
      <c r="AH204" t="s">
        <v>2596</v>
      </c>
    </row>
    <row r="205" spans="1:34" x14ac:dyDescent="0.25">
      <c r="A205" s="111" t="str">
        <f>HYPERLINK("http://www.ofsted.gov.uk/inspection-reports/find-inspection-report/provider/ELS/116567 ","Ofsted School Webpage")</f>
        <v>Ofsted School Webpage</v>
      </c>
      <c r="B205">
        <v>116567</v>
      </c>
      <c r="C205">
        <v>8526003</v>
      </c>
      <c r="D205" t="s">
        <v>2299</v>
      </c>
      <c r="E205" t="s">
        <v>36</v>
      </c>
      <c r="F205" t="s">
        <v>142</v>
      </c>
      <c r="G205" t="s">
        <v>369</v>
      </c>
      <c r="H205" t="s">
        <v>2595</v>
      </c>
      <c r="I205" t="s">
        <v>2596</v>
      </c>
      <c r="J205" t="s">
        <v>143</v>
      </c>
      <c r="K205" t="s">
        <v>139</v>
      </c>
      <c r="L205" t="s">
        <v>139</v>
      </c>
      <c r="M205" t="s">
        <v>431</v>
      </c>
      <c r="N205" t="s">
        <v>2300</v>
      </c>
      <c r="O205" t="s">
        <v>2301</v>
      </c>
      <c r="P205" s="108">
        <v>41331</v>
      </c>
      <c r="Q205" s="108">
        <v>41333</v>
      </c>
      <c r="R205" s="108">
        <v>41354</v>
      </c>
      <c r="S205" t="s">
        <v>153</v>
      </c>
      <c r="T205">
        <v>2</v>
      </c>
      <c r="U205" t="s">
        <v>2596</v>
      </c>
      <c r="V205">
        <v>2</v>
      </c>
      <c r="W205" t="s">
        <v>2596</v>
      </c>
      <c r="X205">
        <v>2</v>
      </c>
      <c r="Y205">
        <f>VLOOKUP(Table_clu7sql1_ssdb_REPORT_vw_IE_External_MI_SON[[#This Row],[URN]],[1]Data!$D$2:$BB$1084,31,)</f>
        <v>2</v>
      </c>
      <c r="Z205" t="s">
        <v>2596</v>
      </c>
      <c r="AA205" t="s">
        <v>2596</v>
      </c>
      <c r="AB205" t="s">
        <v>2886</v>
      </c>
      <c r="AC205" t="s">
        <v>2596</v>
      </c>
      <c r="AD205" t="s">
        <v>2596</v>
      </c>
      <c r="AE205" s="108" t="s">
        <v>2596</v>
      </c>
      <c r="AF205" t="s">
        <v>2596</v>
      </c>
      <c r="AG205" s="108" t="s">
        <v>2596</v>
      </c>
      <c r="AH205" t="s">
        <v>2596</v>
      </c>
    </row>
    <row r="206" spans="1:34" x14ac:dyDescent="0.25">
      <c r="A206" s="111" t="str">
        <f>HYPERLINK("http://www.ofsted.gov.uk/inspection-reports/find-inspection-report/provider/ELS/116584 ","Ofsted School Webpage")</f>
        <v>Ofsted School Webpage</v>
      </c>
      <c r="B206">
        <v>116584</v>
      </c>
      <c r="C206">
        <v>8506032</v>
      </c>
      <c r="D206" t="s">
        <v>1130</v>
      </c>
      <c r="E206" t="s">
        <v>37</v>
      </c>
      <c r="F206" t="s">
        <v>142</v>
      </c>
      <c r="G206" t="s">
        <v>369</v>
      </c>
      <c r="H206" t="s">
        <v>2595</v>
      </c>
      <c r="I206" t="s">
        <v>2596</v>
      </c>
      <c r="J206" t="s">
        <v>143</v>
      </c>
      <c r="K206" t="s">
        <v>139</v>
      </c>
      <c r="L206" t="s">
        <v>139</v>
      </c>
      <c r="M206" t="s">
        <v>158</v>
      </c>
      <c r="N206" t="s">
        <v>1131</v>
      </c>
      <c r="O206" t="s">
        <v>1132</v>
      </c>
      <c r="P206" s="108">
        <v>42073</v>
      </c>
      <c r="Q206" s="108">
        <v>42075</v>
      </c>
      <c r="R206" s="108">
        <v>42121</v>
      </c>
      <c r="S206" t="s">
        <v>153</v>
      </c>
      <c r="T206">
        <v>1</v>
      </c>
      <c r="U206" t="s">
        <v>2596</v>
      </c>
      <c r="V206">
        <v>1</v>
      </c>
      <c r="W206" t="s">
        <v>2596</v>
      </c>
      <c r="X206">
        <v>1</v>
      </c>
      <c r="Y206">
        <f>VLOOKUP(Table_clu7sql1_ssdb_REPORT_vw_IE_External_MI_SON[[#This Row],[URN]],[1]Data!$D$2:$BB$1084,31,)</f>
        <v>1</v>
      </c>
      <c r="Z206">
        <v>9</v>
      </c>
      <c r="AA206">
        <v>1</v>
      </c>
      <c r="AB206" t="s">
        <v>2598</v>
      </c>
      <c r="AC206" t="s">
        <v>2596</v>
      </c>
      <c r="AD206" t="s">
        <v>2596</v>
      </c>
      <c r="AE206" s="108" t="s">
        <v>2596</v>
      </c>
      <c r="AF206" t="s">
        <v>2596</v>
      </c>
      <c r="AG206" s="108" t="s">
        <v>2596</v>
      </c>
      <c r="AH206" t="s">
        <v>2596</v>
      </c>
    </row>
    <row r="207" spans="1:34" x14ac:dyDescent="0.25">
      <c r="A207" s="111" t="str">
        <f>HYPERLINK("http://www.ofsted.gov.uk/inspection-reports/find-inspection-report/provider/ELS/116585 ","Ofsted School Webpage")</f>
        <v>Ofsted School Webpage</v>
      </c>
      <c r="B207">
        <v>116585</v>
      </c>
      <c r="C207">
        <v>8506003</v>
      </c>
      <c r="D207" t="s">
        <v>2052</v>
      </c>
      <c r="E207" t="s">
        <v>36</v>
      </c>
      <c r="F207" t="s">
        <v>169</v>
      </c>
      <c r="G207" t="s">
        <v>169</v>
      </c>
      <c r="H207" t="s">
        <v>2595</v>
      </c>
      <c r="I207" t="s">
        <v>2596</v>
      </c>
      <c r="J207" t="s">
        <v>143</v>
      </c>
      <c r="K207" t="s">
        <v>139</v>
      </c>
      <c r="L207" t="s">
        <v>139</v>
      </c>
      <c r="M207" t="s">
        <v>158</v>
      </c>
      <c r="N207" t="s">
        <v>2053</v>
      </c>
      <c r="O207">
        <v>10007692</v>
      </c>
      <c r="P207" s="108">
        <v>42283</v>
      </c>
      <c r="Q207" s="108">
        <v>42285</v>
      </c>
      <c r="R207" s="108">
        <v>42318</v>
      </c>
      <c r="S207" t="s">
        <v>153</v>
      </c>
      <c r="T207">
        <v>3</v>
      </c>
      <c r="U207" t="s">
        <v>123</v>
      </c>
      <c r="V207">
        <v>3</v>
      </c>
      <c r="W207">
        <v>3</v>
      </c>
      <c r="X207">
        <v>3</v>
      </c>
      <c r="Y207">
        <f>VLOOKUP(Table_clu7sql1_ssdb_REPORT_vw_IE_External_MI_SON[[#This Row],[URN]],[1]Data!$D$2:$BB$1084,31,)</f>
        <v>3</v>
      </c>
      <c r="Z207">
        <v>3</v>
      </c>
      <c r="AA207" t="s">
        <v>2596</v>
      </c>
      <c r="AB207" t="s">
        <v>2598</v>
      </c>
      <c r="AC207" t="s">
        <v>2596</v>
      </c>
      <c r="AD207" t="s">
        <v>2596</v>
      </c>
      <c r="AE207" t="s">
        <v>2596</v>
      </c>
      <c r="AF207" t="s">
        <v>2596</v>
      </c>
      <c r="AG207" t="s">
        <v>2596</v>
      </c>
      <c r="AH207" t="s">
        <v>2596</v>
      </c>
    </row>
    <row r="208" spans="1:34" x14ac:dyDescent="0.25">
      <c r="A208" s="111" t="str">
        <f>HYPERLINK("http://www.ofsted.gov.uk/inspection-reports/find-inspection-report/provider/ELS/116586 ","Ofsted School Webpage")</f>
        <v>Ofsted School Webpage</v>
      </c>
      <c r="B208">
        <v>116586</v>
      </c>
      <c r="C208">
        <v>8506017</v>
      </c>
      <c r="D208" t="s">
        <v>1365</v>
      </c>
      <c r="E208" t="s">
        <v>37</v>
      </c>
      <c r="F208" t="s">
        <v>142</v>
      </c>
      <c r="G208" t="s">
        <v>142</v>
      </c>
      <c r="H208" t="s">
        <v>2595</v>
      </c>
      <c r="I208" t="s">
        <v>2596</v>
      </c>
      <c r="J208" t="s">
        <v>143</v>
      </c>
      <c r="K208" t="s">
        <v>139</v>
      </c>
      <c r="L208" t="s">
        <v>139</v>
      </c>
      <c r="M208" t="s">
        <v>158</v>
      </c>
      <c r="N208" t="s">
        <v>821</v>
      </c>
      <c r="O208">
        <v>10034635</v>
      </c>
      <c r="P208" s="108">
        <v>42927</v>
      </c>
      <c r="Q208" s="108">
        <v>42929</v>
      </c>
      <c r="R208" s="108">
        <v>43005</v>
      </c>
      <c r="S208" t="s">
        <v>153</v>
      </c>
      <c r="T208">
        <v>1</v>
      </c>
      <c r="U208" t="s">
        <v>123</v>
      </c>
      <c r="V208">
        <v>1</v>
      </c>
      <c r="W208">
        <v>1</v>
      </c>
      <c r="X208">
        <v>1</v>
      </c>
      <c r="Y208">
        <f>VLOOKUP(Table_clu7sql1_ssdb_REPORT_vw_IE_External_MI_SON[[#This Row],[URN]],[1]Data!$D$2:$BB$1084,31,)</f>
        <v>1</v>
      </c>
      <c r="Z208" t="s">
        <v>2596</v>
      </c>
      <c r="AA208">
        <v>1</v>
      </c>
      <c r="AB208" t="s">
        <v>2598</v>
      </c>
      <c r="AC208" t="s">
        <v>2596</v>
      </c>
      <c r="AD208" t="s">
        <v>2596</v>
      </c>
      <c r="AE208" s="108" t="s">
        <v>2596</v>
      </c>
      <c r="AF208" t="s">
        <v>2596</v>
      </c>
      <c r="AG208" s="108" t="s">
        <v>2596</v>
      </c>
      <c r="AH208" t="s">
        <v>2596</v>
      </c>
    </row>
    <row r="209" spans="1:34" x14ac:dyDescent="0.25">
      <c r="A209" s="111" t="str">
        <f>HYPERLINK("http://www.ofsted.gov.uk/inspection-reports/find-inspection-report/provider/ELS/116588 ","Ofsted School Webpage")</f>
        <v>Ofsted School Webpage</v>
      </c>
      <c r="B209">
        <v>116588</v>
      </c>
      <c r="C209">
        <v>8506058</v>
      </c>
      <c r="D209" t="s">
        <v>523</v>
      </c>
      <c r="E209" t="s">
        <v>37</v>
      </c>
      <c r="F209" t="s">
        <v>142</v>
      </c>
      <c r="G209" t="s">
        <v>142</v>
      </c>
      <c r="H209" t="s">
        <v>2595</v>
      </c>
      <c r="I209" t="s">
        <v>2596</v>
      </c>
      <c r="J209" t="s">
        <v>143</v>
      </c>
      <c r="K209" t="s">
        <v>139</v>
      </c>
      <c r="L209" t="s">
        <v>139</v>
      </c>
      <c r="M209" t="s">
        <v>158</v>
      </c>
      <c r="N209" t="s">
        <v>524</v>
      </c>
      <c r="O209">
        <v>10012946</v>
      </c>
      <c r="P209" s="108">
        <v>42549</v>
      </c>
      <c r="Q209" s="108">
        <v>42551</v>
      </c>
      <c r="R209" s="108">
        <v>42625</v>
      </c>
      <c r="S209" t="s">
        <v>224</v>
      </c>
      <c r="T209">
        <v>3</v>
      </c>
      <c r="U209" t="s">
        <v>123</v>
      </c>
      <c r="V209">
        <v>3</v>
      </c>
      <c r="W209">
        <v>2</v>
      </c>
      <c r="X209">
        <v>2</v>
      </c>
      <c r="Y209">
        <f>VLOOKUP(Table_clu7sql1_ssdb_REPORT_vw_IE_External_MI_SON[[#This Row],[URN]],[1]Data!$D$2:$BB$1084,31,)</f>
        <v>2</v>
      </c>
      <c r="Z209" t="s">
        <v>2596</v>
      </c>
      <c r="AA209">
        <v>2</v>
      </c>
      <c r="AB209" t="s">
        <v>2599</v>
      </c>
      <c r="AC209">
        <v>10030801</v>
      </c>
      <c r="AD209" t="s">
        <v>2635</v>
      </c>
      <c r="AE209" s="108">
        <v>42808</v>
      </c>
      <c r="AF209" t="s">
        <v>2634</v>
      </c>
      <c r="AG209" s="108">
        <v>42860</v>
      </c>
      <c r="AH209" t="s">
        <v>146</v>
      </c>
    </row>
    <row r="210" spans="1:34" x14ac:dyDescent="0.25">
      <c r="A210" s="111" t="str">
        <f>HYPERLINK("http://www.ofsted.gov.uk/inspection-reports/find-inspection-report/provider/ELS/116589 ","Ofsted School Webpage")</f>
        <v>Ofsted School Webpage</v>
      </c>
      <c r="B210">
        <v>116589</v>
      </c>
      <c r="C210">
        <v>8506005</v>
      </c>
      <c r="D210" t="s">
        <v>1496</v>
      </c>
      <c r="E210" t="s">
        <v>37</v>
      </c>
      <c r="F210" t="s">
        <v>142</v>
      </c>
      <c r="G210" t="s">
        <v>142</v>
      </c>
      <c r="H210" t="s">
        <v>2595</v>
      </c>
      <c r="I210" t="s">
        <v>2596</v>
      </c>
      <c r="J210" t="s">
        <v>143</v>
      </c>
      <c r="K210" t="s">
        <v>139</v>
      </c>
      <c r="L210" t="s">
        <v>139</v>
      </c>
      <c r="M210" t="s">
        <v>158</v>
      </c>
      <c r="N210" t="s">
        <v>1497</v>
      </c>
      <c r="O210" t="s">
        <v>1498</v>
      </c>
      <c r="P210" s="108">
        <v>42200</v>
      </c>
      <c r="Q210" s="108">
        <v>42202</v>
      </c>
      <c r="R210" s="108">
        <v>42249</v>
      </c>
      <c r="S210" t="s">
        <v>3005</v>
      </c>
      <c r="T210">
        <v>2</v>
      </c>
      <c r="U210" t="s">
        <v>2596</v>
      </c>
      <c r="V210">
        <v>2</v>
      </c>
      <c r="W210" t="s">
        <v>2596</v>
      </c>
      <c r="X210">
        <v>2</v>
      </c>
      <c r="Y210">
        <f>VLOOKUP(Table_clu7sql1_ssdb_REPORT_vw_IE_External_MI_SON[[#This Row],[URN]],[1]Data!$D$2:$BB$1084,31,)</f>
        <v>2</v>
      </c>
      <c r="Z210">
        <v>9</v>
      </c>
      <c r="AA210">
        <v>2</v>
      </c>
      <c r="AB210" t="s">
        <v>2598</v>
      </c>
      <c r="AC210" t="s">
        <v>2596</v>
      </c>
      <c r="AD210" t="s">
        <v>2596</v>
      </c>
      <c r="AE210" t="s">
        <v>2596</v>
      </c>
      <c r="AF210" t="s">
        <v>2596</v>
      </c>
      <c r="AG210" t="s">
        <v>2596</v>
      </c>
      <c r="AH210" t="s">
        <v>2596</v>
      </c>
    </row>
    <row r="211" spans="1:34" x14ac:dyDescent="0.25">
      <c r="A211" s="111" t="str">
        <f>HYPERLINK("http://www.ofsted.gov.uk/inspection-reports/find-inspection-report/provider/ELS/116593 ","Ofsted School Webpage")</f>
        <v>Ofsted School Webpage</v>
      </c>
      <c r="B211">
        <v>116593</v>
      </c>
      <c r="C211">
        <v>8356033</v>
      </c>
      <c r="D211" t="s">
        <v>1240</v>
      </c>
      <c r="E211" t="s">
        <v>37</v>
      </c>
      <c r="F211" t="s">
        <v>142</v>
      </c>
      <c r="G211" t="s">
        <v>142</v>
      </c>
      <c r="H211" t="s">
        <v>2595</v>
      </c>
      <c r="I211" t="s">
        <v>2596</v>
      </c>
      <c r="J211" t="s">
        <v>143</v>
      </c>
      <c r="K211" t="s">
        <v>182</v>
      </c>
      <c r="L211" t="s">
        <v>182</v>
      </c>
      <c r="M211" t="s">
        <v>564</v>
      </c>
      <c r="N211" t="s">
        <v>1241</v>
      </c>
      <c r="O211">
        <v>10006038</v>
      </c>
      <c r="P211" s="108">
        <v>42703</v>
      </c>
      <c r="Q211" s="108">
        <v>42705</v>
      </c>
      <c r="R211" s="108">
        <v>42759</v>
      </c>
      <c r="S211" t="s">
        <v>153</v>
      </c>
      <c r="T211">
        <v>4</v>
      </c>
      <c r="U211" t="s">
        <v>124</v>
      </c>
      <c r="V211">
        <v>4</v>
      </c>
      <c r="W211">
        <v>4</v>
      </c>
      <c r="X211">
        <v>3</v>
      </c>
      <c r="Y211">
        <f>VLOOKUP(Table_clu7sql1_ssdb_REPORT_vw_IE_External_MI_SON[[#This Row],[URN]],[1]Data!$D$2:$BB$1084,31,)</f>
        <v>3</v>
      </c>
      <c r="Z211" t="s">
        <v>2596</v>
      </c>
      <c r="AA211">
        <v>4</v>
      </c>
      <c r="AB211" t="s">
        <v>2599</v>
      </c>
      <c r="AC211">
        <v>10034721</v>
      </c>
      <c r="AD211" t="s">
        <v>144</v>
      </c>
      <c r="AE211" s="108">
        <v>42929</v>
      </c>
      <c r="AF211" t="s">
        <v>2634</v>
      </c>
      <c r="AG211" s="108">
        <v>42958</v>
      </c>
      <c r="AH211" t="s">
        <v>146</v>
      </c>
    </row>
    <row r="212" spans="1:34" x14ac:dyDescent="0.25">
      <c r="A212" s="111" t="str">
        <f>HYPERLINK("http://www.ofsted.gov.uk/inspection-reports/find-inspection-report/provider/ELS/116594 ","Ofsted School Webpage")</f>
        <v>Ofsted School Webpage</v>
      </c>
      <c r="B212">
        <v>116594</v>
      </c>
      <c r="C212">
        <v>8506062</v>
      </c>
      <c r="D212" t="s">
        <v>373</v>
      </c>
      <c r="E212" t="s">
        <v>36</v>
      </c>
      <c r="F212" t="s">
        <v>369</v>
      </c>
      <c r="G212" t="s">
        <v>369</v>
      </c>
      <c r="H212" t="s">
        <v>2595</v>
      </c>
      <c r="I212" t="s">
        <v>2596</v>
      </c>
      <c r="J212" t="s">
        <v>143</v>
      </c>
      <c r="K212" t="s">
        <v>139</v>
      </c>
      <c r="L212" t="s">
        <v>139</v>
      </c>
      <c r="M212" t="s">
        <v>158</v>
      </c>
      <c r="N212" t="s">
        <v>374</v>
      </c>
      <c r="O212">
        <v>10006334</v>
      </c>
      <c r="P212" s="108">
        <v>43018</v>
      </c>
      <c r="Q212" s="108">
        <v>43020</v>
      </c>
      <c r="R212" s="108">
        <v>43060</v>
      </c>
      <c r="S212" t="s">
        <v>224</v>
      </c>
      <c r="T212">
        <v>4</v>
      </c>
      <c r="U212" t="s">
        <v>124</v>
      </c>
      <c r="V212">
        <v>4</v>
      </c>
      <c r="W212">
        <v>4</v>
      </c>
      <c r="X212">
        <v>2</v>
      </c>
      <c r="Y212">
        <f>VLOOKUP(Table_clu7sql1_ssdb_REPORT_vw_IE_External_MI_SON[[#This Row],[URN]],[1]Data!$D$2:$BB$1084,31,)</f>
        <v>2</v>
      </c>
      <c r="Z212" t="s">
        <v>2596</v>
      </c>
      <c r="AA212">
        <v>4</v>
      </c>
      <c r="AB212" t="s">
        <v>2599</v>
      </c>
      <c r="AC212" t="s">
        <v>2596</v>
      </c>
      <c r="AD212" t="s">
        <v>2596</v>
      </c>
      <c r="AE212" s="108" t="s">
        <v>2596</v>
      </c>
      <c r="AF212" t="s">
        <v>2596</v>
      </c>
      <c r="AG212" s="108" t="s">
        <v>2596</v>
      </c>
      <c r="AH212" t="s">
        <v>2596</v>
      </c>
    </row>
    <row r="213" spans="1:34" x14ac:dyDescent="0.25">
      <c r="A213" s="111" t="str">
        <f>HYPERLINK("http://www.ofsted.gov.uk/inspection-reports/find-inspection-report/provider/ELS/117030 ","Ofsted School Webpage")</f>
        <v>Ofsted School Webpage</v>
      </c>
      <c r="B213">
        <v>117030</v>
      </c>
      <c r="C213">
        <v>8856021</v>
      </c>
      <c r="D213" t="s">
        <v>946</v>
      </c>
      <c r="E213" t="s">
        <v>37</v>
      </c>
      <c r="F213" t="s">
        <v>142</v>
      </c>
      <c r="G213" t="s">
        <v>142</v>
      </c>
      <c r="H213" t="s">
        <v>2595</v>
      </c>
      <c r="I213" t="s">
        <v>2596</v>
      </c>
      <c r="J213" t="s">
        <v>143</v>
      </c>
      <c r="K213" t="s">
        <v>150</v>
      </c>
      <c r="L213" t="s">
        <v>150</v>
      </c>
      <c r="M213" t="s">
        <v>842</v>
      </c>
      <c r="N213" t="s">
        <v>947</v>
      </c>
      <c r="O213">
        <v>10020929</v>
      </c>
      <c r="P213" s="108">
        <v>43046</v>
      </c>
      <c r="Q213" s="108">
        <v>43048</v>
      </c>
      <c r="R213" s="108">
        <v>43123</v>
      </c>
      <c r="S213" t="s">
        <v>153</v>
      </c>
      <c r="T213">
        <v>2</v>
      </c>
      <c r="U213" t="s">
        <v>123</v>
      </c>
      <c r="V213">
        <v>2</v>
      </c>
      <c r="W213">
        <v>2</v>
      </c>
      <c r="X213">
        <v>2</v>
      </c>
      <c r="Y213">
        <f>VLOOKUP(Table_clu7sql1_ssdb_REPORT_vw_IE_External_MI_SON[[#This Row],[URN]],[1]Data!$D$2:$BB$1084,31,)</f>
        <v>2</v>
      </c>
      <c r="Z213" t="s">
        <v>2596</v>
      </c>
      <c r="AA213">
        <v>2</v>
      </c>
      <c r="AB213" t="s">
        <v>2598</v>
      </c>
      <c r="AC213" t="s">
        <v>2596</v>
      </c>
      <c r="AD213" t="s">
        <v>2596</v>
      </c>
      <c r="AE213" s="108" t="s">
        <v>2596</v>
      </c>
      <c r="AF213" t="s">
        <v>2596</v>
      </c>
      <c r="AG213" s="108" t="s">
        <v>2596</v>
      </c>
      <c r="AH213" t="s">
        <v>2596</v>
      </c>
    </row>
    <row r="214" spans="1:34" x14ac:dyDescent="0.25">
      <c r="A214" s="111" t="str">
        <f>HYPERLINK("http://www.ofsted.gov.uk/inspection-reports/find-inspection-report/provider/ELS/117033 ","Ofsted School Webpage")</f>
        <v>Ofsted School Webpage</v>
      </c>
      <c r="B214">
        <v>117033</v>
      </c>
      <c r="C214">
        <v>8856024</v>
      </c>
      <c r="D214" t="s">
        <v>1487</v>
      </c>
      <c r="E214" t="s">
        <v>37</v>
      </c>
      <c r="F214" t="s">
        <v>142</v>
      </c>
      <c r="G214" t="s">
        <v>142</v>
      </c>
      <c r="H214" t="s">
        <v>2595</v>
      </c>
      <c r="I214" t="s">
        <v>2596</v>
      </c>
      <c r="J214" t="s">
        <v>143</v>
      </c>
      <c r="K214" t="s">
        <v>150</v>
      </c>
      <c r="L214" t="s">
        <v>150</v>
      </c>
      <c r="M214" t="s">
        <v>842</v>
      </c>
      <c r="N214" t="s">
        <v>1488</v>
      </c>
      <c r="O214">
        <v>10008859</v>
      </c>
      <c r="P214" s="108">
        <v>42346</v>
      </c>
      <c r="Q214" s="108">
        <v>42348</v>
      </c>
      <c r="R214" s="108">
        <v>42398</v>
      </c>
      <c r="S214" t="s">
        <v>153</v>
      </c>
      <c r="T214">
        <v>2</v>
      </c>
      <c r="U214" t="s">
        <v>123</v>
      </c>
      <c r="V214">
        <v>2</v>
      </c>
      <c r="W214">
        <v>2</v>
      </c>
      <c r="X214">
        <v>2</v>
      </c>
      <c r="Y214">
        <f>VLOOKUP(Table_clu7sql1_ssdb_REPORT_vw_IE_External_MI_SON[[#This Row],[URN]],[1]Data!$D$2:$BB$1084,31,)</f>
        <v>2</v>
      </c>
      <c r="Z214" t="s">
        <v>2596</v>
      </c>
      <c r="AA214">
        <v>2</v>
      </c>
      <c r="AB214" t="s">
        <v>2598</v>
      </c>
      <c r="AC214" t="s">
        <v>2596</v>
      </c>
      <c r="AD214" t="s">
        <v>2596</v>
      </c>
      <c r="AE214" s="108" t="s">
        <v>2596</v>
      </c>
      <c r="AF214" t="s">
        <v>2596</v>
      </c>
      <c r="AG214" s="108" t="s">
        <v>2596</v>
      </c>
      <c r="AH214" t="s">
        <v>2596</v>
      </c>
    </row>
    <row r="215" spans="1:34" x14ac:dyDescent="0.25">
      <c r="A215" s="111" t="str">
        <f>HYPERLINK("http://www.ofsted.gov.uk/inspection-reports/find-inspection-report/provider/ELS/117035 ","Ofsted School Webpage")</f>
        <v>Ofsted School Webpage</v>
      </c>
      <c r="B215">
        <v>117035</v>
      </c>
      <c r="C215">
        <v>8856026</v>
      </c>
      <c r="D215" t="s">
        <v>1512</v>
      </c>
      <c r="E215" t="s">
        <v>36</v>
      </c>
      <c r="F215" t="s">
        <v>142</v>
      </c>
      <c r="G215" t="s">
        <v>142</v>
      </c>
      <c r="H215" t="s">
        <v>2595</v>
      </c>
      <c r="I215" t="s">
        <v>2596</v>
      </c>
      <c r="J215" t="s">
        <v>143</v>
      </c>
      <c r="K215" t="s">
        <v>150</v>
      </c>
      <c r="L215" t="s">
        <v>150</v>
      </c>
      <c r="M215" t="s">
        <v>842</v>
      </c>
      <c r="N215" t="s">
        <v>1513</v>
      </c>
      <c r="O215">
        <v>10012929</v>
      </c>
      <c r="P215" s="108">
        <v>43053</v>
      </c>
      <c r="Q215" s="108">
        <v>43055</v>
      </c>
      <c r="R215" s="108">
        <v>43143</v>
      </c>
      <c r="S215" t="s">
        <v>224</v>
      </c>
      <c r="T215">
        <v>4</v>
      </c>
      <c r="U215" t="s">
        <v>124</v>
      </c>
      <c r="V215">
        <v>4</v>
      </c>
      <c r="W215">
        <v>4</v>
      </c>
      <c r="X215">
        <v>2</v>
      </c>
      <c r="Y215">
        <f>VLOOKUP(Table_clu7sql1_ssdb_REPORT_vw_IE_External_MI_SON[[#This Row],[URN]],[1]Data!$D$2:$BB$1084,31,)</f>
        <v>2</v>
      </c>
      <c r="Z215" t="s">
        <v>2596</v>
      </c>
      <c r="AA215">
        <v>2</v>
      </c>
      <c r="AB215" t="s">
        <v>2599</v>
      </c>
      <c r="AC215" t="s">
        <v>2596</v>
      </c>
      <c r="AD215" t="s">
        <v>2596</v>
      </c>
      <c r="AE215" t="s">
        <v>2596</v>
      </c>
      <c r="AF215" t="s">
        <v>2596</v>
      </c>
      <c r="AG215" t="s">
        <v>2596</v>
      </c>
      <c r="AH215" t="s">
        <v>2596</v>
      </c>
    </row>
    <row r="216" spans="1:34" x14ac:dyDescent="0.25">
      <c r="A216" s="111" t="str">
        <f>HYPERLINK("http://www.ofsted.gov.uk/inspection-reports/find-inspection-report/provider/ELS/117042 ","Ofsted School Webpage")</f>
        <v>Ofsted School Webpage</v>
      </c>
      <c r="B216">
        <v>117042</v>
      </c>
      <c r="C216">
        <v>8846006</v>
      </c>
      <c r="D216" t="s">
        <v>1485</v>
      </c>
      <c r="E216" t="s">
        <v>37</v>
      </c>
      <c r="F216" t="s">
        <v>142</v>
      </c>
      <c r="G216" t="s">
        <v>142</v>
      </c>
      <c r="H216" t="s">
        <v>2595</v>
      </c>
      <c r="I216" t="s">
        <v>2596</v>
      </c>
      <c r="J216" t="s">
        <v>143</v>
      </c>
      <c r="K216" t="s">
        <v>150</v>
      </c>
      <c r="L216" t="s">
        <v>150</v>
      </c>
      <c r="M216" t="s">
        <v>1021</v>
      </c>
      <c r="N216" t="s">
        <v>1486</v>
      </c>
      <c r="O216">
        <v>10038828</v>
      </c>
      <c r="P216" s="108">
        <v>43067</v>
      </c>
      <c r="Q216" s="108">
        <v>43069</v>
      </c>
      <c r="R216" s="108">
        <v>43103</v>
      </c>
      <c r="S216" t="s">
        <v>153</v>
      </c>
      <c r="T216">
        <v>2</v>
      </c>
      <c r="U216" t="s">
        <v>123</v>
      </c>
      <c r="V216">
        <v>2</v>
      </c>
      <c r="W216">
        <v>2</v>
      </c>
      <c r="X216">
        <v>2</v>
      </c>
      <c r="Y216">
        <f>VLOOKUP(Table_clu7sql1_ssdb_REPORT_vw_IE_External_MI_SON[[#This Row],[URN]],[1]Data!$D$2:$BB$1084,31,)</f>
        <v>2</v>
      </c>
      <c r="Z216" t="s">
        <v>2596</v>
      </c>
      <c r="AA216">
        <v>2</v>
      </c>
      <c r="AB216" t="s">
        <v>2598</v>
      </c>
      <c r="AC216" t="s">
        <v>2596</v>
      </c>
      <c r="AD216" t="s">
        <v>2596</v>
      </c>
      <c r="AE216" t="s">
        <v>2596</v>
      </c>
      <c r="AF216" t="s">
        <v>2596</v>
      </c>
      <c r="AG216" t="s">
        <v>2596</v>
      </c>
      <c r="AH216" t="s">
        <v>2596</v>
      </c>
    </row>
    <row r="217" spans="1:34" x14ac:dyDescent="0.25">
      <c r="A217" s="111" t="str">
        <f>HYPERLINK("http://www.ofsted.gov.uk/inspection-reports/find-inspection-report/provider/ELS/117044 ","Ofsted School Webpage")</f>
        <v>Ofsted School Webpage</v>
      </c>
      <c r="B217">
        <v>117044</v>
      </c>
      <c r="C217">
        <v>8856031</v>
      </c>
      <c r="D217" t="s">
        <v>1716</v>
      </c>
      <c r="E217" t="s">
        <v>36</v>
      </c>
      <c r="F217" t="s">
        <v>142</v>
      </c>
      <c r="G217" t="s">
        <v>180</v>
      </c>
      <c r="H217" t="s">
        <v>2595</v>
      </c>
      <c r="I217" t="s">
        <v>2596</v>
      </c>
      <c r="J217" t="s">
        <v>143</v>
      </c>
      <c r="K217" t="s">
        <v>150</v>
      </c>
      <c r="L217" t="s">
        <v>150</v>
      </c>
      <c r="M217" t="s">
        <v>842</v>
      </c>
      <c r="N217" t="s">
        <v>1717</v>
      </c>
      <c r="O217">
        <v>10007710</v>
      </c>
      <c r="P217" s="108">
        <v>42402</v>
      </c>
      <c r="Q217" s="108">
        <v>42404</v>
      </c>
      <c r="R217" s="108">
        <v>42478</v>
      </c>
      <c r="S217" t="s">
        <v>224</v>
      </c>
      <c r="T217">
        <v>4</v>
      </c>
      <c r="U217" t="s">
        <v>124</v>
      </c>
      <c r="V217">
        <v>4</v>
      </c>
      <c r="W217">
        <v>3</v>
      </c>
      <c r="X217">
        <v>3</v>
      </c>
      <c r="Y217">
        <f>VLOOKUP(Table_clu7sql1_ssdb_REPORT_vw_IE_External_MI_SON[[#This Row],[URN]],[1]Data!$D$2:$BB$1084,31,)</f>
        <v>3</v>
      </c>
      <c r="Z217" t="s">
        <v>2596</v>
      </c>
      <c r="AA217">
        <v>4</v>
      </c>
      <c r="AB217" t="s">
        <v>2599</v>
      </c>
      <c r="AC217">
        <v>10044248</v>
      </c>
      <c r="AD217" t="s">
        <v>2635</v>
      </c>
      <c r="AE217" s="108">
        <v>43084</v>
      </c>
      <c r="AF217" t="s">
        <v>2636</v>
      </c>
      <c r="AG217" s="108">
        <v>43125</v>
      </c>
      <c r="AH217" t="s">
        <v>174</v>
      </c>
    </row>
    <row r="218" spans="1:34" x14ac:dyDescent="0.25">
      <c r="A218" s="111" t="str">
        <f>HYPERLINK("http://www.ofsted.gov.uk/inspection-reports/find-inspection-report/provider/ELS/117048 ","Ofsted School Webpage")</f>
        <v>Ofsted School Webpage</v>
      </c>
      <c r="B218">
        <v>117048</v>
      </c>
      <c r="C218">
        <v>8846010</v>
      </c>
      <c r="D218" t="s">
        <v>1020</v>
      </c>
      <c r="E218" t="s">
        <v>37</v>
      </c>
      <c r="F218" t="s">
        <v>142</v>
      </c>
      <c r="G218" t="s">
        <v>142</v>
      </c>
      <c r="H218" t="s">
        <v>2595</v>
      </c>
      <c r="I218" t="s">
        <v>2596</v>
      </c>
      <c r="J218" t="s">
        <v>143</v>
      </c>
      <c r="K218" t="s">
        <v>150</v>
      </c>
      <c r="L218" t="s">
        <v>150</v>
      </c>
      <c r="M218" t="s">
        <v>1021</v>
      </c>
      <c r="N218" t="s">
        <v>1022</v>
      </c>
      <c r="O218">
        <v>10006074</v>
      </c>
      <c r="P218" s="108">
        <v>43144</v>
      </c>
      <c r="Q218" s="108">
        <v>43146</v>
      </c>
      <c r="R218" s="108">
        <v>43186</v>
      </c>
      <c r="S218" t="s">
        <v>153</v>
      </c>
      <c r="T218">
        <v>1</v>
      </c>
      <c r="U218" t="s">
        <v>123</v>
      </c>
      <c r="V218">
        <v>1</v>
      </c>
      <c r="W218">
        <v>1</v>
      </c>
      <c r="X218">
        <v>1</v>
      </c>
      <c r="Y218">
        <f>VLOOKUP(Table_clu7sql1_ssdb_REPORT_vw_IE_External_MI_SON[[#This Row],[URN]],[1]Data!$D$2:$BB$1084,31,)</f>
        <v>1</v>
      </c>
      <c r="Z218" t="s">
        <v>2596</v>
      </c>
      <c r="AA218" t="s">
        <v>2596</v>
      </c>
      <c r="AB218" t="s">
        <v>2598</v>
      </c>
      <c r="AC218" t="s">
        <v>2596</v>
      </c>
      <c r="AD218" t="s">
        <v>2596</v>
      </c>
      <c r="AE218" s="108" t="s">
        <v>2596</v>
      </c>
      <c r="AF218" t="s">
        <v>2596</v>
      </c>
      <c r="AG218" s="108" t="s">
        <v>2596</v>
      </c>
      <c r="AH218" t="s">
        <v>2596</v>
      </c>
    </row>
    <row r="219" spans="1:34" x14ac:dyDescent="0.25">
      <c r="A219" s="111" t="str">
        <f>HYPERLINK("http://www.ofsted.gov.uk/inspection-reports/find-inspection-report/provider/ELS/117615 ","Ofsted School Webpage")</f>
        <v>Ofsted School Webpage</v>
      </c>
      <c r="B219">
        <v>117615</v>
      </c>
      <c r="C219">
        <v>9196034</v>
      </c>
      <c r="D219" t="s">
        <v>1973</v>
      </c>
      <c r="E219" t="s">
        <v>36</v>
      </c>
      <c r="F219" t="s">
        <v>142</v>
      </c>
      <c r="G219" t="s">
        <v>142</v>
      </c>
      <c r="H219" t="s">
        <v>2595</v>
      </c>
      <c r="I219" t="s">
        <v>2596</v>
      </c>
      <c r="J219" t="s">
        <v>143</v>
      </c>
      <c r="K219" t="s">
        <v>177</v>
      </c>
      <c r="L219" t="s">
        <v>177</v>
      </c>
      <c r="M219" t="s">
        <v>773</v>
      </c>
      <c r="N219" t="s">
        <v>1974</v>
      </c>
      <c r="O219">
        <v>10012935</v>
      </c>
      <c r="P219" s="108">
        <v>42640</v>
      </c>
      <c r="Q219" s="108">
        <v>42642</v>
      </c>
      <c r="R219" s="108">
        <v>42681</v>
      </c>
      <c r="S219" t="s">
        <v>153</v>
      </c>
      <c r="T219">
        <v>2</v>
      </c>
      <c r="U219" t="s">
        <v>123</v>
      </c>
      <c r="V219">
        <v>2</v>
      </c>
      <c r="W219">
        <v>1</v>
      </c>
      <c r="X219">
        <v>2</v>
      </c>
      <c r="Y219">
        <f>VLOOKUP(Table_clu7sql1_ssdb_REPORT_vw_IE_External_MI_SON[[#This Row],[URN]],[1]Data!$D$2:$BB$1084,31,)</f>
        <v>2</v>
      </c>
      <c r="Z219">
        <v>2</v>
      </c>
      <c r="AA219" t="s">
        <v>2596</v>
      </c>
      <c r="AB219" t="s">
        <v>2598</v>
      </c>
      <c r="AC219" t="s">
        <v>2596</v>
      </c>
      <c r="AD219" t="s">
        <v>2596</v>
      </c>
      <c r="AE219" s="108" t="s">
        <v>2596</v>
      </c>
      <c r="AF219" t="s">
        <v>2596</v>
      </c>
      <c r="AG219" s="108" t="s">
        <v>2596</v>
      </c>
      <c r="AH219" t="s">
        <v>2596</v>
      </c>
    </row>
    <row r="220" spans="1:34" x14ac:dyDescent="0.25">
      <c r="A220" s="111" t="str">
        <f>HYPERLINK("http://www.ofsted.gov.uk/inspection-reports/find-inspection-report/provider/ELS/117646 ","Ofsted School Webpage")</f>
        <v>Ofsted School Webpage</v>
      </c>
      <c r="B220">
        <v>117646</v>
      </c>
      <c r="C220">
        <v>9196215</v>
      </c>
      <c r="D220" t="s">
        <v>1222</v>
      </c>
      <c r="E220" t="s">
        <v>37</v>
      </c>
      <c r="F220" t="s">
        <v>142</v>
      </c>
      <c r="G220" t="s">
        <v>142</v>
      </c>
      <c r="H220" t="s">
        <v>2595</v>
      </c>
      <c r="I220" t="s">
        <v>2596</v>
      </c>
      <c r="J220" t="s">
        <v>143</v>
      </c>
      <c r="K220" t="s">
        <v>177</v>
      </c>
      <c r="L220" t="s">
        <v>177</v>
      </c>
      <c r="M220" t="s">
        <v>773</v>
      </c>
      <c r="N220" t="s">
        <v>1223</v>
      </c>
      <c r="O220">
        <v>10008866</v>
      </c>
      <c r="P220" s="108">
        <v>42759</v>
      </c>
      <c r="Q220" s="108">
        <v>42761</v>
      </c>
      <c r="R220" s="108">
        <v>42814</v>
      </c>
      <c r="S220" t="s">
        <v>153</v>
      </c>
      <c r="T220">
        <v>1</v>
      </c>
      <c r="U220" t="s">
        <v>123</v>
      </c>
      <c r="V220">
        <v>1</v>
      </c>
      <c r="W220">
        <v>1</v>
      </c>
      <c r="X220">
        <v>1</v>
      </c>
      <c r="Y220">
        <f>VLOOKUP(Table_clu7sql1_ssdb_REPORT_vw_IE_External_MI_SON[[#This Row],[URN]],[1]Data!$D$2:$BB$1084,31,)</f>
        <v>1</v>
      </c>
      <c r="Z220" t="s">
        <v>2596</v>
      </c>
      <c r="AA220">
        <v>1</v>
      </c>
      <c r="AB220" t="s">
        <v>2598</v>
      </c>
      <c r="AC220" t="s">
        <v>2596</v>
      </c>
      <c r="AD220" t="s">
        <v>2596</v>
      </c>
      <c r="AE220" s="108" t="s">
        <v>2596</v>
      </c>
      <c r="AF220" t="s">
        <v>2596</v>
      </c>
      <c r="AG220" s="108" t="s">
        <v>2596</v>
      </c>
      <c r="AH220" t="s">
        <v>2596</v>
      </c>
    </row>
    <row r="221" spans="1:34" x14ac:dyDescent="0.25">
      <c r="A221" s="111" t="str">
        <f>HYPERLINK("http://www.ofsted.gov.uk/inspection-reports/find-inspection-report/provider/ELS/117650 ","Ofsted School Webpage")</f>
        <v>Ofsted School Webpage</v>
      </c>
      <c r="B221">
        <v>117650</v>
      </c>
      <c r="C221">
        <v>9196224</v>
      </c>
      <c r="D221" t="s">
        <v>2052</v>
      </c>
      <c r="E221" t="s">
        <v>36</v>
      </c>
      <c r="F221" t="s">
        <v>169</v>
      </c>
      <c r="G221" t="s">
        <v>169</v>
      </c>
      <c r="H221" t="s">
        <v>2595</v>
      </c>
      <c r="I221" t="s">
        <v>2596</v>
      </c>
      <c r="J221" t="s">
        <v>143</v>
      </c>
      <c r="K221" t="s">
        <v>177</v>
      </c>
      <c r="L221" t="s">
        <v>177</v>
      </c>
      <c r="M221" t="s">
        <v>773</v>
      </c>
      <c r="N221" t="s">
        <v>2054</v>
      </c>
      <c r="O221">
        <v>10020942</v>
      </c>
      <c r="P221" s="108">
        <v>42710</v>
      </c>
      <c r="Q221" s="108">
        <v>42712</v>
      </c>
      <c r="R221" s="108">
        <v>42760</v>
      </c>
      <c r="S221" t="s">
        <v>153</v>
      </c>
      <c r="T221">
        <v>2</v>
      </c>
      <c r="U221" t="s">
        <v>123</v>
      </c>
      <c r="V221">
        <v>2</v>
      </c>
      <c r="W221">
        <v>1</v>
      </c>
      <c r="X221">
        <v>2</v>
      </c>
      <c r="Y221">
        <f>VLOOKUP(Table_clu7sql1_ssdb_REPORT_vw_IE_External_MI_SON[[#This Row],[URN]],[1]Data!$D$2:$BB$1084,31,)</f>
        <v>2</v>
      </c>
      <c r="Z221">
        <v>2</v>
      </c>
      <c r="AA221" t="s">
        <v>2596</v>
      </c>
      <c r="AB221" t="s">
        <v>2598</v>
      </c>
      <c r="AC221" t="s">
        <v>2596</v>
      </c>
      <c r="AD221" t="s">
        <v>2596</v>
      </c>
      <c r="AE221" t="s">
        <v>2596</v>
      </c>
      <c r="AF221" t="s">
        <v>2596</v>
      </c>
      <c r="AG221" t="s">
        <v>2596</v>
      </c>
      <c r="AH221" t="s">
        <v>2596</v>
      </c>
    </row>
    <row r="222" spans="1:34" x14ac:dyDescent="0.25">
      <c r="A222" s="111" t="str">
        <f>HYPERLINK("http://www.ofsted.gov.uk/inspection-reports/find-inspection-report/provider/ELS/117654 ","Ofsted School Webpage")</f>
        <v>Ofsted School Webpage</v>
      </c>
      <c r="B222">
        <v>117654</v>
      </c>
      <c r="C222">
        <v>9196228</v>
      </c>
      <c r="D222" t="s">
        <v>1530</v>
      </c>
      <c r="E222" t="s">
        <v>36</v>
      </c>
      <c r="F222" t="s">
        <v>1531</v>
      </c>
      <c r="G222" t="s">
        <v>1531</v>
      </c>
      <c r="H222" t="s">
        <v>2595</v>
      </c>
      <c r="I222" t="s">
        <v>2596</v>
      </c>
      <c r="J222" t="s">
        <v>143</v>
      </c>
      <c r="K222" t="s">
        <v>177</v>
      </c>
      <c r="L222" t="s">
        <v>177</v>
      </c>
      <c r="M222" t="s">
        <v>773</v>
      </c>
      <c r="N222" t="s">
        <v>2885</v>
      </c>
      <c r="O222">
        <v>10020392</v>
      </c>
      <c r="P222" s="108">
        <v>42626</v>
      </c>
      <c r="Q222" s="108">
        <v>42628</v>
      </c>
      <c r="R222" s="108">
        <v>42655</v>
      </c>
      <c r="S222" t="s">
        <v>153</v>
      </c>
      <c r="T222">
        <v>3</v>
      </c>
      <c r="U222" t="s">
        <v>123</v>
      </c>
      <c r="V222">
        <v>3</v>
      </c>
      <c r="W222">
        <v>2</v>
      </c>
      <c r="X222">
        <v>3</v>
      </c>
      <c r="Y222">
        <f>VLOOKUP(Table_clu7sql1_ssdb_REPORT_vw_IE_External_MI_SON[[#This Row],[URN]],[1]Data!$D$2:$BB$1084,31,)</f>
        <v>3</v>
      </c>
      <c r="Z222">
        <v>3</v>
      </c>
      <c r="AA222" t="s">
        <v>2596</v>
      </c>
      <c r="AB222" t="s">
        <v>2599</v>
      </c>
      <c r="AC222">
        <v>10041245</v>
      </c>
      <c r="AD222" t="s">
        <v>144</v>
      </c>
      <c r="AE222" s="108">
        <v>43111</v>
      </c>
      <c r="AF222" t="s">
        <v>2636</v>
      </c>
      <c r="AG222" s="108">
        <v>43139</v>
      </c>
      <c r="AH222" t="s">
        <v>146</v>
      </c>
    </row>
    <row r="223" spans="1:34" x14ac:dyDescent="0.25">
      <c r="A223" s="111" t="str">
        <f>HYPERLINK("http://www.ofsted.gov.uk/inspection-reports/find-inspection-report/provider/ELS/117660 ","Ofsted School Webpage")</f>
        <v>Ofsted School Webpage</v>
      </c>
      <c r="B223">
        <v>117660</v>
      </c>
      <c r="C223">
        <v>9196234</v>
      </c>
      <c r="D223" t="s">
        <v>2179</v>
      </c>
      <c r="E223" t="s">
        <v>36</v>
      </c>
      <c r="F223" t="s">
        <v>142</v>
      </c>
      <c r="G223" t="s">
        <v>142</v>
      </c>
      <c r="H223" t="s">
        <v>2595</v>
      </c>
      <c r="I223" t="s">
        <v>2596</v>
      </c>
      <c r="J223" t="s">
        <v>143</v>
      </c>
      <c r="K223" t="s">
        <v>177</v>
      </c>
      <c r="L223" t="s">
        <v>177</v>
      </c>
      <c r="M223" t="s">
        <v>773</v>
      </c>
      <c r="N223" t="s">
        <v>2180</v>
      </c>
      <c r="O223">
        <v>10012937</v>
      </c>
      <c r="P223" s="108">
        <v>42710</v>
      </c>
      <c r="Q223" s="108">
        <v>42712</v>
      </c>
      <c r="R223" s="108">
        <v>42760</v>
      </c>
      <c r="S223" t="s">
        <v>153</v>
      </c>
      <c r="T223">
        <v>2</v>
      </c>
      <c r="U223" t="s">
        <v>123</v>
      </c>
      <c r="V223">
        <v>2</v>
      </c>
      <c r="W223">
        <v>2</v>
      </c>
      <c r="X223">
        <v>2</v>
      </c>
      <c r="Y223">
        <f>VLOOKUP(Table_clu7sql1_ssdb_REPORT_vw_IE_External_MI_SON[[#This Row],[URN]],[1]Data!$D$2:$BB$1084,31,)</f>
        <v>2</v>
      </c>
      <c r="Z223">
        <v>2</v>
      </c>
      <c r="AA223" t="s">
        <v>2596</v>
      </c>
      <c r="AB223" t="s">
        <v>2598</v>
      </c>
      <c r="AC223" t="s">
        <v>2596</v>
      </c>
      <c r="AD223" t="s">
        <v>2596</v>
      </c>
      <c r="AE223" t="s">
        <v>2596</v>
      </c>
      <c r="AF223" t="s">
        <v>2596</v>
      </c>
      <c r="AG223" t="s">
        <v>2596</v>
      </c>
      <c r="AH223" t="s">
        <v>2596</v>
      </c>
    </row>
    <row r="224" spans="1:34" x14ac:dyDescent="0.25">
      <c r="A224" s="111" t="str">
        <f>HYPERLINK("http://www.ofsted.gov.uk/inspection-reports/find-inspection-report/provider/ELS/117662 ","Ofsted School Webpage")</f>
        <v>Ofsted School Webpage</v>
      </c>
      <c r="B224">
        <v>117662</v>
      </c>
      <c r="C224">
        <v>9196236</v>
      </c>
      <c r="D224" t="s">
        <v>1662</v>
      </c>
      <c r="E224" t="s">
        <v>36</v>
      </c>
      <c r="F224" t="s">
        <v>142</v>
      </c>
      <c r="G224" t="s">
        <v>397</v>
      </c>
      <c r="H224" t="s">
        <v>2595</v>
      </c>
      <c r="I224" t="s">
        <v>2596</v>
      </c>
      <c r="J224" t="s">
        <v>143</v>
      </c>
      <c r="K224" t="s">
        <v>177</v>
      </c>
      <c r="L224" t="s">
        <v>177</v>
      </c>
      <c r="M224" t="s">
        <v>773</v>
      </c>
      <c r="N224" t="s">
        <v>1663</v>
      </c>
      <c r="O224">
        <v>10038902</v>
      </c>
      <c r="P224" s="108">
        <v>43074</v>
      </c>
      <c r="Q224" s="108">
        <v>43076</v>
      </c>
      <c r="R224" s="108">
        <v>43129</v>
      </c>
      <c r="S224" t="s">
        <v>153</v>
      </c>
      <c r="T224">
        <v>4</v>
      </c>
      <c r="U224" t="s">
        <v>124</v>
      </c>
      <c r="V224">
        <v>4</v>
      </c>
      <c r="W224">
        <v>4</v>
      </c>
      <c r="X224">
        <v>2</v>
      </c>
      <c r="Y224">
        <f>VLOOKUP(Table_clu7sql1_ssdb_REPORT_vw_IE_External_MI_SON[[#This Row],[URN]],[1]Data!$D$2:$BB$1084,31,)</f>
        <v>2</v>
      </c>
      <c r="Z224">
        <v>4</v>
      </c>
      <c r="AA224" t="s">
        <v>2596</v>
      </c>
      <c r="AB224" t="s">
        <v>2599</v>
      </c>
      <c r="AC224" t="s">
        <v>2596</v>
      </c>
      <c r="AD224" t="s">
        <v>2596</v>
      </c>
      <c r="AE224" s="108" t="s">
        <v>2596</v>
      </c>
      <c r="AF224" t="s">
        <v>2596</v>
      </c>
      <c r="AG224" s="108" t="s">
        <v>2596</v>
      </c>
      <c r="AH224" t="s">
        <v>2596</v>
      </c>
    </row>
    <row r="225" spans="1:34" x14ac:dyDescent="0.25">
      <c r="A225" s="111" t="str">
        <f>HYPERLINK("http://www.ofsted.gov.uk/inspection-reports/find-inspection-report/provider/ELS/118123 ","Ofsted School Webpage")</f>
        <v>Ofsted School Webpage</v>
      </c>
      <c r="B225">
        <v>118123</v>
      </c>
      <c r="C225">
        <v>8106000</v>
      </c>
      <c r="D225" t="s">
        <v>210</v>
      </c>
      <c r="E225" t="s">
        <v>36</v>
      </c>
      <c r="F225" t="s">
        <v>142</v>
      </c>
      <c r="G225" t="s">
        <v>142</v>
      </c>
      <c r="H225" t="s">
        <v>2595</v>
      </c>
      <c r="I225" t="s">
        <v>2596</v>
      </c>
      <c r="J225" t="s">
        <v>143</v>
      </c>
      <c r="K225" t="s">
        <v>202</v>
      </c>
      <c r="L225" t="s">
        <v>203</v>
      </c>
      <c r="M225" t="s">
        <v>211</v>
      </c>
      <c r="N225" t="s">
        <v>212</v>
      </c>
      <c r="O225">
        <v>10040141</v>
      </c>
      <c r="P225" s="108">
        <v>43025</v>
      </c>
      <c r="Q225" s="108">
        <v>43027</v>
      </c>
      <c r="R225" s="108">
        <v>43066</v>
      </c>
      <c r="S225" t="s">
        <v>153</v>
      </c>
      <c r="T225">
        <v>3</v>
      </c>
      <c r="U225" t="s">
        <v>123</v>
      </c>
      <c r="V225">
        <v>3</v>
      </c>
      <c r="W225">
        <v>2</v>
      </c>
      <c r="X225">
        <v>2</v>
      </c>
      <c r="Y225">
        <f>VLOOKUP(Table_clu7sql1_ssdb_REPORT_vw_IE_External_MI_SON[[#This Row],[URN]],[1]Data!$D$2:$BB$1084,31,)</f>
        <v>2</v>
      </c>
      <c r="Z225">
        <v>3</v>
      </c>
      <c r="AA225" t="s">
        <v>2596</v>
      </c>
      <c r="AB225" t="s">
        <v>2599</v>
      </c>
      <c r="AC225" t="s">
        <v>2596</v>
      </c>
      <c r="AD225" t="s">
        <v>2596</v>
      </c>
      <c r="AE225" t="s">
        <v>2596</v>
      </c>
      <c r="AF225" t="s">
        <v>2596</v>
      </c>
      <c r="AG225" t="s">
        <v>2596</v>
      </c>
      <c r="AH225" t="s">
        <v>2596</v>
      </c>
    </row>
    <row r="226" spans="1:34" x14ac:dyDescent="0.25">
      <c r="A226" s="111" t="str">
        <f>HYPERLINK("http://www.ofsted.gov.uk/inspection-reports/find-inspection-report/provider/ELS/118127 ","Ofsted School Webpage")</f>
        <v>Ofsted School Webpage</v>
      </c>
      <c r="B226">
        <v>118127</v>
      </c>
      <c r="C226">
        <v>8116001</v>
      </c>
      <c r="D226" t="s">
        <v>656</v>
      </c>
      <c r="E226" t="s">
        <v>36</v>
      </c>
      <c r="F226" t="s">
        <v>142</v>
      </c>
      <c r="G226" t="s">
        <v>142</v>
      </c>
      <c r="H226" t="s">
        <v>2595</v>
      </c>
      <c r="I226" t="s">
        <v>2596</v>
      </c>
      <c r="J226" t="s">
        <v>143</v>
      </c>
      <c r="K226" t="s">
        <v>202</v>
      </c>
      <c r="L226" t="s">
        <v>203</v>
      </c>
      <c r="M226" t="s">
        <v>657</v>
      </c>
      <c r="N226" t="s">
        <v>658</v>
      </c>
      <c r="O226">
        <v>10008557</v>
      </c>
      <c r="P226" s="108">
        <v>42549</v>
      </c>
      <c r="Q226" s="108">
        <v>42551</v>
      </c>
      <c r="R226" s="108">
        <v>42626</v>
      </c>
      <c r="S226" t="s">
        <v>153</v>
      </c>
      <c r="T226">
        <v>1</v>
      </c>
      <c r="U226" t="s">
        <v>123</v>
      </c>
      <c r="V226">
        <v>1</v>
      </c>
      <c r="W226">
        <v>1</v>
      </c>
      <c r="X226">
        <v>1</v>
      </c>
      <c r="Y226">
        <f>VLOOKUP(Table_clu7sql1_ssdb_REPORT_vw_IE_External_MI_SON[[#This Row],[URN]],[1]Data!$D$2:$BB$1084,31,)</f>
        <v>1</v>
      </c>
      <c r="Z226">
        <v>1</v>
      </c>
      <c r="AA226" t="s">
        <v>2596</v>
      </c>
      <c r="AB226" t="s">
        <v>2598</v>
      </c>
      <c r="AC226" t="s">
        <v>2596</v>
      </c>
      <c r="AD226" t="s">
        <v>2596</v>
      </c>
      <c r="AE226" t="s">
        <v>2596</v>
      </c>
      <c r="AF226" t="s">
        <v>2596</v>
      </c>
      <c r="AG226" t="s">
        <v>2596</v>
      </c>
      <c r="AH226" t="s">
        <v>2596</v>
      </c>
    </row>
    <row r="227" spans="1:34" x14ac:dyDescent="0.25">
      <c r="A227" s="111" t="str">
        <f>HYPERLINK("http://www.ofsted.gov.uk/inspection-reports/find-inspection-report/provider/ELS/118225 ","Ofsted School Webpage")</f>
        <v>Ofsted School Webpage</v>
      </c>
      <c r="B227">
        <v>118225</v>
      </c>
      <c r="C227">
        <v>9216041</v>
      </c>
      <c r="D227" t="s">
        <v>2089</v>
      </c>
      <c r="E227" t="s">
        <v>36</v>
      </c>
      <c r="F227" t="s">
        <v>142</v>
      </c>
      <c r="G227" t="s">
        <v>169</v>
      </c>
      <c r="H227" t="s">
        <v>2595</v>
      </c>
      <c r="I227" t="s">
        <v>2596</v>
      </c>
      <c r="J227" t="s">
        <v>143</v>
      </c>
      <c r="K227" t="s">
        <v>139</v>
      </c>
      <c r="L227" t="s">
        <v>139</v>
      </c>
      <c r="M227" t="s">
        <v>2090</v>
      </c>
      <c r="N227" t="s">
        <v>2091</v>
      </c>
      <c r="O227" t="s">
        <v>2092</v>
      </c>
      <c r="P227" s="108">
        <v>41247</v>
      </c>
      <c r="Q227" s="108">
        <v>41248</v>
      </c>
      <c r="R227" s="108">
        <v>41264</v>
      </c>
      <c r="S227" t="s">
        <v>153</v>
      </c>
      <c r="T227">
        <v>2</v>
      </c>
      <c r="U227" t="s">
        <v>2596</v>
      </c>
      <c r="V227" t="s">
        <v>2596</v>
      </c>
      <c r="W227" t="s">
        <v>2596</v>
      </c>
      <c r="X227">
        <v>2</v>
      </c>
      <c r="Y227">
        <f>VLOOKUP(Table_clu7sql1_ssdb_REPORT_vw_IE_External_MI_SON[[#This Row],[URN]],[1]Data!$D$2:$BB$1084,31,)</f>
        <v>2</v>
      </c>
      <c r="Z227">
        <v>8</v>
      </c>
      <c r="AA227" t="s">
        <v>2596</v>
      </c>
      <c r="AB227" t="s">
        <v>2598</v>
      </c>
      <c r="AC227" t="s">
        <v>2596</v>
      </c>
      <c r="AD227" t="s">
        <v>2596</v>
      </c>
      <c r="AE227" t="s">
        <v>2596</v>
      </c>
      <c r="AF227" t="s">
        <v>2596</v>
      </c>
      <c r="AG227" t="s">
        <v>2596</v>
      </c>
      <c r="AH227" t="s">
        <v>2596</v>
      </c>
    </row>
    <row r="228" spans="1:34" x14ac:dyDescent="0.25">
      <c r="A228" s="111" t="str">
        <f>HYPERLINK("http://www.ofsted.gov.uk/inspection-reports/find-inspection-report/provider/ELS/118962 ","Ofsted School Webpage")</f>
        <v>Ofsted School Webpage</v>
      </c>
      <c r="B228">
        <v>118962</v>
      </c>
      <c r="C228">
        <v>8866022</v>
      </c>
      <c r="D228" t="s">
        <v>2224</v>
      </c>
      <c r="E228" t="s">
        <v>36</v>
      </c>
      <c r="F228" t="s">
        <v>142</v>
      </c>
      <c r="G228" t="s">
        <v>142</v>
      </c>
      <c r="H228" t="s">
        <v>2595</v>
      </c>
      <c r="I228" t="s">
        <v>2596</v>
      </c>
      <c r="J228" t="s">
        <v>143</v>
      </c>
      <c r="K228" t="s">
        <v>139</v>
      </c>
      <c r="L228" t="s">
        <v>139</v>
      </c>
      <c r="M228" t="s">
        <v>140</v>
      </c>
      <c r="N228" t="s">
        <v>2225</v>
      </c>
      <c r="O228">
        <v>10041265</v>
      </c>
      <c r="P228" s="108">
        <v>43060</v>
      </c>
      <c r="Q228" s="108">
        <v>43062</v>
      </c>
      <c r="R228" s="108">
        <v>43081</v>
      </c>
      <c r="S228" t="s">
        <v>153</v>
      </c>
      <c r="T228">
        <v>2</v>
      </c>
      <c r="U228" t="s">
        <v>123</v>
      </c>
      <c r="V228">
        <v>2</v>
      </c>
      <c r="W228">
        <v>2</v>
      </c>
      <c r="X228">
        <v>2</v>
      </c>
      <c r="Y228">
        <f>VLOOKUP(Table_clu7sql1_ssdb_REPORT_vw_IE_External_MI_SON[[#This Row],[URN]],[1]Data!$D$2:$BB$1084,31,)</f>
        <v>2</v>
      </c>
      <c r="Z228">
        <v>2</v>
      </c>
      <c r="AA228" t="s">
        <v>2596</v>
      </c>
      <c r="AB228" t="s">
        <v>2598</v>
      </c>
      <c r="AC228" t="s">
        <v>2596</v>
      </c>
      <c r="AD228" t="s">
        <v>2596</v>
      </c>
      <c r="AE228" t="s">
        <v>2596</v>
      </c>
      <c r="AF228" t="s">
        <v>2596</v>
      </c>
      <c r="AG228" t="s">
        <v>2596</v>
      </c>
      <c r="AH228" t="s">
        <v>2596</v>
      </c>
    </row>
    <row r="229" spans="1:34" x14ac:dyDescent="0.25">
      <c r="A229" s="111" t="str">
        <f>HYPERLINK("http://www.ofsted.gov.uk/inspection-reports/find-inspection-report/provider/ELS/118972 ","Ofsted School Webpage")</f>
        <v>Ofsted School Webpage</v>
      </c>
      <c r="B229">
        <v>118972</v>
      </c>
      <c r="C229">
        <v>8866030</v>
      </c>
      <c r="D229" t="s">
        <v>2099</v>
      </c>
      <c r="E229" t="s">
        <v>36</v>
      </c>
      <c r="F229" t="s">
        <v>142</v>
      </c>
      <c r="G229" t="s">
        <v>142</v>
      </c>
      <c r="H229" t="s">
        <v>2595</v>
      </c>
      <c r="I229" t="s">
        <v>2596</v>
      </c>
      <c r="J229" t="s">
        <v>143</v>
      </c>
      <c r="K229" t="s">
        <v>139</v>
      </c>
      <c r="L229" t="s">
        <v>139</v>
      </c>
      <c r="M229" t="s">
        <v>140</v>
      </c>
      <c r="N229" t="s">
        <v>2100</v>
      </c>
      <c r="O229">
        <v>10008565</v>
      </c>
      <c r="P229" s="108">
        <v>42480</v>
      </c>
      <c r="Q229" s="108">
        <v>42482</v>
      </c>
      <c r="R229" s="108">
        <v>42530</v>
      </c>
      <c r="S229" t="s">
        <v>153</v>
      </c>
      <c r="T229">
        <v>4</v>
      </c>
      <c r="U229" t="s">
        <v>124</v>
      </c>
      <c r="V229">
        <v>4</v>
      </c>
      <c r="W229">
        <v>4</v>
      </c>
      <c r="X229">
        <v>2</v>
      </c>
      <c r="Y229">
        <f>VLOOKUP(Table_clu7sql1_ssdb_REPORT_vw_IE_External_MI_SON[[#This Row],[URN]],[1]Data!$D$2:$BB$1084,31,)</f>
        <v>2</v>
      </c>
      <c r="Z229">
        <v>4</v>
      </c>
      <c r="AA229" t="s">
        <v>2596</v>
      </c>
      <c r="AB229" t="s">
        <v>2599</v>
      </c>
      <c r="AC229">
        <v>10025859</v>
      </c>
      <c r="AD229" t="s">
        <v>144</v>
      </c>
      <c r="AE229" s="108">
        <v>42752</v>
      </c>
      <c r="AF229" t="s">
        <v>2634</v>
      </c>
      <c r="AG229" s="108">
        <v>42769</v>
      </c>
      <c r="AH229" t="s">
        <v>146</v>
      </c>
    </row>
    <row r="230" spans="1:34" x14ac:dyDescent="0.25">
      <c r="A230" s="111" t="str">
        <f>HYPERLINK("http://www.ofsted.gov.uk/inspection-reports/find-inspection-report/provider/ELS/118977 ","Ofsted School Webpage")</f>
        <v>Ofsted School Webpage</v>
      </c>
      <c r="B230">
        <v>118977</v>
      </c>
      <c r="C230">
        <v>8866035</v>
      </c>
      <c r="D230" t="s">
        <v>1540</v>
      </c>
      <c r="E230" t="s">
        <v>36</v>
      </c>
      <c r="F230" t="s">
        <v>142</v>
      </c>
      <c r="G230" t="s">
        <v>169</v>
      </c>
      <c r="H230" t="s">
        <v>2595</v>
      </c>
      <c r="I230" t="s">
        <v>2596</v>
      </c>
      <c r="J230" t="s">
        <v>143</v>
      </c>
      <c r="K230" t="s">
        <v>139</v>
      </c>
      <c r="L230" t="s">
        <v>139</v>
      </c>
      <c r="M230" t="s">
        <v>140</v>
      </c>
      <c r="N230" t="s">
        <v>1541</v>
      </c>
      <c r="O230" t="s">
        <v>1542</v>
      </c>
      <c r="P230" s="108">
        <v>41717</v>
      </c>
      <c r="Q230" s="108">
        <v>41719</v>
      </c>
      <c r="R230" s="108">
        <v>41754</v>
      </c>
      <c r="S230" t="s">
        <v>153</v>
      </c>
      <c r="T230">
        <v>2</v>
      </c>
      <c r="U230" t="s">
        <v>2596</v>
      </c>
      <c r="V230">
        <v>2</v>
      </c>
      <c r="W230" t="s">
        <v>2596</v>
      </c>
      <c r="X230">
        <v>2</v>
      </c>
      <c r="Y230">
        <f>VLOOKUP(Table_clu7sql1_ssdb_REPORT_vw_IE_External_MI_SON[[#This Row],[URN]],[1]Data!$D$2:$BB$1084,31,)</f>
        <v>2</v>
      </c>
      <c r="Z230" t="s">
        <v>2596</v>
      </c>
      <c r="AA230" t="s">
        <v>2596</v>
      </c>
      <c r="AB230" t="s">
        <v>2886</v>
      </c>
      <c r="AC230" t="s">
        <v>2596</v>
      </c>
      <c r="AD230" t="s">
        <v>2596</v>
      </c>
      <c r="AE230" t="s">
        <v>2596</v>
      </c>
      <c r="AF230" t="s">
        <v>2596</v>
      </c>
      <c r="AG230" t="s">
        <v>2596</v>
      </c>
      <c r="AH230" t="s">
        <v>2596</v>
      </c>
    </row>
    <row r="231" spans="1:34" x14ac:dyDescent="0.25">
      <c r="A231" s="111" t="str">
        <f>HYPERLINK("http://www.ofsted.gov.uk/inspection-reports/find-inspection-report/provider/ELS/118979 ","Ofsted School Webpage")</f>
        <v>Ofsted School Webpage</v>
      </c>
      <c r="B231">
        <v>118979</v>
      </c>
      <c r="C231">
        <v>8876001</v>
      </c>
      <c r="D231" t="s">
        <v>1443</v>
      </c>
      <c r="E231" t="s">
        <v>36</v>
      </c>
      <c r="F231" t="s">
        <v>142</v>
      </c>
      <c r="G231" t="s">
        <v>142</v>
      </c>
      <c r="H231" t="s">
        <v>2595</v>
      </c>
      <c r="I231" t="s">
        <v>2596</v>
      </c>
      <c r="J231" t="s">
        <v>143</v>
      </c>
      <c r="K231" t="s">
        <v>139</v>
      </c>
      <c r="L231" t="s">
        <v>139</v>
      </c>
      <c r="M231" t="s">
        <v>229</v>
      </c>
      <c r="N231" t="s">
        <v>1444</v>
      </c>
      <c r="O231">
        <v>10008568</v>
      </c>
      <c r="P231" s="108">
        <v>42494</v>
      </c>
      <c r="Q231" s="108">
        <v>42496</v>
      </c>
      <c r="R231" s="108">
        <v>42524</v>
      </c>
      <c r="S231" t="s">
        <v>153</v>
      </c>
      <c r="T231">
        <v>4</v>
      </c>
      <c r="U231" t="s">
        <v>124</v>
      </c>
      <c r="V231">
        <v>4</v>
      </c>
      <c r="W231">
        <v>4</v>
      </c>
      <c r="X231">
        <v>2</v>
      </c>
      <c r="Y231">
        <f>VLOOKUP(Table_clu7sql1_ssdb_REPORT_vw_IE_External_MI_SON[[#This Row],[URN]],[1]Data!$D$2:$BB$1084,31,)</f>
        <v>2</v>
      </c>
      <c r="Z231">
        <v>4</v>
      </c>
      <c r="AA231" t="s">
        <v>2596</v>
      </c>
      <c r="AB231" t="s">
        <v>2599</v>
      </c>
      <c r="AC231">
        <v>10022745</v>
      </c>
      <c r="AD231" t="s">
        <v>144</v>
      </c>
      <c r="AE231" s="108">
        <v>42759</v>
      </c>
      <c r="AF231" t="s">
        <v>2634</v>
      </c>
      <c r="AG231" s="108">
        <v>42786</v>
      </c>
      <c r="AH231" t="s">
        <v>146</v>
      </c>
    </row>
    <row r="232" spans="1:34" x14ac:dyDescent="0.25">
      <c r="A232" s="111" t="str">
        <f>HYPERLINK("http://www.ofsted.gov.uk/inspection-reports/find-inspection-report/provider/ELS/118987 ","Ofsted School Webpage")</f>
        <v>Ofsted School Webpage</v>
      </c>
      <c r="B232">
        <v>118987</v>
      </c>
      <c r="C232">
        <v>8866041</v>
      </c>
      <c r="D232" t="s">
        <v>2480</v>
      </c>
      <c r="E232" t="s">
        <v>36</v>
      </c>
      <c r="F232" t="s">
        <v>142</v>
      </c>
      <c r="G232" t="s">
        <v>369</v>
      </c>
      <c r="H232" t="s">
        <v>2595</v>
      </c>
      <c r="I232" t="s">
        <v>2596</v>
      </c>
      <c r="J232" t="s">
        <v>143</v>
      </c>
      <c r="K232" t="s">
        <v>139</v>
      </c>
      <c r="L232" t="s">
        <v>139</v>
      </c>
      <c r="M232" t="s">
        <v>140</v>
      </c>
      <c r="N232" t="s">
        <v>2481</v>
      </c>
      <c r="O232">
        <v>10006336</v>
      </c>
      <c r="P232" s="108">
        <v>42515</v>
      </c>
      <c r="Q232" s="108">
        <v>42517</v>
      </c>
      <c r="R232" s="108">
        <v>42552</v>
      </c>
      <c r="S232" t="s">
        <v>153</v>
      </c>
      <c r="T232">
        <v>4</v>
      </c>
      <c r="U232" t="s">
        <v>124</v>
      </c>
      <c r="V232">
        <v>4</v>
      </c>
      <c r="W232">
        <v>4</v>
      </c>
      <c r="X232">
        <v>3</v>
      </c>
      <c r="Y232">
        <f>VLOOKUP(Table_clu7sql1_ssdb_REPORT_vw_IE_External_MI_SON[[#This Row],[URN]],[1]Data!$D$2:$BB$1084,31,)</f>
        <v>3</v>
      </c>
      <c r="Z232">
        <v>4</v>
      </c>
      <c r="AA232" t="s">
        <v>2596</v>
      </c>
      <c r="AB232" t="s">
        <v>2599</v>
      </c>
      <c r="AC232">
        <v>10025691</v>
      </c>
      <c r="AD232" t="s">
        <v>144</v>
      </c>
      <c r="AE232" s="108">
        <v>42697</v>
      </c>
      <c r="AF232" t="s">
        <v>2634</v>
      </c>
      <c r="AG232" s="108">
        <v>42747</v>
      </c>
      <c r="AH232" t="s">
        <v>146</v>
      </c>
    </row>
    <row r="233" spans="1:34" x14ac:dyDescent="0.25">
      <c r="A233" s="111" t="str">
        <f>HYPERLINK("http://www.ofsted.gov.uk/inspection-reports/find-inspection-report/provider/ELS/118993 ","Ofsted School Webpage")</f>
        <v>Ofsted School Webpage</v>
      </c>
      <c r="B233">
        <v>118993</v>
      </c>
      <c r="C233">
        <v>8866046</v>
      </c>
      <c r="D233" t="s">
        <v>906</v>
      </c>
      <c r="E233" t="s">
        <v>37</v>
      </c>
      <c r="F233" t="s">
        <v>142</v>
      </c>
      <c r="G233" t="s">
        <v>142</v>
      </c>
      <c r="H233" t="s">
        <v>2595</v>
      </c>
      <c r="I233" t="s">
        <v>2596</v>
      </c>
      <c r="J233" t="s">
        <v>143</v>
      </c>
      <c r="K233" t="s">
        <v>139</v>
      </c>
      <c r="L233" t="s">
        <v>139</v>
      </c>
      <c r="M233" t="s">
        <v>140</v>
      </c>
      <c r="N233" t="s">
        <v>907</v>
      </c>
      <c r="O233">
        <v>10008936</v>
      </c>
      <c r="P233" s="108">
        <v>42696</v>
      </c>
      <c r="Q233" s="108">
        <v>42698</v>
      </c>
      <c r="R233" s="108">
        <v>42746</v>
      </c>
      <c r="S233" t="s">
        <v>153</v>
      </c>
      <c r="T233">
        <v>1</v>
      </c>
      <c r="U233" t="s">
        <v>123</v>
      </c>
      <c r="V233">
        <v>1</v>
      </c>
      <c r="W233">
        <v>1</v>
      </c>
      <c r="X233">
        <v>1</v>
      </c>
      <c r="Y233">
        <f>VLOOKUP(Table_clu7sql1_ssdb_REPORT_vw_IE_External_MI_SON[[#This Row],[URN]],[1]Data!$D$2:$BB$1084,31,)</f>
        <v>1</v>
      </c>
      <c r="Z233" t="s">
        <v>2596</v>
      </c>
      <c r="AA233">
        <v>1</v>
      </c>
      <c r="AB233" t="s">
        <v>2598</v>
      </c>
      <c r="AC233" t="s">
        <v>2596</v>
      </c>
      <c r="AD233" t="s">
        <v>2596</v>
      </c>
      <c r="AE233" t="s">
        <v>2596</v>
      </c>
      <c r="AF233" t="s">
        <v>2596</v>
      </c>
      <c r="AG233" t="s">
        <v>2596</v>
      </c>
      <c r="AH233" t="s">
        <v>2596</v>
      </c>
    </row>
    <row r="234" spans="1:34" x14ac:dyDescent="0.25">
      <c r="A234" s="111" t="str">
        <f>HYPERLINK("http://www.ofsted.gov.uk/inspection-reports/find-inspection-report/provider/ELS/118995 ","Ofsted School Webpage")</f>
        <v>Ofsted School Webpage</v>
      </c>
      <c r="B234">
        <v>118995</v>
      </c>
      <c r="C234">
        <v>8866047</v>
      </c>
      <c r="D234" t="s">
        <v>1742</v>
      </c>
      <c r="E234" t="s">
        <v>37</v>
      </c>
      <c r="F234" t="s">
        <v>142</v>
      </c>
      <c r="G234" t="s">
        <v>142</v>
      </c>
      <c r="H234" t="s">
        <v>2595</v>
      </c>
      <c r="I234" t="s">
        <v>2596</v>
      </c>
      <c r="J234" t="s">
        <v>143</v>
      </c>
      <c r="K234" t="s">
        <v>139</v>
      </c>
      <c r="L234" t="s">
        <v>139</v>
      </c>
      <c r="M234" t="s">
        <v>140</v>
      </c>
      <c r="N234" t="s">
        <v>1743</v>
      </c>
      <c r="O234">
        <v>10006043</v>
      </c>
      <c r="P234" s="108">
        <v>42766</v>
      </c>
      <c r="Q234" s="108">
        <v>42768</v>
      </c>
      <c r="R234" s="108">
        <v>42800</v>
      </c>
      <c r="S234" t="s">
        <v>224</v>
      </c>
      <c r="T234">
        <v>2</v>
      </c>
      <c r="U234" t="s">
        <v>123</v>
      </c>
      <c r="V234">
        <v>2</v>
      </c>
      <c r="W234">
        <v>1</v>
      </c>
      <c r="X234">
        <v>2</v>
      </c>
      <c r="Y234">
        <f>VLOOKUP(Table_clu7sql1_ssdb_REPORT_vw_IE_External_MI_SON[[#This Row],[URN]],[1]Data!$D$2:$BB$1084,31,)</f>
        <v>2</v>
      </c>
      <c r="Z234" t="s">
        <v>2596</v>
      </c>
      <c r="AA234">
        <v>2</v>
      </c>
      <c r="AB234" t="s">
        <v>2598</v>
      </c>
      <c r="AC234" t="s">
        <v>2596</v>
      </c>
      <c r="AD234" t="s">
        <v>2596</v>
      </c>
      <c r="AE234" t="s">
        <v>2596</v>
      </c>
      <c r="AF234" t="s">
        <v>2596</v>
      </c>
      <c r="AG234" t="s">
        <v>2596</v>
      </c>
      <c r="AH234" t="s">
        <v>2596</v>
      </c>
    </row>
    <row r="235" spans="1:34" x14ac:dyDescent="0.25">
      <c r="A235" s="111" t="str">
        <f>HYPERLINK("http://www.ofsted.gov.uk/inspection-reports/find-inspection-report/provider/ELS/118997 ","Ofsted School Webpage")</f>
        <v>Ofsted School Webpage</v>
      </c>
      <c r="B235">
        <v>118997</v>
      </c>
      <c r="C235">
        <v>8866049</v>
      </c>
      <c r="D235" t="s">
        <v>2038</v>
      </c>
      <c r="E235" t="s">
        <v>36</v>
      </c>
      <c r="F235" t="s">
        <v>142</v>
      </c>
      <c r="G235" t="s">
        <v>142</v>
      </c>
      <c r="H235" t="s">
        <v>2595</v>
      </c>
      <c r="I235" t="s">
        <v>2596</v>
      </c>
      <c r="J235" t="s">
        <v>143</v>
      </c>
      <c r="K235" t="s">
        <v>139</v>
      </c>
      <c r="L235" t="s">
        <v>139</v>
      </c>
      <c r="M235" t="s">
        <v>140</v>
      </c>
      <c r="N235" t="s">
        <v>2039</v>
      </c>
      <c r="O235" t="s">
        <v>2040</v>
      </c>
      <c r="P235" s="108">
        <v>41926</v>
      </c>
      <c r="Q235" s="108">
        <v>41928</v>
      </c>
      <c r="R235" s="108">
        <v>41977</v>
      </c>
      <c r="S235" t="s">
        <v>153</v>
      </c>
      <c r="T235">
        <v>4</v>
      </c>
      <c r="U235" t="s">
        <v>2596</v>
      </c>
      <c r="V235">
        <v>4</v>
      </c>
      <c r="W235" t="s">
        <v>2596</v>
      </c>
      <c r="X235">
        <v>2</v>
      </c>
      <c r="Y235">
        <f>VLOOKUP(Table_clu7sql1_ssdb_REPORT_vw_IE_External_MI_SON[[#This Row],[URN]],[1]Data!$D$2:$BB$1084,31,)</f>
        <v>2</v>
      </c>
      <c r="Z235">
        <v>4</v>
      </c>
      <c r="AA235">
        <v>9</v>
      </c>
      <c r="AB235" t="s">
        <v>2599</v>
      </c>
      <c r="AC235">
        <v>10021336</v>
      </c>
      <c r="AD235" t="s">
        <v>144</v>
      </c>
      <c r="AE235" s="108">
        <v>42662</v>
      </c>
      <c r="AF235" t="s">
        <v>2634</v>
      </c>
      <c r="AG235" s="108">
        <v>42689</v>
      </c>
      <c r="AH235" t="s">
        <v>146</v>
      </c>
    </row>
    <row r="236" spans="1:34" x14ac:dyDescent="0.25">
      <c r="A236" s="111" t="str">
        <f>HYPERLINK("http://www.ofsted.gov.uk/inspection-reports/find-inspection-report/provider/ELS/119005 ","Ofsted School Webpage")</f>
        <v>Ofsted School Webpage</v>
      </c>
      <c r="B236">
        <v>119005</v>
      </c>
      <c r="C236">
        <v>8866057</v>
      </c>
      <c r="D236" t="s">
        <v>299</v>
      </c>
      <c r="E236" t="s">
        <v>36</v>
      </c>
      <c r="F236" t="s">
        <v>142</v>
      </c>
      <c r="G236" t="s">
        <v>169</v>
      </c>
      <c r="H236" t="s">
        <v>2595</v>
      </c>
      <c r="I236" t="s">
        <v>2596</v>
      </c>
      <c r="J236" t="s">
        <v>143</v>
      </c>
      <c r="K236" t="s">
        <v>139</v>
      </c>
      <c r="L236" t="s">
        <v>139</v>
      </c>
      <c r="M236" t="s">
        <v>140</v>
      </c>
      <c r="N236" t="s">
        <v>300</v>
      </c>
      <c r="O236">
        <v>10020908</v>
      </c>
      <c r="P236" s="108">
        <v>43046</v>
      </c>
      <c r="Q236" s="108">
        <v>43048</v>
      </c>
      <c r="R236" s="108">
        <v>43069</v>
      </c>
      <c r="S236" t="s">
        <v>153</v>
      </c>
      <c r="T236">
        <v>3</v>
      </c>
      <c r="U236" t="s">
        <v>123</v>
      </c>
      <c r="V236">
        <v>3</v>
      </c>
      <c r="W236">
        <v>2</v>
      </c>
      <c r="X236">
        <v>3</v>
      </c>
      <c r="Y236">
        <f>VLOOKUP(Table_clu7sql1_ssdb_REPORT_vw_IE_External_MI_SON[[#This Row],[URN]],[1]Data!$D$2:$BB$1084,31,)</f>
        <v>3</v>
      </c>
      <c r="Z236">
        <v>3</v>
      </c>
      <c r="AA236" t="s">
        <v>2596</v>
      </c>
      <c r="AB236" t="s">
        <v>2598</v>
      </c>
      <c r="AC236" t="s">
        <v>2596</v>
      </c>
      <c r="AD236" t="s">
        <v>2596</v>
      </c>
      <c r="AE236" t="s">
        <v>2596</v>
      </c>
      <c r="AF236" t="s">
        <v>2596</v>
      </c>
      <c r="AG236" t="s">
        <v>2596</v>
      </c>
      <c r="AH236" t="s">
        <v>2596</v>
      </c>
    </row>
    <row r="237" spans="1:34" x14ac:dyDescent="0.25">
      <c r="A237" s="111" t="str">
        <f>HYPERLINK("http://www.ofsted.gov.uk/inspection-reports/find-inspection-report/provider/ELS/119009 ","Ofsted School Webpage")</f>
        <v>Ofsted School Webpage</v>
      </c>
      <c r="B237">
        <v>119009</v>
      </c>
      <c r="C237">
        <v>8866060</v>
      </c>
      <c r="D237" t="s">
        <v>904</v>
      </c>
      <c r="E237" t="s">
        <v>37</v>
      </c>
      <c r="F237" t="s">
        <v>142</v>
      </c>
      <c r="G237" t="s">
        <v>142</v>
      </c>
      <c r="H237" t="s">
        <v>2595</v>
      </c>
      <c r="I237" t="s">
        <v>2596</v>
      </c>
      <c r="J237" t="s">
        <v>143</v>
      </c>
      <c r="K237" t="s">
        <v>139</v>
      </c>
      <c r="L237" t="s">
        <v>139</v>
      </c>
      <c r="M237" t="s">
        <v>140</v>
      </c>
      <c r="N237" t="s">
        <v>905</v>
      </c>
      <c r="O237">
        <v>10026656</v>
      </c>
      <c r="P237" s="108">
        <v>42787</v>
      </c>
      <c r="Q237" s="108">
        <v>42789</v>
      </c>
      <c r="R237" s="108">
        <v>42808</v>
      </c>
      <c r="S237" t="s">
        <v>153</v>
      </c>
      <c r="T237">
        <v>2</v>
      </c>
      <c r="U237" t="s">
        <v>123</v>
      </c>
      <c r="V237">
        <v>1</v>
      </c>
      <c r="W237">
        <v>1</v>
      </c>
      <c r="X237">
        <v>2</v>
      </c>
      <c r="Y237">
        <f>VLOOKUP(Table_clu7sql1_ssdb_REPORT_vw_IE_External_MI_SON[[#This Row],[URN]],[1]Data!$D$2:$BB$1084,31,)</f>
        <v>2</v>
      </c>
      <c r="Z237" t="s">
        <v>2596</v>
      </c>
      <c r="AA237">
        <v>2</v>
      </c>
      <c r="AB237" t="s">
        <v>2598</v>
      </c>
      <c r="AC237" t="s">
        <v>2596</v>
      </c>
      <c r="AD237" t="s">
        <v>2596</v>
      </c>
      <c r="AE237" t="s">
        <v>2596</v>
      </c>
      <c r="AF237" t="s">
        <v>2596</v>
      </c>
      <c r="AG237" t="s">
        <v>2596</v>
      </c>
      <c r="AH237" t="s">
        <v>2596</v>
      </c>
    </row>
    <row r="238" spans="1:34" x14ac:dyDescent="0.25">
      <c r="A238" s="111" t="str">
        <f>HYPERLINK("http://www.ofsted.gov.uk/inspection-reports/find-inspection-report/provider/ELS/119013 ","Ofsted School Webpage")</f>
        <v>Ofsted School Webpage</v>
      </c>
      <c r="B238">
        <v>119013</v>
      </c>
      <c r="C238">
        <v>8866063</v>
      </c>
      <c r="D238" t="s">
        <v>1335</v>
      </c>
      <c r="E238" t="s">
        <v>37</v>
      </c>
      <c r="F238" t="s">
        <v>142</v>
      </c>
      <c r="G238" t="s">
        <v>142</v>
      </c>
      <c r="H238" t="s">
        <v>2595</v>
      </c>
      <c r="I238" t="s">
        <v>2596</v>
      </c>
      <c r="J238" t="s">
        <v>143</v>
      </c>
      <c r="K238" t="s">
        <v>139</v>
      </c>
      <c r="L238" t="s">
        <v>139</v>
      </c>
      <c r="M238" t="s">
        <v>140</v>
      </c>
      <c r="N238" t="s">
        <v>1336</v>
      </c>
      <c r="O238" t="s">
        <v>1337</v>
      </c>
      <c r="P238" s="108">
        <v>41044</v>
      </c>
      <c r="Q238" s="108">
        <v>41045</v>
      </c>
      <c r="R238" s="108">
        <v>41066</v>
      </c>
      <c r="S238" t="s">
        <v>153</v>
      </c>
      <c r="T238">
        <v>2</v>
      </c>
      <c r="U238" t="s">
        <v>2596</v>
      </c>
      <c r="V238" t="s">
        <v>2596</v>
      </c>
      <c r="W238" t="s">
        <v>2596</v>
      </c>
      <c r="X238">
        <v>2</v>
      </c>
      <c r="Y238">
        <f>VLOOKUP(Table_clu7sql1_ssdb_REPORT_vw_IE_External_MI_SON[[#This Row],[URN]],[1]Data!$D$2:$BB$1084,31,)</f>
        <v>2</v>
      </c>
      <c r="Z238">
        <v>8</v>
      </c>
      <c r="AA238" t="s">
        <v>2596</v>
      </c>
      <c r="AB238" t="s">
        <v>2598</v>
      </c>
      <c r="AC238" t="s">
        <v>2596</v>
      </c>
      <c r="AD238" t="s">
        <v>2596</v>
      </c>
      <c r="AE238" t="s">
        <v>2596</v>
      </c>
      <c r="AF238" t="s">
        <v>2596</v>
      </c>
      <c r="AG238" t="s">
        <v>2596</v>
      </c>
      <c r="AH238" t="s">
        <v>2596</v>
      </c>
    </row>
    <row r="239" spans="1:34" x14ac:dyDescent="0.25">
      <c r="A239" s="111" t="str">
        <f>HYPERLINK("http://www.ofsted.gov.uk/inspection-reports/find-inspection-report/provider/ELS/119015 ","Ofsted School Webpage")</f>
        <v>Ofsted School Webpage</v>
      </c>
      <c r="B239">
        <v>119015</v>
      </c>
      <c r="C239">
        <v>8866065</v>
      </c>
      <c r="D239" t="s">
        <v>916</v>
      </c>
      <c r="E239" t="s">
        <v>37</v>
      </c>
      <c r="F239" t="s">
        <v>142</v>
      </c>
      <c r="G239" t="s">
        <v>142</v>
      </c>
      <c r="H239" t="s">
        <v>2595</v>
      </c>
      <c r="I239" t="s">
        <v>2596</v>
      </c>
      <c r="J239" t="s">
        <v>143</v>
      </c>
      <c r="K239" t="s">
        <v>139</v>
      </c>
      <c r="L239" t="s">
        <v>139</v>
      </c>
      <c r="M239" t="s">
        <v>140</v>
      </c>
      <c r="N239" t="s">
        <v>917</v>
      </c>
      <c r="O239">
        <v>10008864</v>
      </c>
      <c r="P239" s="108">
        <v>42913</v>
      </c>
      <c r="Q239" s="108">
        <v>42915</v>
      </c>
      <c r="R239" s="108">
        <v>42997</v>
      </c>
      <c r="S239" t="s">
        <v>153</v>
      </c>
      <c r="T239">
        <v>4</v>
      </c>
      <c r="U239" t="s">
        <v>124</v>
      </c>
      <c r="V239">
        <v>4</v>
      </c>
      <c r="W239">
        <v>4</v>
      </c>
      <c r="X239">
        <v>3</v>
      </c>
      <c r="Y239">
        <f>VLOOKUP(Table_clu7sql1_ssdb_REPORT_vw_IE_External_MI_SON[[#This Row],[URN]],[1]Data!$D$2:$BB$1084,31,)</f>
        <v>3</v>
      </c>
      <c r="Z239" t="s">
        <v>2596</v>
      </c>
      <c r="AA239" t="s">
        <v>2596</v>
      </c>
      <c r="AB239" t="s">
        <v>2599</v>
      </c>
      <c r="AC239" t="s">
        <v>2596</v>
      </c>
      <c r="AD239" t="s">
        <v>2596</v>
      </c>
      <c r="AE239" t="s">
        <v>2596</v>
      </c>
      <c r="AF239" t="s">
        <v>2596</v>
      </c>
      <c r="AG239" t="s">
        <v>2596</v>
      </c>
      <c r="AH239" t="s">
        <v>2596</v>
      </c>
    </row>
    <row r="240" spans="1:34" x14ac:dyDescent="0.25">
      <c r="A240" s="111" t="str">
        <f>HYPERLINK("http://www.ofsted.gov.uk/inspection-reports/find-inspection-report/provider/ELS/119021 ","Ofsted School Webpage")</f>
        <v>Ofsted School Webpage</v>
      </c>
      <c r="B240">
        <v>119021</v>
      </c>
      <c r="C240">
        <v>8866070</v>
      </c>
      <c r="D240" t="s">
        <v>1301</v>
      </c>
      <c r="E240" t="s">
        <v>37</v>
      </c>
      <c r="F240" t="s">
        <v>142</v>
      </c>
      <c r="G240" t="s">
        <v>142</v>
      </c>
      <c r="H240" t="s">
        <v>2595</v>
      </c>
      <c r="I240" t="s">
        <v>2596</v>
      </c>
      <c r="J240" t="s">
        <v>143</v>
      </c>
      <c r="K240" t="s">
        <v>139</v>
      </c>
      <c r="L240" t="s">
        <v>139</v>
      </c>
      <c r="M240" t="s">
        <v>140</v>
      </c>
      <c r="N240" t="s">
        <v>1302</v>
      </c>
      <c r="O240">
        <v>10008524</v>
      </c>
      <c r="P240" s="108">
        <v>42661</v>
      </c>
      <c r="Q240" s="108">
        <v>42663</v>
      </c>
      <c r="R240" s="108">
        <v>42688</v>
      </c>
      <c r="S240" t="s">
        <v>153</v>
      </c>
      <c r="T240">
        <v>2</v>
      </c>
      <c r="U240" t="s">
        <v>123</v>
      </c>
      <c r="V240">
        <v>2</v>
      </c>
      <c r="W240">
        <v>2</v>
      </c>
      <c r="X240">
        <v>2</v>
      </c>
      <c r="Y240">
        <f>VLOOKUP(Table_clu7sql1_ssdb_REPORT_vw_IE_External_MI_SON[[#This Row],[URN]],[1]Data!$D$2:$BB$1084,31,)</f>
        <v>2</v>
      </c>
      <c r="Z240" t="s">
        <v>2596</v>
      </c>
      <c r="AA240">
        <v>2</v>
      </c>
      <c r="AB240" t="s">
        <v>2598</v>
      </c>
      <c r="AC240" t="s">
        <v>2596</v>
      </c>
      <c r="AD240" t="s">
        <v>2596</v>
      </c>
      <c r="AE240" t="s">
        <v>2596</v>
      </c>
      <c r="AF240" t="s">
        <v>2596</v>
      </c>
      <c r="AG240" t="s">
        <v>2596</v>
      </c>
      <c r="AH240" t="s">
        <v>2596</v>
      </c>
    </row>
    <row r="241" spans="1:34" x14ac:dyDescent="0.25">
      <c r="A241" s="111" t="str">
        <f>HYPERLINK("http://www.ofsted.gov.uk/inspection-reports/find-inspection-report/provider/ELS/119819 ","Ofsted School Webpage")</f>
        <v>Ofsted School Webpage</v>
      </c>
      <c r="B241">
        <v>119819</v>
      </c>
      <c r="C241">
        <v>8886001</v>
      </c>
      <c r="D241" t="s">
        <v>2117</v>
      </c>
      <c r="E241" t="s">
        <v>36</v>
      </c>
      <c r="F241" t="s">
        <v>142</v>
      </c>
      <c r="G241" t="s">
        <v>142</v>
      </c>
      <c r="H241" t="s">
        <v>2595</v>
      </c>
      <c r="I241" t="s">
        <v>2596</v>
      </c>
      <c r="J241" t="s">
        <v>143</v>
      </c>
      <c r="K241" t="s">
        <v>162</v>
      </c>
      <c r="L241" t="s">
        <v>162</v>
      </c>
      <c r="M241" t="s">
        <v>163</v>
      </c>
      <c r="N241" t="s">
        <v>2118</v>
      </c>
      <c r="O241">
        <v>10012962</v>
      </c>
      <c r="P241" s="108">
        <v>42647</v>
      </c>
      <c r="Q241" s="108">
        <v>42649</v>
      </c>
      <c r="R241" s="108">
        <v>42685</v>
      </c>
      <c r="S241" t="s">
        <v>153</v>
      </c>
      <c r="T241">
        <v>3</v>
      </c>
      <c r="U241" t="s">
        <v>123</v>
      </c>
      <c r="V241">
        <v>3</v>
      </c>
      <c r="W241">
        <v>2</v>
      </c>
      <c r="X241">
        <v>2</v>
      </c>
      <c r="Y241">
        <f>VLOOKUP(Table_clu7sql1_ssdb_REPORT_vw_IE_External_MI_SON[[#This Row],[URN]],[1]Data!$D$2:$BB$1084,31,)</f>
        <v>2</v>
      </c>
      <c r="Z241">
        <v>2</v>
      </c>
      <c r="AA241">
        <v>2</v>
      </c>
      <c r="AB241" t="s">
        <v>2599</v>
      </c>
      <c r="AC241" t="s">
        <v>2596</v>
      </c>
      <c r="AD241" t="s">
        <v>2596</v>
      </c>
      <c r="AE241" t="s">
        <v>2596</v>
      </c>
      <c r="AF241" t="s">
        <v>2596</v>
      </c>
      <c r="AG241" t="s">
        <v>2596</v>
      </c>
      <c r="AH241" t="s">
        <v>2596</v>
      </c>
    </row>
    <row r="242" spans="1:34" x14ac:dyDescent="0.25">
      <c r="A242" s="111" t="str">
        <f>HYPERLINK("http://www.ofsted.gov.uk/inspection-reports/find-inspection-report/provider/ELS/119845 ","Ofsted School Webpage")</f>
        <v>Ofsted School Webpage</v>
      </c>
      <c r="B242">
        <v>119845</v>
      </c>
      <c r="C242">
        <v>8886020</v>
      </c>
      <c r="D242" t="s">
        <v>231</v>
      </c>
      <c r="E242" t="s">
        <v>37</v>
      </c>
      <c r="F242" t="s">
        <v>142</v>
      </c>
      <c r="G242" t="s">
        <v>142</v>
      </c>
      <c r="H242" t="s">
        <v>2595</v>
      </c>
      <c r="I242" t="s">
        <v>2596</v>
      </c>
      <c r="J242" t="s">
        <v>143</v>
      </c>
      <c r="K242" t="s">
        <v>162</v>
      </c>
      <c r="L242" t="s">
        <v>162</v>
      </c>
      <c r="M242" t="s">
        <v>163</v>
      </c>
      <c r="N242" t="s">
        <v>232</v>
      </c>
      <c r="O242">
        <v>10038838</v>
      </c>
      <c r="P242" s="108">
        <v>43018</v>
      </c>
      <c r="Q242" s="108">
        <v>43020</v>
      </c>
      <c r="R242" s="108">
        <v>43068</v>
      </c>
      <c r="S242" t="s">
        <v>224</v>
      </c>
      <c r="T242">
        <v>1</v>
      </c>
      <c r="U242" t="s">
        <v>123</v>
      </c>
      <c r="V242">
        <v>1</v>
      </c>
      <c r="W242">
        <v>1</v>
      </c>
      <c r="X242">
        <v>1</v>
      </c>
      <c r="Y242">
        <f>VLOOKUP(Table_clu7sql1_ssdb_REPORT_vw_IE_External_MI_SON[[#This Row],[URN]],[1]Data!$D$2:$BB$1084,31,)</f>
        <v>1</v>
      </c>
      <c r="Z242" t="s">
        <v>2596</v>
      </c>
      <c r="AA242">
        <v>1</v>
      </c>
      <c r="AB242" t="s">
        <v>2598</v>
      </c>
      <c r="AC242" t="s">
        <v>2596</v>
      </c>
      <c r="AD242" t="s">
        <v>2596</v>
      </c>
      <c r="AE242" t="s">
        <v>2596</v>
      </c>
      <c r="AF242" t="s">
        <v>2596</v>
      </c>
      <c r="AG242" t="s">
        <v>2596</v>
      </c>
      <c r="AH242" t="s">
        <v>2596</v>
      </c>
    </row>
    <row r="243" spans="1:34" x14ac:dyDescent="0.25">
      <c r="A243" s="111" t="str">
        <f>HYPERLINK("http://www.ofsted.gov.uk/inspection-reports/find-inspection-report/provider/ELS/119848 ","Ofsted School Webpage")</f>
        <v>Ofsted School Webpage</v>
      </c>
      <c r="B243">
        <v>119848</v>
      </c>
      <c r="C243">
        <v>8896003</v>
      </c>
      <c r="D243" t="s">
        <v>1980</v>
      </c>
      <c r="E243" t="s">
        <v>36</v>
      </c>
      <c r="F243" t="s">
        <v>142</v>
      </c>
      <c r="G243" t="s">
        <v>180</v>
      </c>
      <c r="H243" t="s">
        <v>2595</v>
      </c>
      <c r="I243" t="s">
        <v>2596</v>
      </c>
      <c r="J243" t="s">
        <v>143</v>
      </c>
      <c r="K243" t="s">
        <v>162</v>
      </c>
      <c r="L243" t="s">
        <v>162</v>
      </c>
      <c r="M243" t="s">
        <v>440</v>
      </c>
      <c r="N243" t="s">
        <v>1981</v>
      </c>
      <c r="O243">
        <v>10026006</v>
      </c>
      <c r="P243" s="108">
        <v>42815</v>
      </c>
      <c r="Q243" s="108">
        <v>42817</v>
      </c>
      <c r="R243" s="108">
        <v>42859</v>
      </c>
      <c r="S243" t="s">
        <v>153</v>
      </c>
      <c r="T243">
        <v>3</v>
      </c>
      <c r="U243" t="s">
        <v>123</v>
      </c>
      <c r="V243">
        <v>3</v>
      </c>
      <c r="W243">
        <v>2</v>
      </c>
      <c r="X243">
        <v>3</v>
      </c>
      <c r="Y243">
        <f>VLOOKUP(Table_clu7sql1_ssdb_REPORT_vw_IE_External_MI_SON[[#This Row],[URN]],[1]Data!$D$2:$BB$1084,31,)</f>
        <v>3</v>
      </c>
      <c r="Z243">
        <v>3</v>
      </c>
      <c r="AA243" t="s">
        <v>2596</v>
      </c>
      <c r="AB243" t="s">
        <v>2598</v>
      </c>
      <c r="AC243" t="s">
        <v>2596</v>
      </c>
      <c r="AD243" t="s">
        <v>2596</v>
      </c>
      <c r="AE243" t="s">
        <v>2596</v>
      </c>
      <c r="AF243" t="s">
        <v>2596</v>
      </c>
      <c r="AG243" t="s">
        <v>2596</v>
      </c>
      <c r="AH243" t="s">
        <v>2596</v>
      </c>
    </row>
    <row r="244" spans="1:34" x14ac:dyDescent="0.25">
      <c r="A244" s="111" t="str">
        <f>HYPERLINK("http://www.ofsted.gov.uk/inspection-reports/find-inspection-report/provider/ELS/119849 ","Ofsted School Webpage")</f>
        <v>Ofsted School Webpage</v>
      </c>
      <c r="B244">
        <v>119849</v>
      </c>
      <c r="C244">
        <v>8886022</v>
      </c>
      <c r="D244" t="s">
        <v>1371</v>
      </c>
      <c r="E244" t="s">
        <v>37</v>
      </c>
      <c r="F244" t="s">
        <v>142</v>
      </c>
      <c r="G244" t="s">
        <v>142</v>
      </c>
      <c r="H244" t="s">
        <v>2595</v>
      </c>
      <c r="I244" t="s">
        <v>2596</v>
      </c>
      <c r="J244" t="s">
        <v>143</v>
      </c>
      <c r="K244" t="s">
        <v>162</v>
      </c>
      <c r="L244" t="s">
        <v>162</v>
      </c>
      <c r="M244" t="s">
        <v>163</v>
      </c>
      <c r="N244" t="s">
        <v>1372</v>
      </c>
      <c r="O244">
        <v>10038839</v>
      </c>
      <c r="P244" s="108">
        <v>43123</v>
      </c>
      <c r="Q244" s="108">
        <v>43125</v>
      </c>
      <c r="R244" s="108">
        <v>43157</v>
      </c>
      <c r="S244" t="s">
        <v>153</v>
      </c>
      <c r="T244">
        <v>2</v>
      </c>
      <c r="U244" t="s">
        <v>123</v>
      </c>
      <c r="V244">
        <v>2</v>
      </c>
      <c r="W244">
        <v>2</v>
      </c>
      <c r="X244">
        <v>2</v>
      </c>
      <c r="Y244">
        <f>VLOOKUP(Table_clu7sql1_ssdb_REPORT_vw_IE_External_MI_SON[[#This Row],[URN]],[1]Data!$D$2:$BB$1084,31,)</f>
        <v>2</v>
      </c>
      <c r="Z244" t="s">
        <v>2596</v>
      </c>
      <c r="AA244">
        <v>2</v>
      </c>
      <c r="AB244" t="s">
        <v>2598</v>
      </c>
      <c r="AC244" t="s">
        <v>2596</v>
      </c>
      <c r="AD244" t="s">
        <v>2596</v>
      </c>
      <c r="AE244" t="s">
        <v>2596</v>
      </c>
      <c r="AF244" t="s">
        <v>2596</v>
      </c>
      <c r="AG244" t="s">
        <v>2596</v>
      </c>
      <c r="AH244" t="s">
        <v>2596</v>
      </c>
    </row>
    <row r="245" spans="1:34" x14ac:dyDescent="0.25">
      <c r="A245" s="111" t="str">
        <f>HYPERLINK("http://www.ofsted.gov.uk/inspection-reports/find-inspection-report/provider/ELS/119853 ","Ofsted School Webpage")</f>
        <v>Ofsted School Webpage</v>
      </c>
      <c r="B245">
        <v>119853</v>
      </c>
      <c r="C245">
        <v>8886026</v>
      </c>
      <c r="D245" t="s">
        <v>1191</v>
      </c>
      <c r="E245" t="s">
        <v>37</v>
      </c>
      <c r="F245" t="s">
        <v>142</v>
      </c>
      <c r="G245" t="s">
        <v>142</v>
      </c>
      <c r="H245" t="s">
        <v>2595</v>
      </c>
      <c r="I245" t="s">
        <v>2596</v>
      </c>
      <c r="J245" t="s">
        <v>143</v>
      </c>
      <c r="K245" t="s">
        <v>162</v>
      </c>
      <c r="L245" t="s">
        <v>162</v>
      </c>
      <c r="M245" t="s">
        <v>163</v>
      </c>
      <c r="N245" t="s">
        <v>1192</v>
      </c>
      <c r="O245" t="s">
        <v>1193</v>
      </c>
      <c r="P245" s="108">
        <v>42017</v>
      </c>
      <c r="Q245" s="108">
        <v>42019</v>
      </c>
      <c r="R245" s="108">
        <v>42054</v>
      </c>
      <c r="S245" t="s">
        <v>153</v>
      </c>
      <c r="T245">
        <v>1</v>
      </c>
      <c r="U245" t="s">
        <v>2596</v>
      </c>
      <c r="V245">
        <v>1</v>
      </c>
      <c r="W245" t="s">
        <v>2596</v>
      </c>
      <c r="X245">
        <v>1</v>
      </c>
      <c r="Y245">
        <f>VLOOKUP(Table_clu7sql1_ssdb_REPORT_vw_IE_External_MI_SON[[#This Row],[URN]],[1]Data!$D$2:$BB$1084,31,)</f>
        <v>1</v>
      </c>
      <c r="Z245">
        <v>9</v>
      </c>
      <c r="AA245">
        <v>9</v>
      </c>
      <c r="AB245" t="s">
        <v>2598</v>
      </c>
      <c r="AC245" t="s">
        <v>2596</v>
      </c>
      <c r="AD245" t="s">
        <v>2596</v>
      </c>
      <c r="AE245" t="s">
        <v>2596</v>
      </c>
      <c r="AF245" t="s">
        <v>2596</v>
      </c>
      <c r="AG245" t="s">
        <v>2596</v>
      </c>
      <c r="AH245" t="s">
        <v>2596</v>
      </c>
    </row>
    <row r="246" spans="1:34" x14ac:dyDescent="0.25">
      <c r="A246" s="111" t="str">
        <f>HYPERLINK("http://www.ofsted.gov.uk/inspection-reports/find-inspection-report/provider/ELS/119856 ","Ofsted School Webpage")</f>
        <v>Ofsted School Webpage</v>
      </c>
      <c r="B246">
        <v>119856</v>
      </c>
      <c r="C246">
        <v>8896004</v>
      </c>
      <c r="D246" t="s">
        <v>1199</v>
      </c>
      <c r="E246" t="s">
        <v>36</v>
      </c>
      <c r="F246" t="s">
        <v>261</v>
      </c>
      <c r="G246" t="s">
        <v>180</v>
      </c>
      <c r="H246" t="s">
        <v>2595</v>
      </c>
      <c r="I246" t="s">
        <v>2596</v>
      </c>
      <c r="J246" t="s">
        <v>143</v>
      </c>
      <c r="K246" t="s">
        <v>162</v>
      </c>
      <c r="L246" t="s">
        <v>162</v>
      </c>
      <c r="M246" t="s">
        <v>440</v>
      </c>
      <c r="N246" t="s">
        <v>1200</v>
      </c>
      <c r="O246">
        <v>10020804</v>
      </c>
      <c r="P246" s="108">
        <v>42690</v>
      </c>
      <c r="Q246" s="108">
        <v>42692</v>
      </c>
      <c r="R246" s="108">
        <v>42773</v>
      </c>
      <c r="S246" t="s">
        <v>153</v>
      </c>
      <c r="T246">
        <v>4</v>
      </c>
      <c r="U246" t="s">
        <v>124</v>
      </c>
      <c r="V246">
        <v>4</v>
      </c>
      <c r="W246">
        <v>4</v>
      </c>
      <c r="X246">
        <v>2</v>
      </c>
      <c r="Y246">
        <f>VLOOKUP(Table_clu7sql1_ssdb_REPORT_vw_IE_External_MI_SON[[#This Row],[URN]],[1]Data!$D$2:$BB$1084,31,)</f>
        <v>2</v>
      </c>
      <c r="Z246" t="s">
        <v>2596</v>
      </c>
      <c r="AA246" t="s">
        <v>2596</v>
      </c>
      <c r="AB246" t="s">
        <v>2599</v>
      </c>
      <c r="AC246">
        <v>10039827</v>
      </c>
      <c r="AD246" t="s">
        <v>144</v>
      </c>
      <c r="AE246" s="108">
        <v>43054</v>
      </c>
      <c r="AF246" t="s">
        <v>2636</v>
      </c>
      <c r="AG246" s="108">
        <v>43082</v>
      </c>
      <c r="AH246" t="s">
        <v>146</v>
      </c>
    </row>
    <row r="247" spans="1:34" x14ac:dyDescent="0.25">
      <c r="A247" s="111" t="str">
        <f>HYPERLINK("http://www.ofsted.gov.uk/inspection-reports/find-inspection-report/provider/ELS/120325 ","Ofsted School Webpage")</f>
        <v>Ofsted School Webpage</v>
      </c>
      <c r="B247">
        <v>120325</v>
      </c>
      <c r="C247">
        <v>8556002</v>
      </c>
      <c r="D247" t="s">
        <v>708</v>
      </c>
      <c r="E247" t="s">
        <v>36</v>
      </c>
      <c r="F247" t="s">
        <v>142</v>
      </c>
      <c r="G247" t="s">
        <v>142</v>
      </c>
      <c r="H247" t="s">
        <v>2595</v>
      </c>
      <c r="I247" t="s">
        <v>2596</v>
      </c>
      <c r="J247" t="s">
        <v>143</v>
      </c>
      <c r="K247" t="s">
        <v>171</v>
      </c>
      <c r="L247" t="s">
        <v>171</v>
      </c>
      <c r="M247" t="s">
        <v>238</v>
      </c>
      <c r="N247" t="s">
        <v>709</v>
      </c>
      <c r="O247">
        <v>10026045</v>
      </c>
      <c r="P247" s="108">
        <v>42766</v>
      </c>
      <c r="Q247" s="108">
        <v>42768</v>
      </c>
      <c r="R247" s="108">
        <v>42786</v>
      </c>
      <c r="S247" t="s">
        <v>153</v>
      </c>
      <c r="T247">
        <v>2</v>
      </c>
      <c r="U247" t="s">
        <v>123</v>
      </c>
      <c r="V247">
        <v>2</v>
      </c>
      <c r="W247">
        <v>1</v>
      </c>
      <c r="X247">
        <v>2</v>
      </c>
      <c r="Y247">
        <f>VLOOKUP(Table_clu7sql1_ssdb_REPORT_vw_IE_External_MI_SON[[#This Row],[URN]],[1]Data!$D$2:$BB$1084,31,)</f>
        <v>2</v>
      </c>
      <c r="Z247">
        <v>2</v>
      </c>
      <c r="AA247" t="s">
        <v>2596</v>
      </c>
      <c r="AB247" t="s">
        <v>2598</v>
      </c>
      <c r="AC247" t="s">
        <v>2596</v>
      </c>
      <c r="AD247" t="s">
        <v>2596</v>
      </c>
      <c r="AE247" t="s">
        <v>2596</v>
      </c>
      <c r="AF247" t="s">
        <v>2596</v>
      </c>
      <c r="AG247" t="s">
        <v>2596</v>
      </c>
      <c r="AH247" t="s">
        <v>2596</v>
      </c>
    </row>
    <row r="248" spans="1:34" x14ac:dyDescent="0.25">
      <c r="A248" s="111" t="str">
        <f>HYPERLINK("http://www.ofsted.gov.uk/inspection-reports/find-inspection-report/provider/ELS/120329 ","Ofsted School Webpage")</f>
        <v>Ofsted School Webpage</v>
      </c>
      <c r="B248">
        <v>120329</v>
      </c>
      <c r="C248">
        <v>8566003</v>
      </c>
      <c r="D248" t="s">
        <v>1958</v>
      </c>
      <c r="E248" t="s">
        <v>36</v>
      </c>
      <c r="F248" t="s">
        <v>142</v>
      </c>
      <c r="G248" t="s">
        <v>142</v>
      </c>
      <c r="H248" t="s">
        <v>2595</v>
      </c>
      <c r="I248" t="s">
        <v>2596</v>
      </c>
      <c r="J248" t="s">
        <v>143</v>
      </c>
      <c r="K248" t="s">
        <v>171</v>
      </c>
      <c r="L248" t="s">
        <v>171</v>
      </c>
      <c r="M248" t="s">
        <v>287</v>
      </c>
      <c r="N248" t="s">
        <v>1959</v>
      </c>
      <c r="O248" t="s">
        <v>1960</v>
      </c>
      <c r="P248" s="108">
        <v>42123</v>
      </c>
      <c r="Q248" s="108">
        <v>42125</v>
      </c>
      <c r="R248" s="108">
        <v>42158</v>
      </c>
      <c r="S248" t="s">
        <v>153</v>
      </c>
      <c r="T248">
        <v>2</v>
      </c>
      <c r="U248" t="s">
        <v>2596</v>
      </c>
      <c r="V248">
        <v>2</v>
      </c>
      <c r="W248" t="s">
        <v>2596</v>
      </c>
      <c r="X248">
        <v>2</v>
      </c>
      <c r="Y248">
        <f>VLOOKUP(Table_clu7sql1_ssdb_REPORT_vw_IE_External_MI_SON[[#This Row],[URN]],[1]Data!$D$2:$BB$1084,31,)</f>
        <v>2</v>
      </c>
      <c r="Z248">
        <v>1</v>
      </c>
      <c r="AA248">
        <v>9</v>
      </c>
      <c r="AB248" t="s">
        <v>2598</v>
      </c>
      <c r="AC248" t="s">
        <v>2596</v>
      </c>
      <c r="AD248" t="s">
        <v>2596</v>
      </c>
      <c r="AE248" t="s">
        <v>2596</v>
      </c>
      <c r="AF248" t="s">
        <v>2596</v>
      </c>
      <c r="AG248" t="s">
        <v>2596</v>
      </c>
      <c r="AH248" t="s">
        <v>2596</v>
      </c>
    </row>
    <row r="249" spans="1:34" x14ac:dyDescent="0.25">
      <c r="A249" s="111" t="str">
        <f>HYPERLINK("http://www.ofsted.gov.uk/inspection-reports/find-inspection-report/provider/ELS/120330 ","Ofsted School Webpage")</f>
        <v>Ofsted School Webpage</v>
      </c>
      <c r="B249">
        <v>120330</v>
      </c>
      <c r="C249">
        <v>8556010</v>
      </c>
      <c r="D249" t="s">
        <v>1070</v>
      </c>
      <c r="E249" t="s">
        <v>37</v>
      </c>
      <c r="F249" t="s">
        <v>142</v>
      </c>
      <c r="G249" t="s">
        <v>142</v>
      </c>
      <c r="H249" t="s">
        <v>2595</v>
      </c>
      <c r="I249" t="s">
        <v>2596</v>
      </c>
      <c r="J249" t="s">
        <v>143</v>
      </c>
      <c r="K249" t="s">
        <v>171</v>
      </c>
      <c r="L249" t="s">
        <v>171</v>
      </c>
      <c r="M249" t="s">
        <v>238</v>
      </c>
      <c r="N249" t="s">
        <v>1071</v>
      </c>
      <c r="O249">
        <v>10007699</v>
      </c>
      <c r="P249" s="108">
        <v>42352</v>
      </c>
      <c r="Q249" s="108">
        <v>42354</v>
      </c>
      <c r="R249" s="108">
        <v>42391</v>
      </c>
      <c r="S249" t="s">
        <v>153</v>
      </c>
      <c r="T249">
        <v>3</v>
      </c>
      <c r="U249" t="s">
        <v>123</v>
      </c>
      <c r="V249">
        <v>3</v>
      </c>
      <c r="W249">
        <v>2</v>
      </c>
      <c r="X249">
        <v>2</v>
      </c>
      <c r="Y249">
        <f>VLOOKUP(Table_clu7sql1_ssdb_REPORT_vw_IE_External_MI_SON[[#This Row],[URN]],[1]Data!$D$2:$BB$1084,31,)</f>
        <v>2</v>
      </c>
      <c r="Z249" t="s">
        <v>2596</v>
      </c>
      <c r="AA249" t="s">
        <v>2596</v>
      </c>
      <c r="AB249" t="s">
        <v>2598</v>
      </c>
      <c r="AC249" t="s">
        <v>2596</v>
      </c>
      <c r="AD249" t="s">
        <v>2596</v>
      </c>
      <c r="AE249" s="108" t="s">
        <v>2596</v>
      </c>
      <c r="AF249" t="s">
        <v>2596</v>
      </c>
      <c r="AG249" s="108" t="s">
        <v>2596</v>
      </c>
      <c r="AH249" t="s">
        <v>2596</v>
      </c>
    </row>
    <row r="250" spans="1:34" x14ac:dyDescent="0.25">
      <c r="A250" s="111" t="str">
        <f>HYPERLINK("http://www.ofsted.gov.uk/inspection-reports/find-inspection-report/provider/ELS/120331 ","Ofsted School Webpage")</f>
        <v>Ofsted School Webpage</v>
      </c>
      <c r="B250">
        <v>120331</v>
      </c>
      <c r="C250">
        <v>8556006</v>
      </c>
      <c r="D250" t="s">
        <v>736</v>
      </c>
      <c r="E250" t="s">
        <v>36</v>
      </c>
      <c r="F250" t="s">
        <v>142</v>
      </c>
      <c r="G250" t="s">
        <v>142</v>
      </c>
      <c r="H250" t="s">
        <v>2595</v>
      </c>
      <c r="I250" t="s">
        <v>2596</v>
      </c>
      <c r="J250" t="s">
        <v>143</v>
      </c>
      <c r="K250" t="s">
        <v>171</v>
      </c>
      <c r="L250" t="s">
        <v>171</v>
      </c>
      <c r="M250" t="s">
        <v>238</v>
      </c>
      <c r="N250" t="s">
        <v>737</v>
      </c>
      <c r="O250">
        <v>10026046</v>
      </c>
      <c r="P250" s="108">
        <v>42892</v>
      </c>
      <c r="Q250" s="108">
        <v>42894</v>
      </c>
      <c r="R250" s="108">
        <v>42989</v>
      </c>
      <c r="S250" t="s">
        <v>153</v>
      </c>
      <c r="T250">
        <v>1</v>
      </c>
      <c r="U250" t="s">
        <v>123</v>
      </c>
      <c r="V250">
        <v>1</v>
      </c>
      <c r="W250">
        <v>1</v>
      </c>
      <c r="X250">
        <v>1</v>
      </c>
      <c r="Y250">
        <f>VLOOKUP(Table_clu7sql1_ssdb_REPORT_vw_IE_External_MI_SON[[#This Row],[URN]],[1]Data!$D$2:$BB$1084,31,)</f>
        <v>1</v>
      </c>
      <c r="Z250" t="s">
        <v>2596</v>
      </c>
      <c r="AA250">
        <v>1</v>
      </c>
      <c r="AB250" t="s">
        <v>2598</v>
      </c>
      <c r="AC250" t="s">
        <v>2596</v>
      </c>
      <c r="AD250" t="s">
        <v>2596</v>
      </c>
      <c r="AE250" t="s">
        <v>2596</v>
      </c>
      <c r="AF250" t="s">
        <v>2596</v>
      </c>
      <c r="AG250" t="s">
        <v>2596</v>
      </c>
      <c r="AH250" t="s">
        <v>2596</v>
      </c>
    </row>
    <row r="251" spans="1:34" x14ac:dyDescent="0.25">
      <c r="A251" s="111" t="str">
        <f>HYPERLINK("http://www.ofsted.gov.uk/inspection-reports/find-inspection-report/provider/ELS/120335 ","Ofsted School Webpage")</f>
        <v>Ofsted School Webpage</v>
      </c>
      <c r="B251">
        <v>120335</v>
      </c>
      <c r="C251">
        <v>8566007</v>
      </c>
      <c r="D251" t="s">
        <v>1956</v>
      </c>
      <c r="E251" t="s">
        <v>36</v>
      </c>
      <c r="F251" t="s">
        <v>261</v>
      </c>
      <c r="G251" t="s">
        <v>180</v>
      </c>
      <c r="H251" t="s">
        <v>2595</v>
      </c>
      <c r="I251" t="s">
        <v>2596</v>
      </c>
      <c r="J251" t="s">
        <v>143</v>
      </c>
      <c r="K251" t="s">
        <v>171</v>
      </c>
      <c r="L251" t="s">
        <v>171</v>
      </c>
      <c r="M251" t="s">
        <v>287</v>
      </c>
      <c r="N251" t="s">
        <v>1957</v>
      </c>
      <c r="O251">
        <v>10039180</v>
      </c>
      <c r="P251" s="108">
        <v>43060</v>
      </c>
      <c r="Q251" s="108">
        <v>43062</v>
      </c>
      <c r="R251" s="108">
        <v>43081</v>
      </c>
      <c r="S251" t="s">
        <v>153</v>
      </c>
      <c r="T251">
        <v>2</v>
      </c>
      <c r="U251" t="s">
        <v>123</v>
      </c>
      <c r="V251">
        <v>2</v>
      </c>
      <c r="W251">
        <v>2</v>
      </c>
      <c r="X251">
        <v>2</v>
      </c>
      <c r="Y251">
        <f>VLOOKUP(Table_clu7sql1_ssdb_REPORT_vw_IE_External_MI_SON[[#This Row],[URN]],[1]Data!$D$2:$BB$1084,31,)</f>
        <v>2</v>
      </c>
      <c r="Z251">
        <v>2</v>
      </c>
      <c r="AA251" t="s">
        <v>2596</v>
      </c>
      <c r="AB251" t="s">
        <v>2598</v>
      </c>
      <c r="AC251" t="s">
        <v>2596</v>
      </c>
      <c r="AD251" t="s">
        <v>2596</v>
      </c>
      <c r="AE251" s="108" t="s">
        <v>2596</v>
      </c>
      <c r="AF251" t="s">
        <v>2596</v>
      </c>
      <c r="AG251" s="108" t="s">
        <v>2596</v>
      </c>
      <c r="AH251" t="s">
        <v>2596</v>
      </c>
    </row>
    <row r="252" spans="1:34" x14ac:dyDescent="0.25">
      <c r="A252" s="111" t="str">
        <f>HYPERLINK("http://www.ofsted.gov.uk/inspection-reports/find-inspection-report/provider/ELS/120336 ","Ofsted School Webpage")</f>
        <v>Ofsted School Webpage</v>
      </c>
      <c r="B252">
        <v>120336</v>
      </c>
      <c r="C252">
        <v>8556014</v>
      </c>
      <c r="D252" t="s">
        <v>1998</v>
      </c>
      <c r="E252" t="s">
        <v>36</v>
      </c>
      <c r="F252" t="s">
        <v>142</v>
      </c>
      <c r="G252" t="s">
        <v>142</v>
      </c>
      <c r="H252" t="s">
        <v>2595</v>
      </c>
      <c r="I252" t="s">
        <v>2596</v>
      </c>
      <c r="J252" t="s">
        <v>143</v>
      </c>
      <c r="K252" t="s">
        <v>171</v>
      </c>
      <c r="L252" t="s">
        <v>171</v>
      </c>
      <c r="M252" t="s">
        <v>238</v>
      </c>
      <c r="N252" t="s">
        <v>1999</v>
      </c>
      <c r="O252" t="s">
        <v>2000</v>
      </c>
      <c r="P252" s="108">
        <v>41814</v>
      </c>
      <c r="Q252" s="108">
        <v>41816</v>
      </c>
      <c r="R252" s="108">
        <v>41848</v>
      </c>
      <c r="S252" t="s">
        <v>153</v>
      </c>
      <c r="T252">
        <v>1</v>
      </c>
      <c r="U252" t="s">
        <v>2596</v>
      </c>
      <c r="V252">
        <v>1</v>
      </c>
      <c r="W252" t="s">
        <v>2596</v>
      </c>
      <c r="X252">
        <v>1</v>
      </c>
      <c r="Y252">
        <f>VLOOKUP(Table_clu7sql1_ssdb_REPORT_vw_IE_External_MI_SON[[#This Row],[URN]],[1]Data!$D$2:$BB$1084,31,)</f>
        <v>1</v>
      </c>
      <c r="Z252" t="s">
        <v>2596</v>
      </c>
      <c r="AA252" t="s">
        <v>2596</v>
      </c>
      <c r="AB252" t="s">
        <v>2598</v>
      </c>
      <c r="AC252" t="s">
        <v>2596</v>
      </c>
      <c r="AD252" t="s">
        <v>2596</v>
      </c>
      <c r="AE252" t="s">
        <v>2596</v>
      </c>
      <c r="AF252" t="s">
        <v>2596</v>
      </c>
      <c r="AG252" t="s">
        <v>2596</v>
      </c>
      <c r="AH252" t="s">
        <v>2596</v>
      </c>
    </row>
    <row r="253" spans="1:34" x14ac:dyDescent="0.25">
      <c r="A253" s="111" t="str">
        <f>HYPERLINK("http://www.ofsted.gov.uk/inspection-reports/find-inspection-report/provider/ELS/120345 ","Ofsted School Webpage")</f>
        <v>Ofsted School Webpage</v>
      </c>
      <c r="B253">
        <v>120345</v>
      </c>
      <c r="C253">
        <v>8566004</v>
      </c>
      <c r="D253" t="s">
        <v>1914</v>
      </c>
      <c r="E253" t="s">
        <v>36</v>
      </c>
      <c r="F253" t="s">
        <v>142</v>
      </c>
      <c r="G253" t="s">
        <v>180</v>
      </c>
      <c r="H253" t="s">
        <v>2595</v>
      </c>
      <c r="I253" t="s">
        <v>2596</v>
      </c>
      <c r="J253" t="s">
        <v>143</v>
      </c>
      <c r="K253" t="s">
        <v>171</v>
      </c>
      <c r="L253" t="s">
        <v>171</v>
      </c>
      <c r="M253" t="s">
        <v>287</v>
      </c>
      <c r="N253" t="s">
        <v>1915</v>
      </c>
      <c r="O253">
        <v>10039181</v>
      </c>
      <c r="P253" s="108">
        <v>43130</v>
      </c>
      <c r="Q253" s="108">
        <v>43132</v>
      </c>
      <c r="R253" s="108">
        <v>43165</v>
      </c>
      <c r="S253" t="s">
        <v>224</v>
      </c>
      <c r="T253">
        <v>3</v>
      </c>
      <c r="U253" t="s">
        <v>123</v>
      </c>
      <c r="V253">
        <v>3</v>
      </c>
      <c r="W253">
        <v>3</v>
      </c>
      <c r="X253">
        <v>3</v>
      </c>
      <c r="Y253">
        <f>VLOOKUP(Table_clu7sql1_ssdb_REPORT_vw_IE_External_MI_SON[[#This Row],[URN]],[1]Data!$D$2:$BB$1084,31,)</f>
        <v>3</v>
      </c>
      <c r="Z253" t="s">
        <v>2596</v>
      </c>
      <c r="AA253">
        <v>3</v>
      </c>
      <c r="AB253" t="s">
        <v>2599</v>
      </c>
      <c r="AC253" t="s">
        <v>2596</v>
      </c>
      <c r="AD253" t="s">
        <v>2596</v>
      </c>
      <c r="AE253" s="108" t="s">
        <v>2596</v>
      </c>
      <c r="AF253" t="s">
        <v>2596</v>
      </c>
      <c r="AG253" s="108" t="s">
        <v>2596</v>
      </c>
      <c r="AH253" t="s">
        <v>2596</v>
      </c>
    </row>
    <row r="254" spans="1:34" x14ac:dyDescent="0.25">
      <c r="A254" s="111" t="str">
        <f>HYPERLINK("http://www.ofsted.gov.uk/inspection-reports/find-inspection-report/provider/ELS/120728 ","Ofsted School Webpage")</f>
        <v>Ofsted School Webpage</v>
      </c>
      <c r="B254">
        <v>120728</v>
      </c>
      <c r="C254">
        <v>9256016</v>
      </c>
      <c r="D254" t="s">
        <v>1854</v>
      </c>
      <c r="E254" t="s">
        <v>36</v>
      </c>
      <c r="F254" t="s">
        <v>142</v>
      </c>
      <c r="G254" t="s">
        <v>142</v>
      </c>
      <c r="H254" t="s">
        <v>2595</v>
      </c>
      <c r="I254" t="s">
        <v>2596</v>
      </c>
      <c r="J254" t="s">
        <v>143</v>
      </c>
      <c r="K254" t="s">
        <v>171</v>
      </c>
      <c r="L254" t="s">
        <v>171</v>
      </c>
      <c r="M254" t="s">
        <v>637</v>
      </c>
      <c r="N254" t="s">
        <v>1855</v>
      </c>
      <c r="O254">
        <v>10008570</v>
      </c>
      <c r="P254" s="108">
        <v>42402</v>
      </c>
      <c r="Q254" s="108">
        <v>42404</v>
      </c>
      <c r="R254" s="108">
        <v>42436</v>
      </c>
      <c r="S254" t="s">
        <v>153</v>
      </c>
      <c r="T254">
        <v>2</v>
      </c>
      <c r="U254" t="s">
        <v>123</v>
      </c>
      <c r="V254">
        <v>2</v>
      </c>
      <c r="W254">
        <v>2</v>
      </c>
      <c r="X254">
        <v>2</v>
      </c>
      <c r="Y254">
        <f>VLOOKUP(Table_clu7sql1_ssdb_REPORT_vw_IE_External_MI_SON[[#This Row],[URN]],[1]Data!$D$2:$BB$1084,31,)</f>
        <v>2</v>
      </c>
      <c r="Z254">
        <v>1</v>
      </c>
      <c r="AA254" t="s">
        <v>2596</v>
      </c>
      <c r="AB254" t="s">
        <v>2598</v>
      </c>
      <c r="AC254" t="s">
        <v>2596</v>
      </c>
      <c r="AD254" t="s">
        <v>2596</v>
      </c>
      <c r="AE254" s="108" t="s">
        <v>2596</v>
      </c>
      <c r="AF254" t="s">
        <v>2596</v>
      </c>
      <c r="AG254" s="108" t="s">
        <v>2596</v>
      </c>
      <c r="AH254" t="s">
        <v>2596</v>
      </c>
    </row>
    <row r="255" spans="1:34" x14ac:dyDescent="0.25">
      <c r="A255" s="111" t="str">
        <f>HYPERLINK("http://www.ofsted.gov.uk/inspection-reports/find-inspection-report/provider/ELS/120739 ","Ofsted School Webpage")</f>
        <v>Ofsted School Webpage</v>
      </c>
      <c r="B255">
        <v>120739</v>
      </c>
      <c r="C255">
        <v>9256033</v>
      </c>
      <c r="D255" t="s">
        <v>2495</v>
      </c>
      <c r="E255" t="s">
        <v>36</v>
      </c>
      <c r="F255" t="s">
        <v>142</v>
      </c>
      <c r="G255" t="s">
        <v>142</v>
      </c>
      <c r="H255" t="s">
        <v>2595</v>
      </c>
      <c r="I255" t="s">
        <v>2596</v>
      </c>
      <c r="J255" t="s">
        <v>143</v>
      </c>
      <c r="K255" t="s">
        <v>171</v>
      </c>
      <c r="L255" t="s">
        <v>171</v>
      </c>
      <c r="M255" t="s">
        <v>637</v>
      </c>
      <c r="N255" t="s">
        <v>2496</v>
      </c>
      <c r="O255">
        <v>10033526</v>
      </c>
      <c r="P255" s="108">
        <v>43046</v>
      </c>
      <c r="Q255" s="108">
        <v>43048</v>
      </c>
      <c r="R255" s="108">
        <v>43136</v>
      </c>
      <c r="S255" t="s">
        <v>153</v>
      </c>
      <c r="T255">
        <v>4</v>
      </c>
      <c r="U255" t="s">
        <v>124</v>
      </c>
      <c r="V255">
        <v>4</v>
      </c>
      <c r="W255">
        <v>4</v>
      </c>
      <c r="X255">
        <v>4</v>
      </c>
      <c r="Y255">
        <f>VLOOKUP(Table_clu7sql1_ssdb_REPORT_vw_IE_External_MI_SON[[#This Row],[URN]],[1]Data!$D$2:$BB$1084,31,)</f>
        <v>4</v>
      </c>
      <c r="Z255">
        <v>4</v>
      </c>
      <c r="AA255" t="s">
        <v>2596</v>
      </c>
      <c r="AB255" t="s">
        <v>2599</v>
      </c>
      <c r="AC255" t="s">
        <v>2596</v>
      </c>
      <c r="AD255" t="s">
        <v>2596</v>
      </c>
      <c r="AE255" s="108" t="s">
        <v>2596</v>
      </c>
      <c r="AF255" t="s">
        <v>2596</v>
      </c>
      <c r="AG255" s="108" t="s">
        <v>2596</v>
      </c>
      <c r="AH255" t="s">
        <v>2596</v>
      </c>
    </row>
    <row r="256" spans="1:34" x14ac:dyDescent="0.25">
      <c r="A256" s="111" t="str">
        <f>HYPERLINK("http://www.ofsted.gov.uk/inspection-reports/find-inspection-report/provider/ELS/120740 ","Ofsted School Webpage")</f>
        <v>Ofsted School Webpage</v>
      </c>
      <c r="B256">
        <v>120740</v>
      </c>
      <c r="C256">
        <v>9256034</v>
      </c>
      <c r="D256" t="s">
        <v>1394</v>
      </c>
      <c r="E256" t="s">
        <v>37</v>
      </c>
      <c r="F256" t="s">
        <v>142</v>
      </c>
      <c r="G256" t="s">
        <v>142</v>
      </c>
      <c r="H256" t="s">
        <v>2595</v>
      </c>
      <c r="I256" t="s">
        <v>2596</v>
      </c>
      <c r="J256" t="s">
        <v>143</v>
      </c>
      <c r="K256" t="s">
        <v>171</v>
      </c>
      <c r="L256" t="s">
        <v>171</v>
      </c>
      <c r="M256" t="s">
        <v>637</v>
      </c>
      <c r="N256" t="s">
        <v>1395</v>
      </c>
      <c r="O256">
        <v>10006047</v>
      </c>
      <c r="P256" s="108">
        <v>42536</v>
      </c>
      <c r="Q256" s="108">
        <v>42538</v>
      </c>
      <c r="R256" s="108">
        <v>42626</v>
      </c>
      <c r="S256" t="s">
        <v>3005</v>
      </c>
      <c r="T256">
        <v>1</v>
      </c>
      <c r="U256" t="s">
        <v>123</v>
      </c>
      <c r="V256">
        <v>1</v>
      </c>
      <c r="W256">
        <v>1</v>
      </c>
      <c r="X256">
        <v>1</v>
      </c>
      <c r="Y256">
        <f>VLOOKUP(Table_clu7sql1_ssdb_REPORT_vw_IE_External_MI_SON[[#This Row],[URN]],[1]Data!$D$2:$BB$1084,31,)</f>
        <v>1</v>
      </c>
      <c r="Z256" t="s">
        <v>2596</v>
      </c>
      <c r="AA256">
        <v>1</v>
      </c>
      <c r="AB256" t="s">
        <v>2598</v>
      </c>
      <c r="AC256" t="s">
        <v>2596</v>
      </c>
      <c r="AD256" t="s">
        <v>2596</v>
      </c>
      <c r="AE256" t="s">
        <v>2596</v>
      </c>
      <c r="AF256" t="s">
        <v>2596</v>
      </c>
      <c r="AG256" t="s">
        <v>2596</v>
      </c>
      <c r="AH256" t="s">
        <v>2596</v>
      </c>
    </row>
    <row r="257" spans="1:34" x14ac:dyDescent="0.25">
      <c r="A257" s="111" t="str">
        <f>HYPERLINK("http://www.ofsted.gov.uk/inspection-reports/find-inspection-report/provider/ELS/120743 ","Ofsted School Webpage")</f>
        <v>Ofsted School Webpage</v>
      </c>
      <c r="B257">
        <v>120743</v>
      </c>
      <c r="C257">
        <v>9256038</v>
      </c>
      <c r="D257" t="s">
        <v>1633</v>
      </c>
      <c r="E257" t="s">
        <v>36</v>
      </c>
      <c r="F257" t="s">
        <v>142</v>
      </c>
      <c r="G257" t="s">
        <v>169</v>
      </c>
      <c r="H257" t="s">
        <v>2595</v>
      </c>
      <c r="I257" t="s">
        <v>2596</v>
      </c>
      <c r="J257" t="s">
        <v>143</v>
      </c>
      <c r="K257" t="s">
        <v>171</v>
      </c>
      <c r="L257" t="s">
        <v>171</v>
      </c>
      <c r="M257" t="s">
        <v>637</v>
      </c>
      <c r="N257" t="s">
        <v>1634</v>
      </c>
      <c r="O257">
        <v>10012974</v>
      </c>
      <c r="P257" s="108">
        <v>42529</v>
      </c>
      <c r="Q257" s="108">
        <v>42531</v>
      </c>
      <c r="R257" s="108">
        <v>42566</v>
      </c>
      <c r="S257" t="s">
        <v>153</v>
      </c>
      <c r="T257">
        <v>2</v>
      </c>
      <c r="U257" t="s">
        <v>123</v>
      </c>
      <c r="V257">
        <v>2</v>
      </c>
      <c r="W257">
        <v>1</v>
      </c>
      <c r="X257">
        <v>2</v>
      </c>
      <c r="Y257">
        <f>VLOOKUP(Table_clu7sql1_ssdb_REPORT_vw_IE_External_MI_SON[[#This Row],[URN]],[1]Data!$D$2:$BB$1084,31,)</f>
        <v>2</v>
      </c>
      <c r="Z257">
        <v>2</v>
      </c>
      <c r="AA257" t="s">
        <v>2596</v>
      </c>
      <c r="AB257" t="s">
        <v>2598</v>
      </c>
      <c r="AC257" t="s">
        <v>2596</v>
      </c>
      <c r="AD257" t="s">
        <v>2596</v>
      </c>
      <c r="AE257" t="s">
        <v>2596</v>
      </c>
      <c r="AF257" t="s">
        <v>2596</v>
      </c>
      <c r="AG257" t="s">
        <v>2596</v>
      </c>
      <c r="AH257" t="s">
        <v>2596</v>
      </c>
    </row>
    <row r="258" spans="1:34" x14ac:dyDescent="0.25">
      <c r="A258" s="111" t="str">
        <f>HYPERLINK("http://www.ofsted.gov.uk/inspection-reports/find-inspection-report/provider/ELS/121246 ","Ofsted School Webpage")</f>
        <v>Ofsted School Webpage</v>
      </c>
      <c r="B258">
        <v>121246</v>
      </c>
      <c r="C258">
        <v>9266133</v>
      </c>
      <c r="D258" t="s">
        <v>455</v>
      </c>
      <c r="E258" t="s">
        <v>37</v>
      </c>
      <c r="F258" t="s">
        <v>142</v>
      </c>
      <c r="G258" t="s">
        <v>142</v>
      </c>
      <c r="H258" t="s">
        <v>2595</v>
      </c>
      <c r="I258" t="s">
        <v>2596</v>
      </c>
      <c r="J258" t="s">
        <v>143</v>
      </c>
      <c r="K258" t="s">
        <v>177</v>
      </c>
      <c r="L258" t="s">
        <v>177</v>
      </c>
      <c r="M258" t="s">
        <v>401</v>
      </c>
      <c r="N258" t="s">
        <v>456</v>
      </c>
      <c r="O258">
        <v>10006048</v>
      </c>
      <c r="P258" s="108">
        <v>42514</v>
      </c>
      <c r="Q258" s="108">
        <v>42516</v>
      </c>
      <c r="R258" s="108">
        <v>42550</v>
      </c>
      <c r="S258" t="s">
        <v>153</v>
      </c>
      <c r="T258">
        <v>2</v>
      </c>
      <c r="U258" t="s">
        <v>123</v>
      </c>
      <c r="V258">
        <v>2</v>
      </c>
      <c r="W258">
        <v>2</v>
      </c>
      <c r="X258">
        <v>2</v>
      </c>
      <c r="Y258">
        <f>VLOOKUP(Table_clu7sql1_ssdb_REPORT_vw_IE_External_MI_SON[[#This Row],[URN]],[1]Data!$D$2:$BB$1084,31,)</f>
        <v>2</v>
      </c>
      <c r="Z258" t="s">
        <v>2596</v>
      </c>
      <c r="AA258" t="s">
        <v>2596</v>
      </c>
      <c r="AB258" t="s">
        <v>2598</v>
      </c>
      <c r="AC258" t="s">
        <v>2596</v>
      </c>
      <c r="AD258" t="s">
        <v>2596</v>
      </c>
      <c r="AE258" t="s">
        <v>2596</v>
      </c>
      <c r="AF258" t="s">
        <v>2596</v>
      </c>
      <c r="AG258" t="s">
        <v>2596</v>
      </c>
      <c r="AH258" t="s">
        <v>2596</v>
      </c>
    </row>
    <row r="259" spans="1:34" x14ac:dyDescent="0.25">
      <c r="A259" s="111" t="str">
        <f>HYPERLINK("http://www.ofsted.gov.uk/inspection-reports/find-inspection-report/provider/ELS/121250 ","Ofsted School Webpage")</f>
        <v>Ofsted School Webpage</v>
      </c>
      <c r="B259">
        <v>121250</v>
      </c>
      <c r="C259">
        <v>9266140</v>
      </c>
      <c r="D259" t="s">
        <v>1834</v>
      </c>
      <c r="E259" t="s">
        <v>36</v>
      </c>
      <c r="F259" t="s">
        <v>142</v>
      </c>
      <c r="G259" t="s">
        <v>169</v>
      </c>
      <c r="H259" t="s">
        <v>2595</v>
      </c>
      <c r="I259" t="s">
        <v>2596</v>
      </c>
      <c r="J259" t="s">
        <v>143</v>
      </c>
      <c r="K259" t="s">
        <v>177</v>
      </c>
      <c r="L259" t="s">
        <v>177</v>
      </c>
      <c r="M259" t="s">
        <v>401</v>
      </c>
      <c r="N259" t="s">
        <v>1835</v>
      </c>
      <c r="O259">
        <v>10008571</v>
      </c>
      <c r="P259" s="108">
        <v>42696</v>
      </c>
      <c r="Q259" s="108">
        <v>42698</v>
      </c>
      <c r="R259" s="108">
        <v>42747</v>
      </c>
      <c r="S259" t="s">
        <v>153</v>
      </c>
      <c r="T259">
        <v>4</v>
      </c>
      <c r="U259" t="s">
        <v>124</v>
      </c>
      <c r="V259">
        <v>4</v>
      </c>
      <c r="W259">
        <v>4</v>
      </c>
      <c r="X259">
        <v>2</v>
      </c>
      <c r="Y259">
        <f>VLOOKUP(Table_clu7sql1_ssdb_REPORT_vw_IE_External_MI_SON[[#This Row],[URN]],[1]Data!$D$2:$BB$1084,31,)</f>
        <v>2</v>
      </c>
      <c r="Z259" t="s">
        <v>2596</v>
      </c>
      <c r="AA259" t="s">
        <v>2596</v>
      </c>
      <c r="AB259" t="s">
        <v>2599</v>
      </c>
      <c r="AC259">
        <v>10034311</v>
      </c>
      <c r="AD259" t="s">
        <v>144</v>
      </c>
      <c r="AE259" s="108">
        <v>42872</v>
      </c>
      <c r="AF259" t="s">
        <v>2634</v>
      </c>
      <c r="AG259" s="108">
        <v>42906</v>
      </c>
      <c r="AH259" t="s">
        <v>174</v>
      </c>
    </row>
    <row r="260" spans="1:34" x14ac:dyDescent="0.25">
      <c r="A260" s="111" t="str">
        <f>HYPERLINK("http://www.ofsted.gov.uk/inspection-reports/find-inspection-report/provider/ELS/121251 ","Ofsted School Webpage")</f>
        <v>Ofsted School Webpage</v>
      </c>
      <c r="B260">
        <v>121251</v>
      </c>
      <c r="C260">
        <v>9266143</v>
      </c>
      <c r="D260" t="s">
        <v>640</v>
      </c>
      <c r="E260" t="s">
        <v>36</v>
      </c>
      <c r="F260" t="s">
        <v>142</v>
      </c>
      <c r="G260" t="s">
        <v>142</v>
      </c>
      <c r="H260" t="s">
        <v>2595</v>
      </c>
      <c r="I260" t="s">
        <v>2596</v>
      </c>
      <c r="J260" t="s">
        <v>143</v>
      </c>
      <c r="K260" t="s">
        <v>177</v>
      </c>
      <c r="L260" t="s">
        <v>177</v>
      </c>
      <c r="M260" t="s">
        <v>401</v>
      </c>
      <c r="N260" t="s">
        <v>641</v>
      </c>
      <c r="O260" t="s">
        <v>642</v>
      </c>
      <c r="P260" s="108">
        <v>41934</v>
      </c>
      <c r="Q260" s="108">
        <v>41936</v>
      </c>
      <c r="R260" s="108">
        <v>41955</v>
      </c>
      <c r="S260" t="s">
        <v>153</v>
      </c>
      <c r="T260">
        <v>1</v>
      </c>
      <c r="U260" t="s">
        <v>2596</v>
      </c>
      <c r="V260">
        <v>1</v>
      </c>
      <c r="W260" t="s">
        <v>2596</v>
      </c>
      <c r="X260">
        <v>1</v>
      </c>
      <c r="Y260">
        <f>VLOOKUP(Table_clu7sql1_ssdb_REPORT_vw_IE_External_MI_SON[[#This Row],[URN]],[1]Data!$D$2:$BB$1084,31,)</f>
        <v>1</v>
      </c>
      <c r="Z260">
        <v>1</v>
      </c>
      <c r="AA260">
        <v>9</v>
      </c>
      <c r="AB260" t="s">
        <v>2598</v>
      </c>
      <c r="AC260" t="s">
        <v>2596</v>
      </c>
      <c r="AD260" t="s">
        <v>2596</v>
      </c>
      <c r="AE260" t="s">
        <v>2596</v>
      </c>
      <c r="AF260" t="s">
        <v>2596</v>
      </c>
      <c r="AG260" t="s">
        <v>2596</v>
      </c>
      <c r="AH260" t="s">
        <v>2596</v>
      </c>
    </row>
    <row r="261" spans="1:34" x14ac:dyDescent="0.25">
      <c r="A261" s="111" t="str">
        <f>HYPERLINK("http://www.ofsted.gov.uk/inspection-reports/find-inspection-report/provider/ELS/121252 ","Ofsted School Webpage")</f>
        <v>Ofsted School Webpage</v>
      </c>
      <c r="B261">
        <v>121252</v>
      </c>
      <c r="C261">
        <v>9266145</v>
      </c>
      <c r="D261" t="s">
        <v>1127</v>
      </c>
      <c r="E261" t="s">
        <v>37</v>
      </c>
      <c r="F261" t="s">
        <v>1128</v>
      </c>
      <c r="G261" t="s">
        <v>1128</v>
      </c>
      <c r="H261" t="s">
        <v>2595</v>
      </c>
      <c r="I261" t="s">
        <v>2596</v>
      </c>
      <c r="J261" t="s">
        <v>143</v>
      </c>
      <c r="K261" t="s">
        <v>177</v>
      </c>
      <c r="L261" t="s">
        <v>177</v>
      </c>
      <c r="M261" t="s">
        <v>401</v>
      </c>
      <c r="N261" t="s">
        <v>1129</v>
      </c>
      <c r="O261">
        <v>10006010</v>
      </c>
      <c r="P261" s="108">
        <v>42318</v>
      </c>
      <c r="Q261" s="108">
        <v>42320</v>
      </c>
      <c r="R261" s="108">
        <v>42353</v>
      </c>
      <c r="S261" t="s">
        <v>153</v>
      </c>
      <c r="T261">
        <v>2</v>
      </c>
      <c r="U261" t="s">
        <v>123</v>
      </c>
      <c r="V261">
        <v>2</v>
      </c>
      <c r="W261">
        <v>2</v>
      </c>
      <c r="X261">
        <v>2</v>
      </c>
      <c r="Y261">
        <f>VLOOKUP(Table_clu7sql1_ssdb_REPORT_vw_IE_External_MI_SON[[#This Row],[URN]],[1]Data!$D$2:$BB$1084,31,)</f>
        <v>2</v>
      </c>
      <c r="Z261" t="s">
        <v>2596</v>
      </c>
      <c r="AA261">
        <v>3</v>
      </c>
      <c r="AB261" t="s">
        <v>2598</v>
      </c>
      <c r="AC261" t="s">
        <v>2596</v>
      </c>
      <c r="AD261" t="s">
        <v>2596</v>
      </c>
      <c r="AE261" t="s">
        <v>2596</v>
      </c>
      <c r="AF261" t="s">
        <v>2596</v>
      </c>
      <c r="AG261" t="s">
        <v>2596</v>
      </c>
      <c r="AH261" t="s">
        <v>2596</v>
      </c>
    </row>
    <row r="262" spans="1:34" x14ac:dyDescent="0.25">
      <c r="A262" s="111" t="str">
        <f>HYPERLINK("http://www.ofsted.gov.uk/inspection-reports/find-inspection-report/provider/ELS/121757 ","Ofsted School Webpage")</f>
        <v>Ofsted School Webpage</v>
      </c>
      <c r="B262">
        <v>121757</v>
      </c>
      <c r="C262">
        <v>8156027</v>
      </c>
      <c r="D262" t="s">
        <v>1286</v>
      </c>
      <c r="E262" t="s">
        <v>36</v>
      </c>
      <c r="F262" t="s">
        <v>142</v>
      </c>
      <c r="G262" t="s">
        <v>397</v>
      </c>
      <c r="H262" t="s">
        <v>2595</v>
      </c>
      <c r="I262" t="s">
        <v>2596</v>
      </c>
      <c r="J262" t="s">
        <v>143</v>
      </c>
      <c r="K262" t="s">
        <v>202</v>
      </c>
      <c r="L262" t="s">
        <v>203</v>
      </c>
      <c r="M262" t="s">
        <v>509</v>
      </c>
      <c r="N262" t="s">
        <v>1287</v>
      </c>
      <c r="O262">
        <v>10008559</v>
      </c>
      <c r="P262" s="108">
        <v>42444</v>
      </c>
      <c r="Q262" s="108">
        <v>42446</v>
      </c>
      <c r="R262" s="108">
        <v>42499</v>
      </c>
      <c r="S262" t="s">
        <v>153</v>
      </c>
      <c r="T262">
        <v>1</v>
      </c>
      <c r="U262" t="s">
        <v>123</v>
      </c>
      <c r="V262">
        <v>1</v>
      </c>
      <c r="W262">
        <v>1</v>
      </c>
      <c r="X262">
        <v>1</v>
      </c>
      <c r="Y262">
        <f>VLOOKUP(Table_clu7sql1_ssdb_REPORT_vw_IE_External_MI_SON[[#This Row],[URN]],[1]Data!$D$2:$BB$1084,31,)</f>
        <v>1</v>
      </c>
      <c r="Z262">
        <v>1</v>
      </c>
      <c r="AA262" t="s">
        <v>2596</v>
      </c>
      <c r="AB262" t="s">
        <v>2598</v>
      </c>
      <c r="AC262" t="s">
        <v>2596</v>
      </c>
      <c r="AD262" t="s">
        <v>2596</v>
      </c>
      <c r="AE262" t="s">
        <v>2596</v>
      </c>
      <c r="AF262" t="s">
        <v>2596</v>
      </c>
      <c r="AG262" t="s">
        <v>2596</v>
      </c>
      <c r="AH262" t="s">
        <v>2596</v>
      </c>
    </row>
    <row r="263" spans="1:34" x14ac:dyDescent="0.25">
      <c r="A263" s="111" t="str">
        <f>HYPERLINK("http://www.ofsted.gov.uk/inspection-reports/find-inspection-report/provider/ELS/121763 ","Ofsted School Webpage")</f>
        <v>Ofsted School Webpage</v>
      </c>
      <c r="B263">
        <v>121763</v>
      </c>
      <c r="C263">
        <v>8156032</v>
      </c>
      <c r="D263" t="s">
        <v>1884</v>
      </c>
      <c r="E263" t="s">
        <v>36</v>
      </c>
      <c r="F263" t="s">
        <v>142</v>
      </c>
      <c r="G263" t="s">
        <v>169</v>
      </c>
      <c r="H263" t="s">
        <v>2595</v>
      </c>
      <c r="I263" t="s">
        <v>2596</v>
      </c>
      <c r="J263" t="s">
        <v>143</v>
      </c>
      <c r="K263" t="s">
        <v>202</v>
      </c>
      <c r="L263" t="s">
        <v>203</v>
      </c>
      <c r="M263" t="s">
        <v>509</v>
      </c>
      <c r="N263" t="s">
        <v>1885</v>
      </c>
      <c r="O263">
        <v>10033914</v>
      </c>
      <c r="P263" s="108">
        <v>42892</v>
      </c>
      <c r="Q263" s="108">
        <v>42894</v>
      </c>
      <c r="R263" s="108">
        <v>42920</v>
      </c>
      <c r="S263" t="s">
        <v>153</v>
      </c>
      <c r="T263">
        <v>1</v>
      </c>
      <c r="U263" t="s">
        <v>123</v>
      </c>
      <c r="V263">
        <v>1</v>
      </c>
      <c r="W263">
        <v>1</v>
      </c>
      <c r="X263">
        <v>1</v>
      </c>
      <c r="Y263">
        <f>VLOOKUP(Table_clu7sql1_ssdb_REPORT_vw_IE_External_MI_SON[[#This Row],[URN]],[1]Data!$D$2:$BB$1084,31,)</f>
        <v>1</v>
      </c>
      <c r="Z263">
        <v>1</v>
      </c>
      <c r="AA263" t="s">
        <v>2596</v>
      </c>
      <c r="AB263" t="s">
        <v>2598</v>
      </c>
      <c r="AC263" t="s">
        <v>2596</v>
      </c>
      <c r="AD263" t="s">
        <v>2596</v>
      </c>
      <c r="AE263" t="s">
        <v>2596</v>
      </c>
      <c r="AF263" t="s">
        <v>2596</v>
      </c>
      <c r="AG263" t="s">
        <v>2596</v>
      </c>
      <c r="AH263" t="s">
        <v>2596</v>
      </c>
    </row>
    <row r="264" spans="1:34" x14ac:dyDescent="0.25">
      <c r="A264" s="111" t="str">
        <f>HYPERLINK("http://www.ofsted.gov.uk/inspection-reports/find-inspection-report/provider/ELS/122136 ","Ofsted School Webpage")</f>
        <v>Ofsted School Webpage</v>
      </c>
      <c r="B264">
        <v>122136</v>
      </c>
      <c r="C264">
        <v>9286039</v>
      </c>
      <c r="D264" t="s">
        <v>1121</v>
      </c>
      <c r="E264" t="s">
        <v>37</v>
      </c>
      <c r="F264" t="s">
        <v>142</v>
      </c>
      <c r="G264" t="s">
        <v>142</v>
      </c>
      <c r="H264" t="s">
        <v>2595</v>
      </c>
      <c r="I264" t="s">
        <v>2596</v>
      </c>
      <c r="J264" t="s">
        <v>143</v>
      </c>
      <c r="K264" t="s">
        <v>171</v>
      </c>
      <c r="L264" t="s">
        <v>171</v>
      </c>
      <c r="M264" t="s">
        <v>172</v>
      </c>
      <c r="N264" t="s">
        <v>1122</v>
      </c>
      <c r="O264">
        <v>10008939</v>
      </c>
      <c r="P264" s="108">
        <v>42402</v>
      </c>
      <c r="Q264" s="108">
        <v>42404</v>
      </c>
      <c r="R264" s="108">
        <v>42479</v>
      </c>
      <c r="S264" t="s">
        <v>153</v>
      </c>
      <c r="T264">
        <v>2</v>
      </c>
      <c r="U264" t="s">
        <v>123</v>
      </c>
      <c r="V264">
        <v>2</v>
      </c>
      <c r="W264">
        <v>2</v>
      </c>
      <c r="X264">
        <v>2</v>
      </c>
      <c r="Y264">
        <f>VLOOKUP(Table_clu7sql1_ssdb_REPORT_vw_IE_External_MI_SON[[#This Row],[URN]],[1]Data!$D$2:$BB$1084,31,)</f>
        <v>2</v>
      </c>
      <c r="Z264" t="s">
        <v>2596</v>
      </c>
      <c r="AA264">
        <v>2</v>
      </c>
      <c r="AB264" t="s">
        <v>2598</v>
      </c>
      <c r="AC264" t="s">
        <v>2596</v>
      </c>
      <c r="AD264" t="s">
        <v>2596</v>
      </c>
      <c r="AE264" s="108" t="s">
        <v>2596</v>
      </c>
      <c r="AF264" t="s">
        <v>2596</v>
      </c>
      <c r="AG264" s="108" t="s">
        <v>2596</v>
      </c>
      <c r="AH264" t="s">
        <v>2596</v>
      </c>
    </row>
    <row r="265" spans="1:34" x14ac:dyDescent="0.25">
      <c r="A265" s="111" t="str">
        <f>HYPERLINK("http://www.ofsted.gov.uk/inspection-reports/find-inspection-report/provider/ELS/122926 ","Ofsted School Webpage")</f>
        <v>Ofsted School Webpage</v>
      </c>
      <c r="B265">
        <v>122926</v>
      </c>
      <c r="C265">
        <v>8916008</v>
      </c>
      <c r="D265" t="s">
        <v>380</v>
      </c>
      <c r="E265" t="s">
        <v>36</v>
      </c>
      <c r="F265" t="s">
        <v>142</v>
      </c>
      <c r="G265" t="s">
        <v>142</v>
      </c>
      <c r="H265" t="s">
        <v>2595</v>
      </c>
      <c r="I265" t="s">
        <v>2596</v>
      </c>
      <c r="J265" t="s">
        <v>143</v>
      </c>
      <c r="K265" t="s">
        <v>171</v>
      </c>
      <c r="L265" t="s">
        <v>171</v>
      </c>
      <c r="M265" t="s">
        <v>277</v>
      </c>
      <c r="N265" t="s">
        <v>381</v>
      </c>
      <c r="O265">
        <v>10033528</v>
      </c>
      <c r="P265" s="108">
        <v>43004</v>
      </c>
      <c r="Q265" s="108">
        <v>43006</v>
      </c>
      <c r="R265" s="108">
        <v>43027</v>
      </c>
      <c r="S265" t="s">
        <v>153</v>
      </c>
      <c r="T265">
        <v>3</v>
      </c>
      <c r="U265" t="s">
        <v>123</v>
      </c>
      <c r="V265">
        <v>3</v>
      </c>
      <c r="W265">
        <v>2</v>
      </c>
      <c r="X265">
        <v>3</v>
      </c>
      <c r="Y265">
        <f>VLOOKUP(Table_clu7sql1_ssdb_REPORT_vw_IE_External_MI_SON[[#This Row],[URN]],[1]Data!$D$2:$BB$1084,31,)</f>
        <v>3</v>
      </c>
      <c r="Z265">
        <v>2</v>
      </c>
      <c r="AA265" t="s">
        <v>2596</v>
      </c>
      <c r="AB265" t="s">
        <v>2599</v>
      </c>
      <c r="AC265" t="s">
        <v>2596</v>
      </c>
      <c r="AD265" t="s">
        <v>2596</v>
      </c>
      <c r="AE265" t="s">
        <v>2596</v>
      </c>
      <c r="AF265" t="s">
        <v>2596</v>
      </c>
      <c r="AG265" t="s">
        <v>2596</v>
      </c>
      <c r="AH265" t="s">
        <v>2596</v>
      </c>
    </row>
    <row r="266" spans="1:34" x14ac:dyDescent="0.25">
      <c r="A266" s="111" t="str">
        <f>HYPERLINK("http://www.ofsted.gov.uk/inspection-reports/find-inspection-report/provider/ELS/122933 ","Ofsted School Webpage")</f>
        <v>Ofsted School Webpage</v>
      </c>
      <c r="B266">
        <v>122933</v>
      </c>
      <c r="C266">
        <v>8916015</v>
      </c>
      <c r="D266" t="s">
        <v>1969</v>
      </c>
      <c r="E266" t="s">
        <v>36</v>
      </c>
      <c r="F266" t="s">
        <v>142</v>
      </c>
      <c r="G266" t="s">
        <v>142</v>
      </c>
      <c r="H266" t="s">
        <v>2595</v>
      </c>
      <c r="I266" t="s">
        <v>2596</v>
      </c>
      <c r="J266" t="s">
        <v>143</v>
      </c>
      <c r="K266" t="s">
        <v>171</v>
      </c>
      <c r="L266" t="s">
        <v>171</v>
      </c>
      <c r="M266" t="s">
        <v>277</v>
      </c>
      <c r="N266" t="s">
        <v>1970</v>
      </c>
      <c r="O266">
        <v>10033529</v>
      </c>
      <c r="P266" s="108">
        <v>43046</v>
      </c>
      <c r="Q266" s="108">
        <v>43048</v>
      </c>
      <c r="R266" s="108">
        <v>43080</v>
      </c>
      <c r="S266" t="s">
        <v>153</v>
      </c>
      <c r="T266">
        <v>2</v>
      </c>
      <c r="U266" t="s">
        <v>123</v>
      </c>
      <c r="V266">
        <v>2</v>
      </c>
      <c r="W266">
        <v>1</v>
      </c>
      <c r="X266">
        <v>2</v>
      </c>
      <c r="Y266">
        <f>VLOOKUP(Table_clu7sql1_ssdb_REPORT_vw_IE_External_MI_SON[[#This Row],[URN]],[1]Data!$D$2:$BB$1084,31,)</f>
        <v>2</v>
      </c>
      <c r="Z266">
        <v>2</v>
      </c>
      <c r="AA266" t="s">
        <v>2596</v>
      </c>
      <c r="AB266" t="s">
        <v>2598</v>
      </c>
      <c r="AC266" t="s">
        <v>2596</v>
      </c>
      <c r="AD266" t="s">
        <v>2596</v>
      </c>
      <c r="AE266" s="108" t="s">
        <v>2596</v>
      </c>
      <c r="AF266" t="s">
        <v>2596</v>
      </c>
      <c r="AG266" s="108" t="s">
        <v>2596</v>
      </c>
      <c r="AH266" t="s">
        <v>2596</v>
      </c>
    </row>
    <row r="267" spans="1:34" x14ac:dyDescent="0.25">
      <c r="A267" s="111" t="str">
        <f>HYPERLINK("http://www.ofsted.gov.uk/inspection-reports/find-inspection-report/provider/ELS/123322 ","Ofsted School Webpage")</f>
        <v>Ofsted School Webpage</v>
      </c>
      <c r="B267">
        <v>123322</v>
      </c>
      <c r="C267">
        <v>9316109</v>
      </c>
      <c r="D267" t="s">
        <v>1813</v>
      </c>
      <c r="E267" t="s">
        <v>37</v>
      </c>
      <c r="F267" t="s">
        <v>142</v>
      </c>
      <c r="G267" t="s">
        <v>142</v>
      </c>
      <c r="H267" t="s">
        <v>2595</v>
      </c>
      <c r="I267" t="s">
        <v>2596</v>
      </c>
      <c r="J267" t="s">
        <v>143</v>
      </c>
      <c r="K267" t="s">
        <v>139</v>
      </c>
      <c r="L267" t="s">
        <v>139</v>
      </c>
      <c r="M267" t="s">
        <v>199</v>
      </c>
      <c r="N267" t="s">
        <v>1814</v>
      </c>
      <c r="O267">
        <v>10033948</v>
      </c>
      <c r="P267" s="108">
        <v>42913</v>
      </c>
      <c r="Q267" s="108">
        <v>42915</v>
      </c>
      <c r="R267" s="108">
        <v>42990</v>
      </c>
      <c r="S267" t="s">
        <v>153</v>
      </c>
      <c r="T267">
        <v>2</v>
      </c>
      <c r="U267" t="s">
        <v>123</v>
      </c>
      <c r="V267">
        <v>2</v>
      </c>
      <c r="W267">
        <v>1</v>
      </c>
      <c r="X267">
        <v>2</v>
      </c>
      <c r="Y267">
        <f>VLOOKUP(Table_clu7sql1_ssdb_REPORT_vw_IE_External_MI_SON[[#This Row],[URN]],[1]Data!$D$2:$BB$1084,31,)</f>
        <v>2</v>
      </c>
      <c r="Z267" t="s">
        <v>2596</v>
      </c>
      <c r="AA267" t="s">
        <v>2596</v>
      </c>
      <c r="AB267" t="s">
        <v>2598</v>
      </c>
      <c r="AC267" t="s">
        <v>2596</v>
      </c>
      <c r="AD267" t="s">
        <v>2596</v>
      </c>
      <c r="AE267" t="s">
        <v>2596</v>
      </c>
      <c r="AF267" t="s">
        <v>2596</v>
      </c>
      <c r="AG267" t="s">
        <v>2596</v>
      </c>
      <c r="AH267" t="s">
        <v>2596</v>
      </c>
    </row>
    <row r="268" spans="1:34" x14ac:dyDescent="0.25">
      <c r="A268" s="111" t="str">
        <f>HYPERLINK("http://www.ofsted.gov.uk/inspection-reports/find-inspection-report/provider/ELS/123326 ","Ofsted School Webpage")</f>
        <v>Ofsted School Webpage</v>
      </c>
      <c r="B268">
        <v>123326</v>
      </c>
      <c r="C268">
        <v>9316115</v>
      </c>
      <c r="D268" t="s">
        <v>1327</v>
      </c>
      <c r="E268" t="s">
        <v>37</v>
      </c>
      <c r="F268" t="s">
        <v>142</v>
      </c>
      <c r="G268" t="s">
        <v>142</v>
      </c>
      <c r="H268" t="s">
        <v>2595</v>
      </c>
      <c r="I268" t="s">
        <v>2596</v>
      </c>
      <c r="J268" t="s">
        <v>143</v>
      </c>
      <c r="K268" t="s">
        <v>139</v>
      </c>
      <c r="L268" t="s">
        <v>139</v>
      </c>
      <c r="M268" t="s">
        <v>199</v>
      </c>
      <c r="N268" t="s">
        <v>1328</v>
      </c>
      <c r="O268" t="s">
        <v>1329</v>
      </c>
      <c r="P268" s="108">
        <v>41933</v>
      </c>
      <c r="Q268" s="108">
        <v>41935</v>
      </c>
      <c r="R268" s="108">
        <v>41967</v>
      </c>
      <c r="S268" t="s">
        <v>224</v>
      </c>
      <c r="T268">
        <v>2</v>
      </c>
      <c r="U268" t="s">
        <v>2596</v>
      </c>
      <c r="V268">
        <v>2</v>
      </c>
      <c r="W268" t="s">
        <v>2596</v>
      </c>
      <c r="X268">
        <v>2</v>
      </c>
      <c r="Y268">
        <f>VLOOKUP(Table_clu7sql1_ssdb_REPORT_vw_IE_External_MI_SON[[#This Row],[URN]],[1]Data!$D$2:$BB$1084,31,)</f>
        <v>2</v>
      </c>
      <c r="Z268">
        <v>9</v>
      </c>
      <c r="AA268">
        <v>2</v>
      </c>
      <c r="AB268" t="s">
        <v>2598</v>
      </c>
      <c r="AC268" t="s">
        <v>2596</v>
      </c>
      <c r="AD268" t="s">
        <v>2596</v>
      </c>
      <c r="AE268" t="s">
        <v>2596</v>
      </c>
      <c r="AF268" t="s">
        <v>2596</v>
      </c>
      <c r="AG268" t="s">
        <v>2596</v>
      </c>
      <c r="AH268" t="s">
        <v>2596</v>
      </c>
    </row>
    <row r="269" spans="1:34" x14ac:dyDescent="0.25">
      <c r="A269" s="111" t="str">
        <f>HYPERLINK("http://www.ofsted.gov.uk/inspection-reports/find-inspection-report/provider/ELS/123615 ","Ofsted School Webpage")</f>
        <v>Ofsted School Webpage</v>
      </c>
      <c r="B269">
        <v>123615</v>
      </c>
      <c r="C269">
        <v>8936013</v>
      </c>
      <c r="D269" t="s">
        <v>2502</v>
      </c>
      <c r="E269" t="s">
        <v>36</v>
      </c>
      <c r="F269" t="s">
        <v>142</v>
      </c>
      <c r="G269" t="s">
        <v>142</v>
      </c>
      <c r="H269" t="s">
        <v>2595</v>
      </c>
      <c r="I269" t="s">
        <v>2596</v>
      </c>
      <c r="J269" t="s">
        <v>143</v>
      </c>
      <c r="K269" t="s">
        <v>150</v>
      </c>
      <c r="L269" t="s">
        <v>150</v>
      </c>
      <c r="M269" t="s">
        <v>151</v>
      </c>
      <c r="N269" t="s">
        <v>2503</v>
      </c>
      <c r="O269">
        <v>10033562</v>
      </c>
      <c r="P269" s="108">
        <v>42871</v>
      </c>
      <c r="Q269" s="108">
        <v>42873</v>
      </c>
      <c r="R269" s="108">
        <v>42906</v>
      </c>
      <c r="S269" t="s">
        <v>153</v>
      </c>
      <c r="T269">
        <v>2</v>
      </c>
      <c r="U269" t="s">
        <v>123</v>
      </c>
      <c r="V269">
        <v>2</v>
      </c>
      <c r="W269">
        <v>1</v>
      </c>
      <c r="X269">
        <v>2</v>
      </c>
      <c r="Y269">
        <f>VLOOKUP(Table_clu7sql1_ssdb_REPORT_vw_IE_External_MI_SON[[#This Row],[URN]],[1]Data!$D$2:$BB$1084,31,)</f>
        <v>2</v>
      </c>
      <c r="Z269">
        <v>2</v>
      </c>
      <c r="AA269" t="s">
        <v>2596</v>
      </c>
      <c r="AB269" t="s">
        <v>2598</v>
      </c>
      <c r="AC269" t="s">
        <v>2596</v>
      </c>
      <c r="AD269" t="s">
        <v>2596</v>
      </c>
      <c r="AE269" t="s">
        <v>2596</v>
      </c>
      <c r="AF269" t="s">
        <v>2596</v>
      </c>
      <c r="AG269" t="s">
        <v>2596</v>
      </c>
      <c r="AH269" t="s">
        <v>2596</v>
      </c>
    </row>
    <row r="270" spans="1:34" x14ac:dyDescent="0.25">
      <c r="A270" s="111" t="str">
        <f>HYPERLINK("http://www.ofsted.gov.uk/inspection-reports/find-inspection-report/provider/ELS/123619 ","Ofsted School Webpage")</f>
        <v>Ofsted School Webpage</v>
      </c>
      <c r="B270">
        <v>123619</v>
      </c>
      <c r="C270">
        <v>8936017</v>
      </c>
      <c r="D270" t="s">
        <v>954</v>
      </c>
      <c r="E270" t="s">
        <v>37</v>
      </c>
      <c r="F270" t="s">
        <v>142</v>
      </c>
      <c r="G270" t="s">
        <v>142</v>
      </c>
      <c r="H270" t="s">
        <v>2595</v>
      </c>
      <c r="I270" t="s">
        <v>2596</v>
      </c>
      <c r="J270" t="s">
        <v>143</v>
      </c>
      <c r="K270" t="s">
        <v>150</v>
      </c>
      <c r="L270" t="s">
        <v>150</v>
      </c>
      <c r="M270" t="s">
        <v>151</v>
      </c>
      <c r="N270" t="s">
        <v>955</v>
      </c>
      <c r="O270">
        <v>10033564</v>
      </c>
      <c r="P270" s="108">
        <v>42864</v>
      </c>
      <c r="Q270" s="108">
        <v>42866</v>
      </c>
      <c r="R270" s="108">
        <v>42907</v>
      </c>
      <c r="S270" t="s">
        <v>3005</v>
      </c>
      <c r="T270">
        <v>2</v>
      </c>
      <c r="U270" t="s">
        <v>123</v>
      </c>
      <c r="V270">
        <v>2</v>
      </c>
      <c r="W270">
        <v>2</v>
      </c>
      <c r="X270">
        <v>2</v>
      </c>
      <c r="Y270">
        <f>VLOOKUP(Table_clu7sql1_ssdb_REPORT_vw_IE_External_MI_SON[[#This Row],[URN]],[1]Data!$D$2:$BB$1084,31,)</f>
        <v>2</v>
      </c>
      <c r="Z270" t="s">
        <v>2596</v>
      </c>
      <c r="AA270">
        <v>2</v>
      </c>
      <c r="AB270" t="s">
        <v>2598</v>
      </c>
      <c r="AC270" t="s">
        <v>2596</v>
      </c>
      <c r="AD270" t="s">
        <v>2596</v>
      </c>
      <c r="AE270" t="s">
        <v>2596</v>
      </c>
      <c r="AF270" t="s">
        <v>2596</v>
      </c>
      <c r="AG270" t="s">
        <v>2596</v>
      </c>
      <c r="AH270" t="s">
        <v>2596</v>
      </c>
    </row>
    <row r="271" spans="1:34" x14ac:dyDescent="0.25">
      <c r="A271" s="111" t="str">
        <f>HYPERLINK("http://www.ofsted.gov.uk/inspection-reports/find-inspection-report/provider/ELS/123621 ","Ofsted School Webpage")</f>
        <v>Ofsted School Webpage</v>
      </c>
      <c r="B271">
        <v>123621</v>
      </c>
      <c r="C271">
        <v>8946003</v>
      </c>
      <c r="D271" t="s">
        <v>1047</v>
      </c>
      <c r="E271" t="s">
        <v>37</v>
      </c>
      <c r="F271" t="s">
        <v>142</v>
      </c>
      <c r="G271" t="s">
        <v>142</v>
      </c>
      <c r="H271" t="s">
        <v>2595</v>
      </c>
      <c r="I271" t="s">
        <v>2596</v>
      </c>
      <c r="J271" t="s">
        <v>143</v>
      </c>
      <c r="K271" t="s">
        <v>150</v>
      </c>
      <c r="L271" t="s">
        <v>150</v>
      </c>
      <c r="M271" t="s">
        <v>1048</v>
      </c>
      <c r="N271" t="s">
        <v>1049</v>
      </c>
      <c r="O271">
        <v>10006120</v>
      </c>
      <c r="P271" s="108">
        <v>42340</v>
      </c>
      <c r="Q271" s="108">
        <v>42342</v>
      </c>
      <c r="R271" s="108">
        <v>42390</v>
      </c>
      <c r="S271" t="s">
        <v>3005</v>
      </c>
      <c r="T271">
        <v>1</v>
      </c>
      <c r="U271" t="s">
        <v>123</v>
      </c>
      <c r="V271">
        <v>1</v>
      </c>
      <c r="W271">
        <v>1</v>
      </c>
      <c r="X271">
        <v>1</v>
      </c>
      <c r="Y271">
        <f>VLOOKUP(Table_clu7sql1_ssdb_REPORT_vw_IE_External_MI_SON[[#This Row],[URN]],[1]Data!$D$2:$BB$1084,31,)</f>
        <v>1</v>
      </c>
      <c r="Z271" t="s">
        <v>2596</v>
      </c>
      <c r="AA271">
        <v>1</v>
      </c>
      <c r="AB271" t="s">
        <v>2598</v>
      </c>
      <c r="AC271" t="s">
        <v>2596</v>
      </c>
      <c r="AD271" t="s">
        <v>2596</v>
      </c>
      <c r="AE271" s="108" t="s">
        <v>2596</v>
      </c>
      <c r="AF271" t="s">
        <v>2596</v>
      </c>
      <c r="AG271" s="108" t="s">
        <v>2596</v>
      </c>
      <c r="AH271" t="s">
        <v>2596</v>
      </c>
    </row>
    <row r="272" spans="1:34" x14ac:dyDescent="0.25">
      <c r="A272" s="111" t="str">
        <f>HYPERLINK("http://www.ofsted.gov.uk/inspection-reports/find-inspection-report/provider/ELS/123920 ","Ofsted School Webpage")</f>
        <v>Ofsted School Webpage</v>
      </c>
      <c r="B272">
        <v>123920</v>
      </c>
      <c r="C272">
        <v>9336089</v>
      </c>
      <c r="D272" t="s">
        <v>1112</v>
      </c>
      <c r="E272" t="s">
        <v>37</v>
      </c>
      <c r="F272" t="s">
        <v>142</v>
      </c>
      <c r="G272" t="s">
        <v>142</v>
      </c>
      <c r="H272" t="s">
        <v>2595</v>
      </c>
      <c r="I272" t="s">
        <v>2596</v>
      </c>
      <c r="J272" t="s">
        <v>143</v>
      </c>
      <c r="K272" t="s">
        <v>182</v>
      </c>
      <c r="L272" t="s">
        <v>182</v>
      </c>
      <c r="M272" t="s">
        <v>219</v>
      </c>
      <c r="N272" t="s">
        <v>1113</v>
      </c>
      <c r="O272">
        <v>10008941</v>
      </c>
      <c r="P272" s="108">
        <v>42815</v>
      </c>
      <c r="Q272" s="108">
        <v>42817</v>
      </c>
      <c r="R272" s="108">
        <v>42859</v>
      </c>
      <c r="S272" t="s">
        <v>224</v>
      </c>
      <c r="T272">
        <v>2</v>
      </c>
      <c r="U272" t="s">
        <v>123</v>
      </c>
      <c r="V272">
        <v>2</v>
      </c>
      <c r="W272">
        <v>2</v>
      </c>
      <c r="X272">
        <v>2</v>
      </c>
      <c r="Y272">
        <f>VLOOKUP(Table_clu7sql1_ssdb_REPORT_vw_IE_External_MI_SON[[#This Row],[URN]],[1]Data!$D$2:$BB$1084,31,)</f>
        <v>2</v>
      </c>
      <c r="Z272" t="s">
        <v>2596</v>
      </c>
      <c r="AA272" t="s">
        <v>2596</v>
      </c>
      <c r="AB272" t="s">
        <v>2598</v>
      </c>
      <c r="AC272" t="s">
        <v>2596</v>
      </c>
      <c r="AD272" t="s">
        <v>2596</v>
      </c>
      <c r="AE272" t="s">
        <v>2596</v>
      </c>
      <c r="AF272" t="s">
        <v>2596</v>
      </c>
      <c r="AG272" t="s">
        <v>2596</v>
      </c>
      <c r="AH272" t="s">
        <v>2596</v>
      </c>
    </row>
    <row r="273" spans="1:34" x14ac:dyDescent="0.25">
      <c r="A273" s="111" t="str">
        <f>HYPERLINK("http://www.ofsted.gov.uk/inspection-reports/find-inspection-report/provider/ELS/123929 ","Ofsted School Webpage")</f>
        <v>Ofsted School Webpage</v>
      </c>
      <c r="B273">
        <v>123929</v>
      </c>
      <c r="C273">
        <v>9336173</v>
      </c>
      <c r="D273" t="s">
        <v>561</v>
      </c>
      <c r="E273" t="s">
        <v>37</v>
      </c>
      <c r="F273" t="s">
        <v>142</v>
      </c>
      <c r="G273" t="s">
        <v>142</v>
      </c>
      <c r="H273" t="s">
        <v>2595</v>
      </c>
      <c r="I273" t="s">
        <v>2596</v>
      </c>
      <c r="J273" t="s">
        <v>143</v>
      </c>
      <c r="K273" t="s">
        <v>182</v>
      </c>
      <c r="L273" t="s">
        <v>182</v>
      </c>
      <c r="M273" t="s">
        <v>219</v>
      </c>
      <c r="N273" t="s">
        <v>562</v>
      </c>
      <c r="O273">
        <v>10034720</v>
      </c>
      <c r="P273" s="108">
        <v>42892</v>
      </c>
      <c r="Q273" s="108">
        <v>42894</v>
      </c>
      <c r="R273" s="108">
        <v>42922</v>
      </c>
      <c r="S273" t="s">
        <v>224</v>
      </c>
      <c r="T273">
        <v>3</v>
      </c>
      <c r="U273" t="s">
        <v>123</v>
      </c>
      <c r="V273">
        <v>3</v>
      </c>
      <c r="W273">
        <v>3</v>
      </c>
      <c r="X273">
        <v>3</v>
      </c>
      <c r="Y273">
        <f>VLOOKUP(Table_clu7sql1_ssdb_REPORT_vw_IE_External_MI_SON[[#This Row],[URN]],[1]Data!$D$2:$BB$1084,31,)</f>
        <v>3</v>
      </c>
      <c r="Z273" t="s">
        <v>2596</v>
      </c>
      <c r="AA273">
        <v>2</v>
      </c>
      <c r="AB273" t="s">
        <v>2598</v>
      </c>
      <c r="AC273" t="s">
        <v>2596</v>
      </c>
      <c r="AD273" t="s">
        <v>2596</v>
      </c>
      <c r="AE273" t="s">
        <v>2596</v>
      </c>
      <c r="AF273" t="s">
        <v>2596</v>
      </c>
      <c r="AG273" t="s">
        <v>2596</v>
      </c>
      <c r="AH273" t="s">
        <v>2596</v>
      </c>
    </row>
    <row r="274" spans="1:34" x14ac:dyDescent="0.25">
      <c r="A274" s="111" t="str">
        <f>HYPERLINK("http://www.ofsted.gov.uk/inspection-reports/find-inspection-report/provider/ELS/123933 ","Ofsted School Webpage")</f>
        <v>Ofsted School Webpage</v>
      </c>
      <c r="B274">
        <v>123933</v>
      </c>
      <c r="C274">
        <v>9336185</v>
      </c>
      <c r="D274" t="s">
        <v>1114</v>
      </c>
      <c r="E274" t="s">
        <v>37</v>
      </c>
      <c r="F274" t="s">
        <v>142</v>
      </c>
      <c r="G274" t="s">
        <v>142</v>
      </c>
      <c r="H274" t="s">
        <v>2595</v>
      </c>
      <c r="I274" t="s">
        <v>2596</v>
      </c>
      <c r="J274" t="s">
        <v>143</v>
      </c>
      <c r="K274" t="s">
        <v>182</v>
      </c>
      <c r="L274" t="s">
        <v>182</v>
      </c>
      <c r="M274" t="s">
        <v>219</v>
      </c>
      <c r="N274" t="s">
        <v>1115</v>
      </c>
      <c r="O274">
        <v>10025565</v>
      </c>
      <c r="P274" s="108">
        <v>42752</v>
      </c>
      <c r="Q274" s="108">
        <v>42754</v>
      </c>
      <c r="R274" s="108">
        <v>42849</v>
      </c>
      <c r="S274" t="s">
        <v>224</v>
      </c>
      <c r="T274">
        <v>4</v>
      </c>
      <c r="U274" t="s">
        <v>124</v>
      </c>
      <c r="V274">
        <v>4</v>
      </c>
      <c r="W274">
        <v>4</v>
      </c>
      <c r="X274">
        <v>3</v>
      </c>
      <c r="Y274">
        <f>VLOOKUP(Table_clu7sql1_ssdb_REPORT_vw_IE_External_MI_SON[[#This Row],[URN]],[1]Data!$D$2:$BB$1084,31,)</f>
        <v>3</v>
      </c>
      <c r="Z274" t="s">
        <v>2596</v>
      </c>
      <c r="AA274">
        <v>4</v>
      </c>
      <c r="AB274" t="s">
        <v>2599</v>
      </c>
      <c r="AC274">
        <v>10040156</v>
      </c>
      <c r="AD274" t="s">
        <v>2635</v>
      </c>
      <c r="AE274" s="108">
        <v>43040</v>
      </c>
      <c r="AF274" t="s">
        <v>2636</v>
      </c>
      <c r="AG274" s="108">
        <v>43076</v>
      </c>
      <c r="AH274" t="s">
        <v>174</v>
      </c>
    </row>
    <row r="275" spans="1:34" x14ac:dyDescent="0.25">
      <c r="A275" s="111" t="str">
        <f>HYPERLINK("http://www.ofsted.gov.uk/inspection-reports/find-inspection-report/provider/ELS/124488 ","Ofsted School Webpage")</f>
        <v>Ofsted School Webpage</v>
      </c>
      <c r="B275">
        <v>124488</v>
      </c>
      <c r="C275">
        <v>8606022</v>
      </c>
      <c r="D275" t="s">
        <v>270</v>
      </c>
      <c r="E275" t="s">
        <v>37</v>
      </c>
      <c r="F275" t="s">
        <v>142</v>
      </c>
      <c r="G275" t="s">
        <v>142</v>
      </c>
      <c r="H275" t="s">
        <v>2595</v>
      </c>
      <c r="I275" t="s">
        <v>2596</v>
      </c>
      <c r="J275" t="s">
        <v>143</v>
      </c>
      <c r="K275" t="s">
        <v>150</v>
      </c>
      <c r="L275" t="s">
        <v>150</v>
      </c>
      <c r="M275" t="s">
        <v>271</v>
      </c>
      <c r="N275" t="s">
        <v>272</v>
      </c>
      <c r="O275">
        <v>10026104</v>
      </c>
      <c r="P275" s="108">
        <v>43039</v>
      </c>
      <c r="Q275" s="108">
        <v>43041</v>
      </c>
      <c r="R275" s="108">
        <v>43063</v>
      </c>
      <c r="S275" t="s">
        <v>153</v>
      </c>
      <c r="T275">
        <v>1</v>
      </c>
      <c r="U275" t="s">
        <v>123</v>
      </c>
      <c r="V275">
        <v>1</v>
      </c>
      <c r="W275">
        <v>1</v>
      </c>
      <c r="X275">
        <v>1</v>
      </c>
      <c r="Y275">
        <f>VLOOKUP(Table_clu7sql1_ssdb_REPORT_vw_IE_External_MI_SON[[#This Row],[URN]],[1]Data!$D$2:$BB$1084,31,)</f>
        <v>1</v>
      </c>
      <c r="Z275" t="s">
        <v>2596</v>
      </c>
      <c r="AA275" t="s">
        <v>2596</v>
      </c>
      <c r="AB275" t="s">
        <v>2598</v>
      </c>
      <c r="AC275" t="s">
        <v>2596</v>
      </c>
      <c r="AD275" t="s">
        <v>2596</v>
      </c>
      <c r="AE275" t="s">
        <v>2596</v>
      </c>
      <c r="AF275" t="s">
        <v>2596</v>
      </c>
      <c r="AG275" t="s">
        <v>2596</v>
      </c>
      <c r="AH275" t="s">
        <v>2596</v>
      </c>
    </row>
    <row r="276" spans="1:34" x14ac:dyDescent="0.25">
      <c r="A276" s="111" t="str">
        <f>HYPERLINK("http://www.ofsted.gov.uk/inspection-reports/find-inspection-report/provider/ELS/124495 ","Ofsted School Webpage")</f>
        <v>Ofsted School Webpage</v>
      </c>
      <c r="B276">
        <v>124495</v>
      </c>
      <c r="C276">
        <v>8606017</v>
      </c>
      <c r="D276" t="s">
        <v>1746</v>
      </c>
      <c r="E276" t="s">
        <v>37</v>
      </c>
      <c r="F276" t="s">
        <v>142</v>
      </c>
      <c r="G276" t="s">
        <v>142</v>
      </c>
      <c r="H276" t="s">
        <v>2595</v>
      </c>
      <c r="I276" t="s">
        <v>2596</v>
      </c>
      <c r="J276" t="s">
        <v>143</v>
      </c>
      <c r="K276" t="s">
        <v>150</v>
      </c>
      <c r="L276" t="s">
        <v>150</v>
      </c>
      <c r="M276" t="s">
        <v>271</v>
      </c>
      <c r="N276" t="s">
        <v>1747</v>
      </c>
      <c r="O276" t="s">
        <v>1748</v>
      </c>
      <c r="P276" s="108">
        <v>41555</v>
      </c>
      <c r="Q276" s="108">
        <v>41557</v>
      </c>
      <c r="R276" s="108">
        <v>41599</v>
      </c>
      <c r="S276" t="s">
        <v>224</v>
      </c>
      <c r="T276">
        <v>1</v>
      </c>
      <c r="U276" t="s">
        <v>2596</v>
      </c>
      <c r="V276">
        <v>2</v>
      </c>
      <c r="W276" t="s">
        <v>2596</v>
      </c>
      <c r="X276">
        <v>1</v>
      </c>
      <c r="Y276">
        <f>VLOOKUP(Table_clu7sql1_ssdb_REPORT_vw_IE_External_MI_SON[[#This Row],[URN]],[1]Data!$D$2:$BB$1084,31,)</f>
        <v>1</v>
      </c>
      <c r="Z276" t="s">
        <v>2596</v>
      </c>
      <c r="AA276" t="s">
        <v>2596</v>
      </c>
      <c r="AB276" t="s">
        <v>2886</v>
      </c>
      <c r="AC276" t="s">
        <v>2596</v>
      </c>
      <c r="AD276" t="s">
        <v>2596</v>
      </c>
      <c r="AE276" t="s">
        <v>2596</v>
      </c>
      <c r="AF276" t="s">
        <v>2596</v>
      </c>
      <c r="AG276" t="s">
        <v>2596</v>
      </c>
      <c r="AH276" t="s">
        <v>2596</v>
      </c>
    </row>
    <row r="277" spans="1:34" x14ac:dyDescent="0.25">
      <c r="A277" s="111" t="str">
        <f>HYPERLINK("http://www.ofsted.gov.uk/inspection-reports/find-inspection-report/provider/ELS/124879 ","Ofsted School Webpage")</f>
        <v>Ofsted School Webpage</v>
      </c>
      <c r="B277">
        <v>124879</v>
      </c>
      <c r="C277">
        <v>9356036</v>
      </c>
      <c r="D277" t="s">
        <v>810</v>
      </c>
      <c r="E277" t="s">
        <v>37</v>
      </c>
      <c r="F277" t="s">
        <v>142</v>
      </c>
      <c r="G277" t="s">
        <v>142</v>
      </c>
      <c r="H277" t="s">
        <v>2595</v>
      </c>
      <c r="I277" t="s">
        <v>2596</v>
      </c>
      <c r="J277" t="s">
        <v>143</v>
      </c>
      <c r="K277" t="s">
        <v>177</v>
      </c>
      <c r="L277" t="s">
        <v>177</v>
      </c>
      <c r="M277" t="s">
        <v>254</v>
      </c>
      <c r="N277" t="s">
        <v>811</v>
      </c>
      <c r="O277">
        <v>10006050</v>
      </c>
      <c r="P277" s="108">
        <v>42752</v>
      </c>
      <c r="Q277" s="108">
        <v>42754</v>
      </c>
      <c r="R277" s="108">
        <v>42782</v>
      </c>
      <c r="S277" t="s">
        <v>224</v>
      </c>
      <c r="T277">
        <v>2</v>
      </c>
      <c r="U277" t="s">
        <v>123</v>
      </c>
      <c r="V277">
        <v>2</v>
      </c>
      <c r="W277">
        <v>1</v>
      </c>
      <c r="X277">
        <v>2</v>
      </c>
      <c r="Y277">
        <f>VLOOKUP(Table_clu7sql1_ssdb_REPORT_vw_IE_External_MI_SON[[#This Row],[URN]],[1]Data!$D$2:$BB$1084,31,)</f>
        <v>2</v>
      </c>
      <c r="Z277" t="s">
        <v>2596</v>
      </c>
      <c r="AA277" t="s">
        <v>2596</v>
      </c>
      <c r="AB277" t="s">
        <v>2598</v>
      </c>
      <c r="AC277" t="s">
        <v>2596</v>
      </c>
      <c r="AD277" t="s">
        <v>2596</v>
      </c>
      <c r="AE277" t="s">
        <v>2596</v>
      </c>
      <c r="AF277" t="s">
        <v>2596</v>
      </c>
      <c r="AG277" t="s">
        <v>2596</v>
      </c>
      <c r="AH277" t="s">
        <v>2596</v>
      </c>
    </row>
    <row r="278" spans="1:34" x14ac:dyDescent="0.25">
      <c r="A278" s="111" t="str">
        <f>HYPERLINK("http://www.ofsted.gov.uk/inspection-reports/find-inspection-report/provider/ELS/124890 ","Ofsted School Webpage")</f>
        <v>Ofsted School Webpage</v>
      </c>
      <c r="B278">
        <v>124890</v>
      </c>
      <c r="C278">
        <v>9356058</v>
      </c>
      <c r="D278" t="s">
        <v>511</v>
      </c>
      <c r="E278" t="s">
        <v>37</v>
      </c>
      <c r="F278" t="s">
        <v>142</v>
      </c>
      <c r="G278" t="s">
        <v>512</v>
      </c>
      <c r="H278" t="s">
        <v>2595</v>
      </c>
      <c r="I278" t="s">
        <v>2596</v>
      </c>
      <c r="J278" t="s">
        <v>143</v>
      </c>
      <c r="K278" t="s">
        <v>177</v>
      </c>
      <c r="L278" t="s">
        <v>177</v>
      </c>
      <c r="M278" t="s">
        <v>254</v>
      </c>
      <c r="N278" t="s">
        <v>513</v>
      </c>
      <c r="O278">
        <v>10043519</v>
      </c>
      <c r="P278" s="108">
        <v>43130</v>
      </c>
      <c r="Q278" s="108">
        <v>43132</v>
      </c>
      <c r="R278" s="108">
        <v>43164</v>
      </c>
      <c r="S278" t="s">
        <v>153</v>
      </c>
      <c r="T278">
        <v>2</v>
      </c>
      <c r="U278" t="s">
        <v>123</v>
      </c>
      <c r="V278">
        <v>2</v>
      </c>
      <c r="W278">
        <v>2</v>
      </c>
      <c r="X278">
        <v>2</v>
      </c>
      <c r="Y278">
        <f>VLOOKUP(Table_clu7sql1_ssdb_REPORT_vw_IE_External_MI_SON[[#This Row],[URN]],[1]Data!$D$2:$BB$1084,31,)</f>
        <v>2</v>
      </c>
      <c r="Z278" t="s">
        <v>2596</v>
      </c>
      <c r="AA278">
        <v>2</v>
      </c>
      <c r="AB278" t="s">
        <v>2598</v>
      </c>
      <c r="AC278" t="s">
        <v>2596</v>
      </c>
      <c r="AD278" t="s">
        <v>2596</v>
      </c>
      <c r="AE278" t="s">
        <v>2596</v>
      </c>
      <c r="AF278" t="s">
        <v>2596</v>
      </c>
      <c r="AG278" t="s">
        <v>2596</v>
      </c>
      <c r="AH278" t="s">
        <v>2596</v>
      </c>
    </row>
    <row r="279" spans="1:34" x14ac:dyDescent="0.25">
      <c r="A279" s="111" t="str">
        <f>HYPERLINK("http://www.ofsted.gov.uk/inspection-reports/find-inspection-report/provider/ELS/124899 ","Ofsted School Webpage")</f>
        <v>Ofsted School Webpage</v>
      </c>
      <c r="B279">
        <v>124899</v>
      </c>
      <c r="C279">
        <v>9356076</v>
      </c>
      <c r="D279" t="s">
        <v>253</v>
      </c>
      <c r="E279" t="s">
        <v>36</v>
      </c>
      <c r="F279" t="s">
        <v>142</v>
      </c>
      <c r="G279" t="s">
        <v>249</v>
      </c>
      <c r="H279" t="s">
        <v>2595</v>
      </c>
      <c r="I279" t="s">
        <v>2596</v>
      </c>
      <c r="J279" t="s">
        <v>143</v>
      </c>
      <c r="K279" t="s">
        <v>177</v>
      </c>
      <c r="L279" t="s">
        <v>177</v>
      </c>
      <c r="M279" t="s">
        <v>254</v>
      </c>
      <c r="N279" t="s">
        <v>255</v>
      </c>
      <c r="O279">
        <v>10026063</v>
      </c>
      <c r="P279" s="108">
        <v>43011</v>
      </c>
      <c r="Q279" s="108">
        <v>43013</v>
      </c>
      <c r="R279" s="108">
        <v>43052</v>
      </c>
      <c r="S279" t="s">
        <v>153</v>
      </c>
      <c r="T279">
        <v>3</v>
      </c>
      <c r="U279" t="s">
        <v>123</v>
      </c>
      <c r="V279">
        <v>3</v>
      </c>
      <c r="W279">
        <v>2</v>
      </c>
      <c r="X279">
        <v>3</v>
      </c>
      <c r="Y279">
        <f>VLOOKUP(Table_clu7sql1_ssdb_REPORT_vw_IE_External_MI_SON[[#This Row],[URN]],[1]Data!$D$2:$BB$1084,31,)</f>
        <v>3</v>
      </c>
      <c r="Z279" t="s">
        <v>2596</v>
      </c>
      <c r="AA279">
        <v>3</v>
      </c>
      <c r="AB279" t="s">
        <v>2599</v>
      </c>
      <c r="AC279" t="s">
        <v>2596</v>
      </c>
      <c r="AD279" t="s">
        <v>2596</v>
      </c>
      <c r="AE279" s="108" t="s">
        <v>2596</v>
      </c>
      <c r="AF279" t="s">
        <v>2596</v>
      </c>
      <c r="AG279" s="108" t="s">
        <v>2596</v>
      </c>
      <c r="AH279" t="s">
        <v>2596</v>
      </c>
    </row>
    <row r="280" spans="1:34" x14ac:dyDescent="0.25">
      <c r="A280" s="111" t="str">
        <f>HYPERLINK("http://www.ofsted.gov.uk/inspection-reports/find-inspection-report/provider/ELS/125403 ","Ofsted School Webpage")</f>
        <v>Ofsted School Webpage</v>
      </c>
      <c r="B280">
        <v>125403</v>
      </c>
      <c r="C280">
        <v>9366420</v>
      </c>
      <c r="D280" t="s">
        <v>533</v>
      </c>
      <c r="E280" t="s">
        <v>37</v>
      </c>
      <c r="F280" t="s">
        <v>534</v>
      </c>
      <c r="G280" t="s">
        <v>369</v>
      </c>
      <c r="H280" t="s">
        <v>2595</v>
      </c>
      <c r="I280" t="s">
        <v>2596</v>
      </c>
      <c r="J280" t="s">
        <v>143</v>
      </c>
      <c r="K280" t="s">
        <v>139</v>
      </c>
      <c r="L280" t="s">
        <v>139</v>
      </c>
      <c r="M280" t="s">
        <v>535</v>
      </c>
      <c r="N280" t="s">
        <v>536</v>
      </c>
      <c r="O280">
        <v>10008882</v>
      </c>
      <c r="P280" s="108">
        <v>42437</v>
      </c>
      <c r="Q280" s="108">
        <v>42439</v>
      </c>
      <c r="R280" s="108">
        <v>42486</v>
      </c>
      <c r="S280" t="s">
        <v>153</v>
      </c>
      <c r="T280">
        <v>1</v>
      </c>
      <c r="U280" t="s">
        <v>123</v>
      </c>
      <c r="V280">
        <v>1</v>
      </c>
      <c r="W280">
        <v>1</v>
      </c>
      <c r="X280">
        <v>1</v>
      </c>
      <c r="Y280">
        <f>VLOOKUP(Table_clu7sql1_ssdb_REPORT_vw_IE_External_MI_SON[[#This Row],[URN]],[1]Data!$D$2:$BB$1084,31,)</f>
        <v>1</v>
      </c>
      <c r="Z280" t="s">
        <v>2596</v>
      </c>
      <c r="AA280">
        <v>1</v>
      </c>
      <c r="AB280" t="s">
        <v>2598</v>
      </c>
      <c r="AC280" t="s">
        <v>2596</v>
      </c>
      <c r="AD280" t="s">
        <v>2596</v>
      </c>
      <c r="AE280" t="s">
        <v>2596</v>
      </c>
      <c r="AF280" t="s">
        <v>2596</v>
      </c>
      <c r="AG280" t="s">
        <v>2596</v>
      </c>
      <c r="AH280" t="s">
        <v>2596</v>
      </c>
    </row>
    <row r="281" spans="1:34" x14ac:dyDescent="0.25">
      <c r="A281" s="111" t="str">
        <f>HYPERLINK("http://www.ofsted.gov.uk/inspection-reports/find-inspection-report/provider/ELS/125436 ","Ofsted School Webpage")</f>
        <v>Ofsted School Webpage</v>
      </c>
      <c r="B281">
        <v>125436</v>
      </c>
      <c r="C281">
        <v>9366554</v>
      </c>
      <c r="D281" t="s">
        <v>851</v>
      </c>
      <c r="E281" t="s">
        <v>37</v>
      </c>
      <c r="F281" t="s">
        <v>142</v>
      </c>
      <c r="G281" t="s">
        <v>169</v>
      </c>
      <c r="H281" t="s">
        <v>2595</v>
      </c>
      <c r="I281" t="s">
        <v>2596</v>
      </c>
      <c r="J281" t="s">
        <v>143</v>
      </c>
      <c r="K281" t="s">
        <v>139</v>
      </c>
      <c r="L281" t="s">
        <v>139</v>
      </c>
      <c r="M281" t="s">
        <v>535</v>
      </c>
      <c r="N281" t="s">
        <v>852</v>
      </c>
      <c r="O281">
        <v>10039158</v>
      </c>
      <c r="P281" s="108">
        <v>43046</v>
      </c>
      <c r="Q281" s="108">
        <v>43048</v>
      </c>
      <c r="R281" s="108">
        <v>43070</v>
      </c>
      <c r="S281" t="s">
        <v>153</v>
      </c>
      <c r="T281">
        <v>2</v>
      </c>
      <c r="U281" t="s">
        <v>123</v>
      </c>
      <c r="V281">
        <v>2</v>
      </c>
      <c r="W281">
        <v>2</v>
      </c>
      <c r="X281">
        <v>2</v>
      </c>
      <c r="Y281">
        <f>VLOOKUP(Table_clu7sql1_ssdb_REPORT_vw_IE_External_MI_SON[[#This Row],[URN]],[1]Data!$D$2:$BB$1084,31,)</f>
        <v>2</v>
      </c>
      <c r="Z281" t="s">
        <v>2596</v>
      </c>
      <c r="AA281" t="s">
        <v>2596</v>
      </c>
      <c r="AB281" t="s">
        <v>2598</v>
      </c>
      <c r="AC281" t="s">
        <v>2596</v>
      </c>
      <c r="AD281" t="s">
        <v>2596</v>
      </c>
      <c r="AE281" s="108" t="s">
        <v>2596</v>
      </c>
      <c r="AF281" t="s">
        <v>2596</v>
      </c>
      <c r="AG281" s="108" t="s">
        <v>2596</v>
      </c>
      <c r="AH281" t="s">
        <v>2596</v>
      </c>
    </row>
    <row r="282" spans="1:34" x14ac:dyDescent="0.25">
      <c r="A282" s="111" t="str">
        <f>HYPERLINK("http://www.ofsted.gov.uk/inspection-reports/find-inspection-report/provider/ELS/125439 ","Ofsted School Webpage")</f>
        <v>Ofsted School Webpage</v>
      </c>
      <c r="B282">
        <v>125439</v>
      </c>
      <c r="C282">
        <v>9366559</v>
      </c>
      <c r="D282" t="s">
        <v>1640</v>
      </c>
      <c r="E282" t="s">
        <v>36</v>
      </c>
      <c r="F282" t="s">
        <v>142</v>
      </c>
      <c r="G282" t="s">
        <v>142</v>
      </c>
      <c r="H282" t="s">
        <v>2595</v>
      </c>
      <c r="I282" t="s">
        <v>2596</v>
      </c>
      <c r="J282" t="s">
        <v>143</v>
      </c>
      <c r="K282" t="s">
        <v>139</v>
      </c>
      <c r="L282" t="s">
        <v>139</v>
      </c>
      <c r="M282" t="s">
        <v>535</v>
      </c>
      <c r="N282" t="s">
        <v>1641</v>
      </c>
      <c r="O282">
        <v>10010757</v>
      </c>
      <c r="P282" s="108">
        <v>42395</v>
      </c>
      <c r="Q282" s="108">
        <v>42397</v>
      </c>
      <c r="R282" s="108">
        <v>42485</v>
      </c>
      <c r="S282" t="s">
        <v>153</v>
      </c>
      <c r="T282">
        <v>2</v>
      </c>
      <c r="U282" t="s">
        <v>123</v>
      </c>
      <c r="V282">
        <v>2</v>
      </c>
      <c r="W282">
        <v>1</v>
      </c>
      <c r="X282">
        <v>2</v>
      </c>
      <c r="Y282">
        <f>VLOOKUP(Table_clu7sql1_ssdb_REPORT_vw_IE_External_MI_SON[[#This Row],[URN]],[1]Data!$D$2:$BB$1084,31,)</f>
        <v>2</v>
      </c>
      <c r="Z282">
        <v>1</v>
      </c>
      <c r="AA282">
        <v>2</v>
      </c>
      <c r="AB282" t="s">
        <v>2598</v>
      </c>
      <c r="AC282" t="s">
        <v>2596</v>
      </c>
      <c r="AD282" t="s">
        <v>2596</v>
      </c>
      <c r="AE282" t="s">
        <v>2596</v>
      </c>
      <c r="AF282" t="s">
        <v>2596</v>
      </c>
      <c r="AG282" t="s">
        <v>2596</v>
      </c>
      <c r="AH282" t="s">
        <v>2596</v>
      </c>
    </row>
    <row r="283" spans="1:34" x14ac:dyDescent="0.25">
      <c r="A283" s="111" t="str">
        <f>HYPERLINK("http://www.ofsted.gov.uk/inspection-reports/find-inspection-report/provider/ELS/125789 ","Ofsted School Webpage")</f>
        <v>Ofsted School Webpage</v>
      </c>
      <c r="B283">
        <v>125789</v>
      </c>
      <c r="C283">
        <v>9376091</v>
      </c>
      <c r="D283" t="s">
        <v>2022</v>
      </c>
      <c r="E283" t="s">
        <v>36</v>
      </c>
      <c r="F283" t="s">
        <v>142</v>
      </c>
      <c r="G283" t="s">
        <v>142</v>
      </c>
      <c r="H283" t="s">
        <v>2595</v>
      </c>
      <c r="I283" t="s">
        <v>2596</v>
      </c>
      <c r="J283" t="s">
        <v>143</v>
      </c>
      <c r="K283" t="s">
        <v>150</v>
      </c>
      <c r="L283" t="s">
        <v>150</v>
      </c>
      <c r="M283" t="s">
        <v>333</v>
      </c>
      <c r="N283" t="s">
        <v>2023</v>
      </c>
      <c r="O283">
        <v>10033565</v>
      </c>
      <c r="P283" s="108">
        <v>42920</v>
      </c>
      <c r="Q283" s="108">
        <v>42922</v>
      </c>
      <c r="R283" s="108">
        <v>42996</v>
      </c>
      <c r="S283" t="s">
        <v>153</v>
      </c>
      <c r="T283">
        <v>4</v>
      </c>
      <c r="U283" t="s">
        <v>124</v>
      </c>
      <c r="V283">
        <v>4</v>
      </c>
      <c r="W283">
        <v>4</v>
      </c>
      <c r="X283">
        <v>3</v>
      </c>
      <c r="Y283">
        <f>VLOOKUP(Table_clu7sql1_ssdb_REPORT_vw_IE_External_MI_SON[[#This Row],[URN]],[1]Data!$D$2:$BB$1084,31,)</f>
        <v>3</v>
      </c>
      <c r="Z283">
        <v>4</v>
      </c>
      <c r="AA283" t="s">
        <v>2596</v>
      </c>
      <c r="AB283" t="s">
        <v>2599</v>
      </c>
      <c r="AC283" t="s">
        <v>2596</v>
      </c>
      <c r="AD283" t="s">
        <v>2596</v>
      </c>
      <c r="AE283" t="s">
        <v>2596</v>
      </c>
      <c r="AF283" t="s">
        <v>2596</v>
      </c>
      <c r="AG283" t="s">
        <v>2596</v>
      </c>
      <c r="AH283" t="s">
        <v>2596</v>
      </c>
    </row>
    <row r="284" spans="1:34" x14ac:dyDescent="0.25">
      <c r="A284" s="111" t="str">
        <f>HYPERLINK("http://www.ofsted.gov.uk/inspection-reports/find-inspection-report/provider/ELS/125790 ","Ofsted School Webpage")</f>
        <v>Ofsted School Webpage</v>
      </c>
      <c r="B284">
        <v>125790</v>
      </c>
      <c r="C284">
        <v>9376092</v>
      </c>
      <c r="D284" t="s">
        <v>1295</v>
      </c>
      <c r="E284" t="s">
        <v>37</v>
      </c>
      <c r="F284" t="s">
        <v>142</v>
      </c>
      <c r="G284" t="s">
        <v>142</v>
      </c>
      <c r="H284" t="s">
        <v>2595</v>
      </c>
      <c r="I284" t="s">
        <v>2596</v>
      </c>
      <c r="J284" t="s">
        <v>143</v>
      </c>
      <c r="K284" t="s">
        <v>150</v>
      </c>
      <c r="L284" t="s">
        <v>150</v>
      </c>
      <c r="M284" t="s">
        <v>333</v>
      </c>
      <c r="N284" t="s">
        <v>1296</v>
      </c>
      <c r="O284" t="s">
        <v>1297</v>
      </c>
      <c r="P284" s="108">
        <v>42144</v>
      </c>
      <c r="Q284" s="108">
        <v>42146</v>
      </c>
      <c r="R284" s="108">
        <v>42165</v>
      </c>
      <c r="S284" t="s">
        <v>153</v>
      </c>
      <c r="T284">
        <v>2</v>
      </c>
      <c r="U284" t="s">
        <v>2596</v>
      </c>
      <c r="V284">
        <v>2</v>
      </c>
      <c r="W284" t="s">
        <v>2596</v>
      </c>
      <c r="X284">
        <v>2</v>
      </c>
      <c r="Y284">
        <f>VLOOKUP(Table_clu7sql1_ssdb_REPORT_vw_IE_External_MI_SON[[#This Row],[URN]],[1]Data!$D$2:$BB$1084,31,)</f>
        <v>2</v>
      </c>
      <c r="Z284">
        <v>9</v>
      </c>
      <c r="AA284">
        <v>9</v>
      </c>
      <c r="AB284" t="s">
        <v>2598</v>
      </c>
      <c r="AC284" t="s">
        <v>2596</v>
      </c>
      <c r="AD284" t="s">
        <v>2596</v>
      </c>
      <c r="AE284" t="s">
        <v>2596</v>
      </c>
      <c r="AF284" t="s">
        <v>2596</v>
      </c>
      <c r="AG284" t="s">
        <v>2596</v>
      </c>
      <c r="AH284" t="s">
        <v>2596</v>
      </c>
    </row>
    <row r="285" spans="1:34" x14ac:dyDescent="0.25">
      <c r="A285" s="111" t="str">
        <f>HYPERLINK("http://www.ofsted.gov.uk/inspection-reports/find-inspection-report/provider/ELS/125814 ","Ofsted School Webpage")</f>
        <v>Ofsted School Webpage</v>
      </c>
      <c r="B285">
        <v>125814</v>
      </c>
      <c r="C285">
        <v>8956000</v>
      </c>
      <c r="D285" t="s">
        <v>800</v>
      </c>
      <c r="E285" t="s">
        <v>37</v>
      </c>
      <c r="F285" t="s">
        <v>142</v>
      </c>
      <c r="G285" t="s">
        <v>142</v>
      </c>
      <c r="H285" t="s">
        <v>2595</v>
      </c>
      <c r="I285" t="s">
        <v>2596</v>
      </c>
      <c r="J285" t="s">
        <v>143</v>
      </c>
      <c r="K285" t="s">
        <v>162</v>
      </c>
      <c r="L285" t="s">
        <v>162</v>
      </c>
      <c r="M285" t="s">
        <v>801</v>
      </c>
      <c r="N285" t="s">
        <v>802</v>
      </c>
      <c r="O285">
        <v>10006079</v>
      </c>
      <c r="P285" s="108">
        <v>42633</v>
      </c>
      <c r="Q285" s="108">
        <v>42635</v>
      </c>
      <c r="R285" s="108">
        <v>42663</v>
      </c>
      <c r="S285" t="s">
        <v>153</v>
      </c>
      <c r="T285">
        <v>1</v>
      </c>
      <c r="U285" t="s">
        <v>123</v>
      </c>
      <c r="V285">
        <v>1</v>
      </c>
      <c r="W285">
        <v>1</v>
      </c>
      <c r="X285">
        <v>1</v>
      </c>
      <c r="Y285">
        <f>VLOOKUP(Table_clu7sql1_ssdb_REPORT_vw_IE_External_MI_SON[[#This Row],[URN]],[1]Data!$D$2:$BB$1084,31,)</f>
        <v>1</v>
      </c>
      <c r="Z285" t="s">
        <v>2596</v>
      </c>
      <c r="AA285">
        <v>2</v>
      </c>
      <c r="AB285" t="s">
        <v>2598</v>
      </c>
      <c r="AC285" t="s">
        <v>2596</v>
      </c>
      <c r="AD285" t="s">
        <v>2596</v>
      </c>
      <c r="AE285" s="108" t="s">
        <v>2596</v>
      </c>
      <c r="AF285" t="s">
        <v>2596</v>
      </c>
      <c r="AG285" s="108" t="s">
        <v>2596</v>
      </c>
      <c r="AH285" t="s">
        <v>2596</v>
      </c>
    </row>
    <row r="286" spans="1:34" x14ac:dyDescent="0.25">
      <c r="A286" s="111" t="str">
        <f>HYPERLINK("http://www.ofsted.gov.uk/inspection-reports/find-inspection-report/provider/ELS/126118 ","Ofsted School Webpage")</f>
        <v>Ofsted School Webpage</v>
      </c>
      <c r="B286">
        <v>126118</v>
      </c>
      <c r="C286">
        <v>9386072</v>
      </c>
      <c r="D286" t="s">
        <v>1845</v>
      </c>
      <c r="E286" t="s">
        <v>36</v>
      </c>
      <c r="F286" t="s">
        <v>142</v>
      </c>
      <c r="G286" t="s">
        <v>249</v>
      </c>
      <c r="H286" t="s">
        <v>2595</v>
      </c>
      <c r="I286" t="s">
        <v>2596</v>
      </c>
      <c r="J286" t="s">
        <v>143</v>
      </c>
      <c r="K286" t="s">
        <v>139</v>
      </c>
      <c r="L286" t="s">
        <v>139</v>
      </c>
      <c r="M286" t="s">
        <v>351</v>
      </c>
      <c r="N286" t="s">
        <v>1846</v>
      </c>
      <c r="O286">
        <v>10020825</v>
      </c>
      <c r="P286" s="108">
        <v>43060</v>
      </c>
      <c r="Q286" s="108">
        <v>43062</v>
      </c>
      <c r="R286" s="108">
        <v>43133</v>
      </c>
      <c r="S286" t="s">
        <v>153</v>
      </c>
      <c r="T286">
        <v>4</v>
      </c>
      <c r="U286" t="s">
        <v>124</v>
      </c>
      <c r="V286">
        <v>4</v>
      </c>
      <c r="W286">
        <v>4</v>
      </c>
      <c r="X286">
        <v>3</v>
      </c>
      <c r="Y286">
        <f>VLOOKUP(Table_clu7sql1_ssdb_REPORT_vw_IE_External_MI_SON[[#This Row],[URN]],[1]Data!$D$2:$BB$1084,31,)</f>
        <v>3</v>
      </c>
      <c r="Z286">
        <v>4</v>
      </c>
      <c r="AA286" t="s">
        <v>2596</v>
      </c>
      <c r="AB286" t="s">
        <v>2599</v>
      </c>
      <c r="AC286" t="s">
        <v>2596</v>
      </c>
      <c r="AD286" t="s">
        <v>2596</v>
      </c>
      <c r="AE286" t="s">
        <v>2596</v>
      </c>
      <c r="AF286" t="s">
        <v>2596</v>
      </c>
      <c r="AG286" t="s">
        <v>2596</v>
      </c>
      <c r="AH286" t="s">
        <v>2596</v>
      </c>
    </row>
    <row r="287" spans="1:34" x14ac:dyDescent="0.25">
      <c r="A287" s="111" t="str">
        <f>HYPERLINK("http://www.ofsted.gov.uk/inspection-reports/find-inspection-report/provider/ELS/126132 ","Ofsted School Webpage")</f>
        <v>Ofsted School Webpage</v>
      </c>
      <c r="B287">
        <v>126132</v>
      </c>
      <c r="C287">
        <v>9386188</v>
      </c>
      <c r="D287" t="s">
        <v>2283</v>
      </c>
      <c r="E287" t="s">
        <v>36</v>
      </c>
      <c r="F287" t="s">
        <v>2284</v>
      </c>
      <c r="G287" t="s">
        <v>249</v>
      </c>
      <c r="H287" t="s">
        <v>2595</v>
      </c>
      <c r="I287" t="s">
        <v>2596</v>
      </c>
      <c r="J287" t="s">
        <v>143</v>
      </c>
      <c r="K287" t="s">
        <v>139</v>
      </c>
      <c r="L287" t="s">
        <v>139</v>
      </c>
      <c r="M287" t="s">
        <v>351</v>
      </c>
      <c r="N287" t="s">
        <v>2285</v>
      </c>
      <c r="O287" t="s">
        <v>2286</v>
      </c>
      <c r="P287" s="108">
        <v>41766</v>
      </c>
      <c r="Q287" s="108">
        <v>41768</v>
      </c>
      <c r="R287" s="108">
        <v>41786</v>
      </c>
      <c r="S287" t="s">
        <v>153</v>
      </c>
      <c r="T287">
        <v>2</v>
      </c>
      <c r="U287" t="s">
        <v>2596</v>
      </c>
      <c r="V287">
        <v>2</v>
      </c>
      <c r="W287" t="s">
        <v>2596</v>
      </c>
      <c r="X287">
        <v>2</v>
      </c>
      <c r="Y287">
        <f>VLOOKUP(Table_clu7sql1_ssdb_REPORT_vw_IE_External_MI_SON[[#This Row],[URN]],[1]Data!$D$2:$BB$1084,31,)</f>
        <v>2</v>
      </c>
      <c r="Z287" t="s">
        <v>2596</v>
      </c>
      <c r="AA287" t="s">
        <v>2596</v>
      </c>
      <c r="AB287" t="s">
        <v>2598</v>
      </c>
      <c r="AC287" t="s">
        <v>2596</v>
      </c>
      <c r="AD287" t="s">
        <v>2596</v>
      </c>
      <c r="AE287" t="s">
        <v>2596</v>
      </c>
      <c r="AF287" t="s">
        <v>2596</v>
      </c>
      <c r="AG287" t="s">
        <v>2596</v>
      </c>
      <c r="AH287" t="s">
        <v>2596</v>
      </c>
    </row>
    <row r="288" spans="1:34" x14ac:dyDescent="0.25">
      <c r="A288" s="111" t="str">
        <f>HYPERLINK("http://www.ofsted.gov.uk/inspection-reports/find-inspection-report/provider/ELS/126139 ","Ofsted School Webpage")</f>
        <v>Ofsted School Webpage</v>
      </c>
      <c r="B288">
        <v>126139</v>
      </c>
      <c r="C288">
        <v>9386217</v>
      </c>
      <c r="D288" t="s">
        <v>1375</v>
      </c>
      <c r="E288" t="s">
        <v>37</v>
      </c>
      <c r="F288" t="s">
        <v>142</v>
      </c>
      <c r="G288" t="s">
        <v>142</v>
      </c>
      <c r="H288" t="s">
        <v>2595</v>
      </c>
      <c r="I288" t="s">
        <v>2596</v>
      </c>
      <c r="J288" t="s">
        <v>143</v>
      </c>
      <c r="K288" t="s">
        <v>139</v>
      </c>
      <c r="L288" t="s">
        <v>139</v>
      </c>
      <c r="M288" t="s">
        <v>351</v>
      </c>
      <c r="N288" t="s">
        <v>1376</v>
      </c>
      <c r="O288">
        <v>10006011</v>
      </c>
      <c r="P288" s="108">
        <v>42311</v>
      </c>
      <c r="Q288" s="108">
        <v>42313</v>
      </c>
      <c r="R288" s="108">
        <v>42339</v>
      </c>
      <c r="S288" t="s">
        <v>224</v>
      </c>
      <c r="T288">
        <v>1</v>
      </c>
      <c r="U288" t="s">
        <v>123</v>
      </c>
      <c r="V288">
        <v>1</v>
      </c>
      <c r="W288">
        <v>1</v>
      </c>
      <c r="X288">
        <v>1</v>
      </c>
      <c r="Y288">
        <f>VLOOKUP(Table_clu7sql1_ssdb_REPORT_vw_IE_External_MI_SON[[#This Row],[URN]],[1]Data!$D$2:$BB$1084,31,)</f>
        <v>1</v>
      </c>
      <c r="Z288" t="s">
        <v>2596</v>
      </c>
      <c r="AA288">
        <v>1</v>
      </c>
      <c r="AB288" t="s">
        <v>2598</v>
      </c>
      <c r="AC288" t="s">
        <v>2596</v>
      </c>
      <c r="AD288" t="s">
        <v>2596</v>
      </c>
      <c r="AE288" t="s">
        <v>2596</v>
      </c>
      <c r="AF288" t="s">
        <v>2596</v>
      </c>
      <c r="AG288" t="s">
        <v>2596</v>
      </c>
      <c r="AH288" t="s">
        <v>2596</v>
      </c>
    </row>
    <row r="289" spans="1:34" x14ac:dyDescent="0.25">
      <c r="A289" s="111" t="str">
        <f>HYPERLINK("http://www.ofsted.gov.uk/inspection-reports/find-inspection-report/provider/ELS/126141 ","Ofsted School Webpage")</f>
        <v>Ofsted School Webpage</v>
      </c>
      <c r="B289">
        <v>126141</v>
      </c>
      <c r="C289">
        <v>9386219</v>
      </c>
      <c r="D289" t="s">
        <v>457</v>
      </c>
      <c r="E289" t="s">
        <v>37</v>
      </c>
      <c r="F289" t="s">
        <v>142</v>
      </c>
      <c r="G289" t="s">
        <v>169</v>
      </c>
      <c r="H289" t="s">
        <v>2595</v>
      </c>
      <c r="I289" t="s">
        <v>2596</v>
      </c>
      <c r="J289" t="s">
        <v>143</v>
      </c>
      <c r="K289" t="s">
        <v>139</v>
      </c>
      <c r="L289" t="s">
        <v>139</v>
      </c>
      <c r="M289" t="s">
        <v>351</v>
      </c>
      <c r="N289" t="s">
        <v>458</v>
      </c>
      <c r="O289">
        <v>10039159</v>
      </c>
      <c r="P289" s="108">
        <v>42997</v>
      </c>
      <c r="Q289" s="108">
        <v>42999</v>
      </c>
      <c r="R289" s="108">
        <v>43025</v>
      </c>
      <c r="S289" t="s">
        <v>153</v>
      </c>
      <c r="T289">
        <v>3</v>
      </c>
      <c r="U289" t="s">
        <v>123</v>
      </c>
      <c r="V289">
        <v>2</v>
      </c>
      <c r="W289">
        <v>2</v>
      </c>
      <c r="X289">
        <v>3</v>
      </c>
      <c r="Y289">
        <f>VLOOKUP(Table_clu7sql1_ssdb_REPORT_vw_IE_External_MI_SON[[#This Row],[URN]],[1]Data!$D$2:$BB$1084,31,)</f>
        <v>3</v>
      </c>
      <c r="Z289" t="s">
        <v>2596</v>
      </c>
      <c r="AA289">
        <v>1</v>
      </c>
      <c r="AB289" t="s">
        <v>2598</v>
      </c>
      <c r="AC289" t="s">
        <v>2596</v>
      </c>
      <c r="AD289" t="s">
        <v>2596</v>
      </c>
      <c r="AE289" t="s">
        <v>2596</v>
      </c>
      <c r="AF289" t="s">
        <v>2596</v>
      </c>
      <c r="AG289" t="s">
        <v>2596</v>
      </c>
      <c r="AH289" t="s">
        <v>2596</v>
      </c>
    </row>
    <row r="290" spans="1:34" x14ac:dyDescent="0.25">
      <c r="A290" s="111" t="str">
        <f>HYPERLINK("http://www.ofsted.gov.uk/inspection-reports/find-inspection-report/provider/ELS/126149 ","Ofsted School Webpage")</f>
        <v>Ofsted School Webpage</v>
      </c>
      <c r="B290">
        <v>126149</v>
      </c>
      <c r="C290">
        <v>9386249</v>
      </c>
      <c r="D290" t="s">
        <v>1809</v>
      </c>
      <c r="E290" t="s">
        <v>37</v>
      </c>
      <c r="F290" t="s">
        <v>142</v>
      </c>
      <c r="G290" t="s">
        <v>142</v>
      </c>
      <c r="H290" t="s">
        <v>2595</v>
      </c>
      <c r="I290" t="s">
        <v>2596</v>
      </c>
      <c r="J290" t="s">
        <v>143</v>
      </c>
      <c r="K290" t="s">
        <v>139</v>
      </c>
      <c r="L290" t="s">
        <v>139</v>
      </c>
      <c r="M290" t="s">
        <v>351</v>
      </c>
      <c r="N290" t="s">
        <v>1810</v>
      </c>
      <c r="O290">
        <v>10025979</v>
      </c>
      <c r="P290" s="108">
        <v>42913</v>
      </c>
      <c r="Q290" s="108">
        <v>42915</v>
      </c>
      <c r="R290" s="108">
        <v>42990</v>
      </c>
      <c r="S290" t="s">
        <v>153</v>
      </c>
      <c r="T290">
        <v>4</v>
      </c>
      <c r="U290" t="s">
        <v>124</v>
      </c>
      <c r="V290">
        <v>4</v>
      </c>
      <c r="W290">
        <v>4</v>
      </c>
      <c r="X290">
        <v>4</v>
      </c>
      <c r="Y290">
        <f>VLOOKUP(Table_clu7sql1_ssdb_REPORT_vw_IE_External_MI_SON[[#This Row],[URN]],[1]Data!$D$2:$BB$1084,31,)</f>
        <v>4</v>
      </c>
      <c r="Z290" t="s">
        <v>2596</v>
      </c>
      <c r="AA290" t="s">
        <v>2596</v>
      </c>
      <c r="AB290" t="s">
        <v>2599</v>
      </c>
      <c r="AC290">
        <v>10043955</v>
      </c>
      <c r="AD290" t="s">
        <v>144</v>
      </c>
      <c r="AE290" s="108">
        <v>43053</v>
      </c>
      <c r="AF290" t="s">
        <v>2636</v>
      </c>
      <c r="AG290" s="108">
        <v>43082</v>
      </c>
      <c r="AH290" t="s">
        <v>174</v>
      </c>
    </row>
    <row r="291" spans="1:34" x14ac:dyDescent="0.25">
      <c r="A291" s="111" t="str">
        <f>HYPERLINK("http://www.ofsted.gov.uk/inspection-reports/find-inspection-report/provider/ELS/126523 ","Ofsted School Webpage")</f>
        <v>Ofsted School Webpage</v>
      </c>
      <c r="B291">
        <v>126523</v>
      </c>
      <c r="C291">
        <v>8656005</v>
      </c>
      <c r="D291" t="s">
        <v>1265</v>
      </c>
      <c r="E291" t="s">
        <v>36</v>
      </c>
      <c r="F291" t="s">
        <v>142</v>
      </c>
      <c r="G291" t="s">
        <v>169</v>
      </c>
      <c r="H291" t="s">
        <v>2595</v>
      </c>
      <c r="I291" t="s">
        <v>2596</v>
      </c>
      <c r="J291" t="s">
        <v>143</v>
      </c>
      <c r="K291" t="s">
        <v>182</v>
      </c>
      <c r="L291" t="s">
        <v>182</v>
      </c>
      <c r="M291" t="s">
        <v>183</v>
      </c>
      <c r="N291" t="s">
        <v>1266</v>
      </c>
      <c r="O291" t="s">
        <v>1267</v>
      </c>
      <c r="P291" s="108">
        <v>42172</v>
      </c>
      <c r="Q291" s="108">
        <v>42174</v>
      </c>
      <c r="R291" s="108">
        <v>42255</v>
      </c>
      <c r="S291" t="s">
        <v>153</v>
      </c>
      <c r="T291">
        <v>2</v>
      </c>
      <c r="U291" t="s">
        <v>2596</v>
      </c>
      <c r="V291">
        <v>2</v>
      </c>
      <c r="W291" t="s">
        <v>2596</v>
      </c>
      <c r="X291">
        <v>2</v>
      </c>
      <c r="Y291">
        <f>VLOOKUP(Table_clu7sql1_ssdb_REPORT_vw_IE_External_MI_SON[[#This Row],[URN]],[1]Data!$D$2:$BB$1084,31,)</f>
        <v>2</v>
      </c>
      <c r="Z291">
        <v>1</v>
      </c>
      <c r="AA291">
        <v>9</v>
      </c>
      <c r="AB291" t="s">
        <v>2598</v>
      </c>
      <c r="AC291" t="s">
        <v>2596</v>
      </c>
      <c r="AD291" t="s">
        <v>2596</v>
      </c>
      <c r="AE291" s="108" t="s">
        <v>2596</v>
      </c>
      <c r="AF291" t="s">
        <v>2596</v>
      </c>
      <c r="AG291" s="108" t="s">
        <v>2596</v>
      </c>
      <c r="AH291" t="s">
        <v>2596</v>
      </c>
    </row>
    <row r="292" spans="1:34" x14ac:dyDescent="0.25">
      <c r="A292" s="111" t="str">
        <f>HYPERLINK("http://www.ofsted.gov.uk/inspection-reports/find-inspection-report/provider/ELS/126536 ","Ofsted School Webpage")</f>
        <v>Ofsted School Webpage</v>
      </c>
      <c r="B292">
        <v>126536</v>
      </c>
      <c r="C292">
        <v>8666001</v>
      </c>
      <c r="D292" t="s">
        <v>679</v>
      </c>
      <c r="E292" t="s">
        <v>36</v>
      </c>
      <c r="F292" t="s">
        <v>142</v>
      </c>
      <c r="G292" t="s">
        <v>169</v>
      </c>
      <c r="H292" t="s">
        <v>2595</v>
      </c>
      <c r="I292" t="s">
        <v>2596</v>
      </c>
      <c r="J292" t="s">
        <v>143</v>
      </c>
      <c r="K292" t="s">
        <v>182</v>
      </c>
      <c r="L292" t="s">
        <v>182</v>
      </c>
      <c r="M292" t="s">
        <v>680</v>
      </c>
      <c r="N292" t="s">
        <v>681</v>
      </c>
      <c r="O292">
        <v>10020791</v>
      </c>
      <c r="P292" s="108">
        <v>42661</v>
      </c>
      <c r="Q292" s="108">
        <v>42663</v>
      </c>
      <c r="R292" s="108">
        <v>42709</v>
      </c>
      <c r="S292" t="s">
        <v>153</v>
      </c>
      <c r="T292">
        <v>4</v>
      </c>
      <c r="U292" t="s">
        <v>124</v>
      </c>
      <c r="V292">
        <v>4</v>
      </c>
      <c r="W292">
        <v>4</v>
      </c>
      <c r="X292">
        <v>3</v>
      </c>
      <c r="Y292">
        <f>VLOOKUP(Table_clu7sql1_ssdb_REPORT_vw_IE_External_MI_SON[[#This Row],[URN]],[1]Data!$D$2:$BB$1084,31,)</f>
        <v>3</v>
      </c>
      <c r="Z292">
        <v>4</v>
      </c>
      <c r="AA292" t="s">
        <v>2596</v>
      </c>
      <c r="AB292" t="s">
        <v>2599</v>
      </c>
      <c r="AC292">
        <v>10041331</v>
      </c>
      <c r="AD292" t="s">
        <v>144</v>
      </c>
      <c r="AE292" s="108">
        <v>43152</v>
      </c>
      <c r="AF292" t="s">
        <v>2636</v>
      </c>
      <c r="AG292" s="108">
        <v>43179</v>
      </c>
      <c r="AH292" t="s">
        <v>146</v>
      </c>
    </row>
    <row r="293" spans="1:34" x14ac:dyDescent="0.25">
      <c r="A293" s="111" t="str">
        <f>HYPERLINK("http://www.ofsted.gov.uk/inspection-reports/find-inspection-report/provider/ELS/126542 ","Ofsted School Webpage")</f>
        <v>Ofsted School Webpage</v>
      </c>
      <c r="B293">
        <v>126542</v>
      </c>
      <c r="C293">
        <v>8656024</v>
      </c>
      <c r="D293" t="s">
        <v>1363</v>
      </c>
      <c r="E293" t="s">
        <v>37</v>
      </c>
      <c r="F293" t="s">
        <v>142</v>
      </c>
      <c r="G293" t="s">
        <v>142</v>
      </c>
      <c r="H293" t="s">
        <v>2595</v>
      </c>
      <c r="I293" t="s">
        <v>2596</v>
      </c>
      <c r="J293" t="s">
        <v>143</v>
      </c>
      <c r="K293" t="s">
        <v>182</v>
      </c>
      <c r="L293" t="s">
        <v>182</v>
      </c>
      <c r="M293" t="s">
        <v>183</v>
      </c>
      <c r="N293" t="s">
        <v>1364</v>
      </c>
      <c r="O293">
        <v>10006321</v>
      </c>
      <c r="P293" s="108">
        <v>42311</v>
      </c>
      <c r="Q293" s="108">
        <v>42313</v>
      </c>
      <c r="R293" s="108">
        <v>42355</v>
      </c>
      <c r="S293" t="s">
        <v>153</v>
      </c>
      <c r="T293">
        <v>1</v>
      </c>
      <c r="U293" t="s">
        <v>123</v>
      </c>
      <c r="V293">
        <v>1</v>
      </c>
      <c r="W293">
        <v>1</v>
      </c>
      <c r="X293">
        <v>1</v>
      </c>
      <c r="Y293">
        <f>VLOOKUP(Table_clu7sql1_ssdb_REPORT_vw_IE_External_MI_SON[[#This Row],[URN]],[1]Data!$D$2:$BB$1084,31,)</f>
        <v>1</v>
      </c>
      <c r="Z293" t="s">
        <v>2596</v>
      </c>
      <c r="AA293" t="s">
        <v>2596</v>
      </c>
      <c r="AB293" t="s">
        <v>2598</v>
      </c>
      <c r="AC293" t="s">
        <v>2596</v>
      </c>
      <c r="AD293" t="s">
        <v>2596</v>
      </c>
      <c r="AE293" t="s">
        <v>2596</v>
      </c>
      <c r="AF293" t="s">
        <v>2596</v>
      </c>
      <c r="AG293" t="s">
        <v>2596</v>
      </c>
      <c r="AH293" t="s">
        <v>2596</v>
      </c>
    </row>
    <row r="294" spans="1:34" x14ac:dyDescent="0.25">
      <c r="A294" s="111" t="str">
        <f>HYPERLINK("http://www.ofsted.gov.uk/inspection-reports/find-inspection-report/provider/ELS/127003 ","Ofsted School Webpage")</f>
        <v>Ofsted School Webpage</v>
      </c>
      <c r="B294">
        <v>127003</v>
      </c>
      <c r="C294">
        <v>9356083</v>
      </c>
      <c r="D294" t="s">
        <v>936</v>
      </c>
      <c r="E294" t="s">
        <v>37</v>
      </c>
      <c r="F294" t="s">
        <v>142</v>
      </c>
      <c r="G294" t="s">
        <v>142</v>
      </c>
      <c r="H294" t="s">
        <v>2595</v>
      </c>
      <c r="I294" t="s">
        <v>2596</v>
      </c>
      <c r="J294" t="s">
        <v>143</v>
      </c>
      <c r="K294" t="s">
        <v>177</v>
      </c>
      <c r="L294" t="s">
        <v>177</v>
      </c>
      <c r="M294" t="s">
        <v>254</v>
      </c>
      <c r="N294" t="s">
        <v>937</v>
      </c>
      <c r="O294">
        <v>10006012</v>
      </c>
      <c r="P294" s="108">
        <v>42801</v>
      </c>
      <c r="Q294" s="108">
        <v>42803</v>
      </c>
      <c r="R294" s="108">
        <v>42835</v>
      </c>
      <c r="S294" t="s">
        <v>153</v>
      </c>
      <c r="T294">
        <v>3</v>
      </c>
      <c r="U294" t="s">
        <v>123</v>
      </c>
      <c r="V294">
        <v>3</v>
      </c>
      <c r="W294">
        <v>2</v>
      </c>
      <c r="X294">
        <v>2</v>
      </c>
      <c r="Y294">
        <f>VLOOKUP(Table_clu7sql1_ssdb_REPORT_vw_IE_External_MI_SON[[#This Row],[URN]],[1]Data!$D$2:$BB$1084,31,)</f>
        <v>2</v>
      </c>
      <c r="Z294" t="s">
        <v>2596</v>
      </c>
      <c r="AA294" t="s">
        <v>2596</v>
      </c>
      <c r="AB294" t="s">
        <v>2598</v>
      </c>
      <c r="AC294" t="s">
        <v>2596</v>
      </c>
      <c r="AD294" t="s">
        <v>2596</v>
      </c>
      <c r="AE294" t="s">
        <v>2596</v>
      </c>
      <c r="AF294" t="s">
        <v>2596</v>
      </c>
      <c r="AG294" t="s">
        <v>2596</v>
      </c>
      <c r="AH294" t="s">
        <v>2596</v>
      </c>
    </row>
    <row r="295" spans="1:34" x14ac:dyDescent="0.25">
      <c r="A295" s="111" t="str">
        <f>HYPERLINK("http://www.ofsted.gov.uk/inspection-reports/find-inspection-report/provider/ELS/128078 ","Ofsted School Webpage")</f>
        <v>Ofsted School Webpage</v>
      </c>
      <c r="B295">
        <v>128078</v>
      </c>
      <c r="C295">
        <v>8556021</v>
      </c>
      <c r="D295" t="s">
        <v>547</v>
      </c>
      <c r="E295" t="s">
        <v>37</v>
      </c>
      <c r="F295" t="s">
        <v>142</v>
      </c>
      <c r="G295" t="s">
        <v>142</v>
      </c>
      <c r="H295" t="s">
        <v>2595</v>
      </c>
      <c r="I295" t="s">
        <v>2596</v>
      </c>
      <c r="J295" t="s">
        <v>143</v>
      </c>
      <c r="K295" t="s">
        <v>171</v>
      </c>
      <c r="L295" t="s">
        <v>171</v>
      </c>
      <c r="M295" t="s">
        <v>238</v>
      </c>
      <c r="N295" t="s">
        <v>548</v>
      </c>
      <c r="O295">
        <v>10008523</v>
      </c>
      <c r="P295" s="108">
        <v>42430</v>
      </c>
      <c r="Q295" s="108">
        <v>42432</v>
      </c>
      <c r="R295" s="108">
        <v>42472</v>
      </c>
      <c r="S295" t="s">
        <v>153</v>
      </c>
      <c r="T295">
        <v>2</v>
      </c>
      <c r="U295" t="s">
        <v>123</v>
      </c>
      <c r="V295">
        <v>2</v>
      </c>
      <c r="W295">
        <v>2</v>
      </c>
      <c r="X295">
        <v>2</v>
      </c>
      <c r="Y295">
        <f>VLOOKUP(Table_clu7sql1_ssdb_REPORT_vw_IE_External_MI_SON[[#This Row],[URN]],[1]Data!$D$2:$BB$1084,31,)</f>
        <v>2</v>
      </c>
      <c r="Z295" t="s">
        <v>2596</v>
      </c>
      <c r="AA295">
        <v>2</v>
      </c>
      <c r="AB295" t="s">
        <v>2598</v>
      </c>
      <c r="AC295" t="s">
        <v>2596</v>
      </c>
      <c r="AD295" t="s">
        <v>2596</v>
      </c>
      <c r="AE295" t="s">
        <v>2596</v>
      </c>
      <c r="AF295" t="s">
        <v>2596</v>
      </c>
      <c r="AG295" t="s">
        <v>2596</v>
      </c>
      <c r="AH295" t="s">
        <v>2596</v>
      </c>
    </row>
    <row r="296" spans="1:34" x14ac:dyDescent="0.25">
      <c r="A296" s="111" t="str">
        <f>HYPERLINK("http://www.ofsted.gov.uk/inspection-reports/find-inspection-report/provider/ELS/129252 ","Ofsted School Webpage")</f>
        <v>Ofsted School Webpage</v>
      </c>
      <c r="B296">
        <v>129252</v>
      </c>
      <c r="C296">
        <v>9086095</v>
      </c>
      <c r="D296" t="s">
        <v>2894</v>
      </c>
      <c r="E296" t="s">
        <v>37</v>
      </c>
      <c r="F296" t="s">
        <v>142</v>
      </c>
      <c r="G296" t="s">
        <v>142</v>
      </c>
      <c r="H296" t="s">
        <v>2595</v>
      </c>
      <c r="I296" t="s">
        <v>2596</v>
      </c>
      <c r="J296" t="s">
        <v>143</v>
      </c>
      <c r="K296" t="s">
        <v>182</v>
      </c>
      <c r="L296" t="s">
        <v>182</v>
      </c>
      <c r="M296" t="s">
        <v>992</v>
      </c>
      <c r="N296" t="s">
        <v>1245</v>
      </c>
      <c r="O296">
        <v>10012928</v>
      </c>
      <c r="P296" s="108">
        <v>42787</v>
      </c>
      <c r="Q296" s="108">
        <v>42789</v>
      </c>
      <c r="R296" s="108">
        <v>42822</v>
      </c>
      <c r="S296" t="s">
        <v>153</v>
      </c>
      <c r="T296">
        <v>2</v>
      </c>
      <c r="U296" t="s">
        <v>123</v>
      </c>
      <c r="V296">
        <v>2</v>
      </c>
      <c r="W296">
        <v>1</v>
      </c>
      <c r="X296">
        <v>2</v>
      </c>
      <c r="Y296">
        <f>VLOOKUP(Table_clu7sql1_ssdb_REPORT_vw_IE_External_MI_SON[[#This Row],[URN]],[1]Data!$D$2:$BB$1084,31,)</f>
        <v>2</v>
      </c>
      <c r="Z296" t="s">
        <v>2596</v>
      </c>
      <c r="AA296">
        <v>2</v>
      </c>
      <c r="AB296" t="s">
        <v>2598</v>
      </c>
      <c r="AC296" t="s">
        <v>2596</v>
      </c>
      <c r="AD296" t="s">
        <v>2596</v>
      </c>
      <c r="AE296" t="s">
        <v>2596</v>
      </c>
      <c r="AF296" t="s">
        <v>2596</v>
      </c>
      <c r="AG296" t="s">
        <v>2596</v>
      </c>
      <c r="AH296" t="s">
        <v>2596</v>
      </c>
    </row>
    <row r="297" spans="1:34" x14ac:dyDescent="0.25">
      <c r="A297" s="111" t="str">
        <f>HYPERLINK("http://www.ofsted.gov.uk/inspection-reports/find-inspection-report/provider/ELS/129571 ","Ofsted School Webpage")</f>
        <v>Ofsted School Webpage</v>
      </c>
      <c r="B297">
        <v>129571</v>
      </c>
      <c r="C297">
        <v>8886089</v>
      </c>
      <c r="D297" t="s">
        <v>1333</v>
      </c>
      <c r="E297" t="s">
        <v>37</v>
      </c>
      <c r="F297" t="s">
        <v>142</v>
      </c>
      <c r="G297" t="s">
        <v>142</v>
      </c>
      <c r="H297" t="s">
        <v>2595</v>
      </c>
      <c r="I297" t="s">
        <v>2596</v>
      </c>
      <c r="J297" t="s">
        <v>143</v>
      </c>
      <c r="K297" t="s">
        <v>162</v>
      </c>
      <c r="L297" t="s">
        <v>162</v>
      </c>
      <c r="M297" t="s">
        <v>163</v>
      </c>
      <c r="N297" t="s">
        <v>1334</v>
      </c>
      <c r="O297">
        <v>10006076</v>
      </c>
      <c r="P297" s="108">
        <v>42661</v>
      </c>
      <c r="Q297" s="108">
        <v>42663</v>
      </c>
      <c r="R297" s="108">
        <v>42705</v>
      </c>
      <c r="S297" t="s">
        <v>153</v>
      </c>
      <c r="T297">
        <v>3</v>
      </c>
      <c r="U297" t="s">
        <v>123</v>
      </c>
      <c r="V297">
        <v>3</v>
      </c>
      <c r="W297">
        <v>2</v>
      </c>
      <c r="X297">
        <v>3</v>
      </c>
      <c r="Y297">
        <f>VLOOKUP(Table_clu7sql1_ssdb_REPORT_vw_IE_External_MI_SON[[#This Row],[URN]],[1]Data!$D$2:$BB$1084,31,)</f>
        <v>3</v>
      </c>
      <c r="Z297" t="s">
        <v>2596</v>
      </c>
      <c r="AA297" t="s">
        <v>2596</v>
      </c>
      <c r="AB297" t="s">
        <v>2598</v>
      </c>
      <c r="AC297" t="s">
        <v>2596</v>
      </c>
      <c r="AD297" t="s">
        <v>2596</v>
      </c>
      <c r="AE297" t="s">
        <v>2596</v>
      </c>
      <c r="AF297" t="s">
        <v>2596</v>
      </c>
      <c r="AG297" t="s">
        <v>2596</v>
      </c>
      <c r="AH297" t="s">
        <v>2596</v>
      </c>
    </row>
    <row r="298" spans="1:34" x14ac:dyDescent="0.25">
      <c r="A298" s="111" t="str">
        <f>HYPERLINK("http://www.ofsted.gov.uk/inspection-reports/find-inspection-report/provider/ELS/130239 ","Ofsted School Webpage")</f>
        <v>Ofsted School Webpage</v>
      </c>
      <c r="B298">
        <v>130239</v>
      </c>
      <c r="C298">
        <v>2056402</v>
      </c>
      <c r="D298" t="s">
        <v>2461</v>
      </c>
      <c r="E298" t="s">
        <v>36</v>
      </c>
      <c r="F298" t="s">
        <v>142</v>
      </c>
      <c r="G298" t="s">
        <v>169</v>
      </c>
      <c r="H298" t="s">
        <v>2595</v>
      </c>
      <c r="I298" t="s">
        <v>2596</v>
      </c>
      <c r="J298" t="s">
        <v>143</v>
      </c>
      <c r="K298" t="s">
        <v>189</v>
      </c>
      <c r="L298" t="s">
        <v>189</v>
      </c>
      <c r="M298" t="s">
        <v>257</v>
      </c>
      <c r="N298" t="s">
        <v>2462</v>
      </c>
      <c r="O298" t="s">
        <v>2463</v>
      </c>
      <c r="P298" s="108">
        <v>41969</v>
      </c>
      <c r="Q298" s="108">
        <v>41971</v>
      </c>
      <c r="R298" s="108">
        <v>41992</v>
      </c>
      <c r="S298" t="s">
        <v>153</v>
      </c>
      <c r="T298">
        <v>1</v>
      </c>
      <c r="U298" t="s">
        <v>2596</v>
      </c>
      <c r="V298">
        <v>1</v>
      </c>
      <c r="W298" t="s">
        <v>2596</v>
      </c>
      <c r="X298">
        <v>1</v>
      </c>
      <c r="Y298">
        <f>VLOOKUP(Table_clu7sql1_ssdb_REPORT_vw_IE_External_MI_SON[[#This Row],[URN]],[1]Data!$D$2:$BB$1084,31,)</f>
        <v>1</v>
      </c>
      <c r="Z298">
        <v>1</v>
      </c>
      <c r="AA298">
        <v>9</v>
      </c>
      <c r="AB298" t="s">
        <v>2598</v>
      </c>
      <c r="AC298" t="s">
        <v>2596</v>
      </c>
      <c r="AD298" t="s">
        <v>2596</v>
      </c>
      <c r="AE298" t="s">
        <v>2596</v>
      </c>
      <c r="AF298" t="s">
        <v>2596</v>
      </c>
      <c r="AG298" t="s">
        <v>2596</v>
      </c>
      <c r="AH298" t="s">
        <v>2596</v>
      </c>
    </row>
    <row r="299" spans="1:34" x14ac:dyDescent="0.25">
      <c r="A299" s="111" t="str">
        <f>HYPERLINK("http://www.ofsted.gov.uk/inspection-reports/find-inspection-report/provider/ELS/130243 ","Ofsted School Webpage")</f>
        <v>Ofsted School Webpage</v>
      </c>
      <c r="B299">
        <v>130243</v>
      </c>
      <c r="C299">
        <v>2066383</v>
      </c>
      <c r="D299" t="s">
        <v>1873</v>
      </c>
      <c r="E299" t="s">
        <v>36</v>
      </c>
      <c r="F299" t="s">
        <v>142</v>
      </c>
      <c r="G299" t="s">
        <v>142</v>
      </c>
      <c r="H299" t="s">
        <v>2595</v>
      </c>
      <c r="I299" t="s">
        <v>2596</v>
      </c>
      <c r="J299" t="s">
        <v>143</v>
      </c>
      <c r="K299" t="s">
        <v>189</v>
      </c>
      <c r="L299" t="s">
        <v>189</v>
      </c>
      <c r="M299" t="s">
        <v>1874</v>
      </c>
      <c r="N299" t="s">
        <v>1875</v>
      </c>
      <c r="O299">
        <v>10006034</v>
      </c>
      <c r="P299" s="108">
        <v>42444</v>
      </c>
      <c r="Q299" s="108">
        <v>42446</v>
      </c>
      <c r="R299" s="108">
        <v>42542</v>
      </c>
      <c r="S299" t="s">
        <v>153</v>
      </c>
      <c r="T299">
        <v>2</v>
      </c>
      <c r="U299" t="s">
        <v>123</v>
      </c>
      <c r="V299">
        <v>2</v>
      </c>
      <c r="W299">
        <v>2</v>
      </c>
      <c r="X299">
        <v>2</v>
      </c>
      <c r="Y299">
        <f>VLOOKUP(Table_clu7sql1_ssdb_REPORT_vw_IE_External_MI_SON[[#This Row],[URN]],[1]Data!$D$2:$BB$1084,31,)</f>
        <v>2</v>
      </c>
      <c r="Z299">
        <v>1</v>
      </c>
      <c r="AA299" t="s">
        <v>2596</v>
      </c>
      <c r="AB299" t="s">
        <v>2598</v>
      </c>
      <c r="AC299" t="s">
        <v>2596</v>
      </c>
      <c r="AD299" t="s">
        <v>2596</v>
      </c>
      <c r="AE299" t="s">
        <v>2596</v>
      </c>
      <c r="AF299" t="s">
        <v>2596</v>
      </c>
      <c r="AG299" t="s">
        <v>2596</v>
      </c>
      <c r="AH299" t="s">
        <v>2596</v>
      </c>
    </row>
    <row r="300" spans="1:34" x14ac:dyDescent="0.25">
      <c r="A300" s="111" t="str">
        <f>HYPERLINK("http://www.ofsted.gov.uk/inspection-reports/find-inspection-report/provider/ELS/130244 ","Ofsted School Webpage")</f>
        <v>Ofsted School Webpage</v>
      </c>
      <c r="B300">
        <v>130244</v>
      </c>
      <c r="C300">
        <v>3306113</v>
      </c>
      <c r="D300" t="s">
        <v>595</v>
      </c>
      <c r="E300" t="s">
        <v>36</v>
      </c>
      <c r="F300" t="s">
        <v>261</v>
      </c>
      <c r="G300" t="s">
        <v>180</v>
      </c>
      <c r="H300" t="s">
        <v>2595</v>
      </c>
      <c r="I300" t="s">
        <v>2596</v>
      </c>
      <c r="J300" t="s">
        <v>143</v>
      </c>
      <c r="K300" t="s">
        <v>150</v>
      </c>
      <c r="L300" t="s">
        <v>150</v>
      </c>
      <c r="M300" t="s">
        <v>167</v>
      </c>
      <c r="N300" t="s">
        <v>596</v>
      </c>
      <c r="O300">
        <v>10038829</v>
      </c>
      <c r="P300" s="108">
        <v>43060</v>
      </c>
      <c r="Q300" s="108">
        <v>43062</v>
      </c>
      <c r="R300" s="108">
        <v>43090</v>
      </c>
      <c r="S300" t="s">
        <v>153</v>
      </c>
      <c r="T300">
        <v>2</v>
      </c>
      <c r="U300" t="s">
        <v>123</v>
      </c>
      <c r="V300">
        <v>2</v>
      </c>
      <c r="W300">
        <v>1</v>
      </c>
      <c r="X300">
        <v>2</v>
      </c>
      <c r="Y300">
        <f>VLOOKUP(Table_clu7sql1_ssdb_REPORT_vw_IE_External_MI_SON[[#This Row],[URN]],[1]Data!$D$2:$BB$1084,31,)</f>
        <v>2</v>
      </c>
      <c r="Z300">
        <v>2</v>
      </c>
      <c r="AA300" t="s">
        <v>2596</v>
      </c>
      <c r="AB300" t="s">
        <v>2598</v>
      </c>
      <c r="AC300" t="s">
        <v>2596</v>
      </c>
      <c r="AD300" t="s">
        <v>2596</v>
      </c>
      <c r="AE300" t="s">
        <v>2596</v>
      </c>
      <c r="AF300" t="s">
        <v>2596</v>
      </c>
      <c r="AG300" t="s">
        <v>2596</v>
      </c>
      <c r="AH300" t="s">
        <v>2596</v>
      </c>
    </row>
    <row r="301" spans="1:34" x14ac:dyDescent="0.25">
      <c r="A301" s="111" t="str">
        <f>HYPERLINK("http://www.ofsted.gov.uk/inspection-reports/find-inspection-report/provider/ELS/130245 ","Ofsted School Webpage")</f>
        <v>Ofsted School Webpage</v>
      </c>
      <c r="B301">
        <v>130245</v>
      </c>
      <c r="C301">
        <v>3806119</v>
      </c>
      <c r="D301" t="s">
        <v>1479</v>
      </c>
      <c r="E301" t="s">
        <v>36</v>
      </c>
      <c r="F301" t="s">
        <v>261</v>
      </c>
      <c r="G301" t="s">
        <v>180</v>
      </c>
      <c r="H301" t="s">
        <v>2595</v>
      </c>
      <c r="I301" t="s">
        <v>2596</v>
      </c>
      <c r="J301" t="s">
        <v>143</v>
      </c>
      <c r="K301" t="s">
        <v>202</v>
      </c>
      <c r="L301" t="s">
        <v>203</v>
      </c>
      <c r="M301" t="s">
        <v>295</v>
      </c>
      <c r="N301" t="s">
        <v>1480</v>
      </c>
      <c r="O301">
        <v>10033915</v>
      </c>
      <c r="P301" s="108">
        <v>42927</v>
      </c>
      <c r="Q301" s="108">
        <v>42929</v>
      </c>
      <c r="R301" s="108">
        <v>43039</v>
      </c>
      <c r="S301" t="s">
        <v>153</v>
      </c>
      <c r="T301">
        <v>4</v>
      </c>
      <c r="U301" t="s">
        <v>123</v>
      </c>
      <c r="V301">
        <v>4</v>
      </c>
      <c r="W301">
        <v>4</v>
      </c>
      <c r="X301">
        <v>3</v>
      </c>
      <c r="Y301">
        <f>VLOOKUP(Table_clu7sql1_ssdb_REPORT_vw_IE_External_MI_SON[[#This Row],[URN]],[1]Data!$D$2:$BB$1084,31,)</f>
        <v>3</v>
      </c>
      <c r="Z301" t="s">
        <v>2596</v>
      </c>
      <c r="AA301" t="s">
        <v>2596</v>
      </c>
      <c r="AB301" t="s">
        <v>2599</v>
      </c>
      <c r="AC301" t="s">
        <v>2596</v>
      </c>
      <c r="AD301" t="s">
        <v>2596</v>
      </c>
      <c r="AE301" t="s">
        <v>2596</v>
      </c>
      <c r="AF301" t="s">
        <v>2596</v>
      </c>
      <c r="AG301" t="s">
        <v>2596</v>
      </c>
      <c r="AH301" t="s">
        <v>2596</v>
      </c>
    </row>
    <row r="302" spans="1:34" x14ac:dyDescent="0.25">
      <c r="A302" s="111" t="str">
        <f>HYPERLINK("http://www.ofsted.gov.uk/inspection-reports/find-inspection-report/provider/ELS/130274 ","Ofsted School Webpage")</f>
        <v>Ofsted School Webpage</v>
      </c>
      <c r="B302">
        <v>130274</v>
      </c>
      <c r="C302">
        <v>3836119</v>
      </c>
      <c r="D302" t="s">
        <v>2416</v>
      </c>
      <c r="E302" t="s">
        <v>36</v>
      </c>
      <c r="F302" t="s">
        <v>142</v>
      </c>
      <c r="G302" t="s">
        <v>180</v>
      </c>
      <c r="H302" t="s">
        <v>2595</v>
      </c>
      <c r="I302" t="s">
        <v>2596</v>
      </c>
      <c r="J302" t="s">
        <v>143</v>
      </c>
      <c r="K302" t="s">
        <v>202</v>
      </c>
      <c r="L302" t="s">
        <v>203</v>
      </c>
      <c r="M302" t="s">
        <v>667</v>
      </c>
      <c r="N302" t="s">
        <v>2417</v>
      </c>
      <c r="O302">
        <v>10025951</v>
      </c>
      <c r="P302" s="108">
        <v>42815</v>
      </c>
      <c r="Q302" s="108">
        <v>42817</v>
      </c>
      <c r="R302" s="108">
        <v>42864</v>
      </c>
      <c r="S302" t="s">
        <v>153</v>
      </c>
      <c r="T302">
        <v>4</v>
      </c>
      <c r="U302" t="s">
        <v>124</v>
      </c>
      <c r="V302">
        <v>4</v>
      </c>
      <c r="W302">
        <v>4</v>
      </c>
      <c r="X302">
        <v>3</v>
      </c>
      <c r="Y302">
        <f>VLOOKUP(Table_clu7sql1_ssdb_REPORT_vw_IE_External_MI_SON[[#This Row],[URN]],[1]Data!$D$2:$BB$1084,31,)</f>
        <v>3</v>
      </c>
      <c r="Z302" t="s">
        <v>2596</v>
      </c>
      <c r="AA302" t="s">
        <v>2596</v>
      </c>
      <c r="AB302" t="s">
        <v>2599</v>
      </c>
      <c r="AC302">
        <v>10043250</v>
      </c>
      <c r="AD302" t="s">
        <v>144</v>
      </c>
      <c r="AE302" s="108">
        <v>43056</v>
      </c>
      <c r="AF302" t="s">
        <v>2636</v>
      </c>
      <c r="AG302" s="108">
        <v>43188</v>
      </c>
      <c r="AH302" t="s">
        <v>174</v>
      </c>
    </row>
    <row r="303" spans="1:34" x14ac:dyDescent="0.25">
      <c r="A303" s="111" t="str">
        <f>HYPERLINK("http://www.ofsted.gov.uk/inspection-reports/find-inspection-report/provider/ELS/130283 ","Ofsted School Webpage")</f>
        <v>Ofsted School Webpage</v>
      </c>
      <c r="B303">
        <v>130283</v>
      </c>
      <c r="C303">
        <v>9256041</v>
      </c>
      <c r="D303" t="s">
        <v>1532</v>
      </c>
      <c r="E303" t="s">
        <v>36</v>
      </c>
      <c r="F303" t="s">
        <v>142</v>
      </c>
      <c r="G303" t="s">
        <v>249</v>
      </c>
      <c r="H303" t="s">
        <v>2595</v>
      </c>
      <c r="I303" t="s">
        <v>2596</v>
      </c>
      <c r="J303" t="s">
        <v>143</v>
      </c>
      <c r="K303" t="s">
        <v>171</v>
      </c>
      <c r="L303" t="s">
        <v>171</v>
      </c>
      <c r="M303" t="s">
        <v>637</v>
      </c>
      <c r="N303" t="s">
        <v>1533</v>
      </c>
      <c r="O303" t="s">
        <v>1534</v>
      </c>
      <c r="P303" s="108">
        <v>42179</v>
      </c>
      <c r="Q303" s="108">
        <v>42181</v>
      </c>
      <c r="R303" s="108">
        <v>42200</v>
      </c>
      <c r="S303" t="s">
        <v>153</v>
      </c>
      <c r="T303">
        <v>1</v>
      </c>
      <c r="U303" t="s">
        <v>2596</v>
      </c>
      <c r="V303">
        <v>1</v>
      </c>
      <c r="W303" t="s">
        <v>2596</v>
      </c>
      <c r="X303">
        <v>1</v>
      </c>
      <c r="Y303">
        <f>VLOOKUP(Table_clu7sql1_ssdb_REPORT_vw_IE_External_MI_SON[[#This Row],[URN]],[1]Data!$D$2:$BB$1084,31,)</f>
        <v>1</v>
      </c>
      <c r="Z303">
        <v>1</v>
      </c>
      <c r="AA303">
        <v>9</v>
      </c>
      <c r="AB303" t="s">
        <v>2598</v>
      </c>
      <c r="AC303" t="s">
        <v>2596</v>
      </c>
      <c r="AD303" t="s">
        <v>2596</v>
      </c>
      <c r="AE303" s="108" t="s">
        <v>2596</v>
      </c>
      <c r="AF303" t="s">
        <v>2596</v>
      </c>
      <c r="AG303" s="108" t="s">
        <v>2596</v>
      </c>
      <c r="AH303" t="s">
        <v>2596</v>
      </c>
    </row>
    <row r="304" spans="1:34" x14ac:dyDescent="0.25">
      <c r="A304" s="111" t="str">
        <f>HYPERLINK("http://www.ofsted.gov.uk/inspection-reports/find-inspection-report/provider/ELS/130285 ","Ofsted School Webpage")</f>
        <v>Ofsted School Webpage</v>
      </c>
      <c r="B304">
        <v>130285</v>
      </c>
      <c r="C304">
        <v>3506017</v>
      </c>
      <c r="D304" t="s">
        <v>1201</v>
      </c>
      <c r="E304" t="s">
        <v>36</v>
      </c>
      <c r="F304" t="s">
        <v>142</v>
      </c>
      <c r="G304" t="s">
        <v>180</v>
      </c>
      <c r="H304" t="s">
        <v>2595</v>
      </c>
      <c r="I304" t="s">
        <v>2596</v>
      </c>
      <c r="J304" t="s">
        <v>143</v>
      </c>
      <c r="K304" t="s">
        <v>162</v>
      </c>
      <c r="L304" t="s">
        <v>162</v>
      </c>
      <c r="M304" t="s">
        <v>1202</v>
      </c>
      <c r="N304" t="s">
        <v>1203</v>
      </c>
      <c r="O304">
        <v>10007715</v>
      </c>
      <c r="P304" s="108">
        <v>42437</v>
      </c>
      <c r="Q304" s="108">
        <v>42439</v>
      </c>
      <c r="R304" s="108">
        <v>42478</v>
      </c>
      <c r="S304" t="s">
        <v>224</v>
      </c>
      <c r="T304">
        <v>3</v>
      </c>
      <c r="U304" t="s">
        <v>123</v>
      </c>
      <c r="V304">
        <v>3</v>
      </c>
      <c r="W304">
        <v>3</v>
      </c>
      <c r="X304">
        <v>3</v>
      </c>
      <c r="Y304">
        <f>VLOOKUP(Table_clu7sql1_ssdb_REPORT_vw_IE_External_MI_SON[[#This Row],[URN]],[1]Data!$D$2:$BB$1084,31,)</f>
        <v>3</v>
      </c>
      <c r="Z304" t="s">
        <v>2596</v>
      </c>
      <c r="AA304">
        <v>4</v>
      </c>
      <c r="AB304" t="s">
        <v>2599</v>
      </c>
      <c r="AC304">
        <v>10030979</v>
      </c>
      <c r="AD304" t="s">
        <v>144</v>
      </c>
      <c r="AE304" s="108">
        <v>42873</v>
      </c>
      <c r="AF304" t="s">
        <v>2634</v>
      </c>
      <c r="AG304" s="108">
        <v>42909</v>
      </c>
      <c r="AH304" t="s">
        <v>146</v>
      </c>
    </row>
    <row r="305" spans="1:34" x14ac:dyDescent="0.25">
      <c r="A305" s="111" t="str">
        <f>HYPERLINK("http://www.ofsted.gov.uk/inspection-reports/find-inspection-report/provider/ELS/130286 ","Ofsted School Webpage")</f>
        <v>Ofsted School Webpage</v>
      </c>
      <c r="B305">
        <v>130286</v>
      </c>
      <c r="C305">
        <v>3526050</v>
      </c>
      <c r="D305" t="s">
        <v>1559</v>
      </c>
      <c r="E305" t="s">
        <v>36</v>
      </c>
      <c r="F305" t="s">
        <v>142</v>
      </c>
      <c r="G305" t="s">
        <v>142</v>
      </c>
      <c r="H305" t="s">
        <v>2595</v>
      </c>
      <c r="I305" t="s">
        <v>2596</v>
      </c>
      <c r="J305" t="s">
        <v>143</v>
      </c>
      <c r="K305" t="s">
        <v>162</v>
      </c>
      <c r="L305" t="s">
        <v>162</v>
      </c>
      <c r="M305" t="s">
        <v>263</v>
      </c>
      <c r="N305" t="s">
        <v>1560</v>
      </c>
      <c r="O305">
        <v>10026805</v>
      </c>
      <c r="P305" s="108">
        <v>42815</v>
      </c>
      <c r="Q305" s="108">
        <v>42817</v>
      </c>
      <c r="R305" s="108">
        <v>42871</v>
      </c>
      <c r="S305" t="s">
        <v>153</v>
      </c>
      <c r="T305">
        <v>4</v>
      </c>
      <c r="U305" t="s">
        <v>123</v>
      </c>
      <c r="V305">
        <v>4</v>
      </c>
      <c r="W305">
        <v>3</v>
      </c>
      <c r="X305">
        <v>2</v>
      </c>
      <c r="Y305">
        <f>VLOOKUP(Table_clu7sql1_ssdb_REPORT_vw_IE_External_MI_SON[[#This Row],[URN]],[1]Data!$D$2:$BB$1084,31,)</f>
        <v>2</v>
      </c>
      <c r="Z305">
        <v>3</v>
      </c>
      <c r="AA305" t="s">
        <v>2596</v>
      </c>
      <c r="AB305" t="s">
        <v>2599</v>
      </c>
      <c r="AC305">
        <v>10043709</v>
      </c>
      <c r="AD305" t="s">
        <v>144</v>
      </c>
      <c r="AE305" s="108">
        <v>43081</v>
      </c>
      <c r="AF305" t="s">
        <v>2636</v>
      </c>
      <c r="AG305" s="108">
        <v>43129</v>
      </c>
      <c r="AH305" t="s">
        <v>174</v>
      </c>
    </row>
    <row r="306" spans="1:34" x14ac:dyDescent="0.25">
      <c r="A306" s="111" t="str">
        <f>HYPERLINK("http://www.ofsted.gov.uk/inspection-reports/find-inspection-report/provider/ELS/130287 ","Ofsted School Webpage")</f>
        <v>Ofsted School Webpage</v>
      </c>
      <c r="B306">
        <v>130287</v>
      </c>
      <c r="C306">
        <v>3556031</v>
      </c>
      <c r="D306" t="s">
        <v>2508</v>
      </c>
      <c r="E306" t="s">
        <v>36</v>
      </c>
      <c r="F306" t="s">
        <v>142</v>
      </c>
      <c r="G306" t="s">
        <v>275</v>
      </c>
      <c r="H306" t="s">
        <v>2595</v>
      </c>
      <c r="I306" t="s">
        <v>2596</v>
      </c>
      <c r="J306" t="s">
        <v>143</v>
      </c>
      <c r="K306" t="s">
        <v>162</v>
      </c>
      <c r="L306" t="s">
        <v>162</v>
      </c>
      <c r="M306" t="s">
        <v>804</v>
      </c>
      <c r="N306" t="s">
        <v>2509</v>
      </c>
      <c r="O306" t="s">
        <v>2510</v>
      </c>
      <c r="P306" s="108">
        <v>41723</v>
      </c>
      <c r="Q306" s="108">
        <v>41725</v>
      </c>
      <c r="R306" s="108">
        <v>41766</v>
      </c>
      <c r="S306" t="s">
        <v>153</v>
      </c>
      <c r="T306">
        <v>2</v>
      </c>
      <c r="U306" t="s">
        <v>2596</v>
      </c>
      <c r="V306">
        <v>2</v>
      </c>
      <c r="W306" t="s">
        <v>2596</v>
      </c>
      <c r="X306">
        <v>2</v>
      </c>
      <c r="Y306">
        <f>VLOOKUP(Table_clu7sql1_ssdb_REPORT_vw_IE_External_MI_SON[[#This Row],[URN]],[1]Data!$D$2:$BB$1084,31,)</f>
        <v>2</v>
      </c>
      <c r="Z306" t="s">
        <v>2596</v>
      </c>
      <c r="AA306" t="s">
        <v>2596</v>
      </c>
      <c r="AB306" t="s">
        <v>2886</v>
      </c>
      <c r="AC306" t="s">
        <v>2596</v>
      </c>
      <c r="AD306" t="s">
        <v>2596</v>
      </c>
      <c r="AE306" t="s">
        <v>2596</v>
      </c>
      <c r="AF306" t="s">
        <v>2596</v>
      </c>
      <c r="AG306" t="s">
        <v>2596</v>
      </c>
      <c r="AH306" t="s">
        <v>2596</v>
      </c>
    </row>
    <row r="307" spans="1:34" x14ac:dyDescent="0.25">
      <c r="A307" s="111" t="str">
        <f>HYPERLINK("http://www.ofsted.gov.uk/inspection-reports/find-inspection-report/provider/ELS/130310 ","Ofsted School Webpage")</f>
        <v>Ofsted School Webpage</v>
      </c>
      <c r="B307">
        <v>130310</v>
      </c>
      <c r="C307">
        <v>8506063</v>
      </c>
      <c r="D307" t="s">
        <v>881</v>
      </c>
      <c r="E307" t="s">
        <v>37</v>
      </c>
      <c r="F307" t="s">
        <v>142</v>
      </c>
      <c r="G307" t="s">
        <v>142</v>
      </c>
      <c r="H307" t="s">
        <v>2595</v>
      </c>
      <c r="I307" t="s">
        <v>2596</v>
      </c>
      <c r="J307" t="s">
        <v>143</v>
      </c>
      <c r="K307" t="s">
        <v>139</v>
      </c>
      <c r="L307" t="s">
        <v>139</v>
      </c>
      <c r="M307" t="s">
        <v>158</v>
      </c>
      <c r="N307" t="s">
        <v>882</v>
      </c>
      <c r="O307">
        <v>10008604</v>
      </c>
      <c r="P307" s="108">
        <v>42655</v>
      </c>
      <c r="Q307" s="108">
        <v>42657</v>
      </c>
      <c r="R307" s="108">
        <v>42695</v>
      </c>
      <c r="S307" t="s">
        <v>153</v>
      </c>
      <c r="T307">
        <v>3</v>
      </c>
      <c r="U307" t="s">
        <v>123</v>
      </c>
      <c r="V307">
        <v>3</v>
      </c>
      <c r="W307">
        <v>2</v>
      </c>
      <c r="X307">
        <v>3</v>
      </c>
      <c r="Y307">
        <f>VLOOKUP(Table_clu7sql1_ssdb_REPORT_vw_IE_External_MI_SON[[#This Row],[URN]],[1]Data!$D$2:$BB$1084,31,)</f>
        <v>3</v>
      </c>
      <c r="Z307" t="s">
        <v>2596</v>
      </c>
      <c r="AA307" t="s">
        <v>2596</v>
      </c>
      <c r="AB307" t="s">
        <v>2598</v>
      </c>
      <c r="AC307" t="s">
        <v>2596</v>
      </c>
      <c r="AD307" t="s">
        <v>2596</v>
      </c>
      <c r="AE307" t="s">
        <v>2596</v>
      </c>
      <c r="AF307" t="s">
        <v>2596</v>
      </c>
      <c r="AG307" t="s">
        <v>2596</v>
      </c>
      <c r="AH307" t="s">
        <v>2596</v>
      </c>
    </row>
    <row r="308" spans="1:34" x14ac:dyDescent="0.25">
      <c r="A308" s="111" t="str">
        <f>HYPERLINK("http://www.ofsted.gov.uk/inspection-reports/find-inspection-report/provider/ELS/130318 ","Ofsted School Webpage")</f>
        <v>Ofsted School Webpage</v>
      </c>
      <c r="B308">
        <v>130318</v>
      </c>
      <c r="C308">
        <v>3526040</v>
      </c>
      <c r="D308" t="s">
        <v>1477</v>
      </c>
      <c r="E308" t="s">
        <v>36</v>
      </c>
      <c r="F308" t="s">
        <v>261</v>
      </c>
      <c r="G308" t="s">
        <v>180</v>
      </c>
      <c r="H308" t="s">
        <v>2595</v>
      </c>
      <c r="I308" t="s">
        <v>2596</v>
      </c>
      <c r="J308" t="s">
        <v>143</v>
      </c>
      <c r="K308" t="s">
        <v>162</v>
      </c>
      <c r="L308" t="s">
        <v>162</v>
      </c>
      <c r="M308" t="s">
        <v>263</v>
      </c>
      <c r="N308" t="s">
        <v>1478</v>
      </c>
      <c r="O308">
        <v>10007534</v>
      </c>
      <c r="P308" s="108">
        <v>42276</v>
      </c>
      <c r="Q308" s="108">
        <v>42278</v>
      </c>
      <c r="R308" s="108">
        <v>42318</v>
      </c>
      <c r="S308" t="s">
        <v>153</v>
      </c>
      <c r="T308">
        <v>1</v>
      </c>
      <c r="U308" t="s">
        <v>123</v>
      </c>
      <c r="V308">
        <v>1</v>
      </c>
      <c r="W308">
        <v>1</v>
      </c>
      <c r="X308">
        <v>1</v>
      </c>
      <c r="Y308">
        <f>VLOOKUP(Table_clu7sql1_ssdb_REPORT_vw_IE_External_MI_SON[[#This Row],[URN]],[1]Data!$D$2:$BB$1084,31,)</f>
        <v>1</v>
      </c>
      <c r="Z308" t="s">
        <v>2596</v>
      </c>
      <c r="AA308" t="s">
        <v>2596</v>
      </c>
      <c r="AB308" t="s">
        <v>2598</v>
      </c>
      <c r="AC308" t="s">
        <v>2596</v>
      </c>
      <c r="AD308" t="s">
        <v>2596</v>
      </c>
      <c r="AE308" s="108" t="s">
        <v>2596</v>
      </c>
      <c r="AF308" t="s">
        <v>2596</v>
      </c>
      <c r="AG308" s="108" t="s">
        <v>2596</v>
      </c>
      <c r="AH308" t="s">
        <v>2596</v>
      </c>
    </row>
    <row r="309" spans="1:34" x14ac:dyDescent="0.25">
      <c r="A309" s="111" t="str">
        <f>HYPERLINK("http://www.ofsted.gov.uk/inspection-reports/find-inspection-report/provider/ELS/130321 ","Ofsted School Webpage")</f>
        <v>Ofsted School Webpage</v>
      </c>
      <c r="B309">
        <v>130321</v>
      </c>
      <c r="C309">
        <v>8656027</v>
      </c>
      <c r="D309" t="s">
        <v>181</v>
      </c>
      <c r="E309" t="s">
        <v>36</v>
      </c>
      <c r="F309" t="s">
        <v>142</v>
      </c>
      <c r="G309" t="s">
        <v>169</v>
      </c>
      <c r="H309" t="s">
        <v>2595</v>
      </c>
      <c r="I309" t="s">
        <v>2596</v>
      </c>
      <c r="J309" t="s">
        <v>143</v>
      </c>
      <c r="K309" t="s">
        <v>182</v>
      </c>
      <c r="L309" t="s">
        <v>182</v>
      </c>
      <c r="M309" t="s">
        <v>183</v>
      </c>
      <c r="N309" t="s">
        <v>184</v>
      </c>
      <c r="O309">
        <v>10033888</v>
      </c>
      <c r="P309" s="108">
        <v>42990</v>
      </c>
      <c r="Q309" s="108">
        <v>42992</v>
      </c>
      <c r="R309" s="108">
        <v>43027</v>
      </c>
      <c r="S309" t="s">
        <v>153</v>
      </c>
      <c r="T309">
        <v>2</v>
      </c>
      <c r="U309" t="s">
        <v>123</v>
      </c>
      <c r="V309">
        <v>2</v>
      </c>
      <c r="W309">
        <v>2</v>
      </c>
      <c r="X309">
        <v>2</v>
      </c>
      <c r="Y309">
        <f>VLOOKUP(Table_clu7sql1_ssdb_REPORT_vw_IE_External_MI_SON[[#This Row],[URN]],[1]Data!$D$2:$BB$1084,31,)</f>
        <v>2</v>
      </c>
      <c r="Z309">
        <v>2</v>
      </c>
      <c r="AA309" t="s">
        <v>2596</v>
      </c>
      <c r="AB309" t="s">
        <v>2598</v>
      </c>
      <c r="AC309" t="s">
        <v>2596</v>
      </c>
      <c r="AD309" t="s">
        <v>2596</v>
      </c>
      <c r="AE309" t="s">
        <v>2596</v>
      </c>
      <c r="AF309" t="s">
        <v>2596</v>
      </c>
      <c r="AG309" t="s">
        <v>2596</v>
      </c>
      <c r="AH309" t="s">
        <v>2596</v>
      </c>
    </row>
    <row r="310" spans="1:34" x14ac:dyDescent="0.25">
      <c r="A310" s="111" t="str">
        <f>HYPERLINK("http://www.ofsted.gov.uk/inspection-reports/find-inspection-report/provider/ELS/130323 ","Ofsted School Webpage")</f>
        <v>Ofsted School Webpage</v>
      </c>
      <c r="B310">
        <v>130323</v>
      </c>
      <c r="C310">
        <v>3356009</v>
      </c>
      <c r="D310" t="s">
        <v>1451</v>
      </c>
      <c r="E310" t="s">
        <v>36</v>
      </c>
      <c r="F310" t="s">
        <v>1449</v>
      </c>
      <c r="G310" t="s">
        <v>169</v>
      </c>
      <c r="H310" t="s">
        <v>2595</v>
      </c>
      <c r="I310" t="s">
        <v>2596</v>
      </c>
      <c r="J310" t="s">
        <v>143</v>
      </c>
      <c r="K310" t="s">
        <v>150</v>
      </c>
      <c r="L310" t="s">
        <v>150</v>
      </c>
      <c r="M310" t="s">
        <v>1452</v>
      </c>
      <c r="N310" t="s">
        <v>1453</v>
      </c>
      <c r="O310">
        <v>10012980</v>
      </c>
      <c r="P310" s="108">
        <v>42562</v>
      </c>
      <c r="Q310" s="108">
        <v>42564</v>
      </c>
      <c r="R310" s="108">
        <v>42629</v>
      </c>
      <c r="S310" t="s">
        <v>153</v>
      </c>
      <c r="T310">
        <v>3</v>
      </c>
      <c r="U310" t="s">
        <v>123</v>
      </c>
      <c r="V310">
        <v>3</v>
      </c>
      <c r="W310">
        <v>3</v>
      </c>
      <c r="X310">
        <v>3</v>
      </c>
      <c r="Y310">
        <f>VLOOKUP(Table_clu7sql1_ssdb_REPORT_vw_IE_External_MI_SON[[#This Row],[URN]],[1]Data!$D$2:$BB$1084,31,)</f>
        <v>3</v>
      </c>
      <c r="Z310">
        <v>3</v>
      </c>
      <c r="AA310" t="s">
        <v>2596</v>
      </c>
      <c r="AB310" t="s">
        <v>2598</v>
      </c>
      <c r="AC310" t="s">
        <v>2596</v>
      </c>
      <c r="AD310" t="s">
        <v>2596</v>
      </c>
      <c r="AE310" t="s">
        <v>2596</v>
      </c>
      <c r="AF310" t="s">
        <v>2596</v>
      </c>
      <c r="AG310" t="s">
        <v>2596</v>
      </c>
      <c r="AH310" t="s">
        <v>2596</v>
      </c>
    </row>
    <row r="311" spans="1:34" x14ac:dyDescent="0.25">
      <c r="A311" s="111" t="str">
        <f>HYPERLINK("http://www.ofsted.gov.uk/inspection-reports/find-inspection-report/provider/ELS/130331 ","Ofsted School Webpage")</f>
        <v>Ofsted School Webpage</v>
      </c>
      <c r="B311">
        <v>130331</v>
      </c>
      <c r="C311">
        <v>8216001</v>
      </c>
      <c r="D311" t="s">
        <v>2895</v>
      </c>
      <c r="E311" t="s">
        <v>36</v>
      </c>
      <c r="F311" t="s">
        <v>142</v>
      </c>
      <c r="G311" t="s">
        <v>180</v>
      </c>
      <c r="H311" t="s">
        <v>2595</v>
      </c>
      <c r="I311" t="s">
        <v>2596</v>
      </c>
      <c r="J311" t="s">
        <v>143</v>
      </c>
      <c r="K311" t="s">
        <v>177</v>
      </c>
      <c r="L311" t="s">
        <v>177</v>
      </c>
      <c r="M311" t="s">
        <v>178</v>
      </c>
      <c r="N311" t="s">
        <v>695</v>
      </c>
      <c r="O311">
        <v>10043844</v>
      </c>
      <c r="P311" s="108">
        <v>43116</v>
      </c>
      <c r="Q311" s="108">
        <v>43118</v>
      </c>
      <c r="R311" s="108">
        <v>43171</v>
      </c>
      <c r="S311" t="s">
        <v>153</v>
      </c>
      <c r="T311">
        <v>4</v>
      </c>
      <c r="U311" t="s">
        <v>124</v>
      </c>
      <c r="V311">
        <v>4</v>
      </c>
      <c r="W311">
        <v>4</v>
      </c>
      <c r="X311">
        <v>4</v>
      </c>
      <c r="Y311">
        <f>VLOOKUP(Table_clu7sql1_ssdb_REPORT_vw_IE_External_MI_SON[[#This Row],[URN]],[1]Data!$D$2:$BB$1084,31,)</f>
        <v>3</v>
      </c>
      <c r="Z311" t="s">
        <v>2596</v>
      </c>
      <c r="AA311" t="s">
        <v>2596</v>
      </c>
      <c r="AB311" t="s">
        <v>2599</v>
      </c>
      <c r="AC311" t="s">
        <v>2596</v>
      </c>
      <c r="AD311" t="s">
        <v>2596</v>
      </c>
      <c r="AE311" s="108" t="s">
        <v>2596</v>
      </c>
      <c r="AF311" t="s">
        <v>2596</v>
      </c>
      <c r="AG311" s="108" t="s">
        <v>2596</v>
      </c>
      <c r="AH311" t="s">
        <v>2596</v>
      </c>
    </row>
    <row r="312" spans="1:34" x14ac:dyDescent="0.25">
      <c r="A312" s="111" t="str">
        <f>HYPERLINK("http://www.ofsted.gov.uk/inspection-reports/find-inspection-report/provider/ELS/130367 ","Ofsted School Webpage")</f>
        <v>Ofsted School Webpage</v>
      </c>
      <c r="B312">
        <v>130367</v>
      </c>
      <c r="C312">
        <v>9096048</v>
      </c>
      <c r="D312" t="s">
        <v>1288</v>
      </c>
      <c r="E312" t="s">
        <v>37</v>
      </c>
      <c r="F312" t="s">
        <v>142</v>
      </c>
      <c r="G312" t="s">
        <v>142</v>
      </c>
      <c r="H312" t="s">
        <v>2595</v>
      </c>
      <c r="I312" t="s">
        <v>2596</v>
      </c>
      <c r="J312" t="s">
        <v>143</v>
      </c>
      <c r="K312" t="s">
        <v>162</v>
      </c>
      <c r="L312" t="s">
        <v>162</v>
      </c>
      <c r="M312" t="s">
        <v>895</v>
      </c>
      <c r="N312" t="s">
        <v>1289</v>
      </c>
      <c r="O312">
        <v>10033386</v>
      </c>
      <c r="P312" s="108">
        <v>42801</v>
      </c>
      <c r="Q312" s="108">
        <v>42803</v>
      </c>
      <c r="R312" s="108">
        <v>42828</v>
      </c>
      <c r="S312" t="s">
        <v>153</v>
      </c>
      <c r="T312">
        <v>2</v>
      </c>
      <c r="U312" t="s">
        <v>123</v>
      </c>
      <c r="V312">
        <v>2</v>
      </c>
      <c r="W312">
        <v>1</v>
      </c>
      <c r="X312">
        <v>2</v>
      </c>
      <c r="Y312">
        <f>VLOOKUP(Table_clu7sql1_ssdb_REPORT_vw_IE_External_MI_SON[[#This Row],[URN]],[1]Data!$D$2:$BB$1084,31,)</f>
        <v>2</v>
      </c>
      <c r="Z312" t="s">
        <v>2596</v>
      </c>
      <c r="AA312" t="s">
        <v>2596</v>
      </c>
      <c r="AB312" t="s">
        <v>2598</v>
      </c>
      <c r="AC312" t="s">
        <v>2596</v>
      </c>
      <c r="AD312" t="s">
        <v>2596</v>
      </c>
      <c r="AE312" t="s">
        <v>2596</v>
      </c>
      <c r="AF312" t="s">
        <v>2596</v>
      </c>
      <c r="AG312" t="s">
        <v>2596</v>
      </c>
      <c r="AH312" t="s">
        <v>2596</v>
      </c>
    </row>
    <row r="313" spans="1:34" x14ac:dyDescent="0.25">
      <c r="A313" s="111" t="str">
        <f>HYPERLINK("http://www.ofsted.gov.uk/inspection-reports/find-inspection-report/provider/ELS/130391 ","Ofsted School Webpage")</f>
        <v>Ofsted School Webpage</v>
      </c>
      <c r="B313">
        <v>130391</v>
      </c>
      <c r="C313">
        <v>8016130</v>
      </c>
      <c r="D313" t="s">
        <v>341</v>
      </c>
      <c r="E313" t="s">
        <v>36</v>
      </c>
      <c r="F313" t="s">
        <v>261</v>
      </c>
      <c r="G313" t="s">
        <v>180</v>
      </c>
      <c r="H313" t="s">
        <v>2595</v>
      </c>
      <c r="I313" t="s">
        <v>2596</v>
      </c>
      <c r="J313" t="s">
        <v>143</v>
      </c>
      <c r="K313" t="s">
        <v>182</v>
      </c>
      <c r="L313" t="s">
        <v>182</v>
      </c>
      <c r="M313" t="s">
        <v>317</v>
      </c>
      <c r="N313" t="s">
        <v>342</v>
      </c>
      <c r="O313">
        <v>10039498</v>
      </c>
      <c r="P313" s="108">
        <v>43004</v>
      </c>
      <c r="Q313" s="108">
        <v>43006</v>
      </c>
      <c r="R313" s="108">
        <v>43045</v>
      </c>
      <c r="S313" t="s">
        <v>153</v>
      </c>
      <c r="T313">
        <v>4</v>
      </c>
      <c r="U313" t="s">
        <v>123</v>
      </c>
      <c r="V313">
        <v>4</v>
      </c>
      <c r="W313">
        <v>3</v>
      </c>
      <c r="X313">
        <v>4</v>
      </c>
      <c r="Y313">
        <f>VLOOKUP(Table_clu7sql1_ssdb_REPORT_vw_IE_External_MI_SON[[#This Row],[URN]],[1]Data!$D$2:$BB$1084,31,)</f>
        <v>4</v>
      </c>
      <c r="Z313">
        <v>3</v>
      </c>
      <c r="AA313" t="s">
        <v>2596</v>
      </c>
      <c r="AB313" t="s">
        <v>2599</v>
      </c>
      <c r="AC313" t="s">
        <v>2596</v>
      </c>
      <c r="AD313" t="s">
        <v>2596</v>
      </c>
      <c r="AE313" t="s">
        <v>2596</v>
      </c>
      <c r="AF313" t="s">
        <v>2596</v>
      </c>
      <c r="AG313" t="s">
        <v>2596</v>
      </c>
      <c r="AH313" t="s">
        <v>2596</v>
      </c>
    </row>
    <row r="314" spans="1:34" x14ac:dyDescent="0.25">
      <c r="A314" s="111" t="str">
        <f>HYPERLINK("http://www.ofsted.gov.uk/inspection-reports/find-inspection-report/provider/ELS/130398 ","Ofsted School Webpage")</f>
        <v>Ofsted School Webpage</v>
      </c>
      <c r="B314">
        <v>130398</v>
      </c>
      <c r="C314">
        <v>2126398</v>
      </c>
      <c r="D314" t="s">
        <v>2459</v>
      </c>
      <c r="E314" t="s">
        <v>36</v>
      </c>
      <c r="F314" t="s">
        <v>142</v>
      </c>
      <c r="G314" t="s">
        <v>142</v>
      </c>
      <c r="H314" t="s">
        <v>2595</v>
      </c>
      <c r="I314" t="s">
        <v>2596</v>
      </c>
      <c r="J314" t="s">
        <v>143</v>
      </c>
      <c r="K314" t="s">
        <v>189</v>
      </c>
      <c r="L314" t="s">
        <v>189</v>
      </c>
      <c r="M314" t="s">
        <v>391</v>
      </c>
      <c r="N314" t="s">
        <v>2460</v>
      </c>
      <c r="O314">
        <v>10026281</v>
      </c>
      <c r="P314" s="108">
        <v>43123</v>
      </c>
      <c r="Q314" s="108">
        <v>43125</v>
      </c>
      <c r="R314" s="108">
        <v>43158</v>
      </c>
      <c r="S314" t="s">
        <v>153</v>
      </c>
      <c r="T314">
        <v>1</v>
      </c>
      <c r="U314" t="s">
        <v>123</v>
      </c>
      <c r="V314">
        <v>1</v>
      </c>
      <c r="W314">
        <v>1</v>
      </c>
      <c r="X314">
        <v>1</v>
      </c>
      <c r="Y314">
        <f>VLOOKUP(Table_clu7sql1_ssdb_REPORT_vw_IE_External_MI_SON[[#This Row],[URN]],[1]Data!$D$2:$BB$1084,31,)</f>
        <v>1</v>
      </c>
      <c r="Z314">
        <v>1</v>
      </c>
      <c r="AA314" t="s">
        <v>2596</v>
      </c>
      <c r="AB314" t="s">
        <v>2598</v>
      </c>
      <c r="AC314" t="s">
        <v>2596</v>
      </c>
      <c r="AD314" t="s">
        <v>2596</v>
      </c>
      <c r="AE314" t="s">
        <v>2596</v>
      </c>
      <c r="AF314" t="s">
        <v>2596</v>
      </c>
      <c r="AG314" t="s">
        <v>2596</v>
      </c>
      <c r="AH314" t="s">
        <v>2596</v>
      </c>
    </row>
    <row r="315" spans="1:34" x14ac:dyDescent="0.25">
      <c r="A315" s="111" t="str">
        <f>HYPERLINK("http://www.ofsted.gov.uk/inspection-reports/find-inspection-report/provider/ELS/130399 ","Ofsted School Webpage")</f>
        <v>Ofsted School Webpage</v>
      </c>
      <c r="B315">
        <v>130399</v>
      </c>
      <c r="C315">
        <v>3576001</v>
      </c>
      <c r="D315" t="s">
        <v>2175</v>
      </c>
      <c r="E315" t="s">
        <v>36</v>
      </c>
      <c r="F315" t="s">
        <v>142</v>
      </c>
      <c r="G315" t="s">
        <v>142</v>
      </c>
      <c r="H315" t="s">
        <v>2595</v>
      </c>
      <c r="I315" t="s">
        <v>2596</v>
      </c>
      <c r="J315" t="s">
        <v>143</v>
      </c>
      <c r="K315" t="s">
        <v>162</v>
      </c>
      <c r="L315" t="s">
        <v>162</v>
      </c>
      <c r="M315" t="s">
        <v>808</v>
      </c>
      <c r="N315" t="s">
        <v>2176</v>
      </c>
      <c r="O315">
        <v>10008552</v>
      </c>
      <c r="P315" s="108">
        <v>42381</v>
      </c>
      <c r="Q315" s="108">
        <v>42383</v>
      </c>
      <c r="R315" s="108">
        <v>42430</v>
      </c>
      <c r="S315" t="s">
        <v>153</v>
      </c>
      <c r="T315">
        <v>2</v>
      </c>
      <c r="U315" t="s">
        <v>123</v>
      </c>
      <c r="V315">
        <v>2</v>
      </c>
      <c r="W315">
        <v>2</v>
      </c>
      <c r="X315">
        <v>2</v>
      </c>
      <c r="Y315">
        <f>VLOOKUP(Table_clu7sql1_ssdb_REPORT_vw_IE_External_MI_SON[[#This Row],[URN]],[1]Data!$D$2:$BB$1084,31,)</f>
        <v>2</v>
      </c>
      <c r="Z315">
        <v>2</v>
      </c>
      <c r="AA315" t="s">
        <v>2596</v>
      </c>
      <c r="AB315" t="s">
        <v>2598</v>
      </c>
      <c r="AC315" t="s">
        <v>2596</v>
      </c>
      <c r="AD315" t="s">
        <v>2596</v>
      </c>
      <c r="AE315" t="s">
        <v>2596</v>
      </c>
      <c r="AF315" t="s">
        <v>2596</v>
      </c>
      <c r="AG315" t="s">
        <v>2596</v>
      </c>
      <c r="AH315" t="s">
        <v>2596</v>
      </c>
    </row>
    <row r="316" spans="1:34" x14ac:dyDescent="0.25">
      <c r="A316" s="111" t="str">
        <f>HYPERLINK("http://www.ofsted.gov.uk/inspection-reports/find-inspection-report/provider/ELS/130826 ","Ofsted School Webpage")</f>
        <v>Ofsted School Webpage</v>
      </c>
      <c r="B316">
        <v>130826</v>
      </c>
      <c r="C316">
        <v>3026081</v>
      </c>
      <c r="D316" t="s">
        <v>1987</v>
      </c>
      <c r="E316" t="s">
        <v>36</v>
      </c>
      <c r="F316" t="s">
        <v>142</v>
      </c>
      <c r="G316" t="s">
        <v>275</v>
      </c>
      <c r="H316" t="s">
        <v>2595</v>
      </c>
      <c r="I316" t="s">
        <v>2596</v>
      </c>
      <c r="J316" t="s">
        <v>143</v>
      </c>
      <c r="K316" t="s">
        <v>189</v>
      </c>
      <c r="L316" t="s">
        <v>189</v>
      </c>
      <c r="M316" t="s">
        <v>268</v>
      </c>
      <c r="N316" t="s">
        <v>1988</v>
      </c>
      <c r="O316">
        <v>10035788</v>
      </c>
      <c r="P316" s="108">
        <v>43130</v>
      </c>
      <c r="Q316" s="108">
        <v>43132</v>
      </c>
      <c r="R316" s="108">
        <v>43164</v>
      </c>
      <c r="S316" t="s">
        <v>153</v>
      </c>
      <c r="T316">
        <v>3</v>
      </c>
      <c r="U316" t="s">
        <v>123</v>
      </c>
      <c r="V316">
        <v>3</v>
      </c>
      <c r="W316">
        <v>2</v>
      </c>
      <c r="X316">
        <v>3</v>
      </c>
      <c r="Y316">
        <f>VLOOKUP(Table_clu7sql1_ssdb_REPORT_vw_IE_External_MI_SON[[#This Row],[URN]],[1]Data!$D$2:$BB$1084,31,)</f>
        <v>3</v>
      </c>
      <c r="Z316">
        <v>3</v>
      </c>
      <c r="AA316" t="s">
        <v>2596</v>
      </c>
      <c r="AB316" t="s">
        <v>2598</v>
      </c>
      <c r="AC316" t="s">
        <v>2596</v>
      </c>
      <c r="AD316" t="s">
        <v>2596</v>
      </c>
      <c r="AE316" t="s">
        <v>2596</v>
      </c>
      <c r="AF316" t="s">
        <v>2596</v>
      </c>
      <c r="AG316" t="s">
        <v>2596</v>
      </c>
      <c r="AH316" t="s">
        <v>2596</v>
      </c>
    </row>
    <row r="317" spans="1:34" x14ac:dyDescent="0.25">
      <c r="A317" s="111" t="str">
        <f>HYPERLINK("http://www.ofsted.gov.uk/inspection-reports/find-inspection-report/provider/ELS/130854 ","Ofsted School Webpage")</f>
        <v>Ofsted School Webpage</v>
      </c>
      <c r="B317">
        <v>130854</v>
      </c>
      <c r="C317">
        <v>9356084</v>
      </c>
      <c r="D317" t="s">
        <v>865</v>
      </c>
      <c r="E317" t="s">
        <v>37</v>
      </c>
      <c r="F317" t="s">
        <v>142</v>
      </c>
      <c r="G317" t="s">
        <v>142</v>
      </c>
      <c r="H317" t="s">
        <v>2595</v>
      </c>
      <c r="I317" t="s">
        <v>2596</v>
      </c>
      <c r="J317" t="s">
        <v>143</v>
      </c>
      <c r="K317" t="s">
        <v>177</v>
      </c>
      <c r="L317" t="s">
        <v>177</v>
      </c>
      <c r="M317" t="s">
        <v>254</v>
      </c>
      <c r="N317" t="s">
        <v>866</v>
      </c>
      <c r="O317">
        <v>10008942</v>
      </c>
      <c r="P317" s="108">
        <v>42920</v>
      </c>
      <c r="Q317" s="108">
        <v>42922</v>
      </c>
      <c r="R317" s="108">
        <v>42969</v>
      </c>
      <c r="S317" t="s">
        <v>3005</v>
      </c>
      <c r="T317">
        <v>3</v>
      </c>
      <c r="U317" t="s">
        <v>123</v>
      </c>
      <c r="V317">
        <v>3</v>
      </c>
      <c r="W317">
        <v>2</v>
      </c>
      <c r="X317">
        <v>2</v>
      </c>
      <c r="Y317">
        <f>VLOOKUP(Table_clu7sql1_ssdb_REPORT_vw_IE_External_MI_SON[[#This Row],[URN]],[1]Data!$D$2:$BB$1084,31,)</f>
        <v>2</v>
      </c>
      <c r="Z317" t="s">
        <v>2596</v>
      </c>
      <c r="AA317" t="s">
        <v>2596</v>
      </c>
      <c r="AB317" t="s">
        <v>2598</v>
      </c>
      <c r="AC317" t="s">
        <v>2596</v>
      </c>
      <c r="AD317" t="s">
        <v>2596</v>
      </c>
      <c r="AE317" s="108" t="s">
        <v>2596</v>
      </c>
      <c r="AF317" t="s">
        <v>2596</v>
      </c>
      <c r="AG317" s="108" t="s">
        <v>2596</v>
      </c>
      <c r="AH317" t="s">
        <v>2596</v>
      </c>
    </row>
    <row r="318" spans="1:34" x14ac:dyDescent="0.25">
      <c r="A318" s="111" t="str">
        <f>HYPERLINK("http://www.ofsted.gov.uk/inspection-reports/find-inspection-report/provider/ELS/130855 ","Ofsted School Webpage")</f>
        <v>Ofsted School Webpage</v>
      </c>
      <c r="B318">
        <v>130855</v>
      </c>
      <c r="C318">
        <v>9356085</v>
      </c>
      <c r="D318" t="s">
        <v>966</v>
      </c>
      <c r="E318" t="s">
        <v>37</v>
      </c>
      <c r="F318" t="s">
        <v>142</v>
      </c>
      <c r="G318" t="s">
        <v>142</v>
      </c>
      <c r="H318" t="s">
        <v>2595</v>
      </c>
      <c r="I318" t="s">
        <v>2596</v>
      </c>
      <c r="J318" t="s">
        <v>143</v>
      </c>
      <c r="K318" t="s">
        <v>177</v>
      </c>
      <c r="L318" t="s">
        <v>177</v>
      </c>
      <c r="M318" t="s">
        <v>254</v>
      </c>
      <c r="N318" t="s">
        <v>967</v>
      </c>
      <c r="O318">
        <v>10006121</v>
      </c>
      <c r="P318" s="108">
        <v>42773</v>
      </c>
      <c r="Q318" s="108">
        <v>42775</v>
      </c>
      <c r="R318" s="108">
        <v>42830</v>
      </c>
      <c r="S318" t="s">
        <v>153</v>
      </c>
      <c r="T318">
        <v>4</v>
      </c>
      <c r="U318" t="s">
        <v>124</v>
      </c>
      <c r="V318">
        <v>4</v>
      </c>
      <c r="W318">
        <v>4</v>
      </c>
      <c r="X318">
        <v>2</v>
      </c>
      <c r="Y318">
        <f>VLOOKUP(Table_clu7sql1_ssdb_REPORT_vw_IE_External_MI_SON[[#This Row],[URN]],[1]Data!$D$2:$BB$1084,31,)</f>
        <v>2</v>
      </c>
      <c r="Z318" t="s">
        <v>2596</v>
      </c>
      <c r="AA318" t="s">
        <v>2596</v>
      </c>
      <c r="AB318" t="s">
        <v>2599</v>
      </c>
      <c r="AC318">
        <v>10040350</v>
      </c>
      <c r="AD318" t="s">
        <v>144</v>
      </c>
      <c r="AE318" s="108">
        <v>43061</v>
      </c>
      <c r="AF318" t="s">
        <v>2636</v>
      </c>
      <c r="AG318" s="108">
        <v>43090</v>
      </c>
      <c r="AH318" t="s">
        <v>174</v>
      </c>
    </row>
    <row r="319" spans="1:34" x14ac:dyDescent="0.25">
      <c r="A319" s="111" t="str">
        <f>HYPERLINK("http://www.ofsted.gov.uk/inspection-reports/find-inspection-report/provider/ELS/130857 ","Ofsted School Webpage")</f>
        <v>Ofsted School Webpage</v>
      </c>
      <c r="B319">
        <v>130857</v>
      </c>
      <c r="C319">
        <v>3806066</v>
      </c>
      <c r="D319" t="s">
        <v>1672</v>
      </c>
      <c r="E319" t="s">
        <v>36</v>
      </c>
      <c r="F319" t="s">
        <v>180</v>
      </c>
      <c r="G319" t="s">
        <v>180</v>
      </c>
      <c r="H319" t="s">
        <v>2595</v>
      </c>
      <c r="I319" t="s">
        <v>2596</v>
      </c>
      <c r="J319" t="s">
        <v>143</v>
      </c>
      <c r="K319" t="s">
        <v>202</v>
      </c>
      <c r="L319" t="s">
        <v>203</v>
      </c>
      <c r="M319" t="s">
        <v>295</v>
      </c>
      <c r="N319" t="s">
        <v>1673</v>
      </c>
      <c r="O319">
        <v>10007706</v>
      </c>
      <c r="P319" s="108">
        <v>42437</v>
      </c>
      <c r="Q319" s="108">
        <v>42439</v>
      </c>
      <c r="R319" s="108">
        <v>42466</v>
      </c>
      <c r="S319" t="s">
        <v>153</v>
      </c>
      <c r="T319">
        <v>2</v>
      </c>
      <c r="U319" t="s">
        <v>123</v>
      </c>
      <c r="V319">
        <v>2</v>
      </c>
      <c r="W319">
        <v>2</v>
      </c>
      <c r="X319">
        <v>2</v>
      </c>
      <c r="Y319">
        <f>VLOOKUP(Table_clu7sql1_ssdb_REPORT_vw_IE_External_MI_SON[[#This Row],[URN]],[1]Data!$D$2:$BB$1084,31,)</f>
        <v>2</v>
      </c>
      <c r="Z319">
        <v>2</v>
      </c>
      <c r="AA319" t="s">
        <v>2596</v>
      </c>
      <c r="AB319" t="s">
        <v>2598</v>
      </c>
      <c r="AC319" t="s">
        <v>2596</v>
      </c>
      <c r="AD319" t="s">
        <v>2596</v>
      </c>
      <c r="AE319" t="s">
        <v>2596</v>
      </c>
      <c r="AF319" t="s">
        <v>2596</v>
      </c>
      <c r="AG319" t="s">
        <v>2596</v>
      </c>
      <c r="AH319" t="s">
        <v>2596</v>
      </c>
    </row>
    <row r="320" spans="1:34" x14ac:dyDescent="0.25">
      <c r="A320" s="111" t="str">
        <f>HYPERLINK("http://www.ofsted.gov.uk/inspection-reports/find-inspection-report/provider/ELS/130902 ","Ofsted School Webpage")</f>
        <v>Ofsted School Webpage</v>
      </c>
      <c r="B320">
        <v>130902</v>
      </c>
      <c r="C320">
        <v>8886096</v>
      </c>
      <c r="D320" t="s">
        <v>572</v>
      </c>
      <c r="E320" t="s">
        <v>37</v>
      </c>
      <c r="F320" t="s">
        <v>142</v>
      </c>
      <c r="G320" t="s">
        <v>142</v>
      </c>
      <c r="H320" t="s">
        <v>2595</v>
      </c>
      <c r="I320" t="s">
        <v>2596</v>
      </c>
      <c r="J320" t="s">
        <v>143</v>
      </c>
      <c r="K320" t="s">
        <v>162</v>
      </c>
      <c r="L320" t="s">
        <v>162</v>
      </c>
      <c r="M320" t="s">
        <v>163</v>
      </c>
      <c r="N320" t="s">
        <v>550</v>
      </c>
      <c r="O320">
        <v>10006077</v>
      </c>
      <c r="P320" s="108">
        <v>42661</v>
      </c>
      <c r="Q320" s="108">
        <v>42663</v>
      </c>
      <c r="R320" s="108">
        <v>42696</v>
      </c>
      <c r="S320" t="s">
        <v>153</v>
      </c>
      <c r="T320">
        <v>2</v>
      </c>
      <c r="U320" t="s">
        <v>123</v>
      </c>
      <c r="V320">
        <v>2</v>
      </c>
      <c r="W320">
        <v>2</v>
      </c>
      <c r="X320">
        <v>2</v>
      </c>
      <c r="Y320">
        <f>VLOOKUP(Table_clu7sql1_ssdb_REPORT_vw_IE_External_MI_SON[[#This Row],[URN]],[1]Data!$D$2:$BB$1084,31,)</f>
        <v>2</v>
      </c>
      <c r="Z320" t="s">
        <v>2596</v>
      </c>
      <c r="AA320" t="s">
        <v>2596</v>
      </c>
      <c r="AB320" t="s">
        <v>2598</v>
      </c>
      <c r="AC320" t="s">
        <v>2596</v>
      </c>
      <c r="AD320" t="s">
        <v>2596</v>
      </c>
      <c r="AE320" t="s">
        <v>2596</v>
      </c>
      <c r="AF320" t="s">
        <v>2596</v>
      </c>
      <c r="AG320" t="s">
        <v>2596</v>
      </c>
      <c r="AH320" t="s">
        <v>2596</v>
      </c>
    </row>
    <row r="321" spans="1:34" x14ac:dyDescent="0.25">
      <c r="A321" s="111" t="str">
        <f>HYPERLINK("http://www.ofsted.gov.uk/inspection-reports/find-inspection-report/provider/ELS/130913 ","Ofsted School Webpage")</f>
        <v>Ofsted School Webpage</v>
      </c>
      <c r="B321">
        <v>130913</v>
      </c>
      <c r="C321">
        <v>3576056</v>
      </c>
      <c r="D321" t="s">
        <v>982</v>
      </c>
      <c r="E321" t="s">
        <v>37</v>
      </c>
      <c r="F321" t="s">
        <v>142</v>
      </c>
      <c r="G321" t="s">
        <v>142</v>
      </c>
      <c r="H321" t="s">
        <v>2595</v>
      </c>
      <c r="I321" t="s">
        <v>2596</v>
      </c>
      <c r="J321" t="s">
        <v>143</v>
      </c>
      <c r="K321" t="s">
        <v>162</v>
      </c>
      <c r="L321" t="s">
        <v>162</v>
      </c>
      <c r="M321" t="s">
        <v>808</v>
      </c>
      <c r="N321" t="s">
        <v>550</v>
      </c>
      <c r="O321">
        <v>10008892</v>
      </c>
      <c r="P321" s="108">
        <v>42661</v>
      </c>
      <c r="Q321" s="108">
        <v>42662</v>
      </c>
      <c r="R321" s="108">
        <v>42702</v>
      </c>
      <c r="S321" t="s">
        <v>3005</v>
      </c>
      <c r="T321">
        <v>2</v>
      </c>
      <c r="U321" t="s">
        <v>123</v>
      </c>
      <c r="V321">
        <v>2</v>
      </c>
      <c r="W321">
        <v>2</v>
      </c>
      <c r="X321">
        <v>2</v>
      </c>
      <c r="Y321">
        <f>VLOOKUP(Table_clu7sql1_ssdb_REPORT_vw_IE_External_MI_SON[[#This Row],[URN]],[1]Data!$D$2:$BB$1084,31,)</f>
        <v>2</v>
      </c>
      <c r="Z321" t="s">
        <v>2596</v>
      </c>
      <c r="AA321" t="s">
        <v>2596</v>
      </c>
      <c r="AB321" t="s">
        <v>2598</v>
      </c>
      <c r="AC321" t="s">
        <v>2596</v>
      </c>
      <c r="AD321" t="s">
        <v>2596</v>
      </c>
      <c r="AE321" t="s">
        <v>2596</v>
      </c>
      <c r="AF321" t="s">
        <v>2596</v>
      </c>
      <c r="AG321" t="s">
        <v>2596</v>
      </c>
      <c r="AH321" t="s">
        <v>2596</v>
      </c>
    </row>
    <row r="322" spans="1:34" x14ac:dyDescent="0.25">
      <c r="A322" s="111" t="str">
        <f>HYPERLINK("http://www.ofsted.gov.uk/inspection-reports/find-inspection-report/provider/ELS/130979 ","Ofsted School Webpage")</f>
        <v>Ofsted School Webpage</v>
      </c>
      <c r="B322">
        <v>130979</v>
      </c>
      <c r="C322">
        <v>8866110</v>
      </c>
      <c r="D322" t="s">
        <v>1174</v>
      </c>
      <c r="E322" t="s">
        <v>37</v>
      </c>
      <c r="F322" t="s">
        <v>142</v>
      </c>
      <c r="G322" t="s">
        <v>142</v>
      </c>
      <c r="H322" t="s">
        <v>2595</v>
      </c>
      <c r="I322" t="s">
        <v>2596</v>
      </c>
      <c r="J322" t="s">
        <v>143</v>
      </c>
      <c r="K322" t="s">
        <v>139</v>
      </c>
      <c r="L322" t="s">
        <v>139</v>
      </c>
      <c r="M322" t="s">
        <v>140</v>
      </c>
      <c r="N322" t="s">
        <v>1175</v>
      </c>
      <c r="O322">
        <v>10006114</v>
      </c>
      <c r="P322" s="108">
        <v>42654</v>
      </c>
      <c r="Q322" s="108">
        <v>42656</v>
      </c>
      <c r="R322" s="108">
        <v>42689</v>
      </c>
      <c r="S322" t="s">
        <v>153</v>
      </c>
      <c r="T322">
        <v>2</v>
      </c>
      <c r="U322" t="s">
        <v>123</v>
      </c>
      <c r="V322">
        <v>2</v>
      </c>
      <c r="W322">
        <v>2</v>
      </c>
      <c r="X322">
        <v>2</v>
      </c>
      <c r="Y322">
        <f>VLOOKUP(Table_clu7sql1_ssdb_REPORT_vw_IE_External_MI_SON[[#This Row],[URN]],[1]Data!$D$2:$BB$1084,31,)</f>
        <v>2</v>
      </c>
      <c r="Z322" t="s">
        <v>2596</v>
      </c>
      <c r="AA322" t="s">
        <v>2596</v>
      </c>
      <c r="AB322" t="s">
        <v>2598</v>
      </c>
      <c r="AC322" t="s">
        <v>2596</v>
      </c>
      <c r="AD322" t="s">
        <v>2596</v>
      </c>
      <c r="AE322" t="s">
        <v>2596</v>
      </c>
      <c r="AF322" t="s">
        <v>2596</v>
      </c>
      <c r="AG322" t="s">
        <v>2596</v>
      </c>
      <c r="AH322" t="s">
        <v>2596</v>
      </c>
    </row>
    <row r="323" spans="1:34" x14ac:dyDescent="0.25">
      <c r="A323" s="111" t="str">
        <f>HYPERLINK("http://www.ofsted.gov.uk/inspection-reports/find-inspection-report/provider/ELS/131004 ","Ofsted School Webpage")</f>
        <v>Ofsted School Webpage</v>
      </c>
      <c r="B323">
        <v>131004</v>
      </c>
      <c r="C323">
        <v>8606029</v>
      </c>
      <c r="D323" t="s">
        <v>537</v>
      </c>
      <c r="E323" t="s">
        <v>37</v>
      </c>
      <c r="F323" t="s">
        <v>142</v>
      </c>
      <c r="G323" t="s">
        <v>142</v>
      </c>
      <c r="H323" t="s">
        <v>2595</v>
      </c>
      <c r="I323" t="s">
        <v>2596</v>
      </c>
      <c r="J323" t="s">
        <v>143</v>
      </c>
      <c r="K323" t="s">
        <v>150</v>
      </c>
      <c r="L323" t="s">
        <v>150</v>
      </c>
      <c r="M323" t="s">
        <v>271</v>
      </c>
      <c r="N323" t="s">
        <v>538</v>
      </c>
      <c r="O323">
        <v>10008887</v>
      </c>
      <c r="P323" s="108">
        <v>42395</v>
      </c>
      <c r="Q323" s="108">
        <v>42397</v>
      </c>
      <c r="R323" s="108">
        <v>42440</v>
      </c>
      <c r="S323" t="s">
        <v>153</v>
      </c>
      <c r="T323">
        <v>3</v>
      </c>
      <c r="U323" t="s">
        <v>123</v>
      </c>
      <c r="V323">
        <v>3</v>
      </c>
      <c r="W323">
        <v>2</v>
      </c>
      <c r="X323">
        <v>3</v>
      </c>
      <c r="Y323">
        <f>VLOOKUP(Table_clu7sql1_ssdb_REPORT_vw_IE_External_MI_SON[[#This Row],[URN]],[1]Data!$D$2:$BB$1084,31,)</f>
        <v>3</v>
      </c>
      <c r="Z323" t="s">
        <v>2596</v>
      </c>
      <c r="AA323">
        <v>2</v>
      </c>
      <c r="AB323" t="s">
        <v>2599</v>
      </c>
      <c r="AC323">
        <v>10022003</v>
      </c>
      <c r="AD323" t="s">
        <v>144</v>
      </c>
      <c r="AE323" s="108">
        <v>42626</v>
      </c>
      <c r="AF323" t="s">
        <v>2634</v>
      </c>
      <c r="AG323" s="108">
        <v>42657</v>
      </c>
      <c r="AH323" t="s">
        <v>2638</v>
      </c>
    </row>
    <row r="324" spans="1:34" x14ac:dyDescent="0.25">
      <c r="A324" s="111" t="str">
        <f>HYPERLINK("http://www.ofsted.gov.uk/inspection-reports/find-inspection-report/provider/ELS/131015 ","Ofsted School Webpage")</f>
        <v>Ofsted School Webpage</v>
      </c>
      <c r="B324">
        <v>131015</v>
      </c>
      <c r="C324">
        <v>3526053</v>
      </c>
      <c r="D324" t="s">
        <v>2172</v>
      </c>
      <c r="E324" t="s">
        <v>36</v>
      </c>
      <c r="F324" t="s">
        <v>142</v>
      </c>
      <c r="G324" t="s">
        <v>275</v>
      </c>
      <c r="H324" t="s">
        <v>2595</v>
      </c>
      <c r="I324" t="s">
        <v>2596</v>
      </c>
      <c r="J324" t="s">
        <v>143</v>
      </c>
      <c r="K324" t="s">
        <v>162</v>
      </c>
      <c r="L324" t="s">
        <v>162</v>
      </c>
      <c r="M324" t="s">
        <v>263</v>
      </c>
      <c r="N324" t="s">
        <v>445</v>
      </c>
      <c r="O324">
        <v>10034025</v>
      </c>
      <c r="P324" s="108">
        <v>42990</v>
      </c>
      <c r="Q324" s="108">
        <v>42992</v>
      </c>
      <c r="R324" s="108">
        <v>43032</v>
      </c>
      <c r="S324" t="s">
        <v>153</v>
      </c>
      <c r="T324">
        <v>2</v>
      </c>
      <c r="U324" t="s">
        <v>123</v>
      </c>
      <c r="V324">
        <v>2</v>
      </c>
      <c r="W324">
        <v>2</v>
      </c>
      <c r="X324">
        <v>2</v>
      </c>
      <c r="Y324">
        <f>VLOOKUP(Table_clu7sql1_ssdb_REPORT_vw_IE_External_MI_SON[[#This Row],[URN]],[1]Data!$D$2:$BB$1084,31,)</f>
        <v>2</v>
      </c>
      <c r="Z324" t="s">
        <v>2596</v>
      </c>
      <c r="AA324" t="s">
        <v>2596</v>
      </c>
      <c r="AB324" t="s">
        <v>2598</v>
      </c>
      <c r="AC324" t="s">
        <v>2596</v>
      </c>
      <c r="AD324" t="s">
        <v>2596</v>
      </c>
      <c r="AE324" s="108" t="s">
        <v>2596</v>
      </c>
      <c r="AF324" t="s">
        <v>2596</v>
      </c>
      <c r="AG324" s="108" t="s">
        <v>2596</v>
      </c>
      <c r="AH324" t="s">
        <v>2596</v>
      </c>
    </row>
    <row r="325" spans="1:34" x14ac:dyDescent="0.25">
      <c r="A325" s="111" t="str">
        <f>HYPERLINK("http://www.ofsted.gov.uk/inspection-reports/find-inspection-report/provider/ELS/131016 ","Ofsted School Webpage")</f>
        <v>Ofsted School Webpage</v>
      </c>
      <c r="B325">
        <v>131016</v>
      </c>
      <c r="C325">
        <v>9336195</v>
      </c>
      <c r="D325" t="s">
        <v>1342</v>
      </c>
      <c r="E325" t="s">
        <v>37</v>
      </c>
      <c r="F325" t="s">
        <v>142</v>
      </c>
      <c r="G325" t="s">
        <v>142</v>
      </c>
      <c r="H325" t="s">
        <v>2595</v>
      </c>
      <c r="I325" t="s">
        <v>2596</v>
      </c>
      <c r="J325" t="s">
        <v>143</v>
      </c>
      <c r="K325" t="s">
        <v>182</v>
      </c>
      <c r="L325" t="s">
        <v>182</v>
      </c>
      <c r="M325" t="s">
        <v>219</v>
      </c>
      <c r="N325" t="s">
        <v>1343</v>
      </c>
      <c r="O325">
        <v>10006135</v>
      </c>
      <c r="P325" s="108">
        <v>42332</v>
      </c>
      <c r="Q325" s="108">
        <v>42334</v>
      </c>
      <c r="R325" s="108">
        <v>42404</v>
      </c>
      <c r="S325" t="s">
        <v>153</v>
      </c>
      <c r="T325">
        <v>2</v>
      </c>
      <c r="U325" t="s">
        <v>123</v>
      </c>
      <c r="V325">
        <v>2</v>
      </c>
      <c r="W325">
        <v>2</v>
      </c>
      <c r="X325">
        <v>2</v>
      </c>
      <c r="Y325">
        <f>VLOOKUP(Table_clu7sql1_ssdb_REPORT_vw_IE_External_MI_SON[[#This Row],[URN]],[1]Data!$D$2:$BB$1084,31,)</f>
        <v>2</v>
      </c>
      <c r="Z325" t="s">
        <v>2596</v>
      </c>
      <c r="AA325">
        <v>1</v>
      </c>
      <c r="AB325" t="s">
        <v>2598</v>
      </c>
      <c r="AC325" t="s">
        <v>2596</v>
      </c>
      <c r="AD325" t="s">
        <v>2596</v>
      </c>
      <c r="AE325" t="s">
        <v>2596</v>
      </c>
      <c r="AF325" t="s">
        <v>2596</v>
      </c>
      <c r="AG325" t="s">
        <v>2596</v>
      </c>
      <c r="AH325" t="s">
        <v>2596</v>
      </c>
    </row>
    <row r="326" spans="1:34" x14ac:dyDescent="0.25">
      <c r="A326" s="111" t="str">
        <f>HYPERLINK("http://www.ofsted.gov.uk/inspection-reports/find-inspection-report/provider/ELS/131018 ","Ofsted School Webpage")</f>
        <v>Ofsted School Webpage</v>
      </c>
      <c r="B326">
        <v>131018</v>
      </c>
      <c r="C326">
        <v>8576004</v>
      </c>
      <c r="D326" t="s">
        <v>580</v>
      </c>
      <c r="E326" t="s">
        <v>37</v>
      </c>
      <c r="F326" t="s">
        <v>142</v>
      </c>
      <c r="G326" t="s">
        <v>142</v>
      </c>
      <c r="H326" t="s">
        <v>2595</v>
      </c>
      <c r="I326" t="s">
        <v>2596</v>
      </c>
      <c r="J326" t="s">
        <v>143</v>
      </c>
      <c r="K326" t="s">
        <v>171</v>
      </c>
      <c r="L326" t="s">
        <v>171</v>
      </c>
      <c r="M326" t="s">
        <v>581</v>
      </c>
      <c r="N326" t="s">
        <v>582</v>
      </c>
      <c r="O326">
        <v>10008935</v>
      </c>
      <c r="P326" s="108">
        <v>42423</v>
      </c>
      <c r="Q326" s="108">
        <v>42425</v>
      </c>
      <c r="R326" s="108">
        <v>42474</v>
      </c>
      <c r="S326" t="s">
        <v>153</v>
      </c>
      <c r="T326">
        <v>1</v>
      </c>
      <c r="U326" t="s">
        <v>123</v>
      </c>
      <c r="V326">
        <v>1</v>
      </c>
      <c r="W326">
        <v>1</v>
      </c>
      <c r="X326">
        <v>1</v>
      </c>
      <c r="Y326">
        <f>VLOOKUP(Table_clu7sql1_ssdb_REPORT_vw_IE_External_MI_SON[[#This Row],[URN]],[1]Data!$D$2:$BB$1084,31,)</f>
        <v>1</v>
      </c>
      <c r="Z326" t="s">
        <v>2596</v>
      </c>
      <c r="AA326">
        <v>1</v>
      </c>
      <c r="AB326" t="s">
        <v>2598</v>
      </c>
      <c r="AC326" t="s">
        <v>2596</v>
      </c>
      <c r="AD326" t="s">
        <v>2596</v>
      </c>
      <c r="AE326" t="s">
        <v>2596</v>
      </c>
      <c r="AF326" t="s">
        <v>2596</v>
      </c>
      <c r="AG326" t="s">
        <v>2596</v>
      </c>
      <c r="AH326" t="s">
        <v>2596</v>
      </c>
    </row>
    <row r="327" spans="1:34" x14ac:dyDescent="0.25">
      <c r="A327" s="111" t="str">
        <f>HYPERLINK("http://www.ofsted.gov.uk/inspection-reports/find-inspection-report/provider/ELS/131025 ","Ofsted School Webpage")</f>
        <v>Ofsted School Webpage</v>
      </c>
      <c r="B327">
        <v>131025</v>
      </c>
      <c r="C327">
        <v>8886029</v>
      </c>
      <c r="D327" t="s">
        <v>940</v>
      </c>
      <c r="E327" t="s">
        <v>37</v>
      </c>
      <c r="F327" t="s">
        <v>142</v>
      </c>
      <c r="G327" t="s">
        <v>142</v>
      </c>
      <c r="H327" t="s">
        <v>2595</v>
      </c>
      <c r="I327" t="s">
        <v>2596</v>
      </c>
      <c r="J327" t="s">
        <v>143</v>
      </c>
      <c r="K327" t="s">
        <v>162</v>
      </c>
      <c r="L327" t="s">
        <v>162</v>
      </c>
      <c r="M327" t="s">
        <v>163</v>
      </c>
      <c r="N327" t="s">
        <v>941</v>
      </c>
      <c r="O327">
        <v>10043372</v>
      </c>
      <c r="P327" s="108">
        <v>43130</v>
      </c>
      <c r="Q327" s="108">
        <v>43132</v>
      </c>
      <c r="R327" s="108">
        <v>43158</v>
      </c>
      <c r="S327" t="s">
        <v>153</v>
      </c>
      <c r="T327">
        <v>2</v>
      </c>
      <c r="U327" t="s">
        <v>123</v>
      </c>
      <c r="V327">
        <v>2</v>
      </c>
      <c r="W327">
        <v>2</v>
      </c>
      <c r="X327">
        <v>2</v>
      </c>
      <c r="Y327">
        <f>VLOOKUP(Table_clu7sql1_ssdb_REPORT_vw_IE_External_MI_SON[[#This Row],[URN]],[1]Data!$D$2:$BB$1084,31,)</f>
        <v>2</v>
      </c>
      <c r="Z327" t="s">
        <v>2596</v>
      </c>
      <c r="AA327" t="s">
        <v>2596</v>
      </c>
      <c r="AB327" t="s">
        <v>2598</v>
      </c>
      <c r="AC327" t="s">
        <v>2596</v>
      </c>
      <c r="AD327" t="s">
        <v>2596</v>
      </c>
      <c r="AE327" s="108" t="s">
        <v>2596</v>
      </c>
      <c r="AF327" t="s">
        <v>2596</v>
      </c>
      <c r="AG327" s="108" t="s">
        <v>2596</v>
      </c>
      <c r="AH327" t="s">
        <v>2596</v>
      </c>
    </row>
    <row r="328" spans="1:34" x14ac:dyDescent="0.25">
      <c r="A328" s="111" t="str">
        <f>HYPERLINK("http://www.ofsted.gov.uk/inspection-reports/find-inspection-report/provider/ELS/131026 ","Ofsted School Webpage")</f>
        <v>Ofsted School Webpage</v>
      </c>
      <c r="B328">
        <v>131026</v>
      </c>
      <c r="C328">
        <v>3026104</v>
      </c>
      <c r="D328" t="s">
        <v>353</v>
      </c>
      <c r="E328" t="s">
        <v>36</v>
      </c>
      <c r="F328" t="s">
        <v>142</v>
      </c>
      <c r="G328" t="s">
        <v>275</v>
      </c>
      <c r="H328" t="s">
        <v>2595</v>
      </c>
      <c r="I328" t="s">
        <v>2596</v>
      </c>
      <c r="J328" t="s">
        <v>143</v>
      </c>
      <c r="K328" t="s">
        <v>189</v>
      </c>
      <c r="L328" t="s">
        <v>189</v>
      </c>
      <c r="M328" t="s">
        <v>268</v>
      </c>
      <c r="N328" t="s">
        <v>354</v>
      </c>
      <c r="O328">
        <v>10008541</v>
      </c>
      <c r="P328" s="108">
        <v>43004</v>
      </c>
      <c r="Q328" s="108">
        <v>43006</v>
      </c>
      <c r="R328" s="108">
        <v>43046</v>
      </c>
      <c r="S328" t="s">
        <v>153</v>
      </c>
      <c r="T328">
        <v>3</v>
      </c>
      <c r="U328" t="s">
        <v>123</v>
      </c>
      <c r="V328">
        <v>3</v>
      </c>
      <c r="W328">
        <v>2</v>
      </c>
      <c r="X328">
        <v>3</v>
      </c>
      <c r="Y328">
        <f>VLOOKUP(Table_clu7sql1_ssdb_REPORT_vw_IE_External_MI_SON[[#This Row],[URN]],[1]Data!$D$2:$BB$1084,31,)</f>
        <v>3</v>
      </c>
      <c r="Z328">
        <v>2</v>
      </c>
      <c r="AA328" t="s">
        <v>2596</v>
      </c>
      <c r="AB328" t="s">
        <v>2599</v>
      </c>
      <c r="AC328" t="s">
        <v>2596</v>
      </c>
      <c r="AD328" t="s">
        <v>2596</v>
      </c>
      <c r="AE328" s="108" t="s">
        <v>2596</v>
      </c>
      <c r="AF328" t="s">
        <v>2596</v>
      </c>
      <c r="AG328" s="108" t="s">
        <v>2596</v>
      </c>
      <c r="AH328" t="s">
        <v>2596</v>
      </c>
    </row>
    <row r="329" spans="1:34" x14ac:dyDescent="0.25">
      <c r="A329" s="111" t="str">
        <f>HYPERLINK("http://www.ofsted.gov.uk/inspection-reports/find-inspection-report/provider/ELS/131031 ","Ofsted School Webpage")</f>
        <v>Ofsted School Webpage</v>
      </c>
      <c r="B329">
        <v>131031</v>
      </c>
      <c r="C329">
        <v>3166068</v>
      </c>
      <c r="D329" t="s">
        <v>2093</v>
      </c>
      <c r="E329" t="s">
        <v>36</v>
      </c>
      <c r="F329" t="s">
        <v>142</v>
      </c>
      <c r="G329" t="s">
        <v>169</v>
      </c>
      <c r="H329" t="s">
        <v>2595</v>
      </c>
      <c r="I329" t="s">
        <v>2596</v>
      </c>
      <c r="J329" t="s">
        <v>143</v>
      </c>
      <c r="K329" t="s">
        <v>189</v>
      </c>
      <c r="L329" t="s">
        <v>189</v>
      </c>
      <c r="M329" t="s">
        <v>460</v>
      </c>
      <c r="N329" t="s">
        <v>2094</v>
      </c>
      <c r="O329">
        <v>10026282</v>
      </c>
      <c r="P329" s="108">
        <v>43117</v>
      </c>
      <c r="Q329" s="108">
        <v>43119</v>
      </c>
      <c r="R329" s="108">
        <v>43178</v>
      </c>
      <c r="S329" t="s">
        <v>153</v>
      </c>
      <c r="T329">
        <v>4</v>
      </c>
      <c r="U329" t="s">
        <v>124</v>
      </c>
      <c r="V329">
        <v>4</v>
      </c>
      <c r="W329">
        <v>4</v>
      </c>
      <c r="X329">
        <v>4</v>
      </c>
      <c r="Y329">
        <f>VLOOKUP(Table_clu7sql1_ssdb_REPORT_vw_IE_External_MI_SON[[#This Row],[URN]],[1]Data!$D$2:$BB$1084,31,)</f>
        <v>4</v>
      </c>
      <c r="Z329" t="s">
        <v>2596</v>
      </c>
      <c r="AA329" t="s">
        <v>2596</v>
      </c>
      <c r="AB329" t="s">
        <v>2599</v>
      </c>
      <c r="AC329" t="s">
        <v>2596</v>
      </c>
      <c r="AD329" t="s">
        <v>2596</v>
      </c>
      <c r="AE329" s="108" t="s">
        <v>2596</v>
      </c>
      <c r="AF329" t="s">
        <v>2596</v>
      </c>
      <c r="AG329" s="108" t="s">
        <v>2596</v>
      </c>
      <c r="AH329" t="s">
        <v>2596</v>
      </c>
    </row>
    <row r="330" spans="1:34" x14ac:dyDescent="0.25">
      <c r="A330" s="111" t="str">
        <f>HYPERLINK("http://www.ofsted.gov.uk/inspection-reports/find-inspection-report/provider/ELS/131033 ","Ofsted School Webpage")</f>
        <v>Ofsted School Webpage</v>
      </c>
      <c r="B330">
        <v>131033</v>
      </c>
      <c r="C330">
        <v>8936097</v>
      </c>
      <c r="D330" t="s">
        <v>547</v>
      </c>
      <c r="E330" t="s">
        <v>37</v>
      </c>
      <c r="F330" t="s">
        <v>142</v>
      </c>
      <c r="G330" t="s">
        <v>142</v>
      </c>
      <c r="H330" t="s">
        <v>2595</v>
      </c>
      <c r="I330" t="s">
        <v>2596</v>
      </c>
      <c r="J330" t="s">
        <v>143</v>
      </c>
      <c r="K330" t="s">
        <v>150</v>
      </c>
      <c r="L330" t="s">
        <v>150</v>
      </c>
      <c r="M330" t="s">
        <v>151</v>
      </c>
      <c r="N330" t="s">
        <v>960</v>
      </c>
      <c r="O330" t="s">
        <v>1141</v>
      </c>
      <c r="P330" s="108">
        <v>42137</v>
      </c>
      <c r="Q330" s="108">
        <v>42139</v>
      </c>
      <c r="R330" s="108">
        <v>42167</v>
      </c>
      <c r="S330" t="s">
        <v>153</v>
      </c>
      <c r="T330">
        <v>2</v>
      </c>
      <c r="U330" t="s">
        <v>2596</v>
      </c>
      <c r="V330">
        <v>2</v>
      </c>
      <c r="W330" t="s">
        <v>2596</v>
      </c>
      <c r="X330">
        <v>2</v>
      </c>
      <c r="Y330">
        <f>VLOOKUP(Table_clu7sql1_ssdb_REPORT_vw_IE_External_MI_SON[[#This Row],[URN]],[1]Data!$D$2:$BB$1084,31,)</f>
        <v>2</v>
      </c>
      <c r="Z330">
        <v>9</v>
      </c>
      <c r="AA330">
        <v>9</v>
      </c>
      <c r="AB330" t="s">
        <v>2598</v>
      </c>
      <c r="AC330" t="s">
        <v>2596</v>
      </c>
      <c r="AD330" t="s">
        <v>2596</v>
      </c>
      <c r="AE330" s="108" t="s">
        <v>2596</v>
      </c>
      <c r="AF330" t="s">
        <v>2596</v>
      </c>
      <c r="AG330" s="108" t="s">
        <v>2596</v>
      </c>
      <c r="AH330" t="s">
        <v>2596</v>
      </c>
    </row>
    <row r="331" spans="1:34" x14ac:dyDescent="0.25">
      <c r="A331" s="111" t="str">
        <f>HYPERLINK("http://www.ofsted.gov.uk/inspection-reports/find-inspection-report/provider/ELS/131059 ","Ofsted School Webpage")</f>
        <v>Ofsted School Webpage</v>
      </c>
      <c r="B331">
        <v>131059</v>
      </c>
      <c r="C331">
        <v>3046076</v>
      </c>
      <c r="D331" t="s">
        <v>1438</v>
      </c>
      <c r="E331" t="s">
        <v>36</v>
      </c>
      <c r="F331" t="s">
        <v>261</v>
      </c>
      <c r="G331" t="s">
        <v>180</v>
      </c>
      <c r="H331" t="s">
        <v>2595</v>
      </c>
      <c r="I331" t="s">
        <v>2596</v>
      </c>
      <c r="J331" t="s">
        <v>143</v>
      </c>
      <c r="K331" t="s">
        <v>189</v>
      </c>
      <c r="L331" t="s">
        <v>189</v>
      </c>
      <c r="M331" t="s">
        <v>702</v>
      </c>
      <c r="N331" t="s">
        <v>1439</v>
      </c>
      <c r="O331" t="s">
        <v>1440</v>
      </c>
      <c r="P331" s="108">
        <v>41248</v>
      </c>
      <c r="Q331" s="108">
        <v>41249</v>
      </c>
      <c r="R331" s="108">
        <v>41281</v>
      </c>
      <c r="S331" t="s">
        <v>153</v>
      </c>
      <c r="T331">
        <v>2</v>
      </c>
      <c r="U331" t="s">
        <v>2596</v>
      </c>
      <c r="V331" t="s">
        <v>2596</v>
      </c>
      <c r="W331" t="s">
        <v>2596</v>
      </c>
      <c r="X331">
        <v>2</v>
      </c>
      <c r="Y331">
        <f>VLOOKUP(Table_clu7sql1_ssdb_REPORT_vw_IE_External_MI_SON[[#This Row],[URN]],[1]Data!$D$2:$BB$1084,31,)</f>
        <v>2</v>
      </c>
      <c r="Z331">
        <v>8</v>
      </c>
      <c r="AA331" t="s">
        <v>2596</v>
      </c>
      <c r="AB331" t="s">
        <v>2598</v>
      </c>
      <c r="AC331" t="s">
        <v>2596</v>
      </c>
      <c r="AD331" t="s">
        <v>2596</v>
      </c>
      <c r="AE331" t="s">
        <v>2596</v>
      </c>
      <c r="AF331" t="s">
        <v>2596</v>
      </c>
      <c r="AG331" t="s">
        <v>2596</v>
      </c>
      <c r="AH331" t="s">
        <v>2596</v>
      </c>
    </row>
    <row r="332" spans="1:34" x14ac:dyDescent="0.25">
      <c r="A332" s="111" t="str">
        <f>HYPERLINK("http://www.ofsted.gov.uk/inspection-reports/find-inspection-report/provider/ELS/131064 ","Ofsted School Webpage")</f>
        <v>Ofsted School Webpage</v>
      </c>
      <c r="B332">
        <v>131064</v>
      </c>
      <c r="C332">
        <v>9316125</v>
      </c>
      <c r="D332" t="s">
        <v>883</v>
      </c>
      <c r="E332" t="s">
        <v>37</v>
      </c>
      <c r="F332" t="s">
        <v>142</v>
      </c>
      <c r="G332" t="s">
        <v>142</v>
      </c>
      <c r="H332" t="s">
        <v>2595</v>
      </c>
      <c r="I332" t="s">
        <v>2596</v>
      </c>
      <c r="J332" t="s">
        <v>143</v>
      </c>
      <c r="K332" t="s">
        <v>139</v>
      </c>
      <c r="L332" t="s">
        <v>139</v>
      </c>
      <c r="M332" t="s">
        <v>199</v>
      </c>
      <c r="N332" t="s">
        <v>815</v>
      </c>
      <c r="O332">
        <v>10008615</v>
      </c>
      <c r="P332" s="108">
        <v>42648</v>
      </c>
      <c r="Q332" s="108">
        <v>42650</v>
      </c>
      <c r="R332" s="108">
        <v>42682</v>
      </c>
      <c r="S332" t="s">
        <v>153</v>
      </c>
      <c r="T332">
        <v>2</v>
      </c>
      <c r="U332" t="s">
        <v>123</v>
      </c>
      <c r="V332">
        <v>2</v>
      </c>
      <c r="W332">
        <v>2</v>
      </c>
      <c r="X332">
        <v>2</v>
      </c>
      <c r="Y332">
        <f>VLOOKUP(Table_clu7sql1_ssdb_REPORT_vw_IE_External_MI_SON[[#This Row],[URN]],[1]Data!$D$2:$BB$1084,31,)</f>
        <v>2</v>
      </c>
      <c r="Z332" t="s">
        <v>2596</v>
      </c>
      <c r="AA332" t="s">
        <v>2596</v>
      </c>
      <c r="AB332" t="s">
        <v>2598</v>
      </c>
      <c r="AC332" t="s">
        <v>2596</v>
      </c>
      <c r="AD332" t="s">
        <v>2596</v>
      </c>
      <c r="AE332" t="s">
        <v>2596</v>
      </c>
      <c r="AF332" t="s">
        <v>2596</v>
      </c>
      <c r="AG332" t="s">
        <v>2596</v>
      </c>
      <c r="AH332" t="s">
        <v>2596</v>
      </c>
    </row>
    <row r="333" spans="1:34" x14ac:dyDescent="0.25">
      <c r="A333" s="111" t="str">
        <f>HYPERLINK("http://www.ofsted.gov.uk/inspection-reports/find-inspection-report/provider/ELS/131119 ","Ofsted School Webpage")</f>
        <v>Ofsted School Webpage</v>
      </c>
      <c r="B333">
        <v>131119</v>
      </c>
      <c r="C333">
        <v>8926012</v>
      </c>
      <c r="D333" t="s">
        <v>243</v>
      </c>
      <c r="E333" t="s">
        <v>36</v>
      </c>
      <c r="F333" t="s">
        <v>142</v>
      </c>
      <c r="G333" t="s">
        <v>180</v>
      </c>
      <c r="H333" t="s">
        <v>2595</v>
      </c>
      <c r="I333" t="s">
        <v>2596</v>
      </c>
      <c r="J333" t="s">
        <v>143</v>
      </c>
      <c r="K333" t="s">
        <v>171</v>
      </c>
      <c r="L333" t="s">
        <v>171</v>
      </c>
      <c r="M333" t="s">
        <v>244</v>
      </c>
      <c r="N333" t="s">
        <v>245</v>
      </c>
      <c r="O333">
        <v>10039183</v>
      </c>
      <c r="P333" s="108">
        <v>42997</v>
      </c>
      <c r="Q333" s="108">
        <v>42999</v>
      </c>
      <c r="R333" s="108">
        <v>43019</v>
      </c>
      <c r="S333" t="s">
        <v>153</v>
      </c>
      <c r="T333">
        <v>2</v>
      </c>
      <c r="U333" t="s">
        <v>123</v>
      </c>
      <c r="V333">
        <v>2</v>
      </c>
      <c r="W333">
        <v>1</v>
      </c>
      <c r="X333">
        <v>2</v>
      </c>
      <c r="Y333">
        <f>VLOOKUP(Table_clu7sql1_ssdb_REPORT_vw_IE_External_MI_SON[[#This Row],[URN]],[1]Data!$D$2:$BB$1084,31,)</f>
        <v>2</v>
      </c>
      <c r="Z333" t="s">
        <v>2596</v>
      </c>
      <c r="AA333">
        <v>2</v>
      </c>
      <c r="AB333" t="s">
        <v>2598</v>
      </c>
      <c r="AC333" t="s">
        <v>2596</v>
      </c>
      <c r="AD333" t="s">
        <v>2596</v>
      </c>
      <c r="AE333" t="s">
        <v>2596</v>
      </c>
      <c r="AF333" t="s">
        <v>2596</v>
      </c>
      <c r="AG333" t="s">
        <v>2596</v>
      </c>
      <c r="AH333" t="s">
        <v>2596</v>
      </c>
    </row>
    <row r="334" spans="1:34" x14ac:dyDescent="0.25">
      <c r="A334" s="111" t="str">
        <f>HYPERLINK("http://www.ofsted.gov.uk/inspection-reports/find-inspection-report/provider/ELS/131121 ","Ofsted School Webpage")</f>
        <v>Ofsted School Webpage</v>
      </c>
      <c r="B334">
        <v>131121</v>
      </c>
      <c r="C334">
        <v>3026106</v>
      </c>
      <c r="D334" t="s">
        <v>2050</v>
      </c>
      <c r="E334" t="s">
        <v>36</v>
      </c>
      <c r="F334" t="s">
        <v>776</v>
      </c>
      <c r="G334" t="s">
        <v>275</v>
      </c>
      <c r="H334" t="s">
        <v>2595</v>
      </c>
      <c r="I334" t="s">
        <v>2596</v>
      </c>
      <c r="J334" t="s">
        <v>143</v>
      </c>
      <c r="K334" t="s">
        <v>189</v>
      </c>
      <c r="L334" t="s">
        <v>189</v>
      </c>
      <c r="M334" t="s">
        <v>268</v>
      </c>
      <c r="N334" t="s">
        <v>2051</v>
      </c>
      <c r="O334">
        <v>10026283</v>
      </c>
      <c r="P334" s="108">
        <v>43039</v>
      </c>
      <c r="Q334" s="108">
        <v>43041</v>
      </c>
      <c r="R334" s="108">
        <v>43109</v>
      </c>
      <c r="S334" t="s">
        <v>153</v>
      </c>
      <c r="T334">
        <v>4</v>
      </c>
      <c r="U334" t="s">
        <v>123</v>
      </c>
      <c r="V334">
        <v>4</v>
      </c>
      <c r="W334">
        <v>3</v>
      </c>
      <c r="X334">
        <v>4</v>
      </c>
      <c r="Y334">
        <f>VLOOKUP(Table_clu7sql1_ssdb_REPORT_vw_IE_External_MI_SON[[#This Row],[URN]],[1]Data!$D$2:$BB$1084,31,)</f>
        <v>4</v>
      </c>
      <c r="Z334">
        <v>2</v>
      </c>
      <c r="AA334" t="s">
        <v>2596</v>
      </c>
      <c r="AB334" t="s">
        <v>2599</v>
      </c>
      <c r="AC334" t="s">
        <v>2596</v>
      </c>
      <c r="AD334" t="s">
        <v>2596</v>
      </c>
      <c r="AE334" t="s">
        <v>2596</v>
      </c>
      <c r="AF334" t="s">
        <v>2596</v>
      </c>
      <c r="AG334" t="s">
        <v>2596</v>
      </c>
      <c r="AH334" t="s">
        <v>2596</v>
      </c>
    </row>
    <row r="335" spans="1:34" x14ac:dyDescent="0.25">
      <c r="A335" s="111" t="str">
        <f>HYPERLINK("http://www.ofsted.gov.uk/inspection-reports/find-inspection-report/provider/ELS/131122 ","Ofsted School Webpage")</f>
        <v>Ofsted School Webpage</v>
      </c>
      <c r="B335">
        <v>131122</v>
      </c>
      <c r="C335">
        <v>3736028</v>
      </c>
      <c r="D335" t="s">
        <v>1778</v>
      </c>
      <c r="E335" t="s">
        <v>36</v>
      </c>
      <c r="F335" t="s">
        <v>180</v>
      </c>
      <c r="G335" t="s">
        <v>261</v>
      </c>
      <c r="H335" t="s">
        <v>2595</v>
      </c>
      <c r="I335" t="s">
        <v>2596</v>
      </c>
      <c r="J335" t="s">
        <v>143</v>
      </c>
      <c r="K335" t="s">
        <v>202</v>
      </c>
      <c r="L335" t="s">
        <v>203</v>
      </c>
      <c r="M335" t="s">
        <v>617</v>
      </c>
      <c r="N335" t="s">
        <v>1779</v>
      </c>
      <c r="O335">
        <v>10033916</v>
      </c>
      <c r="P335" s="108">
        <v>42913</v>
      </c>
      <c r="Q335" s="108">
        <v>42915</v>
      </c>
      <c r="R335" s="108">
        <v>42940</v>
      </c>
      <c r="S335" t="s">
        <v>153</v>
      </c>
      <c r="T335">
        <v>3</v>
      </c>
      <c r="U335" t="s">
        <v>123</v>
      </c>
      <c r="V335">
        <v>3</v>
      </c>
      <c r="W335">
        <v>3</v>
      </c>
      <c r="X335">
        <v>3</v>
      </c>
      <c r="Y335">
        <f>VLOOKUP(Table_clu7sql1_ssdb_REPORT_vw_IE_External_MI_SON[[#This Row],[URN]],[1]Data!$D$2:$BB$1084,31,)</f>
        <v>3</v>
      </c>
      <c r="Z335" t="s">
        <v>2596</v>
      </c>
      <c r="AA335" t="s">
        <v>2596</v>
      </c>
      <c r="AB335" t="s">
        <v>2599</v>
      </c>
      <c r="AC335" t="s">
        <v>2596</v>
      </c>
      <c r="AD335" t="s">
        <v>2596</v>
      </c>
      <c r="AE335" t="s">
        <v>2596</v>
      </c>
      <c r="AF335" t="s">
        <v>2596</v>
      </c>
      <c r="AG335" t="s">
        <v>2596</v>
      </c>
      <c r="AH335" t="s">
        <v>2596</v>
      </c>
    </row>
    <row r="336" spans="1:34" x14ac:dyDescent="0.25">
      <c r="A336" s="111" t="str">
        <f>HYPERLINK("http://www.ofsted.gov.uk/inspection-reports/find-inspection-report/provider/ELS/131127 ","Ofsted School Webpage")</f>
        <v>Ofsted School Webpage</v>
      </c>
      <c r="B336">
        <v>131127</v>
      </c>
      <c r="C336">
        <v>8466020</v>
      </c>
      <c r="D336" t="s">
        <v>1852</v>
      </c>
      <c r="E336" t="s">
        <v>36</v>
      </c>
      <c r="F336" t="s">
        <v>142</v>
      </c>
      <c r="G336" t="s">
        <v>142</v>
      </c>
      <c r="H336" t="s">
        <v>2595</v>
      </c>
      <c r="I336" t="s">
        <v>2596</v>
      </c>
      <c r="J336" t="s">
        <v>143</v>
      </c>
      <c r="K336" t="s">
        <v>139</v>
      </c>
      <c r="L336" t="s">
        <v>139</v>
      </c>
      <c r="M336" t="s">
        <v>365</v>
      </c>
      <c r="N336" t="s">
        <v>1853</v>
      </c>
      <c r="O336">
        <v>10025980</v>
      </c>
      <c r="P336" s="108">
        <v>42914</v>
      </c>
      <c r="Q336" s="108">
        <v>42916</v>
      </c>
      <c r="R336" s="108">
        <v>42990</v>
      </c>
      <c r="S336" t="s">
        <v>153</v>
      </c>
      <c r="T336">
        <v>3</v>
      </c>
      <c r="U336" t="s">
        <v>123</v>
      </c>
      <c r="V336">
        <v>3</v>
      </c>
      <c r="W336">
        <v>2</v>
      </c>
      <c r="X336">
        <v>3</v>
      </c>
      <c r="Y336">
        <f>VLOOKUP(Table_clu7sql1_ssdb_REPORT_vw_IE_External_MI_SON[[#This Row],[URN]],[1]Data!$D$2:$BB$1084,31,)</f>
        <v>3</v>
      </c>
      <c r="Z336" t="s">
        <v>2596</v>
      </c>
      <c r="AA336" t="s">
        <v>2596</v>
      </c>
      <c r="AB336" t="s">
        <v>2598</v>
      </c>
      <c r="AC336" t="s">
        <v>2596</v>
      </c>
      <c r="AD336" t="s">
        <v>2596</v>
      </c>
      <c r="AE336" s="108" t="s">
        <v>2596</v>
      </c>
      <c r="AF336" t="s">
        <v>2596</v>
      </c>
      <c r="AG336" s="108" t="s">
        <v>2596</v>
      </c>
      <c r="AH336" t="s">
        <v>2596</v>
      </c>
    </row>
    <row r="337" spans="1:34" x14ac:dyDescent="0.25">
      <c r="A337" s="111" t="str">
        <f>HYPERLINK("http://www.ofsted.gov.uk/inspection-reports/find-inspection-report/provider/ELS/131128 ","Ofsted School Webpage")</f>
        <v>Ofsted School Webpage</v>
      </c>
      <c r="B337">
        <v>131128</v>
      </c>
      <c r="C337">
        <v>3026107</v>
      </c>
      <c r="D337" t="s">
        <v>428</v>
      </c>
      <c r="E337" t="s">
        <v>36</v>
      </c>
      <c r="F337" t="s">
        <v>142</v>
      </c>
      <c r="G337" t="s">
        <v>142</v>
      </c>
      <c r="H337" t="s">
        <v>2595</v>
      </c>
      <c r="I337" t="s">
        <v>2596</v>
      </c>
      <c r="J337" t="s">
        <v>143</v>
      </c>
      <c r="K337" t="s">
        <v>189</v>
      </c>
      <c r="L337" t="s">
        <v>189</v>
      </c>
      <c r="M337" t="s">
        <v>268</v>
      </c>
      <c r="N337" t="s">
        <v>429</v>
      </c>
      <c r="O337">
        <v>10035789</v>
      </c>
      <c r="P337" s="108">
        <v>43011</v>
      </c>
      <c r="Q337" s="108">
        <v>43013</v>
      </c>
      <c r="R337" s="108">
        <v>43082</v>
      </c>
      <c r="S337" t="s">
        <v>153</v>
      </c>
      <c r="T337">
        <v>3</v>
      </c>
      <c r="U337" t="s">
        <v>123</v>
      </c>
      <c r="V337">
        <v>3</v>
      </c>
      <c r="W337">
        <v>2</v>
      </c>
      <c r="X337">
        <v>3</v>
      </c>
      <c r="Y337">
        <f>VLOOKUP(Table_clu7sql1_ssdb_REPORT_vw_IE_External_MI_SON[[#This Row],[URN]],[1]Data!$D$2:$BB$1084,31,)</f>
        <v>3</v>
      </c>
      <c r="Z337">
        <v>3</v>
      </c>
      <c r="AA337" t="s">
        <v>2596</v>
      </c>
      <c r="AB337" t="s">
        <v>2599</v>
      </c>
      <c r="AC337" t="s">
        <v>2596</v>
      </c>
      <c r="AD337" t="s">
        <v>2596</v>
      </c>
      <c r="AE337" t="s">
        <v>2596</v>
      </c>
      <c r="AF337" t="s">
        <v>2596</v>
      </c>
      <c r="AG337" t="s">
        <v>2596</v>
      </c>
      <c r="AH337" t="s">
        <v>2596</v>
      </c>
    </row>
    <row r="338" spans="1:34" x14ac:dyDescent="0.25">
      <c r="A338" s="111" t="str">
        <f>HYPERLINK("http://www.ofsted.gov.uk/inspection-reports/find-inspection-report/provider/ELS/131131 ","Ofsted School Webpage")</f>
        <v>Ofsted School Webpage</v>
      </c>
      <c r="B338">
        <v>131131</v>
      </c>
      <c r="C338">
        <v>3826019</v>
      </c>
      <c r="D338" t="s">
        <v>1261</v>
      </c>
      <c r="E338" t="s">
        <v>36</v>
      </c>
      <c r="F338" t="s">
        <v>142</v>
      </c>
      <c r="G338" t="s">
        <v>180</v>
      </c>
      <c r="H338" t="s">
        <v>2595</v>
      </c>
      <c r="I338" t="s">
        <v>2596</v>
      </c>
      <c r="J338" t="s">
        <v>143</v>
      </c>
      <c r="K338" t="s">
        <v>202</v>
      </c>
      <c r="L338" t="s">
        <v>203</v>
      </c>
      <c r="M338" t="s">
        <v>720</v>
      </c>
      <c r="N338" t="s">
        <v>1262</v>
      </c>
      <c r="O338">
        <v>10007685</v>
      </c>
      <c r="P338" s="108">
        <v>42388</v>
      </c>
      <c r="Q338" s="108">
        <v>42390</v>
      </c>
      <c r="R338" s="108">
        <v>42410</v>
      </c>
      <c r="S338" t="s">
        <v>153</v>
      </c>
      <c r="T338">
        <v>3</v>
      </c>
      <c r="U338" t="s">
        <v>123</v>
      </c>
      <c r="V338">
        <v>3</v>
      </c>
      <c r="W338">
        <v>2</v>
      </c>
      <c r="X338">
        <v>3</v>
      </c>
      <c r="Y338">
        <f>VLOOKUP(Table_clu7sql1_ssdb_REPORT_vw_IE_External_MI_SON[[#This Row],[URN]],[1]Data!$D$2:$BB$1084,31,)</f>
        <v>3</v>
      </c>
      <c r="Z338">
        <v>2</v>
      </c>
      <c r="AA338" t="s">
        <v>2596</v>
      </c>
      <c r="AB338" t="s">
        <v>2598</v>
      </c>
      <c r="AC338" t="s">
        <v>2596</v>
      </c>
      <c r="AD338" t="s">
        <v>2596</v>
      </c>
      <c r="AE338" s="108" t="s">
        <v>2596</v>
      </c>
      <c r="AF338" t="s">
        <v>2596</v>
      </c>
      <c r="AG338" s="108" t="s">
        <v>2596</v>
      </c>
      <c r="AH338" t="s">
        <v>2596</v>
      </c>
    </row>
    <row r="339" spans="1:34" x14ac:dyDescent="0.25">
      <c r="A339" s="111" t="str">
        <f>HYPERLINK("http://www.ofsted.gov.uk/inspection-reports/find-inspection-report/provider/ELS/131136 ","Ofsted School Webpage")</f>
        <v>Ofsted School Webpage</v>
      </c>
      <c r="B339">
        <v>131136</v>
      </c>
      <c r="C339">
        <v>3846120</v>
      </c>
      <c r="D339" t="s">
        <v>517</v>
      </c>
      <c r="E339" t="s">
        <v>37</v>
      </c>
      <c r="F339" t="s">
        <v>142</v>
      </c>
      <c r="G339" t="s">
        <v>142</v>
      </c>
      <c r="H339" t="s">
        <v>2595</v>
      </c>
      <c r="I339" t="s">
        <v>2596</v>
      </c>
      <c r="J339" t="s">
        <v>143</v>
      </c>
      <c r="K339" t="s">
        <v>202</v>
      </c>
      <c r="L339" t="s">
        <v>203</v>
      </c>
      <c r="M339" t="s">
        <v>518</v>
      </c>
      <c r="N339" t="s">
        <v>519</v>
      </c>
      <c r="O339">
        <v>10006063</v>
      </c>
      <c r="P339" s="108">
        <v>42437</v>
      </c>
      <c r="Q339" s="108">
        <v>42439</v>
      </c>
      <c r="R339" s="108">
        <v>42471</v>
      </c>
      <c r="S339" t="s">
        <v>153</v>
      </c>
      <c r="T339">
        <v>2</v>
      </c>
      <c r="U339" t="s">
        <v>123</v>
      </c>
      <c r="V339">
        <v>2</v>
      </c>
      <c r="W339">
        <v>2</v>
      </c>
      <c r="X339">
        <v>2</v>
      </c>
      <c r="Y339">
        <f>VLOOKUP(Table_clu7sql1_ssdb_REPORT_vw_IE_External_MI_SON[[#This Row],[URN]],[1]Data!$D$2:$BB$1084,31,)</f>
        <v>2</v>
      </c>
      <c r="Z339" t="s">
        <v>2596</v>
      </c>
      <c r="AA339" t="s">
        <v>2596</v>
      </c>
      <c r="AB339" t="s">
        <v>2598</v>
      </c>
      <c r="AC339" t="s">
        <v>2596</v>
      </c>
      <c r="AD339" t="s">
        <v>2596</v>
      </c>
      <c r="AE339" t="s">
        <v>2596</v>
      </c>
      <c r="AF339" t="s">
        <v>2596</v>
      </c>
      <c r="AG339" t="s">
        <v>2596</v>
      </c>
      <c r="AH339" t="s">
        <v>2596</v>
      </c>
    </row>
    <row r="340" spans="1:34" x14ac:dyDescent="0.25">
      <c r="A340" s="111" t="str">
        <f>HYPERLINK("http://www.ofsted.gov.uk/inspection-reports/find-inspection-report/provider/ELS/131138 ","Ofsted School Webpage")</f>
        <v>Ofsted School Webpage</v>
      </c>
      <c r="B340">
        <v>131138</v>
      </c>
      <c r="C340">
        <v>8886030</v>
      </c>
      <c r="D340" t="s">
        <v>1403</v>
      </c>
      <c r="E340" t="s">
        <v>37</v>
      </c>
      <c r="F340" t="s">
        <v>142</v>
      </c>
      <c r="G340" t="s">
        <v>142</v>
      </c>
      <c r="H340" t="s">
        <v>2595</v>
      </c>
      <c r="I340" t="s">
        <v>2596</v>
      </c>
      <c r="J340" t="s">
        <v>143</v>
      </c>
      <c r="K340" t="s">
        <v>162</v>
      </c>
      <c r="L340" t="s">
        <v>162</v>
      </c>
      <c r="M340" t="s">
        <v>163</v>
      </c>
      <c r="N340" t="s">
        <v>1404</v>
      </c>
      <c r="O340">
        <v>10012964</v>
      </c>
      <c r="P340" s="108">
        <v>42850</v>
      </c>
      <c r="Q340" s="108">
        <v>42852</v>
      </c>
      <c r="R340" s="108">
        <v>42873</v>
      </c>
      <c r="S340" t="s">
        <v>153</v>
      </c>
      <c r="T340">
        <v>2</v>
      </c>
      <c r="U340" t="s">
        <v>123</v>
      </c>
      <c r="V340">
        <v>1</v>
      </c>
      <c r="W340">
        <v>2</v>
      </c>
      <c r="X340">
        <v>2</v>
      </c>
      <c r="Y340">
        <f>VLOOKUP(Table_clu7sql1_ssdb_REPORT_vw_IE_External_MI_SON[[#This Row],[URN]],[1]Data!$D$2:$BB$1084,31,)</f>
        <v>2</v>
      </c>
      <c r="Z340" t="s">
        <v>2596</v>
      </c>
      <c r="AA340">
        <v>2</v>
      </c>
      <c r="AB340" t="s">
        <v>2598</v>
      </c>
      <c r="AC340" t="s">
        <v>2596</v>
      </c>
      <c r="AD340" t="s">
        <v>2596</v>
      </c>
      <c r="AE340" t="s">
        <v>2596</v>
      </c>
      <c r="AF340" t="s">
        <v>2596</v>
      </c>
      <c r="AG340" t="s">
        <v>2596</v>
      </c>
      <c r="AH340" t="s">
        <v>2596</v>
      </c>
    </row>
    <row r="341" spans="1:34" x14ac:dyDescent="0.25">
      <c r="A341" s="111" t="str">
        <f>HYPERLINK("http://www.ofsted.gov.uk/inspection-reports/find-inspection-report/provider/ELS/131139 ","Ofsted School Webpage")</f>
        <v>Ofsted School Webpage</v>
      </c>
      <c r="B341">
        <v>131139</v>
      </c>
      <c r="C341">
        <v>9386255</v>
      </c>
      <c r="D341" t="s">
        <v>1325</v>
      </c>
      <c r="E341" t="s">
        <v>37</v>
      </c>
      <c r="F341" t="s">
        <v>142</v>
      </c>
      <c r="G341" t="s">
        <v>142</v>
      </c>
      <c r="H341" t="s">
        <v>2595</v>
      </c>
      <c r="I341" t="s">
        <v>2596</v>
      </c>
      <c r="J341" t="s">
        <v>143</v>
      </c>
      <c r="K341" t="s">
        <v>139</v>
      </c>
      <c r="L341" t="s">
        <v>139</v>
      </c>
      <c r="M341" t="s">
        <v>351</v>
      </c>
      <c r="N341" t="s">
        <v>1326</v>
      </c>
      <c r="O341">
        <v>10006053</v>
      </c>
      <c r="P341" s="108">
        <v>42752</v>
      </c>
      <c r="Q341" s="108">
        <v>42754</v>
      </c>
      <c r="R341" s="108">
        <v>42775</v>
      </c>
      <c r="S341" t="s">
        <v>153</v>
      </c>
      <c r="T341">
        <v>2</v>
      </c>
      <c r="U341" t="s">
        <v>123</v>
      </c>
      <c r="V341">
        <v>2</v>
      </c>
      <c r="W341">
        <v>2</v>
      </c>
      <c r="X341">
        <v>2</v>
      </c>
      <c r="Y341">
        <f>VLOOKUP(Table_clu7sql1_ssdb_REPORT_vw_IE_External_MI_SON[[#This Row],[URN]],[1]Data!$D$2:$BB$1084,31,)</f>
        <v>2</v>
      </c>
      <c r="Z341" t="s">
        <v>2596</v>
      </c>
      <c r="AA341" t="s">
        <v>2596</v>
      </c>
      <c r="AB341" t="s">
        <v>2598</v>
      </c>
      <c r="AC341" t="s">
        <v>2596</v>
      </c>
      <c r="AD341" t="s">
        <v>2596</v>
      </c>
      <c r="AE341" t="s">
        <v>2596</v>
      </c>
      <c r="AF341" t="s">
        <v>2596</v>
      </c>
      <c r="AG341" t="s">
        <v>2596</v>
      </c>
      <c r="AH341" t="s">
        <v>2596</v>
      </c>
    </row>
    <row r="342" spans="1:34" x14ac:dyDescent="0.25">
      <c r="A342" s="111" t="str">
        <f>HYPERLINK("http://www.ofsted.gov.uk/inspection-reports/find-inspection-report/provider/ELS/131158 ","Ofsted School Webpage")</f>
        <v>Ofsted School Webpage</v>
      </c>
      <c r="B342">
        <v>131158</v>
      </c>
      <c r="C342">
        <v>3816012</v>
      </c>
      <c r="D342" t="s">
        <v>2020</v>
      </c>
      <c r="E342" t="s">
        <v>36</v>
      </c>
      <c r="F342" t="s">
        <v>142</v>
      </c>
      <c r="G342" t="s">
        <v>142</v>
      </c>
      <c r="H342" t="s">
        <v>2595</v>
      </c>
      <c r="I342" t="s">
        <v>2596</v>
      </c>
      <c r="J342" t="s">
        <v>143</v>
      </c>
      <c r="K342" t="s">
        <v>202</v>
      </c>
      <c r="L342" t="s">
        <v>203</v>
      </c>
      <c r="M342" t="s">
        <v>1307</v>
      </c>
      <c r="N342" t="s">
        <v>2021</v>
      </c>
      <c r="O342">
        <v>10025952</v>
      </c>
      <c r="P342" s="108">
        <v>42815</v>
      </c>
      <c r="Q342" s="108">
        <v>42817</v>
      </c>
      <c r="R342" s="108">
        <v>42858</v>
      </c>
      <c r="S342" t="s">
        <v>153</v>
      </c>
      <c r="T342">
        <v>1</v>
      </c>
      <c r="U342" t="s">
        <v>123</v>
      </c>
      <c r="V342">
        <v>1</v>
      </c>
      <c r="W342">
        <v>1</v>
      </c>
      <c r="X342">
        <v>1</v>
      </c>
      <c r="Y342">
        <f>VLOOKUP(Table_clu7sql1_ssdb_REPORT_vw_IE_External_MI_SON[[#This Row],[URN]],[1]Data!$D$2:$BB$1084,31,)</f>
        <v>1</v>
      </c>
      <c r="Z342">
        <v>1</v>
      </c>
      <c r="AA342" t="s">
        <v>2596</v>
      </c>
      <c r="AB342" t="s">
        <v>2598</v>
      </c>
      <c r="AC342" t="s">
        <v>2596</v>
      </c>
      <c r="AD342" t="s">
        <v>2596</v>
      </c>
      <c r="AE342" t="s">
        <v>2596</v>
      </c>
      <c r="AF342" t="s">
        <v>2596</v>
      </c>
      <c r="AG342" t="s">
        <v>2596</v>
      </c>
      <c r="AH342" t="s">
        <v>2596</v>
      </c>
    </row>
    <row r="343" spans="1:34" x14ac:dyDescent="0.25">
      <c r="A343" s="111" t="str">
        <f>HYPERLINK("http://www.ofsted.gov.uk/inspection-reports/find-inspection-report/provider/ELS/131163 ","Ofsted School Webpage")</f>
        <v>Ofsted School Webpage</v>
      </c>
      <c r="B343">
        <v>131163</v>
      </c>
      <c r="C343">
        <v>8886032</v>
      </c>
      <c r="D343" t="s">
        <v>1737</v>
      </c>
      <c r="E343" t="s">
        <v>37</v>
      </c>
      <c r="F343" t="s">
        <v>169</v>
      </c>
      <c r="G343" t="s">
        <v>169</v>
      </c>
      <c r="H343" t="s">
        <v>2595</v>
      </c>
      <c r="I343" t="s">
        <v>2596</v>
      </c>
      <c r="J343" t="s">
        <v>143</v>
      </c>
      <c r="K343" t="s">
        <v>162</v>
      </c>
      <c r="L343" t="s">
        <v>162</v>
      </c>
      <c r="M343" t="s">
        <v>163</v>
      </c>
      <c r="N343" t="s">
        <v>1738</v>
      </c>
      <c r="O343" t="s">
        <v>1739</v>
      </c>
      <c r="P343" s="108">
        <v>41310</v>
      </c>
      <c r="Q343" s="108">
        <v>41312</v>
      </c>
      <c r="R343" s="108">
        <v>41334</v>
      </c>
      <c r="S343" t="s">
        <v>153</v>
      </c>
      <c r="T343">
        <v>1</v>
      </c>
      <c r="U343" t="s">
        <v>2596</v>
      </c>
      <c r="V343">
        <v>1</v>
      </c>
      <c r="W343" t="s">
        <v>2596</v>
      </c>
      <c r="X343">
        <v>1</v>
      </c>
      <c r="Y343">
        <f>VLOOKUP(Table_clu7sql1_ssdb_REPORT_vw_IE_External_MI_SON[[#This Row],[URN]],[1]Data!$D$2:$BB$1084,31,)</f>
        <v>1</v>
      </c>
      <c r="Z343" t="s">
        <v>2596</v>
      </c>
      <c r="AA343" t="s">
        <v>2596</v>
      </c>
      <c r="AB343" t="s">
        <v>2886</v>
      </c>
      <c r="AC343" t="s">
        <v>2596</v>
      </c>
      <c r="AD343" t="s">
        <v>2596</v>
      </c>
      <c r="AE343" t="s">
        <v>2596</v>
      </c>
      <c r="AF343" t="s">
        <v>2596</v>
      </c>
      <c r="AG343" t="s">
        <v>2596</v>
      </c>
      <c r="AH343" t="s">
        <v>2596</v>
      </c>
    </row>
    <row r="344" spans="1:34" x14ac:dyDescent="0.25">
      <c r="A344" s="111" t="str">
        <f>HYPERLINK("http://www.ofsted.gov.uk/inspection-reports/find-inspection-report/provider/ELS/131164 ","Ofsted School Webpage")</f>
        <v>Ofsted School Webpage</v>
      </c>
      <c r="B344">
        <v>131164</v>
      </c>
      <c r="C344">
        <v>3306094</v>
      </c>
      <c r="D344" t="s">
        <v>2506</v>
      </c>
      <c r="E344" t="s">
        <v>36</v>
      </c>
      <c r="F344" t="s">
        <v>142</v>
      </c>
      <c r="G344" t="s">
        <v>261</v>
      </c>
      <c r="H344" t="s">
        <v>2595</v>
      </c>
      <c r="I344" t="s">
        <v>2596</v>
      </c>
      <c r="J344" t="s">
        <v>143</v>
      </c>
      <c r="K344" t="s">
        <v>150</v>
      </c>
      <c r="L344" t="s">
        <v>150</v>
      </c>
      <c r="M344" t="s">
        <v>167</v>
      </c>
      <c r="N344" t="s">
        <v>2507</v>
      </c>
      <c r="O344">
        <v>10033566</v>
      </c>
      <c r="P344" s="108">
        <v>43137</v>
      </c>
      <c r="Q344" s="108">
        <v>43139</v>
      </c>
      <c r="R344" s="108">
        <v>43167</v>
      </c>
      <c r="S344" t="s">
        <v>153</v>
      </c>
      <c r="T344">
        <v>3</v>
      </c>
      <c r="U344" t="s">
        <v>123</v>
      </c>
      <c r="V344">
        <v>3</v>
      </c>
      <c r="W344">
        <v>2</v>
      </c>
      <c r="X344">
        <v>3</v>
      </c>
      <c r="Y344">
        <f>VLOOKUP(Table_clu7sql1_ssdb_REPORT_vw_IE_External_MI_SON[[#This Row],[URN]],[1]Data!$D$2:$BB$1084,31,)</f>
        <v>3</v>
      </c>
      <c r="Z344" t="s">
        <v>2596</v>
      </c>
      <c r="AA344" t="s">
        <v>2596</v>
      </c>
      <c r="AB344" t="s">
        <v>2599</v>
      </c>
      <c r="AC344" t="s">
        <v>2596</v>
      </c>
      <c r="AD344" t="s">
        <v>2596</v>
      </c>
      <c r="AE344" t="s">
        <v>2596</v>
      </c>
      <c r="AF344" t="s">
        <v>2596</v>
      </c>
      <c r="AG344" t="s">
        <v>2596</v>
      </c>
      <c r="AH344" t="s">
        <v>2596</v>
      </c>
    </row>
    <row r="345" spans="1:34" x14ac:dyDescent="0.25">
      <c r="A345" s="111" t="str">
        <f>HYPERLINK("http://www.ofsted.gov.uk/inspection-reports/find-inspection-report/provider/ELS/131165 ","Ofsted School Webpage")</f>
        <v>Ofsted School Webpage</v>
      </c>
      <c r="B345">
        <v>131165</v>
      </c>
      <c r="C345">
        <v>2056390</v>
      </c>
      <c r="D345" t="s">
        <v>2896</v>
      </c>
      <c r="E345" t="s">
        <v>36</v>
      </c>
      <c r="F345" t="s">
        <v>142</v>
      </c>
      <c r="G345" t="s">
        <v>397</v>
      </c>
      <c r="H345" t="s">
        <v>2595</v>
      </c>
      <c r="I345" t="s">
        <v>2596</v>
      </c>
      <c r="J345" t="s">
        <v>143</v>
      </c>
      <c r="K345" t="s">
        <v>189</v>
      </c>
      <c r="L345" t="s">
        <v>189</v>
      </c>
      <c r="M345" t="s">
        <v>257</v>
      </c>
      <c r="N345" t="s">
        <v>385</v>
      </c>
      <c r="O345">
        <v>10035790</v>
      </c>
      <c r="P345" s="108">
        <v>42997</v>
      </c>
      <c r="Q345" s="108">
        <v>42999</v>
      </c>
      <c r="R345" s="108">
        <v>43026</v>
      </c>
      <c r="S345" t="s">
        <v>153</v>
      </c>
      <c r="T345">
        <v>2</v>
      </c>
      <c r="U345" t="s">
        <v>123</v>
      </c>
      <c r="V345">
        <v>2</v>
      </c>
      <c r="W345">
        <v>1</v>
      </c>
      <c r="X345">
        <v>2</v>
      </c>
      <c r="Y345">
        <f>VLOOKUP(Table_clu7sql1_ssdb_REPORT_vw_IE_External_MI_SON[[#This Row],[URN]],[1]Data!$D$2:$BB$1084,31,)</f>
        <v>2</v>
      </c>
      <c r="Z345">
        <v>2</v>
      </c>
      <c r="AA345" t="s">
        <v>2596</v>
      </c>
      <c r="AB345" t="s">
        <v>2598</v>
      </c>
      <c r="AC345" t="s">
        <v>2596</v>
      </c>
      <c r="AD345" t="s">
        <v>2596</v>
      </c>
      <c r="AE345" t="s">
        <v>2596</v>
      </c>
      <c r="AF345" t="s">
        <v>2596</v>
      </c>
      <c r="AG345" t="s">
        <v>2596</v>
      </c>
      <c r="AH345" t="s">
        <v>2596</v>
      </c>
    </row>
    <row r="346" spans="1:34" x14ac:dyDescent="0.25">
      <c r="A346" s="111" t="str">
        <f>HYPERLINK("http://www.ofsted.gov.uk/inspection-reports/find-inspection-report/provider/ELS/131170 ","Ofsted School Webpage")</f>
        <v>Ofsted School Webpage</v>
      </c>
      <c r="B346">
        <v>131170</v>
      </c>
      <c r="C346">
        <v>2046398</v>
      </c>
      <c r="D346" t="s">
        <v>1430</v>
      </c>
      <c r="E346" t="s">
        <v>36</v>
      </c>
      <c r="F346" t="s">
        <v>142</v>
      </c>
      <c r="G346" t="s">
        <v>776</v>
      </c>
      <c r="H346" t="s">
        <v>2595</v>
      </c>
      <c r="I346" t="s">
        <v>2596</v>
      </c>
      <c r="J346" t="s">
        <v>143</v>
      </c>
      <c r="K346" t="s">
        <v>189</v>
      </c>
      <c r="L346" t="s">
        <v>189</v>
      </c>
      <c r="M346" t="s">
        <v>434</v>
      </c>
      <c r="N346" t="s">
        <v>1431</v>
      </c>
      <c r="O346" t="s">
        <v>1432</v>
      </c>
      <c r="P346" s="108">
        <v>41961</v>
      </c>
      <c r="Q346" s="108">
        <v>41963</v>
      </c>
      <c r="R346" s="108">
        <v>42046</v>
      </c>
      <c r="S346" t="s">
        <v>153</v>
      </c>
      <c r="T346">
        <v>4</v>
      </c>
      <c r="U346" t="s">
        <v>2596</v>
      </c>
      <c r="V346">
        <v>4</v>
      </c>
      <c r="W346" t="s">
        <v>2596</v>
      </c>
      <c r="X346">
        <v>4</v>
      </c>
      <c r="Y346">
        <f>VLOOKUP(Table_clu7sql1_ssdb_REPORT_vw_IE_External_MI_SON[[#This Row],[URN]],[1]Data!$D$2:$BB$1084,31,)</f>
        <v>4</v>
      </c>
      <c r="Z346">
        <v>4</v>
      </c>
      <c r="AA346">
        <v>9</v>
      </c>
      <c r="AB346" t="s">
        <v>2599</v>
      </c>
      <c r="AC346">
        <v>10039496</v>
      </c>
      <c r="AD346" t="s">
        <v>144</v>
      </c>
      <c r="AE346" s="108">
        <v>42935</v>
      </c>
      <c r="AF346" t="s">
        <v>2634</v>
      </c>
      <c r="AG346" s="108">
        <v>43017</v>
      </c>
      <c r="AH346" t="s">
        <v>174</v>
      </c>
    </row>
    <row r="347" spans="1:34" x14ac:dyDescent="0.25">
      <c r="A347" s="111" t="str">
        <f>HYPERLINK("http://www.ofsted.gov.uk/inspection-reports/find-inspection-report/provider/ELS/131171 ","Ofsted School Webpage")</f>
        <v>Ofsted School Webpage</v>
      </c>
      <c r="B347">
        <v>131171</v>
      </c>
      <c r="C347">
        <v>8936099</v>
      </c>
      <c r="D347" t="s">
        <v>959</v>
      </c>
      <c r="E347" t="s">
        <v>37</v>
      </c>
      <c r="F347" t="s">
        <v>142</v>
      </c>
      <c r="G347" t="s">
        <v>142</v>
      </c>
      <c r="H347" t="s">
        <v>2595</v>
      </c>
      <c r="I347" t="s">
        <v>2596</v>
      </c>
      <c r="J347" t="s">
        <v>143</v>
      </c>
      <c r="K347" t="s">
        <v>150</v>
      </c>
      <c r="L347" t="s">
        <v>150</v>
      </c>
      <c r="M347" t="s">
        <v>151</v>
      </c>
      <c r="N347" t="s">
        <v>960</v>
      </c>
      <c r="O347">
        <v>10006078</v>
      </c>
      <c r="P347" s="108">
        <v>42423</v>
      </c>
      <c r="Q347" s="108">
        <v>42425</v>
      </c>
      <c r="R347" s="108">
        <v>42486</v>
      </c>
      <c r="S347" t="s">
        <v>153</v>
      </c>
      <c r="T347">
        <v>4</v>
      </c>
      <c r="U347" t="s">
        <v>123</v>
      </c>
      <c r="V347">
        <v>4</v>
      </c>
      <c r="W347">
        <v>3</v>
      </c>
      <c r="X347">
        <v>4</v>
      </c>
      <c r="Y347">
        <f>VLOOKUP(Table_clu7sql1_ssdb_REPORT_vw_IE_External_MI_SON[[#This Row],[URN]],[1]Data!$D$2:$BB$1084,31,)</f>
        <v>4</v>
      </c>
      <c r="Z347" t="s">
        <v>2596</v>
      </c>
      <c r="AA347">
        <v>4</v>
      </c>
      <c r="AB347" t="s">
        <v>2599</v>
      </c>
      <c r="AC347">
        <v>10022100</v>
      </c>
      <c r="AD347" t="s">
        <v>144</v>
      </c>
      <c r="AE347" s="108">
        <v>42675</v>
      </c>
      <c r="AF347" t="s">
        <v>2634</v>
      </c>
      <c r="AG347" s="108">
        <v>42712</v>
      </c>
      <c r="AH347" t="s">
        <v>146</v>
      </c>
    </row>
    <row r="348" spans="1:34" x14ac:dyDescent="0.25">
      <c r="A348" s="111" t="str">
        <f>HYPERLINK("http://www.ofsted.gov.uk/inspection-reports/find-inspection-report/provider/ELS/131181 ","Ofsted School Webpage")</f>
        <v>Ofsted School Webpage</v>
      </c>
      <c r="B348">
        <v>131181</v>
      </c>
      <c r="C348">
        <v>8866073</v>
      </c>
      <c r="D348" t="s">
        <v>1428</v>
      </c>
      <c r="E348" t="s">
        <v>36</v>
      </c>
      <c r="F348" t="s">
        <v>142</v>
      </c>
      <c r="G348" t="s">
        <v>169</v>
      </c>
      <c r="H348" t="s">
        <v>2595</v>
      </c>
      <c r="I348" t="s">
        <v>2596</v>
      </c>
      <c r="J348" t="s">
        <v>143</v>
      </c>
      <c r="K348" t="s">
        <v>139</v>
      </c>
      <c r="L348" t="s">
        <v>139</v>
      </c>
      <c r="M348" t="s">
        <v>140</v>
      </c>
      <c r="N348" t="s">
        <v>1429</v>
      </c>
      <c r="O348">
        <v>10018926</v>
      </c>
      <c r="P348" s="108">
        <v>42640</v>
      </c>
      <c r="Q348" s="108">
        <v>42642</v>
      </c>
      <c r="R348" s="108">
        <v>42660</v>
      </c>
      <c r="S348" t="s">
        <v>153</v>
      </c>
      <c r="T348">
        <v>2</v>
      </c>
      <c r="U348" t="s">
        <v>123</v>
      </c>
      <c r="V348">
        <v>2</v>
      </c>
      <c r="W348">
        <v>1</v>
      </c>
      <c r="X348">
        <v>2</v>
      </c>
      <c r="Y348">
        <f>VLOOKUP(Table_clu7sql1_ssdb_REPORT_vw_IE_External_MI_SON[[#This Row],[URN]],[1]Data!$D$2:$BB$1084,31,)</f>
        <v>2</v>
      </c>
      <c r="Z348">
        <v>2</v>
      </c>
      <c r="AA348">
        <v>2</v>
      </c>
      <c r="AB348" t="s">
        <v>2598</v>
      </c>
      <c r="AC348" t="s">
        <v>2596</v>
      </c>
      <c r="AD348" t="s">
        <v>2596</v>
      </c>
      <c r="AE348" t="s">
        <v>2596</v>
      </c>
      <c r="AF348" t="s">
        <v>2596</v>
      </c>
      <c r="AG348" t="s">
        <v>2596</v>
      </c>
      <c r="AH348" t="s">
        <v>2596</v>
      </c>
    </row>
    <row r="349" spans="1:34" x14ac:dyDescent="0.25">
      <c r="A349" s="111" t="str">
        <f>HYPERLINK("http://www.ofsted.gov.uk/inspection-reports/find-inspection-report/provider/ELS/131198 ","Ofsted School Webpage")</f>
        <v>Ofsted School Webpage</v>
      </c>
      <c r="B349">
        <v>131198</v>
      </c>
      <c r="C349">
        <v>2116386</v>
      </c>
      <c r="D349" t="s">
        <v>1937</v>
      </c>
      <c r="E349" t="s">
        <v>36</v>
      </c>
      <c r="F349" t="s">
        <v>142</v>
      </c>
      <c r="G349" t="s">
        <v>142</v>
      </c>
      <c r="H349" t="s">
        <v>2595</v>
      </c>
      <c r="I349" t="s">
        <v>2596</v>
      </c>
      <c r="J349" t="s">
        <v>143</v>
      </c>
      <c r="K349" t="s">
        <v>189</v>
      </c>
      <c r="L349" t="s">
        <v>189</v>
      </c>
      <c r="M349" t="s">
        <v>494</v>
      </c>
      <c r="N349" t="s">
        <v>1938</v>
      </c>
      <c r="O349">
        <v>10012780</v>
      </c>
      <c r="P349" s="108">
        <v>43137</v>
      </c>
      <c r="Q349" s="108">
        <v>43139</v>
      </c>
      <c r="R349" s="108">
        <v>43166</v>
      </c>
      <c r="S349" t="s">
        <v>153</v>
      </c>
      <c r="T349">
        <v>2</v>
      </c>
      <c r="U349" t="s">
        <v>123</v>
      </c>
      <c r="V349">
        <v>2</v>
      </c>
      <c r="W349">
        <v>2</v>
      </c>
      <c r="X349">
        <v>2</v>
      </c>
      <c r="Y349">
        <f>VLOOKUP(Table_clu7sql1_ssdb_REPORT_vw_IE_External_MI_SON[[#This Row],[URN]],[1]Data!$D$2:$BB$1084,31,)</f>
        <v>2</v>
      </c>
      <c r="Z349">
        <v>2</v>
      </c>
      <c r="AA349" t="s">
        <v>2596</v>
      </c>
      <c r="AB349" t="s">
        <v>2598</v>
      </c>
      <c r="AC349" t="s">
        <v>2596</v>
      </c>
      <c r="AD349" t="s">
        <v>2596</v>
      </c>
      <c r="AE349" t="s">
        <v>2596</v>
      </c>
      <c r="AF349" t="s">
        <v>2596</v>
      </c>
      <c r="AG349" t="s">
        <v>2596</v>
      </c>
      <c r="AH349" t="s">
        <v>2596</v>
      </c>
    </row>
    <row r="350" spans="1:34" x14ac:dyDescent="0.25">
      <c r="A350" s="111" t="str">
        <f>HYPERLINK("http://www.ofsted.gov.uk/inspection-reports/find-inspection-report/provider/ELS/131237 ","Ofsted School Webpage")</f>
        <v>Ofsted School Webpage</v>
      </c>
      <c r="B350">
        <v>131237</v>
      </c>
      <c r="C350">
        <v>2106391</v>
      </c>
      <c r="D350" t="s">
        <v>504</v>
      </c>
      <c r="E350" t="s">
        <v>37</v>
      </c>
      <c r="F350" t="s">
        <v>142</v>
      </c>
      <c r="G350" t="s">
        <v>142</v>
      </c>
      <c r="H350" t="s">
        <v>2595</v>
      </c>
      <c r="I350" t="s">
        <v>2596</v>
      </c>
      <c r="J350" t="s">
        <v>143</v>
      </c>
      <c r="K350" t="s">
        <v>189</v>
      </c>
      <c r="L350" t="s">
        <v>189</v>
      </c>
      <c r="M350" t="s">
        <v>505</v>
      </c>
      <c r="N350" t="s">
        <v>506</v>
      </c>
      <c r="O350" t="s">
        <v>507</v>
      </c>
      <c r="P350" s="108">
        <v>41612</v>
      </c>
      <c r="Q350" s="108">
        <v>41614</v>
      </c>
      <c r="R350" s="108">
        <v>41649</v>
      </c>
      <c r="S350" t="s">
        <v>153</v>
      </c>
      <c r="T350">
        <v>2</v>
      </c>
      <c r="U350" t="s">
        <v>2596</v>
      </c>
      <c r="V350">
        <v>2</v>
      </c>
      <c r="W350" t="s">
        <v>2596</v>
      </c>
      <c r="X350">
        <v>2</v>
      </c>
      <c r="Y350">
        <f>VLOOKUP(Table_clu7sql1_ssdb_REPORT_vw_IE_External_MI_SON[[#This Row],[URN]],[1]Data!$D$2:$BB$1084,31,)</f>
        <v>2</v>
      </c>
      <c r="Z350" t="s">
        <v>2596</v>
      </c>
      <c r="AA350" t="s">
        <v>2596</v>
      </c>
      <c r="AB350" t="s">
        <v>2886</v>
      </c>
      <c r="AC350" t="s">
        <v>2596</v>
      </c>
      <c r="AD350" t="s">
        <v>2596</v>
      </c>
      <c r="AE350" t="s">
        <v>2596</v>
      </c>
      <c r="AF350" t="s">
        <v>2596</v>
      </c>
      <c r="AG350" t="s">
        <v>2596</v>
      </c>
      <c r="AH350" t="s">
        <v>2596</v>
      </c>
    </row>
    <row r="351" spans="1:34" x14ac:dyDescent="0.25">
      <c r="A351" s="111" t="str">
        <f>HYPERLINK("http://www.ofsted.gov.uk/inspection-reports/find-inspection-report/provider/ELS/131260 ","Ofsted School Webpage")</f>
        <v>Ofsted School Webpage</v>
      </c>
      <c r="B351">
        <v>131260</v>
      </c>
      <c r="C351">
        <v>8736039</v>
      </c>
      <c r="D351" t="s">
        <v>1815</v>
      </c>
      <c r="E351" t="s">
        <v>37</v>
      </c>
      <c r="F351" t="s">
        <v>142</v>
      </c>
      <c r="G351" t="s">
        <v>142</v>
      </c>
      <c r="H351" t="s">
        <v>2595</v>
      </c>
      <c r="I351" t="s">
        <v>2596</v>
      </c>
      <c r="J351" t="s">
        <v>143</v>
      </c>
      <c r="K351" t="s">
        <v>171</v>
      </c>
      <c r="L351" t="s">
        <v>171</v>
      </c>
      <c r="M351" t="s">
        <v>241</v>
      </c>
      <c r="N351" t="s">
        <v>1816</v>
      </c>
      <c r="O351" t="s">
        <v>1817</v>
      </c>
      <c r="P351" s="108">
        <v>41241</v>
      </c>
      <c r="Q351" s="108">
        <v>41242</v>
      </c>
      <c r="R351" s="108">
        <v>41264</v>
      </c>
      <c r="S351" t="s">
        <v>224</v>
      </c>
      <c r="T351">
        <v>2</v>
      </c>
      <c r="U351" t="s">
        <v>2596</v>
      </c>
      <c r="V351" t="s">
        <v>2596</v>
      </c>
      <c r="W351" t="s">
        <v>2596</v>
      </c>
      <c r="X351">
        <v>2</v>
      </c>
      <c r="Y351">
        <f>VLOOKUP(Table_clu7sql1_ssdb_REPORT_vw_IE_External_MI_SON[[#This Row],[URN]],[1]Data!$D$2:$BB$1084,31,)</f>
        <v>2</v>
      </c>
      <c r="Z351">
        <v>8</v>
      </c>
      <c r="AA351" t="s">
        <v>2596</v>
      </c>
      <c r="AB351" t="s">
        <v>2598</v>
      </c>
      <c r="AC351" t="s">
        <v>2596</v>
      </c>
      <c r="AD351" t="s">
        <v>2596</v>
      </c>
      <c r="AE351" s="108" t="s">
        <v>2596</v>
      </c>
      <c r="AF351" t="s">
        <v>2596</v>
      </c>
      <c r="AG351" s="108" t="s">
        <v>2596</v>
      </c>
      <c r="AH351" t="s">
        <v>2596</v>
      </c>
    </row>
    <row r="352" spans="1:34" x14ac:dyDescent="0.25">
      <c r="A352" s="111" t="str">
        <f>HYPERLINK("http://www.ofsted.gov.uk/inspection-reports/find-inspection-report/provider/ELS/131261 ","Ofsted School Webpage")</f>
        <v>Ofsted School Webpage</v>
      </c>
      <c r="B352">
        <v>131261</v>
      </c>
      <c r="C352">
        <v>3026119</v>
      </c>
      <c r="D352" t="s">
        <v>1268</v>
      </c>
      <c r="E352" t="s">
        <v>36</v>
      </c>
      <c r="F352" t="s">
        <v>261</v>
      </c>
      <c r="G352" t="s">
        <v>180</v>
      </c>
      <c r="H352" t="s">
        <v>2595</v>
      </c>
      <c r="I352" t="s">
        <v>2596</v>
      </c>
      <c r="J352" t="s">
        <v>143</v>
      </c>
      <c r="K352" t="s">
        <v>189</v>
      </c>
      <c r="L352" t="s">
        <v>189</v>
      </c>
      <c r="M352" t="s">
        <v>268</v>
      </c>
      <c r="N352" t="s">
        <v>1269</v>
      </c>
      <c r="O352" t="s">
        <v>1270</v>
      </c>
      <c r="P352" s="108">
        <v>41429</v>
      </c>
      <c r="Q352" s="108">
        <v>41431</v>
      </c>
      <c r="R352" s="108">
        <v>41451</v>
      </c>
      <c r="S352" t="s">
        <v>153</v>
      </c>
      <c r="T352">
        <v>3</v>
      </c>
      <c r="U352" t="s">
        <v>2596</v>
      </c>
      <c r="V352">
        <v>3</v>
      </c>
      <c r="W352" t="s">
        <v>2596</v>
      </c>
      <c r="X352">
        <v>3</v>
      </c>
      <c r="Y352">
        <f>VLOOKUP(Table_clu7sql1_ssdb_REPORT_vw_IE_External_MI_SON[[#This Row],[URN]],[1]Data!$D$2:$BB$1084,31,)</f>
        <v>3</v>
      </c>
      <c r="Z352" t="s">
        <v>2596</v>
      </c>
      <c r="AA352" t="s">
        <v>2596</v>
      </c>
      <c r="AB352" t="s">
        <v>2599</v>
      </c>
      <c r="AC352" t="s">
        <v>2596</v>
      </c>
      <c r="AD352" t="s">
        <v>2596</v>
      </c>
      <c r="AE352" t="s">
        <v>2596</v>
      </c>
      <c r="AF352" t="s">
        <v>2596</v>
      </c>
      <c r="AG352" t="s">
        <v>2596</v>
      </c>
      <c r="AH352" t="s">
        <v>2596</v>
      </c>
    </row>
    <row r="353" spans="1:34" x14ac:dyDescent="0.25">
      <c r="A353" s="111" t="str">
        <f>HYPERLINK("http://www.ofsted.gov.uk/inspection-reports/find-inspection-report/provider/ELS/131288 ","Ofsted School Webpage")</f>
        <v>Ofsted School Webpage</v>
      </c>
      <c r="B353">
        <v>131288</v>
      </c>
      <c r="C353">
        <v>3026109</v>
      </c>
      <c r="D353" t="s">
        <v>2128</v>
      </c>
      <c r="E353" t="s">
        <v>36</v>
      </c>
      <c r="F353" t="s">
        <v>142</v>
      </c>
      <c r="G353" t="s">
        <v>142</v>
      </c>
      <c r="H353" t="s">
        <v>2595</v>
      </c>
      <c r="I353" t="s">
        <v>2596</v>
      </c>
      <c r="J353" t="s">
        <v>143</v>
      </c>
      <c r="K353" t="s">
        <v>189</v>
      </c>
      <c r="L353" t="s">
        <v>189</v>
      </c>
      <c r="M353" t="s">
        <v>268</v>
      </c>
      <c r="N353" t="s">
        <v>2129</v>
      </c>
      <c r="O353" t="s">
        <v>2130</v>
      </c>
      <c r="P353" s="108">
        <v>40962</v>
      </c>
      <c r="Q353" s="108">
        <v>40963</v>
      </c>
      <c r="R353" s="108">
        <v>41236</v>
      </c>
      <c r="S353" t="s">
        <v>153</v>
      </c>
      <c r="T353">
        <v>2</v>
      </c>
      <c r="U353" t="s">
        <v>2596</v>
      </c>
      <c r="V353" t="s">
        <v>2596</v>
      </c>
      <c r="W353" t="s">
        <v>2596</v>
      </c>
      <c r="X353">
        <v>2</v>
      </c>
      <c r="Y353">
        <f>VLOOKUP(Table_clu7sql1_ssdb_REPORT_vw_IE_External_MI_SON[[#This Row],[URN]],[1]Data!$D$2:$BB$1084,31,)</f>
        <v>2</v>
      </c>
      <c r="Z353">
        <v>8</v>
      </c>
      <c r="AA353" t="s">
        <v>2596</v>
      </c>
      <c r="AB353" t="s">
        <v>2598</v>
      </c>
      <c r="AC353" t="s">
        <v>2596</v>
      </c>
      <c r="AD353" t="s">
        <v>2596</v>
      </c>
      <c r="AE353" t="s">
        <v>2596</v>
      </c>
      <c r="AF353" t="s">
        <v>2596</v>
      </c>
      <c r="AG353" t="s">
        <v>2596</v>
      </c>
      <c r="AH353" t="s">
        <v>2596</v>
      </c>
    </row>
    <row r="354" spans="1:34" x14ac:dyDescent="0.25">
      <c r="A354" s="111" t="str">
        <f>HYPERLINK("http://www.ofsted.gov.uk/inspection-reports/find-inspection-report/provider/ELS/131291 ","Ofsted School Webpage")</f>
        <v>Ofsted School Webpage</v>
      </c>
      <c r="B354">
        <v>131291</v>
      </c>
      <c r="C354">
        <v>2026396</v>
      </c>
      <c r="D354" t="s">
        <v>2310</v>
      </c>
      <c r="E354" t="s">
        <v>36</v>
      </c>
      <c r="F354" t="s">
        <v>142</v>
      </c>
      <c r="G354" t="s">
        <v>142</v>
      </c>
      <c r="H354" t="s">
        <v>2595</v>
      </c>
      <c r="I354" t="s">
        <v>2596</v>
      </c>
      <c r="J354" t="s">
        <v>143</v>
      </c>
      <c r="K354" t="s">
        <v>189</v>
      </c>
      <c r="L354" t="s">
        <v>189</v>
      </c>
      <c r="M354" t="s">
        <v>491</v>
      </c>
      <c r="N354" t="s">
        <v>2311</v>
      </c>
      <c r="O354">
        <v>10008533</v>
      </c>
      <c r="P354" s="108">
        <v>42752</v>
      </c>
      <c r="Q354" s="108">
        <v>42754</v>
      </c>
      <c r="R354" s="108">
        <v>42823</v>
      </c>
      <c r="S354" t="s">
        <v>153</v>
      </c>
      <c r="T354">
        <v>1</v>
      </c>
      <c r="U354" t="s">
        <v>123</v>
      </c>
      <c r="V354">
        <v>1</v>
      </c>
      <c r="W354">
        <v>1</v>
      </c>
      <c r="X354">
        <v>1</v>
      </c>
      <c r="Y354">
        <f>VLOOKUP(Table_clu7sql1_ssdb_REPORT_vw_IE_External_MI_SON[[#This Row],[URN]],[1]Data!$D$2:$BB$1084,31,)</f>
        <v>1</v>
      </c>
      <c r="Z354" t="s">
        <v>2596</v>
      </c>
      <c r="AA354" t="s">
        <v>2596</v>
      </c>
      <c r="AB354" t="s">
        <v>2598</v>
      </c>
      <c r="AC354" t="s">
        <v>2596</v>
      </c>
      <c r="AD354" t="s">
        <v>2596</v>
      </c>
      <c r="AE354" t="s">
        <v>2596</v>
      </c>
      <c r="AF354" t="s">
        <v>2596</v>
      </c>
      <c r="AG354" t="s">
        <v>2596</v>
      </c>
      <c r="AH354" t="s">
        <v>2596</v>
      </c>
    </row>
    <row r="355" spans="1:34" x14ac:dyDescent="0.25">
      <c r="A355" s="111" t="str">
        <f>HYPERLINK("http://www.ofsted.gov.uk/inspection-reports/find-inspection-report/provider/ELS/131327 ","Ofsted School Webpage")</f>
        <v>Ofsted School Webpage</v>
      </c>
      <c r="B355">
        <v>131327</v>
      </c>
      <c r="C355">
        <v>8306033</v>
      </c>
      <c r="D355" t="s">
        <v>1763</v>
      </c>
      <c r="E355" t="s">
        <v>37</v>
      </c>
      <c r="F355" t="s">
        <v>142</v>
      </c>
      <c r="G355" t="s">
        <v>142</v>
      </c>
      <c r="H355" t="s">
        <v>2595</v>
      </c>
      <c r="I355" t="s">
        <v>2596</v>
      </c>
      <c r="J355" t="s">
        <v>143</v>
      </c>
      <c r="K355" t="s">
        <v>171</v>
      </c>
      <c r="L355" t="s">
        <v>171</v>
      </c>
      <c r="M355" t="s">
        <v>320</v>
      </c>
      <c r="N355" t="s">
        <v>1764</v>
      </c>
      <c r="O355">
        <v>10008603</v>
      </c>
      <c r="P355" s="108">
        <v>42507</v>
      </c>
      <c r="Q355" s="108">
        <v>42509</v>
      </c>
      <c r="R355" s="108">
        <v>42559</v>
      </c>
      <c r="S355" t="s">
        <v>153</v>
      </c>
      <c r="T355">
        <v>1</v>
      </c>
      <c r="U355" t="s">
        <v>123</v>
      </c>
      <c r="V355">
        <v>1</v>
      </c>
      <c r="W355">
        <v>1</v>
      </c>
      <c r="X355">
        <v>1</v>
      </c>
      <c r="Y355">
        <f>VLOOKUP(Table_clu7sql1_ssdb_REPORT_vw_IE_External_MI_SON[[#This Row],[URN]],[1]Data!$D$2:$BB$1084,31,)</f>
        <v>1</v>
      </c>
      <c r="Z355" t="s">
        <v>2596</v>
      </c>
      <c r="AA355" t="s">
        <v>2596</v>
      </c>
      <c r="AB355" t="s">
        <v>2598</v>
      </c>
      <c r="AC355" t="s">
        <v>2596</v>
      </c>
      <c r="AD355" t="s">
        <v>2596</v>
      </c>
      <c r="AE355" t="s">
        <v>2596</v>
      </c>
      <c r="AF355" t="s">
        <v>2596</v>
      </c>
      <c r="AG355" t="s">
        <v>2596</v>
      </c>
      <c r="AH355" t="s">
        <v>2596</v>
      </c>
    </row>
    <row r="356" spans="1:34" x14ac:dyDescent="0.25">
      <c r="A356" s="111" t="str">
        <f>HYPERLINK("http://www.ofsted.gov.uk/inspection-reports/find-inspection-report/provider/ELS/131337 ","Ofsted School Webpage")</f>
        <v>Ofsted School Webpage</v>
      </c>
      <c r="B356">
        <v>131337</v>
      </c>
      <c r="C356">
        <v>8886033</v>
      </c>
      <c r="D356" t="s">
        <v>1685</v>
      </c>
      <c r="E356" t="s">
        <v>36</v>
      </c>
      <c r="F356" t="s">
        <v>142</v>
      </c>
      <c r="G356" t="s">
        <v>180</v>
      </c>
      <c r="H356" t="s">
        <v>2595</v>
      </c>
      <c r="I356" t="s">
        <v>2596</v>
      </c>
      <c r="J356" t="s">
        <v>143</v>
      </c>
      <c r="K356" t="s">
        <v>162</v>
      </c>
      <c r="L356" t="s">
        <v>162</v>
      </c>
      <c r="M356" t="s">
        <v>163</v>
      </c>
      <c r="N356" t="s">
        <v>1686</v>
      </c>
      <c r="O356">
        <v>10034539</v>
      </c>
      <c r="P356" s="108">
        <v>42899</v>
      </c>
      <c r="Q356" s="108">
        <v>42901</v>
      </c>
      <c r="R356" s="108">
        <v>42927</v>
      </c>
      <c r="S356" t="s">
        <v>153</v>
      </c>
      <c r="T356">
        <v>3</v>
      </c>
      <c r="U356" t="s">
        <v>123</v>
      </c>
      <c r="V356">
        <v>3</v>
      </c>
      <c r="W356">
        <v>2</v>
      </c>
      <c r="X356">
        <v>3</v>
      </c>
      <c r="Y356">
        <f>VLOOKUP(Table_clu7sql1_ssdb_REPORT_vw_IE_External_MI_SON[[#This Row],[URN]],[1]Data!$D$2:$BB$1084,31,)</f>
        <v>3</v>
      </c>
      <c r="Z356" t="s">
        <v>2596</v>
      </c>
      <c r="AA356" t="s">
        <v>2596</v>
      </c>
      <c r="AB356" t="s">
        <v>2598</v>
      </c>
      <c r="AC356" t="s">
        <v>2596</v>
      </c>
      <c r="AD356" t="s">
        <v>2596</v>
      </c>
      <c r="AE356" t="s">
        <v>2596</v>
      </c>
      <c r="AF356" t="s">
        <v>2596</v>
      </c>
      <c r="AG356" t="s">
        <v>2596</v>
      </c>
      <c r="AH356" t="s">
        <v>2596</v>
      </c>
    </row>
    <row r="357" spans="1:34" x14ac:dyDescent="0.25">
      <c r="A357" s="111" t="str">
        <f>HYPERLINK("http://www.ofsted.gov.uk/inspection-reports/find-inspection-report/provider/ELS/131342 ","Ofsted School Webpage")</f>
        <v>Ofsted School Webpage</v>
      </c>
      <c r="B357">
        <v>131342</v>
      </c>
      <c r="C357">
        <v>2046400</v>
      </c>
      <c r="D357" t="s">
        <v>1216</v>
      </c>
      <c r="E357" t="s">
        <v>36</v>
      </c>
      <c r="F357" t="s">
        <v>142</v>
      </c>
      <c r="G357" t="s">
        <v>275</v>
      </c>
      <c r="H357" t="s">
        <v>2595</v>
      </c>
      <c r="I357" t="s">
        <v>2596</v>
      </c>
      <c r="J357" t="s">
        <v>143</v>
      </c>
      <c r="K357" t="s">
        <v>189</v>
      </c>
      <c r="L357" t="s">
        <v>189</v>
      </c>
      <c r="M357" t="s">
        <v>434</v>
      </c>
      <c r="N357" t="s">
        <v>1217</v>
      </c>
      <c r="O357" t="s">
        <v>1218</v>
      </c>
      <c r="P357" s="108">
        <v>41815</v>
      </c>
      <c r="Q357" s="108">
        <v>41817</v>
      </c>
      <c r="R357" s="108">
        <v>41937</v>
      </c>
      <c r="S357" t="s">
        <v>153</v>
      </c>
      <c r="T357">
        <v>4</v>
      </c>
      <c r="U357" t="s">
        <v>2596</v>
      </c>
      <c r="V357">
        <v>4</v>
      </c>
      <c r="W357" t="s">
        <v>2596</v>
      </c>
      <c r="X357">
        <v>3</v>
      </c>
      <c r="Y357">
        <f>VLOOKUP(Table_clu7sql1_ssdb_REPORT_vw_IE_External_MI_SON[[#This Row],[URN]],[1]Data!$D$2:$BB$1084,31,)</f>
        <v>4</v>
      </c>
      <c r="Z357" t="s">
        <v>2596</v>
      </c>
      <c r="AA357" t="s">
        <v>2596</v>
      </c>
      <c r="AB357" t="s">
        <v>2599</v>
      </c>
      <c r="AC357" t="s">
        <v>2871</v>
      </c>
      <c r="AD357" t="s">
        <v>144</v>
      </c>
      <c r="AE357" s="108">
        <v>42080</v>
      </c>
      <c r="AF357" t="s">
        <v>2869</v>
      </c>
      <c r="AG357" s="108">
        <v>42116</v>
      </c>
      <c r="AH357" t="s">
        <v>2638</v>
      </c>
    </row>
    <row r="358" spans="1:34" x14ac:dyDescent="0.25">
      <c r="A358" s="111" t="str">
        <f>HYPERLINK("http://www.ofsted.gov.uk/inspection-reports/find-inspection-report/provider/ELS/131351 ","Ofsted School Webpage")</f>
        <v>Ofsted School Webpage</v>
      </c>
      <c r="B358">
        <v>131351</v>
      </c>
      <c r="C358">
        <v>3146070</v>
      </c>
      <c r="D358" t="s">
        <v>195</v>
      </c>
      <c r="E358" t="s">
        <v>36</v>
      </c>
      <c r="F358" t="s">
        <v>142</v>
      </c>
      <c r="G358" t="s">
        <v>142</v>
      </c>
      <c r="H358" t="s">
        <v>2595</v>
      </c>
      <c r="I358" t="s">
        <v>2596</v>
      </c>
      <c r="J358" t="s">
        <v>143</v>
      </c>
      <c r="K358" t="s">
        <v>189</v>
      </c>
      <c r="L358" t="s">
        <v>189</v>
      </c>
      <c r="M358" t="s">
        <v>196</v>
      </c>
      <c r="N358" t="s">
        <v>197</v>
      </c>
      <c r="O358">
        <v>10012830</v>
      </c>
      <c r="P358" s="108">
        <v>43025</v>
      </c>
      <c r="Q358" s="108">
        <v>43027</v>
      </c>
      <c r="R358" s="108">
        <v>43054</v>
      </c>
      <c r="S358" t="s">
        <v>153</v>
      </c>
      <c r="T358">
        <v>2</v>
      </c>
      <c r="U358" t="s">
        <v>123</v>
      </c>
      <c r="V358">
        <v>2</v>
      </c>
      <c r="W358">
        <v>2</v>
      </c>
      <c r="X358">
        <v>2</v>
      </c>
      <c r="Y358">
        <f>VLOOKUP(Table_clu7sql1_ssdb_REPORT_vw_IE_External_MI_SON[[#This Row],[URN]],[1]Data!$D$2:$BB$1084,31,)</f>
        <v>2</v>
      </c>
      <c r="Z358">
        <v>2</v>
      </c>
      <c r="AA358" t="s">
        <v>2596</v>
      </c>
      <c r="AB358" t="s">
        <v>2598</v>
      </c>
      <c r="AC358" t="s">
        <v>2596</v>
      </c>
      <c r="AD358" t="s">
        <v>2596</v>
      </c>
      <c r="AE358" t="s">
        <v>2596</v>
      </c>
      <c r="AF358" t="s">
        <v>2596</v>
      </c>
      <c r="AG358" t="s">
        <v>2596</v>
      </c>
      <c r="AH358" t="s">
        <v>2596</v>
      </c>
    </row>
    <row r="359" spans="1:34" x14ac:dyDescent="0.25">
      <c r="A359" s="111" t="str">
        <f>HYPERLINK("http://www.ofsted.gov.uk/inspection-reports/find-inspection-report/provider/ELS/131353 ","Ofsted School Webpage")</f>
        <v>Ofsted School Webpage</v>
      </c>
      <c r="B359">
        <v>131353</v>
      </c>
      <c r="C359">
        <v>8846011</v>
      </c>
      <c r="D359" t="s">
        <v>690</v>
      </c>
      <c r="E359" t="s">
        <v>37</v>
      </c>
      <c r="F359" t="s">
        <v>142</v>
      </c>
      <c r="G359" t="s">
        <v>142</v>
      </c>
      <c r="H359" t="s">
        <v>2595</v>
      </c>
      <c r="I359" t="s">
        <v>2596</v>
      </c>
      <c r="J359" t="s">
        <v>143</v>
      </c>
      <c r="K359" t="s">
        <v>150</v>
      </c>
      <c r="L359" t="s">
        <v>150</v>
      </c>
      <c r="M359" t="s">
        <v>1021</v>
      </c>
      <c r="N359" t="s">
        <v>1407</v>
      </c>
      <c r="O359" t="s">
        <v>1408</v>
      </c>
      <c r="P359" s="108">
        <v>42185</v>
      </c>
      <c r="Q359" s="108">
        <v>42187</v>
      </c>
      <c r="R359" s="108">
        <v>42258</v>
      </c>
      <c r="S359" t="s">
        <v>153</v>
      </c>
      <c r="T359">
        <v>2</v>
      </c>
      <c r="U359" t="s">
        <v>2596</v>
      </c>
      <c r="V359">
        <v>2</v>
      </c>
      <c r="W359" t="s">
        <v>2596</v>
      </c>
      <c r="X359">
        <v>2</v>
      </c>
      <c r="Y359">
        <f>VLOOKUP(Table_clu7sql1_ssdb_REPORT_vw_IE_External_MI_SON[[#This Row],[URN]],[1]Data!$D$2:$BB$1084,31,)</f>
        <v>2</v>
      </c>
      <c r="Z359">
        <v>9</v>
      </c>
      <c r="AA359">
        <v>2</v>
      </c>
      <c r="AB359" t="s">
        <v>2598</v>
      </c>
      <c r="AC359" t="s">
        <v>2596</v>
      </c>
      <c r="AD359" t="s">
        <v>2596</v>
      </c>
      <c r="AE359" t="s">
        <v>2596</v>
      </c>
      <c r="AF359" t="s">
        <v>2596</v>
      </c>
      <c r="AG359" t="s">
        <v>2596</v>
      </c>
      <c r="AH359" t="s">
        <v>2596</v>
      </c>
    </row>
    <row r="360" spans="1:34" x14ac:dyDescent="0.25">
      <c r="A360" s="111" t="str">
        <f>HYPERLINK("http://www.ofsted.gov.uk/inspection-reports/find-inspection-report/provider/ELS/131355 ","Ofsted School Webpage")</f>
        <v>Ofsted School Webpage</v>
      </c>
      <c r="B360">
        <v>131355</v>
      </c>
      <c r="C360">
        <v>8886034</v>
      </c>
      <c r="D360" t="s">
        <v>659</v>
      </c>
      <c r="E360" t="s">
        <v>36</v>
      </c>
      <c r="F360" t="s">
        <v>142</v>
      </c>
      <c r="G360" t="s">
        <v>180</v>
      </c>
      <c r="H360" t="s">
        <v>2595</v>
      </c>
      <c r="I360" t="s">
        <v>2596</v>
      </c>
      <c r="J360" t="s">
        <v>143</v>
      </c>
      <c r="K360" t="s">
        <v>162</v>
      </c>
      <c r="L360" t="s">
        <v>162</v>
      </c>
      <c r="M360" t="s">
        <v>163</v>
      </c>
      <c r="N360" t="s">
        <v>660</v>
      </c>
      <c r="O360">
        <v>10034044</v>
      </c>
      <c r="P360" s="108">
        <v>42850</v>
      </c>
      <c r="Q360" s="108">
        <v>42852</v>
      </c>
      <c r="R360" s="108">
        <v>42886</v>
      </c>
      <c r="S360" t="s">
        <v>224</v>
      </c>
      <c r="T360">
        <v>3</v>
      </c>
      <c r="U360" t="s">
        <v>123</v>
      </c>
      <c r="V360">
        <v>3</v>
      </c>
      <c r="W360">
        <v>2</v>
      </c>
      <c r="X360">
        <v>3</v>
      </c>
      <c r="Y360">
        <f>VLOOKUP(Table_clu7sql1_ssdb_REPORT_vw_IE_External_MI_SON[[#This Row],[URN]],[1]Data!$D$2:$BB$1084,31,)</f>
        <v>3</v>
      </c>
      <c r="Z360" t="s">
        <v>2596</v>
      </c>
      <c r="AA360">
        <v>3</v>
      </c>
      <c r="AB360" t="s">
        <v>2598</v>
      </c>
      <c r="AC360" t="s">
        <v>2596</v>
      </c>
      <c r="AD360" t="s">
        <v>2596</v>
      </c>
      <c r="AE360" t="s">
        <v>2596</v>
      </c>
      <c r="AF360" t="s">
        <v>2596</v>
      </c>
      <c r="AG360" t="s">
        <v>2596</v>
      </c>
      <c r="AH360" t="s">
        <v>2596</v>
      </c>
    </row>
    <row r="361" spans="1:34" x14ac:dyDescent="0.25">
      <c r="A361" s="111" t="str">
        <f>HYPERLINK("http://www.ofsted.gov.uk/inspection-reports/find-inspection-report/provider/ELS/131356 ","Ofsted School Webpage")</f>
        <v>Ofsted School Webpage</v>
      </c>
      <c r="B361">
        <v>131356</v>
      </c>
      <c r="C361">
        <v>8466043</v>
      </c>
      <c r="D361" t="s">
        <v>386</v>
      </c>
      <c r="E361" t="s">
        <v>37</v>
      </c>
      <c r="F361" t="s">
        <v>142</v>
      </c>
      <c r="G361" t="s">
        <v>142</v>
      </c>
      <c r="H361" t="s">
        <v>2595</v>
      </c>
      <c r="I361" t="s">
        <v>2596</v>
      </c>
      <c r="J361" t="s">
        <v>143</v>
      </c>
      <c r="K361" t="s">
        <v>139</v>
      </c>
      <c r="L361" t="s">
        <v>139</v>
      </c>
      <c r="M361" t="s">
        <v>365</v>
      </c>
      <c r="N361" t="s">
        <v>387</v>
      </c>
      <c r="O361">
        <v>10044925</v>
      </c>
      <c r="P361" s="108">
        <v>43081</v>
      </c>
      <c r="Q361" s="108">
        <v>43083</v>
      </c>
      <c r="R361" s="108">
        <v>43116</v>
      </c>
      <c r="S361" t="s">
        <v>153</v>
      </c>
      <c r="T361">
        <v>2</v>
      </c>
      <c r="U361" t="s">
        <v>123</v>
      </c>
      <c r="V361">
        <v>2</v>
      </c>
      <c r="W361">
        <v>2</v>
      </c>
      <c r="X361">
        <v>2</v>
      </c>
      <c r="Y361">
        <f>VLOOKUP(Table_clu7sql1_ssdb_REPORT_vw_IE_External_MI_SON[[#This Row],[URN]],[1]Data!$D$2:$BB$1084,31,)</f>
        <v>2</v>
      </c>
      <c r="Z361" t="s">
        <v>2596</v>
      </c>
      <c r="AA361" t="s">
        <v>2596</v>
      </c>
      <c r="AB361" t="s">
        <v>2598</v>
      </c>
      <c r="AC361" t="s">
        <v>2596</v>
      </c>
      <c r="AD361" t="s">
        <v>2596</v>
      </c>
      <c r="AE361" s="108" t="s">
        <v>2596</v>
      </c>
      <c r="AF361" t="s">
        <v>2596</v>
      </c>
      <c r="AG361" s="108" t="s">
        <v>2596</v>
      </c>
      <c r="AH361" t="s">
        <v>2596</v>
      </c>
    </row>
    <row r="362" spans="1:34" x14ac:dyDescent="0.25">
      <c r="A362" s="111" t="str">
        <f>HYPERLINK("http://www.ofsted.gov.uk/inspection-reports/find-inspection-report/provider/ELS/131379 ","Ofsted School Webpage")</f>
        <v>Ofsted School Webpage</v>
      </c>
      <c r="B362">
        <v>131379</v>
      </c>
      <c r="C362">
        <v>3546036</v>
      </c>
      <c r="D362" t="s">
        <v>549</v>
      </c>
      <c r="E362" t="s">
        <v>37</v>
      </c>
      <c r="F362" t="s">
        <v>142</v>
      </c>
      <c r="G362" t="s">
        <v>142</v>
      </c>
      <c r="H362" t="s">
        <v>2595</v>
      </c>
      <c r="I362" t="s">
        <v>2596</v>
      </c>
      <c r="J362" t="s">
        <v>143</v>
      </c>
      <c r="K362" t="s">
        <v>162</v>
      </c>
      <c r="L362" t="s">
        <v>162</v>
      </c>
      <c r="M362" t="s">
        <v>412</v>
      </c>
      <c r="N362" t="s">
        <v>550</v>
      </c>
      <c r="O362">
        <v>10012914</v>
      </c>
      <c r="P362" s="108">
        <v>42795</v>
      </c>
      <c r="Q362" s="108">
        <v>42796</v>
      </c>
      <c r="R362" s="108">
        <v>42816</v>
      </c>
      <c r="S362" t="s">
        <v>153</v>
      </c>
      <c r="T362">
        <v>2</v>
      </c>
      <c r="U362" t="s">
        <v>123</v>
      </c>
      <c r="V362">
        <v>2</v>
      </c>
      <c r="W362">
        <v>2</v>
      </c>
      <c r="X362">
        <v>2</v>
      </c>
      <c r="Y362">
        <f>VLOOKUP(Table_clu7sql1_ssdb_REPORT_vw_IE_External_MI_SON[[#This Row],[URN]],[1]Data!$D$2:$BB$1084,31,)</f>
        <v>2</v>
      </c>
      <c r="Z362" t="s">
        <v>2596</v>
      </c>
      <c r="AA362" t="s">
        <v>2596</v>
      </c>
      <c r="AB362" t="s">
        <v>2598</v>
      </c>
      <c r="AC362" t="s">
        <v>2596</v>
      </c>
      <c r="AD362" t="s">
        <v>2596</v>
      </c>
      <c r="AE362" s="108" t="s">
        <v>2596</v>
      </c>
      <c r="AF362" t="s">
        <v>2596</v>
      </c>
      <c r="AG362" s="108" t="s">
        <v>2596</v>
      </c>
      <c r="AH362" t="s">
        <v>2596</v>
      </c>
    </row>
    <row r="363" spans="1:34" x14ac:dyDescent="0.25">
      <c r="A363" s="111" t="str">
        <f>HYPERLINK("http://www.ofsted.gov.uk/inspection-reports/find-inspection-report/provider/ELS/131388 ","Ofsted School Webpage")</f>
        <v>Ofsted School Webpage</v>
      </c>
      <c r="B363">
        <v>131388</v>
      </c>
      <c r="C363">
        <v>2116387</v>
      </c>
      <c r="D363" t="s">
        <v>1461</v>
      </c>
      <c r="E363" t="s">
        <v>36</v>
      </c>
      <c r="F363" t="s">
        <v>142</v>
      </c>
      <c r="G363" t="s">
        <v>180</v>
      </c>
      <c r="H363" t="s">
        <v>2595</v>
      </c>
      <c r="I363" t="s">
        <v>2596</v>
      </c>
      <c r="J363" t="s">
        <v>143</v>
      </c>
      <c r="K363" t="s">
        <v>189</v>
      </c>
      <c r="L363" t="s">
        <v>189</v>
      </c>
      <c r="M363" t="s">
        <v>494</v>
      </c>
      <c r="N363" t="s">
        <v>1462</v>
      </c>
      <c r="O363">
        <v>10038161</v>
      </c>
      <c r="P363" s="108">
        <v>43109</v>
      </c>
      <c r="Q363" s="108">
        <v>43111</v>
      </c>
      <c r="R363" s="108">
        <v>43157</v>
      </c>
      <c r="S363" t="s">
        <v>153</v>
      </c>
      <c r="T363">
        <v>2</v>
      </c>
      <c r="U363" t="s">
        <v>123</v>
      </c>
      <c r="V363">
        <v>2</v>
      </c>
      <c r="W363">
        <v>1</v>
      </c>
      <c r="X363">
        <v>2</v>
      </c>
      <c r="Y363">
        <f>VLOOKUP(Table_clu7sql1_ssdb_REPORT_vw_IE_External_MI_SON[[#This Row],[URN]],[1]Data!$D$2:$BB$1084,31,)</f>
        <v>2</v>
      </c>
      <c r="Z363" t="s">
        <v>2596</v>
      </c>
      <c r="AA363" t="s">
        <v>2596</v>
      </c>
      <c r="AB363" t="s">
        <v>2598</v>
      </c>
      <c r="AC363" t="s">
        <v>2596</v>
      </c>
      <c r="AD363" t="s">
        <v>2596</v>
      </c>
      <c r="AE363" s="108" t="s">
        <v>2596</v>
      </c>
      <c r="AF363" t="s">
        <v>2596</v>
      </c>
      <c r="AG363" s="108" t="s">
        <v>2596</v>
      </c>
      <c r="AH363" t="s">
        <v>2596</v>
      </c>
    </row>
    <row r="364" spans="1:34" x14ac:dyDescent="0.25">
      <c r="A364" s="111" t="str">
        <f>HYPERLINK("http://www.ofsted.gov.uk/inspection-reports/find-inspection-report/provider/ELS/131389 ","Ofsted School Webpage")</f>
        <v>Ofsted School Webpage</v>
      </c>
      <c r="B364">
        <v>131389</v>
      </c>
      <c r="C364">
        <v>8896005</v>
      </c>
      <c r="D364" t="s">
        <v>1463</v>
      </c>
      <c r="E364" t="s">
        <v>36</v>
      </c>
      <c r="F364" t="s">
        <v>142</v>
      </c>
      <c r="G364" t="s">
        <v>180</v>
      </c>
      <c r="H364" t="s">
        <v>2595</v>
      </c>
      <c r="I364" t="s">
        <v>2596</v>
      </c>
      <c r="J364" t="s">
        <v>143</v>
      </c>
      <c r="K364" t="s">
        <v>162</v>
      </c>
      <c r="L364" t="s">
        <v>162</v>
      </c>
      <c r="M364" t="s">
        <v>440</v>
      </c>
      <c r="N364" t="s">
        <v>1464</v>
      </c>
      <c r="O364">
        <v>10020865</v>
      </c>
      <c r="P364" s="108">
        <v>42773</v>
      </c>
      <c r="Q364" s="108">
        <v>42775</v>
      </c>
      <c r="R364" s="108">
        <v>42814</v>
      </c>
      <c r="S364" t="s">
        <v>153</v>
      </c>
      <c r="T364">
        <v>1</v>
      </c>
      <c r="U364" t="s">
        <v>123</v>
      </c>
      <c r="V364">
        <v>1</v>
      </c>
      <c r="W364">
        <v>1</v>
      </c>
      <c r="X364">
        <v>1</v>
      </c>
      <c r="Y364">
        <f>VLOOKUP(Table_clu7sql1_ssdb_REPORT_vw_IE_External_MI_SON[[#This Row],[URN]],[1]Data!$D$2:$BB$1084,31,)</f>
        <v>1</v>
      </c>
      <c r="Z364" t="s">
        <v>2596</v>
      </c>
      <c r="AA364">
        <v>1</v>
      </c>
      <c r="AB364" t="s">
        <v>2598</v>
      </c>
      <c r="AC364" t="s">
        <v>2596</v>
      </c>
      <c r="AD364" t="s">
        <v>2596</v>
      </c>
      <c r="AE364" s="108" t="s">
        <v>2596</v>
      </c>
      <c r="AF364" t="s">
        <v>2596</v>
      </c>
      <c r="AG364" s="108" t="s">
        <v>2596</v>
      </c>
      <c r="AH364" t="s">
        <v>2596</v>
      </c>
    </row>
    <row r="365" spans="1:34" x14ac:dyDescent="0.25">
      <c r="A365" s="111" t="str">
        <f>HYPERLINK("http://www.ofsted.gov.uk/inspection-reports/find-inspection-report/provider/ELS/131395 ","Ofsted School Webpage")</f>
        <v>Ofsted School Webpage</v>
      </c>
      <c r="B365">
        <v>131395</v>
      </c>
      <c r="C365">
        <v>3056078</v>
      </c>
      <c r="D365" t="s">
        <v>1361</v>
      </c>
      <c r="E365" t="s">
        <v>37</v>
      </c>
      <c r="F365" t="s">
        <v>142</v>
      </c>
      <c r="G365" t="s">
        <v>249</v>
      </c>
      <c r="H365" t="s">
        <v>2595</v>
      </c>
      <c r="I365" t="s">
        <v>2596</v>
      </c>
      <c r="J365" t="s">
        <v>143</v>
      </c>
      <c r="K365" t="s">
        <v>189</v>
      </c>
      <c r="L365" t="s">
        <v>189</v>
      </c>
      <c r="M365" t="s">
        <v>540</v>
      </c>
      <c r="N365" t="s">
        <v>1362</v>
      </c>
      <c r="O365">
        <v>10008598</v>
      </c>
      <c r="P365" s="108">
        <v>42927</v>
      </c>
      <c r="Q365" s="108">
        <v>42929</v>
      </c>
      <c r="R365" s="108">
        <v>43012</v>
      </c>
      <c r="S365" t="s">
        <v>153</v>
      </c>
      <c r="T365">
        <v>4</v>
      </c>
      <c r="U365" t="s">
        <v>124</v>
      </c>
      <c r="V365">
        <v>4</v>
      </c>
      <c r="W365">
        <v>4</v>
      </c>
      <c r="X365">
        <v>3</v>
      </c>
      <c r="Y365">
        <f>VLOOKUP(Table_clu7sql1_ssdb_REPORT_vw_IE_External_MI_SON[[#This Row],[URN]],[1]Data!$D$2:$BB$1084,31,)</f>
        <v>3</v>
      </c>
      <c r="Z365" t="s">
        <v>2596</v>
      </c>
      <c r="AA365" t="s">
        <v>2596</v>
      </c>
      <c r="AB365" t="s">
        <v>2599</v>
      </c>
      <c r="AC365">
        <v>10046997</v>
      </c>
      <c r="AD365" t="s">
        <v>144</v>
      </c>
      <c r="AE365" s="108">
        <v>43130</v>
      </c>
      <c r="AF365" t="s">
        <v>2636</v>
      </c>
      <c r="AG365" s="108">
        <v>43168</v>
      </c>
      <c r="AH365" t="s">
        <v>146</v>
      </c>
    </row>
    <row r="366" spans="1:34" x14ac:dyDescent="0.25">
      <c r="A366" s="111" t="str">
        <f>HYPERLINK("http://www.ofsted.gov.uk/inspection-reports/find-inspection-report/provider/ELS/131403 ","Ofsted School Webpage")</f>
        <v>Ofsted School Webpage</v>
      </c>
      <c r="B366">
        <v>131403</v>
      </c>
      <c r="C366">
        <v>3026110</v>
      </c>
      <c r="D366" t="s">
        <v>2061</v>
      </c>
      <c r="E366" t="s">
        <v>36</v>
      </c>
      <c r="F366" t="s">
        <v>142</v>
      </c>
      <c r="G366" t="s">
        <v>275</v>
      </c>
      <c r="H366" t="s">
        <v>2595</v>
      </c>
      <c r="I366" t="s">
        <v>2596</v>
      </c>
      <c r="J366" t="s">
        <v>143</v>
      </c>
      <c r="K366" t="s">
        <v>189</v>
      </c>
      <c r="L366" t="s">
        <v>189</v>
      </c>
      <c r="M366" t="s">
        <v>268</v>
      </c>
      <c r="N366" t="s">
        <v>2062</v>
      </c>
      <c r="O366" t="s">
        <v>2063</v>
      </c>
      <c r="P366" s="108">
        <v>41954</v>
      </c>
      <c r="Q366" s="108">
        <v>41956</v>
      </c>
      <c r="R366" s="108">
        <v>41981</v>
      </c>
      <c r="S366" t="s">
        <v>153</v>
      </c>
      <c r="T366">
        <v>2</v>
      </c>
      <c r="U366" t="s">
        <v>2596</v>
      </c>
      <c r="V366">
        <v>2</v>
      </c>
      <c r="W366" t="s">
        <v>2596</v>
      </c>
      <c r="X366">
        <v>2</v>
      </c>
      <c r="Y366">
        <f>VLOOKUP(Table_clu7sql1_ssdb_REPORT_vw_IE_External_MI_SON[[#This Row],[URN]],[1]Data!$D$2:$BB$1084,31,)</f>
        <v>2</v>
      </c>
      <c r="Z366">
        <v>9</v>
      </c>
      <c r="AA366">
        <v>9</v>
      </c>
      <c r="AB366" t="s">
        <v>2599</v>
      </c>
      <c r="AC366" t="s">
        <v>2596</v>
      </c>
      <c r="AD366" t="s">
        <v>2596</v>
      </c>
      <c r="AE366" t="s">
        <v>2596</v>
      </c>
      <c r="AF366" t="s">
        <v>2596</v>
      </c>
      <c r="AG366" t="s">
        <v>2596</v>
      </c>
      <c r="AH366" t="s">
        <v>2596</v>
      </c>
    </row>
    <row r="367" spans="1:34" x14ac:dyDescent="0.25">
      <c r="A367" s="111" t="str">
        <f>HYPERLINK("http://www.ofsted.gov.uk/inspection-reports/find-inspection-report/provider/ELS/131422 ","Ofsted School Webpage")</f>
        <v>Ofsted School Webpage</v>
      </c>
      <c r="B367">
        <v>131422</v>
      </c>
      <c r="C367">
        <v>8866076</v>
      </c>
      <c r="D367" t="s">
        <v>1138</v>
      </c>
      <c r="E367" t="s">
        <v>37</v>
      </c>
      <c r="F367" t="s">
        <v>142</v>
      </c>
      <c r="G367" t="s">
        <v>142</v>
      </c>
      <c r="H367" t="s">
        <v>2595</v>
      </c>
      <c r="I367" t="s">
        <v>2596</v>
      </c>
      <c r="J367" t="s">
        <v>143</v>
      </c>
      <c r="K367" t="s">
        <v>139</v>
      </c>
      <c r="L367" t="s">
        <v>139</v>
      </c>
      <c r="M367" t="s">
        <v>140</v>
      </c>
      <c r="N367" t="s">
        <v>1139</v>
      </c>
      <c r="O367" t="s">
        <v>1140</v>
      </c>
      <c r="P367" s="108">
        <v>42178</v>
      </c>
      <c r="Q367" s="108">
        <v>42180</v>
      </c>
      <c r="R367" s="108">
        <v>42205</v>
      </c>
      <c r="S367" t="s">
        <v>153</v>
      </c>
      <c r="T367">
        <v>2</v>
      </c>
      <c r="U367" t="s">
        <v>2596</v>
      </c>
      <c r="V367">
        <v>2</v>
      </c>
      <c r="W367" t="s">
        <v>2596</v>
      </c>
      <c r="X367">
        <v>2</v>
      </c>
      <c r="Y367">
        <f>VLOOKUP(Table_clu7sql1_ssdb_REPORT_vw_IE_External_MI_SON[[#This Row],[URN]],[1]Data!$D$2:$BB$1084,31,)</f>
        <v>2</v>
      </c>
      <c r="Z367">
        <v>9</v>
      </c>
      <c r="AA367">
        <v>9</v>
      </c>
      <c r="AB367" t="s">
        <v>2598</v>
      </c>
      <c r="AC367" t="s">
        <v>2596</v>
      </c>
      <c r="AD367" t="s">
        <v>2596</v>
      </c>
      <c r="AE367" s="108" t="s">
        <v>2596</v>
      </c>
      <c r="AF367" t="s">
        <v>2596</v>
      </c>
      <c r="AG367" s="108" t="s">
        <v>2596</v>
      </c>
      <c r="AH367" t="s">
        <v>2596</v>
      </c>
    </row>
    <row r="368" spans="1:34" x14ac:dyDescent="0.25">
      <c r="A368" s="111" t="str">
        <f>HYPERLINK("http://www.ofsted.gov.uk/inspection-reports/find-inspection-report/provider/ELS/131435 ","Ofsted School Webpage")</f>
        <v>Ofsted School Webpage</v>
      </c>
      <c r="B368">
        <v>131435</v>
      </c>
      <c r="C368">
        <v>3556035</v>
      </c>
      <c r="D368" t="s">
        <v>433</v>
      </c>
      <c r="E368" t="s">
        <v>36</v>
      </c>
      <c r="F368" t="s">
        <v>142</v>
      </c>
      <c r="G368" t="s">
        <v>142</v>
      </c>
      <c r="H368" t="s">
        <v>2595</v>
      </c>
      <c r="I368" t="s">
        <v>2596</v>
      </c>
      <c r="J368" t="s">
        <v>143</v>
      </c>
      <c r="K368" t="s">
        <v>162</v>
      </c>
      <c r="L368" t="s">
        <v>162</v>
      </c>
      <c r="M368" t="s">
        <v>804</v>
      </c>
      <c r="N368" t="s">
        <v>1786</v>
      </c>
      <c r="O368">
        <v>10012865</v>
      </c>
      <c r="P368" s="108">
        <v>42864</v>
      </c>
      <c r="Q368" s="108">
        <v>42866</v>
      </c>
      <c r="R368" s="108">
        <v>42899</v>
      </c>
      <c r="S368" t="s">
        <v>153</v>
      </c>
      <c r="T368">
        <v>3</v>
      </c>
      <c r="U368" t="s">
        <v>123</v>
      </c>
      <c r="V368">
        <v>3</v>
      </c>
      <c r="W368">
        <v>2</v>
      </c>
      <c r="X368">
        <v>3</v>
      </c>
      <c r="Y368">
        <f>VLOOKUP(Table_clu7sql1_ssdb_REPORT_vw_IE_External_MI_SON[[#This Row],[URN]],[1]Data!$D$2:$BB$1084,31,)</f>
        <v>3</v>
      </c>
      <c r="Z368">
        <v>3</v>
      </c>
      <c r="AA368" t="s">
        <v>2596</v>
      </c>
      <c r="AB368" t="s">
        <v>2598</v>
      </c>
      <c r="AC368" t="s">
        <v>2596</v>
      </c>
      <c r="AD368" t="s">
        <v>2596</v>
      </c>
      <c r="AE368" t="s">
        <v>2596</v>
      </c>
      <c r="AF368" t="s">
        <v>2596</v>
      </c>
      <c r="AG368" t="s">
        <v>2596</v>
      </c>
      <c r="AH368" t="s">
        <v>2596</v>
      </c>
    </row>
    <row r="369" spans="1:34" x14ac:dyDescent="0.25">
      <c r="A369" s="111" t="str">
        <f>HYPERLINK("http://www.ofsted.gov.uk/inspection-reports/find-inspection-report/provider/ELS/131455 ","Ofsted School Webpage")</f>
        <v>Ofsted School Webpage</v>
      </c>
      <c r="B369">
        <v>131455</v>
      </c>
      <c r="C369">
        <v>9336211</v>
      </c>
      <c r="D369" t="s">
        <v>951</v>
      </c>
      <c r="E369" t="s">
        <v>37</v>
      </c>
      <c r="F369" t="s">
        <v>142</v>
      </c>
      <c r="G369" t="s">
        <v>142</v>
      </c>
      <c r="H369" t="s">
        <v>2595</v>
      </c>
      <c r="I369" t="s">
        <v>2596</v>
      </c>
      <c r="J369" t="s">
        <v>143</v>
      </c>
      <c r="K369" t="s">
        <v>182</v>
      </c>
      <c r="L369" t="s">
        <v>182</v>
      </c>
      <c r="M369" t="s">
        <v>219</v>
      </c>
      <c r="N369" t="s">
        <v>952</v>
      </c>
      <c r="O369" t="s">
        <v>953</v>
      </c>
      <c r="P369" s="108">
        <v>42087</v>
      </c>
      <c r="Q369" s="108">
        <v>42089</v>
      </c>
      <c r="R369" s="108">
        <v>42129</v>
      </c>
      <c r="S369" t="s">
        <v>153</v>
      </c>
      <c r="T369">
        <v>2</v>
      </c>
      <c r="U369" t="s">
        <v>2596</v>
      </c>
      <c r="V369">
        <v>2</v>
      </c>
      <c r="W369" t="s">
        <v>2596</v>
      </c>
      <c r="X369">
        <v>2</v>
      </c>
      <c r="Y369">
        <f>VLOOKUP(Table_clu7sql1_ssdb_REPORT_vw_IE_External_MI_SON[[#This Row],[URN]],[1]Data!$D$2:$BB$1084,31,)</f>
        <v>2</v>
      </c>
      <c r="Z369">
        <v>9</v>
      </c>
      <c r="AA369">
        <v>9</v>
      </c>
      <c r="AB369" t="s">
        <v>2598</v>
      </c>
      <c r="AC369" t="s">
        <v>2596</v>
      </c>
      <c r="AD369" t="s">
        <v>2596</v>
      </c>
      <c r="AE369" t="s">
        <v>2596</v>
      </c>
      <c r="AF369" t="s">
        <v>2596</v>
      </c>
      <c r="AG369" t="s">
        <v>2596</v>
      </c>
      <c r="AH369" t="s">
        <v>2596</v>
      </c>
    </row>
    <row r="370" spans="1:34" x14ac:dyDescent="0.25">
      <c r="A370" s="111" t="str">
        <f>HYPERLINK("http://www.ofsted.gov.uk/inspection-reports/find-inspection-report/provider/ELS/131462 ","Ofsted School Webpage")</f>
        <v>Ofsted School Webpage</v>
      </c>
      <c r="B370">
        <v>131462</v>
      </c>
      <c r="C370">
        <v>8256031</v>
      </c>
      <c r="D370" t="s">
        <v>1176</v>
      </c>
      <c r="E370" t="s">
        <v>37</v>
      </c>
      <c r="F370" t="s">
        <v>142</v>
      </c>
      <c r="G370" t="s">
        <v>142</v>
      </c>
      <c r="H370" t="s">
        <v>2595</v>
      </c>
      <c r="I370" t="s">
        <v>2596</v>
      </c>
      <c r="J370" t="s">
        <v>143</v>
      </c>
      <c r="K370" t="s">
        <v>139</v>
      </c>
      <c r="L370" t="s">
        <v>139</v>
      </c>
      <c r="M370" t="s">
        <v>208</v>
      </c>
      <c r="N370" t="s">
        <v>1177</v>
      </c>
      <c r="O370">
        <v>10006066</v>
      </c>
      <c r="P370" s="108">
        <v>42703</v>
      </c>
      <c r="Q370" s="108">
        <v>42705</v>
      </c>
      <c r="R370" s="108">
        <v>42752</v>
      </c>
      <c r="S370" t="s">
        <v>153</v>
      </c>
      <c r="T370">
        <v>1</v>
      </c>
      <c r="U370" t="s">
        <v>123</v>
      </c>
      <c r="V370">
        <v>1</v>
      </c>
      <c r="W370">
        <v>1</v>
      </c>
      <c r="X370">
        <v>1</v>
      </c>
      <c r="Y370">
        <f>VLOOKUP(Table_clu7sql1_ssdb_REPORT_vw_IE_External_MI_SON[[#This Row],[URN]],[1]Data!$D$2:$BB$1084,31,)</f>
        <v>1</v>
      </c>
      <c r="Z370" t="s">
        <v>2596</v>
      </c>
      <c r="AA370" t="s">
        <v>2596</v>
      </c>
      <c r="AB370" t="s">
        <v>2598</v>
      </c>
      <c r="AC370" t="s">
        <v>2596</v>
      </c>
      <c r="AD370" t="s">
        <v>2596</v>
      </c>
      <c r="AE370" t="s">
        <v>2596</v>
      </c>
      <c r="AF370" t="s">
        <v>2596</v>
      </c>
      <c r="AG370" t="s">
        <v>2596</v>
      </c>
      <c r="AH370" t="s">
        <v>2596</v>
      </c>
    </row>
    <row r="371" spans="1:34" x14ac:dyDescent="0.25">
      <c r="A371" s="111" t="str">
        <f>HYPERLINK("http://www.ofsted.gov.uk/inspection-reports/find-inspection-report/provider/ELS/131504 ","Ofsted School Webpage")</f>
        <v>Ofsted School Webpage</v>
      </c>
      <c r="B371">
        <v>131504</v>
      </c>
      <c r="C371">
        <v>9386265</v>
      </c>
      <c r="D371" t="s">
        <v>1169</v>
      </c>
      <c r="E371" t="s">
        <v>37</v>
      </c>
      <c r="F371" t="s">
        <v>142</v>
      </c>
      <c r="G371" t="s">
        <v>142</v>
      </c>
      <c r="H371" t="s">
        <v>2595</v>
      </c>
      <c r="I371" t="s">
        <v>2596</v>
      </c>
      <c r="J371" t="s">
        <v>143</v>
      </c>
      <c r="K371" t="s">
        <v>139</v>
      </c>
      <c r="L371" t="s">
        <v>139</v>
      </c>
      <c r="M371" t="s">
        <v>351</v>
      </c>
      <c r="N371" t="s">
        <v>1170</v>
      </c>
      <c r="O371" t="s">
        <v>1171</v>
      </c>
      <c r="P371" s="108">
        <v>41332</v>
      </c>
      <c r="Q371" s="108">
        <v>41333</v>
      </c>
      <c r="R371" s="108">
        <v>41354</v>
      </c>
      <c r="S371" t="s">
        <v>153</v>
      </c>
      <c r="T371">
        <v>3</v>
      </c>
      <c r="U371" t="s">
        <v>2596</v>
      </c>
      <c r="V371">
        <v>3</v>
      </c>
      <c r="W371" t="s">
        <v>2596</v>
      </c>
      <c r="X371">
        <v>3</v>
      </c>
      <c r="Y371">
        <f>VLOOKUP(Table_clu7sql1_ssdb_REPORT_vw_IE_External_MI_SON[[#This Row],[URN]],[1]Data!$D$2:$BB$1084,31,)</f>
        <v>3</v>
      </c>
      <c r="Z371" t="s">
        <v>2596</v>
      </c>
      <c r="AA371" t="s">
        <v>2596</v>
      </c>
      <c r="AB371" t="s">
        <v>2599</v>
      </c>
      <c r="AC371" t="s">
        <v>2596</v>
      </c>
      <c r="AD371" t="s">
        <v>2596</v>
      </c>
      <c r="AE371" t="s">
        <v>2596</v>
      </c>
      <c r="AF371" t="s">
        <v>2596</v>
      </c>
      <c r="AG371" t="s">
        <v>2596</v>
      </c>
      <c r="AH371" t="s">
        <v>2596</v>
      </c>
    </row>
    <row r="372" spans="1:34" x14ac:dyDescent="0.25">
      <c r="A372" s="111" t="str">
        <f>HYPERLINK("http://www.ofsted.gov.uk/inspection-reports/find-inspection-report/provider/ELS/131531 ","Ofsted School Webpage")</f>
        <v>Ofsted School Webpage</v>
      </c>
      <c r="B372">
        <v>131531</v>
      </c>
      <c r="C372">
        <v>8506085</v>
      </c>
      <c r="D372" t="s">
        <v>1494</v>
      </c>
      <c r="E372" t="s">
        <v>37</v>
      </c>
      <c r="F372" t="s">
        <v>142</v>
      </c>
      <c r="G372" t="s">
        <v>142</v>
      </c>
      <c r="H372" t="s">
        <v>2595</v>
      </c>
      <c r="I372" t="s">
        <v>2596</v>
      </c>
      <c r="J372" t="s">
        <v>143</v>
      </c>
      <c r="K372" t="s">
        <v>139</v>
      </c>
      <c r="L372" t="s">
        <v>139</v>
      </c>
      <c r="M372" t="s">
        <v>158</v>
      </c>
      <c r="N372" t="s">
        <v>1495</v>
      </c>
      <c r="O372">
        <v>10025981</v>
      </c>
      <c r="P372" s="108">
        <v>43053</v>
      </c>
      <c r="Q372" s="108">
        <v>43055</v>
      </c>
      <c r="R372" s="108">
        <v>43075</v>
      </c>
      <c r="S372" t="s">
        <v>153</v>
      </c>
      <c r="T372">
        <v>2</v>
      </c>
      <c r="U372" t="s">
        <v>123</v>
      </c>
      <c r="V372">
        <v>2</v>
      </c>
      <c r="W372">
        <v>1</v>
      </c>
      <c r="X372">
        <v>2</v>
      </c>
      <c r="Y372">
        <f>VLOOKUP(Table_clu7sql1_ssdb_REPORT_vw_IE_External_MI_SON[[#This Row],[URN]],[1]Data!$D$2:$BB$1084,31,)</f>
        <v>2</v>
      </c>
      <c r="Z372" t="s">
        <v>2596</v>
      </c>
      <c r="AA372">
        <v>1</v>
      </c>
      <c r="AB372" t="s">
        <v>2598</v>
      </c>
      <c r="AC372" t="s">
        <v>2596</v>
      </c>
      <c r="AD372" t="s">
        <v>2596</v>
      </c>
      <c r="AE372" s="108" t="s">
        <v>2596</v>
      </c>
      <c r="AF372" t="s">
        <v>2596</v>
      </c>
      <c r="AG372" s="108" t="s">
        <v>2596</v>
      </c>
      <c r="AH372" t="s">
        <v>2596</v>
      </c>
    </row>
    <row r="373" spans="1:34" x14ac:dyDescent="0.25">
      <c r="A373" s="111" t="str">
        <f>HYPERLINK("http://www.ofsted.gov.uk/inspection-reports/find-inspection-report/provider/ELS/131536 ","Ofsted School Webpage")</f>
        <v>Ofsted School Webpage</v>
      </c>
      <c r="B373">
        <v>131536</v>
      </c>
      <c r="C373">
        <v>8916026</v>
      </c>
      <c r="D373" t="s">
        <v>869</v>
      </c>
      <c r="E373" t="s">
        <v>37</v>
      </c>
      <c r="F373" t="s">
        <v>142</v>
      </c>
      <c r="G373" t="s">
        <v>142</v>
      </c>
      <c r="H373" t="s">
        <v>2595</v>
      </c>
      <c r="I373" t="s">
        <v>2596</v>
      </c>
      <c r="J373" t="s">
        <v>143</v>
      </c>
      <c r="K373" t="s">
        <v>171</v>
      </c>
      <c r="L373" t="s">
        <v>171</v>
      </c>
      <c r="M373" t="s">
        <v>277</v>
      </c>
      <c r="N373" t="s">
        <v>870</v>
      </c>
      <c r="O373">
        <v>10033624</v>
      </c>
      <c r="P373" s="108">
        <v>42906</v>
      </c>
      <c r="Q373" s="108">
        <v>42907</v>
      </c>
      <c r="R373" s="108">
        <v>42933</v>
      </c>
      <c r="S373" t="s">
        <v>224</v>
      </c>
      <c r="T373">
        <v>2</v>
      </c>
      <c r="U373" t="s">
        <v>123</v>
      </c>
      <c r="V373">
        <v>2</v>
      </c>
      <c r="W373">
        <v>2</v>
      </c>
      <c r="X373">
        <v>2</v>
      </c>
      <c r="Y373">
        <f>VLOOKUP(Table_clu7sql1_ssdb_REPORT_vw_IE_External_MI_SON[[#This Row],[URN]],[1]Data!$D$2:$BB$1084,31,)</f>
        <v>2</v>
      </c>
      <c r="Z373" t="s">
        <v>2596</v>
      </c>
      <c r="AA373" t="s">
        <v>2596</v>
      </c>
      <c r="AB373" t="s">
        <v>2598</v>
      </c>
      <c r="AC373" t="s">
        <v>2596</v>
      </c>
      <c r="AD373" t="s">
        <v>2596</v>
      </c>
      <c r="AE373" t="s">
        <v>2596</v>
      </c>
      <c r="AF373" t="s">
        <v>2596</v>
      </c>
      <c r="AG373" t="s">
        <v>2596</v>
      </c>
      <c r="AH373" t="s">
        <v>2596</v>
      </c>
    </row>
    <row r="374" spans="1:34" x14ac:dyDescent="0.25">
      <c r="A374" s="111" t="str">
        <f>HYPERLINK("http://www.ofsted.gov.uk/inspection-reports/find-inspection-report/provider/ELS/131551 ","Ofsted School Webpage")</f>
        <v>Ofsted School Webpage</v>
      </c>
      <c r="B374">
        <v>131551</v>
      </c>
      <c r="C374">
        <v>3566027</v>
      </c>
      <c r="D374" t="s">
        <v>795</v>
      </c>
      <c r="E374" t="s">
        <v>37</v>
      </c>
      <c r="F374" t="s">
        <v>142</v>
      </c>
      <c r="G374" t="s">
        <v>142</v>
      </c>
      <c r="H374" t="s">
        <v>2595</v>
      </c>
      <c r="I374" t="s">
        <v>2596</v>
      </c>
      <c r="J374" t="s">
        <v>143</v>
      </c>
      <c r="K374" t="s">
        <v>162</v>
      </c>
      <c r="L374" t="s">
        <v>162</v>
      </c>
      <c r="M374" t="s">
        <v>302</v>
      </c>
      <c r="N374" t="s">
        <v>796</v>
      </c>
      <c r="O374">
        <v>10006097</v>
      </c>
      <c r="P374" s="108">
        <v>42500</v>
      </c>
      <c r="Q374" s="108">
        <v>42502</v>
      </c>
      <c r="R374" s="108">
        <v>42530</v>
      </c>
      <c r="S374" t="s">
        <v>153</v>
      </c>
      <c r="T374">
        <v>2</v>
      </c>
      <c r="U374" t="s">
        <v>123</v>
      </c>
      <c r="V374">
        <v>2</v>
      </c>
      <c r="W374">
        <v>1</v>
      </c>
      <c r="X374">
        <v>2</v>
      </c>
      <c r="Y374">
        <f>VLOOKUP(Table_clu7sql1_ssdb_REPORT_vw_IE_External_MI_SON[[#This Row],[URN]],[1]Data!$D$2:$BB$1084,31,)</f>
        <v>2</v>
      </c>
      <c r="Z374" t="s">
        <v>2596</v>
      </c>
      <c r="AA374" t="s">
        <v>2596</v>
      </c>
      <c r="AB374" t="s">
        <v>2598</v>
      </c>
      <c r="AC374" t="s">
        <v>2596</v>
      </c>
      <c r="AD374" t="s">
        <v>2596</v>
      </c>
      <c r="AE374" s="108" t="s">
        <v>2596</v>
      </c>
      <c r="AF374" t="s">
        <v>2596</v>
      </c>
      <c r="AG374" s="108" t="s">
        <v>2596</v>
      </c>
      <c r="AH374" t="s">
        <v>2596</v>
      </c>
    </row>
    <row r="375" spans="1:34" x14ac:dyDescent="0.25">
      <c r="A375" s="111" t="str">
        <f>HYPERLINK("http://www.ofsted.gov.uk/inspection-reports/find-inspection-report/provider/ELS/131556 ","Ofsted School Webpage")</f>
        <v>Ofsted School Webpage</v>
      </c>
      <c r="B375">
        <v>131556</v>
      </c>
      <c r="C375">
        <v>8526009</v>
      </c>
      <c r="D375" t="s">
        <v>578</v>
      </c>
      <c r="E375" t="s">
        <v>37</v>
      </c>
      <c r="F375" t="s">
        <v>142</v>
      </c>
      <c r="G375" t="s">
        <v>142</v>
      </c>
      <c r="H375" t="s">
        <v>2595</v>
      </c>
      <c r="I375" t="s">
        <v>2596</v>
      </c>
      <c r="J375" t="s">
        <v>143</v>
      </c>
      <c r="K375" t="s">
        <v>139</v>
      </c>
      <c r="L375" t="s">
        <v>139</v>
      </c>
      <c r="M375" t="s">
        <v>431</v>
      </c>
      <c r="N375" t="s">
        <v>579</v>
      </c>
      <c r="O375">
        <v>10008862</v>
      </c>
      <c r="P375" s="108">
        <v>42696</v>
      </c>
      <c r="Q375" s="108">
        <v>42698</v>
      </c>
      <c r="R375" s="108">
        <v>42745</v>
      </c>
      <c r="S375" t="s">
        <v>153</v>
      </c>
      <c r="T375">
        <v>1</v>
      </c>
      <c r="U375" t="s">
        <v>123</v>
      </c>
      <c r="V375">
        <v>1</v>
      </c>
      <c r="W375">
        <v>1</v>
      </c>
      <c r="X375">
        <v>1</v>
      </c>
      <c r="Y375">
        <f>VLOOKUP(Table_clu7sql1_ssdb_REPORT_vw_IE_External_MI_SON[[#This Row],[URN]],[1]Data!$D$2:$BB$1084,31,)</f>
        <v>1</v>
      </c>
      <c r="Z375" t="s">
        <v>2596</v>
      </c>
      <c r="AA375" t="s">
        <v>2596</v>
      </c>
      <c r="AB375" t="s">
        <v>2598</v>
      </c>
      <c r="AC375" t="s">
        <v>2596</v>
      </c>
      <c r="AD375" t="s">
        <v>2596</v>
      </c>
      <c r="AE375" t="s">
        <v>2596</v>
      </c>
      <c r="AF375" t="s">
        <v>2596</v>
      </c>
      <c r="AG375" t="s">
        <v>2596</v>
      </c>
      <c r="AH375" t="s">
        <v>2596</v>
      </c>
    </row>
    <row r="376" spans="1:34" x14ac:dyDescent="0.25">
      <c r="A376" s="111" t="str">
        <f>HYPERLINK("http://www.ofsted.gov.uk/inspection-reports/find-inspection-report/provider/ELS/131563 ","Ofsted School Webpage")</f>
        <v>Ofsted School Webpage</v>
      </c>
      <c r="B376">
        <v>131563</v>
      </c>
      <c r="C376">
        <v>8886093</v>
      </c>
      <c r="D376" t="s">
        <v>417</v>
      </c>
      <c r="E376" t="s">
        <v>37</v>
      </c>
      <c r="F376" t="s">
        <v>142</v>
      </c>
      <c r="G376" t="s">
        <v>142</v>
      </c>
      <c r="H376" t="s">
        <v>2595</v>
      </c>
      <c r="I376" t="s">
        <v>2596</v>
      </c>
      <c r="J376" t="s">
        <v>143</v>
      </c>
      <c r="K376" t="s">
        <v>162</v>
      </c>
      <c r="L376" t="s">
        <v>162</v>
      </c>
      <c r="M376" t="s">
        <v>163</v>
      </c>
      <c r="N376" t="s">
        <v>418</v>
      </c>
      <c r="O376">
        <v>10020824</v>
      </c>
      <c r="P376" s="108">
        <v>43025</v>
      </c>
      <c r="Q376" s="108">
        <v>43027</v>
      </c>
      <c r="R376" s="108">
        <v>43048</v>
      </c>
      <c r="S376" t="s">
        <v>153</v>
      </c>
      <c r="T376">
        <v>2</v>
      </c>
      <c r="U376" t="s">
        <v>123</v>
      </c>
      <c r="V376">
        <v>2</v>
      </c>
      <c r="W376">
        <v>2</v>
      </c>
      <c r="X376">
        <v>2</v>
      </c>
      <c r="Y376">
        <f>VLOOKUP(Table_clu7sql1_ssdb_REPORT_vw_IE_External_MI_SON[[#This Row],[URN]],[1]Data!$D$2:$BB$1084,31,)</f>
        <v>2</v>
      </c>
      <c r="Z376" t="s">
        <v>2596</v>
      </c>
      <c r="AA376" t="s">
        <v>2596</v>
      </c>
      <c r="AB376" t="s">
        <v>2598</v>
      </c>
      <c r="AC376" t="s">
        <v>2596</v>
      </c>
      <c r="AD376" t="s">
        <v>2596</v>
      </c>
      <c r="AE376" t="s">
        <v>2596</v>
      </c>
      <c r="AF376" t="s">
        <v>2596</v>
      </c>
      <c r="AG376" t="s">
        <v>2596</v>
      </c>
      <c r="AH376" t="s">
        <v>2596</v>
      </c>
    </row>
    <row r="377" spans="1:34" x14ac:dyDescent="0.25">
      <c r="A377" s="111" t="str">
        <f>HYPERLINK("http://www.ofsted.gov.uk/inspection-reports/find-inspection-report/provider/ELS/131567 ","Ofsted School Webpage")</f>
        <v>Ofsted School Webpage</v>
      </c>
      <c r="B377">
        <v>131567</v>
      </c>
      <c r="C377">
        <v>8866113</v>
      </c>
      <c r="D377" t="s">
        <v>1867</v>
      </c>
      <c r="E377" t="s">
        <v>36</v>
      </c>
      <c r="F377" t="s">
        <v>142</v>
      </c>
      <c r="G377" t="s">
        <v>169</v>
      </c>
      <c r="H377" t="s">
        <v>2595</v>
      </c>
      <c r="I377" t="s">
        <v>2596</v>
      </c>
      <c r="J377" t="s">
        <v>143</v>
      </c>
      <c r="K377" t="s">
        <v>139</v>
      </c>
      <c r="L377" t="s">
        <v>139</v>
      </c>
      <c r="M377" t="s">
        <v>140</v>
      </c>
      <c r="N377" t="s">
        <v>1868</v>
      </c>
      <c r="O377">
        <v>10008566</v>
      </c>
      <c r="P377" s="108">
        <v>42556</v>
      </c>
      <c r="Q377" s="108">
        <v>42558</v>
      </c>
      <c r="R377" s="108">
        <v>42634</v>
      </c>
      <c r="S377" t="s">
        <v>224</v>
      </c>
      <c r="T377">
        <v>1</v>
      </c>
      <c r="U377" t="s">
        <v>123</v>
      </c>
      <c r="V377">
        <v>1</v>
      </c>
      <c r="W377">
        <v>1</v>
      </c>
      <c r="X377">
        <v>1</v>
      </c>
      <c r="Y377">
        <f>VLOOKUP(Table_clu7sql1_ssdb_REPORT_vw_IE_External_MI_SON[[#This Row],[URN]],[1]Data!$D$2:$BB$1084,31,)</f>
        <v>1</v>
      </c>
      <c r="Z377">
        <v>1</v>
      </c>
      <c r="AA377" t="s">
        <v>2596</v>
      </c>
      <c r="AB377" t="s">
        <v>2598</v>
      </c>
      <c r="AC377" t="s">
        <v>2596</v>
      </c>
      <c r="AD377" t="s">
        <v>2596</v>
      </c>
      <c r="AE377" s="108" t="s">
        <v>2596</v>
      </c>
      <c r="AF377" t="s">
        <v>2596</v>
      </c>
      <c r="AG377" s="108" t="s">
        <v>2596</v>
      </c>
      <c r="AH377" t="s">
        <v>2596</v>
      </c>
    </row>
    <row r="378" spans="1:34" x14ac:dyDescent="0.25">
      <c r="A378" s="111" t="str">
        <f>HYPERLINK("http://www.ofsted.gov.uk/inspection-reports/find-inspection-report/provider/ELS/131575 ","Ofsted School Webpage")</f>
        <v>Ofsted School Webpage</v>
      </c>
      <c r="B378">
        <v>131575</v>
      </c>
      <c r="C378">
        <v>8886094</v>
      </c>
      <c r="D378" t="s">
        <v>932</v>
      </c>
      <c r="E378" t="s">
        <v>37</v>
      </c>
      <c r="F378" t="s">
        <v>142</v>
      </c>
      <c r="G378" t="s">
        <v>142</v>
      </c>
      <c r="H378" t="s">
        <v>2595</v>
      </c>
      <c r="I378" t="s">
        <v>2596</v>
      </c>
      <c r="J378" t="s">
        <v>143</v>
      </c>
      <c r="K378" t="s">
        <v>162</v>
      </c>
      <c r="L378" t="s">
        <v>162</v>
      </c>
      <c r="M378" t="s">
        <v>163</v>
      </c>
      <c r="N378" t="s">
        <v>933</v>
      </c>
      <c r="O378">
        <v>10012971</v>
      </c>
      <c r="P378" s="108">
        <v>42633</v>
      </c>
      <c r="Q378" s="108">
        <v>42635</v>
      </c>
      <c r="R378" s="108">
        <v>42660</v>
      </c>
      <c r="S378" t="s">
        <v>153</v>
      </c>
      <c r="T378">
        <v>1</v>
      </c>
      <c r="U378" t="s">
        <v>123</v>
      </c>
      <c r="V378">
        <v>1</v>
      </c>
      <c r="W378">
        <v>1</v>
      </c>
      <c r="X378">
        <v>1</v>
      </c>
      <c r="Y378">
        <f>VLOOKUP(Table_clu7sql1_ssdb_REPORT_vw_IE_External_MI_SON[[#This Row],[URN]],[1]Data!$D$2:$BB$1084,31,)</f>
        <v>1</v>
      </c>
      <c r="Z378" t="s">
        <v>2596</v>
      </c>
      <c r="AA378">
        <v>1</v>
      </c>
      <c r="AB378" t="s">
        <v>2598</v>
      </c>
      <c r="AC378" t="s">
        <v>2596</v>
      </c>
      <c r="AD378" t="s">
        <v>2596</v>
      </c>
      <c r="AE378" s="108" t="s">
        <v>2596</v>
      </c>
      <c r="AF378" t="s">
        <v>2596</v>
      </c>
      <c r="AG378" s="108" t="s">
        <v>2596</v>
      </c>
      <c r="AH378" t="s">
        <v>2596</v>
      </c>
    </row>
    <row r="379" spans="1:34" x14ac:dyDescent="0.25">
      <c r="A379" s="111" t="str">
        <f>HYPERLINK("http://www.ofsted.gov.uk/inspection-reports/find-inspection-report/provider/ELS/131611 ","Ofsted School Webpage")</f>
        <v>Ofsted School Webpage</v>
      </c>
      <c r="B379">
        <v>131611</v>
      </c>
      <c r="C379">
        <v>8866079</v>
      </c>
      <c r="D379" t="s">
        <v>1133</v>
      </c>
      <c r="E379" t="s">
        <v>37</v>
      </c>
      <c r="F379" t="s">
        <v>142</v>
      </c>
      <c r="G379" t="s">
        <v>142</v>
      </c>
      <c r="H379" t="s">
        <v>2595</v>
      </c>
      <c r="I379" t="s">
        <v>2596</v>
      </c>
      <c r="J379" t="s">
        <v>143</v>
      </c>
      <c r="K379" t="s">
        <v>139</v>
      </c>
      <c r="L379" t="s">
        <v>139</v>
      </c>
      <c r="M379" t="s">
        <v>140</v>
      </c>
      <c r="N379" t="s">
        <v>1134</v>
      </c>
      <c r="O379">
        <v>10026009</v>
      </c>
      <c r="P379" s="108">
        <v>42808</v>
      </c>
      <c r="Q379" s="108">
        <v>42810</v>
      </c>
      <c r="R379" s="108">
        <v>42857</v>
      </c>
      <c r="S379" t="s">
        <v>224</v>
      </c>
      <c r="T379">
        <v>1</v>
      </c>
      <c r="U379" t="s">
        <v>123</v>
      </c>
      <c r="V379">
        <v>1</v>
      </c>
      <c r="W379">
        <v>1</v>
      </c>
      <c r="X379">
        <v>1</v>
      </c>
      <c r="Y379">
        <f>VLOOKUP(Table_clu7sql1_ssdb_REPORT_vw_IE_External_MI_SON[[#This Row],[URN]],[1]Data!$D$2:$BB$1084,31,)</f>
        <v>1</v>
      </c>
      <c r="Z379" t="s">
        <v>2596</v>
      </c>
      <c r="AA379">
        <v>1</v>
      </c>
      <c r="AB379" t="s">
        <v>2598</v>
      </c>
      <c r="AC379" t="s">
        <v>2596</v>
      </c>
      <c r="AD379" t="s">
        <v>2596</v>
      </c>
      <c r="AE379" s="108" t="s">
        <v>2596</v>
      </c>
      <c r="AF379" t="s">
        <v>2596</v>
      </c>
      <c r="AG379" s="108" t="s">
        <v>2596</v>
      </c>
      <c r="AH379" t="s">
        <v>2596</v>
      </c>
    </row>
    <row r="380" spans="1:34" x14ac:dyDescent="0.25">
      <c r="A380" s="111" t="str">
        <f>HYPERLINK("http://www.ofsted.gov.uk/inspection-reports/find-inspection-report/provider/ELS/131662 ","Ofsted School Webpage")</f>
        <v>Ofsted School Webpage</v>
      </c>
      <c r="B380">
        <v>131662</v>
      </c>
      <c r="C380">
        <v>2126001</v>
      </c>
      <c r="D380" t="s">
        <v>573</v>
      </c>
      <c r="E380" t="s">
        <v>37</v>
      </c>
      <c r="F380" t="s">
        <v>142</v>
      </c>
      <c r="G380" t="s">
        <v>142</v>
      </c>
      <c r="H380" t="s">
        <v>2595</v>
      </c>
      <c r="I380" t="s">
        <v>2596</v>
      </c>
      <c r="J380" t="s">
        <v>143</v>
      </c>
      <c r="K380" t="s">
        <v>189</v>
      </c>
      <c r="L380" t="s">
        <v>189</v>
      </c>
      <c r="M380" t="s">
        <v>391</v>
      </c>
      <c r="N380" t="s">
        <v>574</v>
      </c>
      <c r="O380">
        <v>10008522</v>
      </c>
      <c r="P380" s="108">
        <v>42389</v>
      </c>
      <c r="Q380" s="108">
        <v>42391</v>
      </c>
      <c r="R380" s="108">
        <v>42440</v>
      </c>
      <c r="S380" t="s">
        <v>153</v>
      </c>
      <c r="T380">
        <v>2</v>
      </c>
      <c r="U380" t="s">
        <v>123</v>
      </c>
      <c r="V380">
        <v>2</v>
      </c>
      <c r="W380">
        <v>2</v>
      </c>
      <c r="X380">
        <v>2</v>
      </c>
      <c r="Y380">
        <f>VLOOKUP(Table_clu7sql1_ssdb_REPORT_vw_IE_External_MI_SON[[#This Row],[URN]],[1]Data!$D$2:$BB$1084,31,)</f>
        <v>2</v>
      </c>
      <c r="Z380">
        <v>2</v>
      </c>
      <c r="AA380" t="s">
        <v>2596</v>
      </c>
      <c r="AB380" t="s">
        <v>2598</v>
      </c>
      <c r="AC380" t="s">
        <v>2596</v>
      </c>
      <c r="AD380" t="s">
        <v>2596</v>
      </c>
      <c r="AE380" s="108" t="s">
        <v>2596</v>
      </c>
      <c r="AF380" t="s">
        <v>2596</v>
      </c>
      <c r="AG380" s="108" t="s">
        <v>2596</v>
      </c>
      <c r="AH380" t="s">
        <v>2596</v>
      </c>
    </row>
    <row r="381" spans="1:34" x14ac:dyDescent="0.25">
      <c r="A381" s="111" t="str">
        <f>HYPERLINK("http://www.ofsted.gov.uk/inspection-reports/find-inspection-report/provider/ELS/131666 ","Ofsted School Webpage")</f>
        <v>Ofsted School Webpage</v>
      </c>
      <c r="B381">
        <v>131666</v>
      </c>
      <c r="C381">
        <v>8886037</v>
      </c>
      <c r="D381" t="s">
        <v>995</v>
      </c>
      <c r="E381" t="s">
        <v>37</v>
      </c>
      <c r="F381" t="s">
        <v>142</v>
      </c>
      <c r="G381" t="s">
        <v>142</v>
      </c>
      <c r="H381" t="s">
        <v>2595</v>
      </c>
      <c r="I381" t="s">
        <v>2596</v>
      </c>
      <c r="J381" t="s">
        <v>143</v>
      </c>
      <c r="K381" t="s">
        <v>162</v>
      </c>
      <c r="L381" t="s">
        <v>162</v>
      </c>
      <c r="M381" t="s">
        <v>163</v>
      </c>
      <c r="N381" t="s">
        <v>996</v>
      </c>
      <c r="O381" t="s">
        <v>997</v>
      </c>
      <c r="P381" s="108">
        <v>42122</v>
      </c>
      <c r="Q381" s="108">
        <v>42124</v>
      </c>
      <c r="R381" s="108">
        <v>42157</v>
      </c>
      <c r="S381" t="s">
        <v>153</v>
      </c>
      <c r="T381">
        <v>1</v>
      </c>
      <c r="U381" t="s">
        <v>2596</v>
      </c>
      <c r="V381">
        <v>1</v>
      </c>
      <c r="W381" t="s">
        <v>2596</v>
      </c>
      <c r="X381">
        <v>1</v>
      </c>
      <c r="Y381">
        <f>VLOOKUP(Table_clu7sql1_ssdb_REPORT_vw_IE_External_MI_SON[[#This Row],[URN]],[1]Data!$D$2:$BB$1084,31,)</f>
        <v>1</v>
      </c>
      <c r="Z381">
        <v>9</v>
      </c>
      <c r="AA381">
        <v>9</v>
      </c>
      <c r="AB381" t="s">
        <v>2598</v>
      </c>
      <c r="AC381" t="s">
        <v>2596</v>
      </c>
      <c r="AD381" t="s">
        <v>2596</v>
      </c>
      <c r="AE381" s="108" t="s">
        <v>2596</v>
      </c>
      <c r="AF381" t="s">
        <v>2596</v>
      </c>
      <c r="AG381" s="108" t="s">
        <v>2596</v>
      </c>
      <c r="AH381" t="s">
        <v>2596</v>
      </c>
    </row>
    <row r="382" spans="1:34" x14ac:dyDescent="0.25">
      <c r="A382" s="111" t="str">
        <f>HYPERLINK("http://www.ofsted.gov.uk/inspection-reports/find-inspection-report/provider/ELS/131687 ","Ofsted School Webpage")</f>
        <v>Ofsted School Webpage</v>
      </c>
      <c r="B382">
        <v>131687</v>
      </c>
      <c r="C382">
        <v>3306097</v>
      </c>
      <c r="D382" t="s">
        <v>1613</v>
      </c>
      <c r="E382" t="s">
        <v>36</v>
      </c>
      <c r="F382" t="s">
        <v>261</v>
      </c>
      <c r="G382" t="s">
        <v>180</v>
      </c>
      <c r="H382" t="s">
        <v>2595</v>
      </c>
      <c r="I382" t="s">
        <v>2596</v>
      </c>
      <c r="J382" t="s">
        <v>143</v>
      </c>
      <c r="K382" t="s">
        <v>150</v>
      </c>
      <c r="L382" t="s">
        <v>150</v>
      </c>
      <c r="M382" t="s">
        <v>167</v>
      </c>
      <c r="N382" t="s">
        <v>1614</v>
      </c>
      <c r="O382">
        <v>10033384</v>
      </c>
      <c r="P382" s="108">
        <v>42800</v>
      </c>
      <c r="Q382" s="108">
        <v>42802</v>
      </c>
      <c r="R382" s="108">
        <v>42830</v>
      </c>
      <c r="S382" t="s">
        <v>153</v>
      </c>
      <c r="T382">
        <v>2</v>
      </c>
      <c r="U382" t="s">
        <v>123</v>
      </c>
      <c r="V382">
        <v>1</v>
      </c>
      <c r="W382">
        <v>1</v>
      </c>
      <c r="X382">
        <v>2</v>
      </c>
      <c r="Y382">
        <f>VLOOKUP(Table_clu7sql1_ssdb_REPORT_vw_IE_External_MI_SON[[#This Row],[URN]],[1]Data!$D$2:$BB$1084,31,)</f>
        <v>2</v>
      </c>
      <c r="Z382" t="s">
        <v>2596</v>
      </c>
      <c r="AA382" t="s">
        <v>2596</v>
      </c>
      <c r="AB382" t="s">
        <v>2598</v>
      </c>
      <c r="AC382" t="s">
        <v>2596</v>
      </c>
      <c r="AD382" t="s">
        <v>2596</v>
      </c>
      <c r="AE382" s="108" t="s">
        <v>2596</v>
      </c>
      <c r="AF382" t="s">
        <v>2596</v>
      </c>
      <c r="AG382" s="108" t="s">
        <v>2596</v>
      </c>
      <c r="AH382" t="s">
        <v>2596</v>
      </c>
    </row>
    <row r="383" spans="1:34" x14ac:dyDescent="0.25">
      <c r="A383" s="111" t="str">
        <f>HYPERLINK("http://www.ofsted.gov.uk/inspection-reports/find-inspection-report/provider/ELS/131715 ","Ofsted School Webpage")</f>
        <v>Ofsted School Webpage</v>
      </c>
      <c r="B383">
        <v>131715</v>
      </c>
      <c r="C383">
        <v>8786060</v>
      </c>
      <c r="D383" t="s">
        <v>1728</v>
      </c>
      <c r="E383" t="s">
        <v>37</v>
      </c>
      <c r="F383" t="s">
        <v>142</v>
      </c>
      <c r="G383" t="s">
        <v>142</v>
      </c>
      <c r="H383" t="s">
        <v>2595</v>
      </c>
      <c r="I383" t="s">
        <v>2596</v>
      </c>
      <c r="J383" t="s">
        <v>143</v>
      </c>
      <c r="K383" t="s">
        <v>182</v>
      </c>
      <c r="L383" t="s">
        <v>182</v>
      </c>
      <c r="M383" t="s">
        <v>323</v>
      </c>
      <c r="N383" t="s">
        <v>1729</v>
      </c>
      <c r="O383">
        <v>10012945</v>
      </c>
      <c r="P383" s="108">
        <v>42507</v>
      </c>
      <c r="Q383" s="108">
        <v>42509</v>
      </c>
      <c r="R383" s="108">
        <v>42542</v>
      </c>
      <c r="S383" t="s">
        <v>153</v>
      </c>
      <c r="T383">
        <v>3</v>
      </c>
      <c r="U383" t="s">
        <v>123</v>
      </c>
      <c r="V383">
        <v>3</v>
      </c>
      <c r="W383">
        <v>2</v>
      </c>
      <c r="X383">
        <v>3</v>
      </c>
      <c r="Y383">
        <f>VLOOKUP(Table_clu7sql1_ssdb_REPORT_vw_IE_External_MI_SON[[#This Row],[URN]],[1]Data!$D$2:$BB$1084,31,)</f>
        <v>3</v>
      </c>
      <c r="Z383" t="s">
        <v>2596</v>
      </c>
      <c r="AA383">
        <v>3</v>
      </c>
      <c r="AB383" t="s">
        <v>2599</v>
      </c>
      <c r="AC383" t="s">
        <v>2596</v>
      </c>
      <c r="AD383" t="s">
        <v>2596</v>
      </c>
      <c r="AE383" t="s">
        <v>2596</v>
      </c>
      <c r="AF383" t="s">
        <v>2596</v>
      </c>
      <c r="AG383" t="s">
        <v>2596</v>
      </c>
      <c r="AH383" t="s">
        <v>2596</v>
      </c>
    </row>
    <row r="384" spans="1:34" x14ac:dyDescent="0.25">
      <c r="A384" s="111" t="str">
        <f>HYPERLINK("http://www.ofsted.gov.uk/inspection-reports/find-inspection-report/provider/ELS/131745 ","Ofsted School Webpage")</f>
        <v>Ofsted School Webpage</v>
      </c>
      <c r="B384">
        <v>131745</v>
      </c>
      <c r="C384">
        <v>2116389</v>
      </c>
      <c r="D384" t="s">
        <v>2167</v>
      </c>
      <c r="E384" t="s">
        <v>36</v>
      </c>
      <c r="F384" t="s">
        <v>142</v>
      </c>
      <c r="G384" t="s">
        <v>180</v>
      </c>
      <c r="H384" t="s">
        <v>2595</v>
      </c>
      <c r="I384" t="s">
        <v>2596</v>
      </c>
      <c r="J384" t="s">
        <v>143</v>
      </c>
      <c r="K384" t="s">
        <v>189</v>
      </c>
      <c r="L384" t="s">
        <v>189</v>
      </c>
      <c r="M384" t="s">
        <v>494</v>
      </c>
      <c r="N384" t="s">
        <v>2168</v>
      </c>
      <c r="O384">
        <v>10044537</v>
      </c>
      <c r="P384" s="108">
        <v>43137</v>
      </c>
      <c r="Q384" s="108">
        <v>43139</v>
      </c>
      <c r="R384" s="108">
        <v>43179</v>
      </c>
      <c r="S384" t="s">
        <v>153</v>
      </c>
      <c r="T384">
        <v>4</v>
      </c>
      <c r="U384" t="s">
        <v>124</v>
      </c>
      <c r="V384">
        <v>4</v>
      </c>
      <c r="W384">
        <v>4</v>
      </c>
      <c r="X384">
        <v>3</v>
      </c>
      <c r="Y384">
        <f>VLOOKUP(Table_clu7sql1_ssdb_REPORT_vw_IE_External_MI_SON[[#This Row],[URN]],[1]Data!$D$2:$BB$1084,31,)</f>
        <v>3</v>
      </c>
      <c r="Z384" t="s">
        <v>2596</v>
      </c>
      <c r="AA384">
        <v>4</v>
      </c>
      <c r="AB384" t="s">
        <v>2599</v>
      </c>
      <c r="AC384" t="s">
        <v>2596</v>
      </c>
      <c r="AD384" t="s">
        <v>2596</v>
      </c>
      <c r="AE384" t="s">
        <v>2596</v>
      </c>
      <c r="AF384" t="s">
        <v>2596</v>
      </c>
      <c r="AG384" t="s">
        <v>2596</v>
      </c>
      <c r="AH384" t="s">
        <v>2596</v>
      </c>
    </row>
    <row r="385" spans="1:34" x14ac:dyDescent="0.25">
      <c r="A385" s="111" t="str">
        <f>HYPERLINK("http://www.ofsted.gov.uk/inspection-reports/find-inspection-report/provider/ELS/131751 ","Ofsted School Webpage")</f>
        <v>Ofsted School Webpage</v>
      </c>
      <c r="B385">
        <v>131751</v>
      </c>
      <c r="C385">
        <v>3536019</v>
      </c>
      <c r="D385" t="s">
        <v>1025</v>
      </c>
      <c r="E385" t="s">
        <v>37</v>
      </c>
      <c r="F385" t="s">
        <v>142</v>
      </c>
      <c r="G385" t="s">
        <v>142</v>
      </c>
      <c r="H385" t="s">
        <v>2595</v>
      </c>
      <c r="I385" t="s">
        <v>2596</v>
      </c>
      <c r="J385" t="s">
        <v>143</v>
      </c>
      <c r="K385" t="s">
        <v>162</v>
      </c>
      <c r="L385" t="s">
        <v>162</v>
      </c>
      <c r="M385" t="s">
        <v>423</v>
      </c>
      <c r="N385" t="s">
        <v>1026</v>
      </c>
      <c r="O385">
        <v>10012866</v>
      </c>
      <c r="P385" s="108">
        <v>42661</v>
      </c>
      <c r="Q385" s="108">
        <v>42663</v>
      </c>
      <c r="R385" s="108">
        <v>42695</v>
      </c>
      <c r="S385" t="s">
        <v>153</v>
      </c>
      <c r="T385">
        <v>2</v>
      </c>
      <c r="U385" t="s">
        <v>123</v>
      </c>
      <c r="V385">
        <v>2</v>
      </c>
      <c r="W385">
        <v>2</v>
      </c>
      <c r="X385">
        <v>2</v>
      </c>
      <c r="Y385">
        <f>VLOOKUP(Table_clu7sql1_ssdb_REPORT_vw_IE_External_MI_SON[[#This Row],[URN]],[1]Data!$D$2:$BB$1084,31,)</f>
        <v>2</v>
      </c>
      <c r="Z385" t="s">
        <v>2596</v>
      </c>
      <c r="AA385" t="s">
        <v>2596</v>
      </c>
      <c r="AB385" t="s">
        <v>2598</v>
      </c>
      <c r="AC385" t="s">
        <v>2596</v>
      </c>
      <c r="AD385" t="s">
        <v>2596</v>
      </c>
      <c r="AE385" t="s">
        <v>2596</v>
      </c>
      <c r="AF385" t="s">
        <v>2596</v>
      </c>
      <c r="AG385" t="s">
        <v>2596</v>
      </c>
      <c r="AH385" t="s">
        <v>2596</v>
      </c>
    </row>
    <row r="386" spans="1:34" x14ac:dyDescent="0.25">
      <c r="A386" s="111" t="str">
        <f>HYPERLINK("http://www.ofsted.gov.uk/inspection-reports/find-inspection-report/provider/ELS/131755 ","Ofsted School Webpage")</f>
        <v>Ofsted School Webpage</v>
      </c>
      <c r="B386">
        <v>131755</v>
      </c>
      <c r="C386">
        <v>3076079</v>
      </c>
      <c r="D386" t="s">
        <v>2251</v>
      </c>
      <c r="E386" t="s">
        <v>36</v>
      </c>
      <c r="F386" t="s">
        <v>142</v>
      </c>
      <c r="G386" t="s">
        <v>142</v>
      </c>
      <c r="H386" t="s">
        <v>2595</v>
      </c>
      <c r="I386" t="s">
        <v>2596</v>
      </c>
      <c r="J386" t="s">
        <v>143</v>
      </c>
      <c r="K386" t="s">
        <v>189</v>
      </c>
      <c r="L386" t="s">
        <v>189</v>
      </c>
      <c r="M386" t="s">
        <v>584</v>
      </c>
      <c r="N386" t="s">
        <v>2252</v>
      </c>
      <c r="O386">
        <v>10026286</v>
      </c>
      <c r="P386" s="108">
        <v>43130</v>
      </c>
      <c r="Q386" s="108">
        <v>43132</v>
      </c>
      <c r="R386" s="108">
        <v>43159</v>
      </c>
      <c r="S386" t="s">
        <v>153</v>
      </c>
      <c r="T386">
        <v>2</v>
      </c>
      <c r="U386" t="s">
        <v>123</v>
      </c>
      <c r="V386">
        <v>2</v>
      </c>
      <c r="W386">
        <v>1</v>
      </c>
      <c r="X386">
        <v>2</v>
      </c>
      <c r="Y386">
        <f>VLOOKUP(Table_clu7sql1_ssdb_REPORT_vw_IE_External_MI_SON[[#This Row],[URN]],[1]Data!$D$2:$BB$1084,31,)</f>
        <v>2</v>
      </c>
      <c r="Z386" t="s">
        <v>2596</v>
      </c>
      <c r="AA386" t="s">
        <v>2596</v>
      </c>
      <c r="AB386" t="s">
        <v>2598</v>
      </c>
      <c r="AC386" t="s">
        <v>2596</v>
      </c>
      <c r="AD386" t="s">
        <v>2596</v>
      </c>
      <c r="AE386" s="108" t="s">
        <v>2596</v>
      </c>
      <c r="AF386" t="s">
        <v>2596</v>
      </c>
      <c r="AG386" s="108" t="s">
        <v>2596</v>
      </c>
      <c r="AH386" t="s">
        <v>2596</v>
      </c>
    </row>
    <row r="387" spans="1:34" x14ac:dyDescent="0.25">
      <c r="A387" s="111" t="str">
        <f>HYPERLINK("http://www.ofsted.gov.uk/inspection-reports/find-inspection-report/provider/ELS/131770 ","Ofsted School Webpage")</f>
        <v>Ofsted School Webpage</v>
      </c>
      <c r="B387">
        <v>131770</v>
      </c>
      <c r="C387">
        <v>3066090</v>
      </c>
      <c r="D387" t="s">
        <v>675</v>
      </c>
      <c r="E387" t="s">
        <v>36</v>
      </c>
      <c r="F387" t="s">
        <v>142</v>
      </c>
      <c r="G387" t="s">
        <v>142</v>
      </c>
      <c r="H387" t="s">
        <v>2595</v>
      </c>
      <c r="I387" t="s">
        <v>2596</v>
      </c>
      <c r="J387" t="s">
        <v>143</v>
      </c>
      <c r="K387" t="s">
        <v>189</v>
      </c>
      <c r="L387" t="s">
        <v>189</v>
      </c>
      <c r="M387" t="s">
        <v>676</v>
      </c>
      <c r="N387" t="s">
        <v>677</v>
      </c>
      <c r="O387" t="s">
        <v>678</v>
      </c>
      <c r="P387" s="108">
        <v>41310</v>
      </c>
      <c r="Q387" s="108">
        <v>41312</v>
      </c>
      <c r="R387" s="108">
        <v>41333</v>
      </c>
      <c r="S387" t="s">
        <v>153</v>
      </c>
      <c r="T387">
        <v>2</v>
      </c>
      <c r="U387" t="s">
        <v>2596</v>
      </c>
      <c r="V387">
        <v>2</v>
      </c>
      <c r="W387" t="s">
        <v>2596</v>
      </c>
      <c r="X387">
        <v>2</v>
      </c>
      <c r="Y387">
        <f>VLOOKUP(Table_clu7sql1_ssdb_REPORT_vw_IE_External_MI_SON[[#This Row],[URN]],[1]Data!$D$2:$BB$1084,31,)</f>
        <v>2</v>
      </c>
      <c r="Z387" t="s">
        <v>2596</v>
      </c>
      <c r="AA387" t="s">
        <v>2596</v>
      </c>
      <c r="AB387" t="s">
        <v>2886</v>
      </c>
      <c r="AC387" t="s">
        <v>2596</v>
      </c>
      <c r="AD387" t="s">
        <v>2596</v>
      </c>
      <c r="AE387" s="108" t="s">
        <v>2596</v>
      </c>
      <c r="AF387" t="s">
        <v>2596</v>
      </c>
      <c r="AG387" s="108" t="s">
        <v>2596</v>
      </c>
      <c r="AH387" t="s">
        <v>2596</v>
      </c>
    </row>
    <row r="388" spans="1:34" x14ac:dyDescent="0.25">
      <c r="A388" s="111" t="str">
        <f>HYPERLINK("http://www.ofsted.gov.uk/inspection-reports/find-inspection-report/provider/ELS/131778 ","Ofsted School Webpage")</f>
        <v>Ofsted School Webpage</v>
      </c>
      <c r="B388">
        <v>131778</v>
      </c>
      <c r="C388">
        <v>2076396</v>
      </c>
      <c r="D388" t="s">
        <v>382</v>
      </c>
      <c r="E388" t="s">
        <v>36</v>
      </c>
      <c r="F388" t="s">
        <v>169</v>
      </c>
      <c r="G388" t="s">
        <v>169</v>
      </c>
      <c r="H388" t="s">
        <v>2595</v>
      </c>
      <c r="I388" t="s">
        <v>2596</v>
      </c>
      <c r="J388" t="s">
        <v>143</v>
      </c>
      <c r="K388" t="s">
        <v>189</v>
      </c>
      <c r="L388" t="s">
        <v>189</v>
      </c>
      <c r="M388" t="s">
        <v>251</v>
      </c>
      <c r="N388" t="s">
        <v>383</v>
      </c>
      <c r="O388">
        <v>10020864</v>
      </c>
      <c r="P388" s="108">
        <v>43025</v>
      </c>
      <c r="Q388" s="108">
        <v>43027</v>
      </c>
      <c r="R388" s="108">
        <v>43067</v>
      </c>
      <c r="S388" t="s">
        <v>153</v>
      </c>
      <c r="T388">
        <v>3</v>
      </c>
      <c r="U388" t="s">
        <v>123</v>
      </c>
      <c r="V388">
        <v>3</v>
      </c>
      <c r="W388">
        <v>2</v>
      </c>
      <c r="X388">
        <v>2</v>
      </c>
      <c r="Y388">
        <f>VLOOKUP(Table_clu7sql1_ssdb_REPORT_vw_IE_External_MI_SON[[#This Row],[URN]],[1]Data!$D$2:$BB$1084,31,)</f>
        <v>2</v>
      </c>
      <c r="Z388">
        <v>2</v>
      </c>
      <c r="AA388" t="s">
        <v>2596</v>
      </c>
      <c r="AB388" t="s">
        <v>2599</v>
      </c>
      <c r="AC388" t="s">
        <v>2596</v>
      </c>
      <c r="AD388" t="s">
        <v>2596</v>
      </c>
      <c r="AE388" t="s">
        <v>2596</v>
      </c>
      <c r="AF388" t="s">
        <v>2596</v>
      </c>
      <c r="AG388" t="s">
        <v>2596</v>
      </c>
      <c r="AH388" t="s">
        <v>2596</v>
      </c>
    </row>
    <row r="389" spans="1:34" x14ac:dyDescent="0.25">
      <c r="A389" s="111" t="str">
        <f>HYPERLINK("http://www.ofsted.gov.uk/inspection-reports/find-inspection-report/provider/ELS/131780 ","Ofsted School Webpage")</f>
        <v>Ofsted School Webpage</v>
      </c>
      <c r="B389">
        <v>131780</v>
      </c>
      <c r="C389">
        <v>8866084</v>
      </c>
      <c r="D389" t="s">
        <v>527</v>
      </c>
      <c r="E389" t="s">
        <v>37</v>
      </c>
      <c r="F389" t="s">
        <v>142</v>
      </c>
      <c r="G389" t="s">
        <v>142</v>
      </c>
      <c r="H389" t="s">
        <v>2595</v>
      </c>
      <c r="I389" t="s">
        <v>2596</v>
      </c>
      <c r="J389" t="s">
        <v>143</v>
      </c>
      <c r="K389" t="s">
        <v>139</v>
      </c>
      <c r="L389" t="s">
        <v>139</v>
      </c>
      <c r="M389" t="s">
        <v>140</v>
      </c>
      <c r="N389" t="s">
        <v>528</v>
      </c>
      <c r="O389">
        <v>10006331</v>
      </c>
      <c r="P389" s="108">
        <v>42913</v>
      </c>
      <c r="Q389" s="108">
        <v>42915</v>
      </c>
      <c r="R389" s="108">
        <v>42936</v>
      </c>
      <c r="S389" t="s">
        <v>153</v>
      </c>
      <c r="T389">
        <v>2</v>
      </c>
      <c r="U389" t="s">
        <v>123</v>
      </c>
      <c r="V389">
        <v>2</v>
      </c>
      <c r="W389">
        <v>2</v>
      </c>
      <c r="X389">
        <v>2</v>
      </c>
      <c r="Y389">
        <f>VLOOKUP(Table_clu7sql1_ssdb_REPORT_vw_IE_External_MI_SON[[#This Row],[URN]],[1]Data!$D$2:$BB$1084,31,)</f>
        <v>2</v>
      </c>
      <c r="Z389" t="s">
        <v>2596</v>
      </c>
      <c r="AA389" t="s">
        <v>2596</v>
      </c>
      <c r="AB389" t="s">
        <v>2598</v>
      </c>
      <c r="AC389" t="s">
        <v>2596</v>
      </c>
      <c r="AD389" t="s">
        <v>2596</v>
      </c>
      <c r="AE389" s="108" t="s">
        <v>2596</v>
      </c>
      <c r="AF389" t="s">
        <v>2596</v>
      </c>
      <c r="AG389" s="108" t="s">
        <v>2596</v>
      </c>
      <c r="AH389" t="s">
        <v>2596</v>
      </c>
    </row>
    <row r="390" spans="1:34" x14ac:dyDescent="0.25">
      <c r="A390" s="111" t="str">
        <f>HYPERLINK("http://www.ofsted.gov.uk/inspection-reports/find-inspection-report/provider/ELS/131788 ","Ofsted School Webpage")</f>
        <v>Ofsted School Webpage</v>
      </c>
      <c r="B390">
        <v>131788</v>
      </c>
      <c r="C390">
        <v>3076080</v>
      </c>
      <c r="D390" t="s">
        <v>1928</v>
      </c>
      <c r="E390" t="s">
        <v>36</v>
      </c>
      <c r="F390" t="s">
        <v>142</v>
      </c>
      <c r="G390" t="s">
        <v>1929</v>
      </c>
      <c r="H390" t="s">
        <v>2595</v>
      </c>
      <c r="I390" t="s">
        <v>2596</v>
      </c>
      <c r="J390" t="s">
        <v>143</v>
      </c>
      <c r="K390" t="s">
        <v>189</v>
      </c>
      <c r="L390" t="s">
        <v>189</v>
      </c>
      <c r="M390" t="s">
        <v>584</v>
      </c>
      <c r="N390" t="s">
        <v>1930</v>
      </c>
      <c r="O390">
        <v>10035792</v>
      </c>
      <c r="P390" s="108">
        <v>43109</v>
      </c>
      <c r="Q390" s="108">
        <v>43111</v>
      </c>
      <c r="R390" s="108">
        <v>43138</v>
      </c>
      <c r="S390" t="s">
        <v>153</v>
      </c>
      <c r="T390">
        <v>3</v>
      </c>
      <c r="U390" t="s">
        <v>123</v>
      </c>
      <c r="V390">
        <v>3</v>
      </c>
      <c r="W390">
        <v>2</v>
      </c>
      <c r="X390">
        <v>2</v>
      </c>
      <c r="Y390">
        <f>VLOOKUP(Table_clu7sql1_ssdb_REPORT_vw_IE_External_MI_SON[[#This Row],[URN]],[1]Data!$D$2:$BB$1084,31,)</f>
        <v>2</v>
      </c>
      <c r="Z390">
        <v>2</v>
      </c>
      <c r="AA390" t="s">
        <v>2596</v>
      </c>
      <c r="AB390" t="s">
        <v>2599</v>
      </c>
      <c r="AC390" t="s">
        <v>2596</v>
      </c>
      <c r="AD390" t="s">
        <v>2596</v>
      </c>
      <c r="AE390" t="s">
        <v>2596</v>
      </c>
      <c r="AF390" t="s">
        <v>2596</v>
      </c>
      <c r="AG390" t="s">
        <v>2596</v>
      </c>
      <c r="AH390" t="s">
        <v>2596</v>
      </c>
    </row>
    <row r="391" spans="1:34" x14ac:dyDescent="0.25">
      <c r="A391" s="111" t="str">
        <f>HYPERLINK("http://www.ofsted.gov.uk/inspection-reports/find-inspection-report/provider/ELS/131791 ","Ofsted School Webpage")</f>
        <v>Ofsted School Webpage</v>
      </c>
      <c r="B391">
        <v>131791</v>
      </c>
      <c r="C391">
        <v>8966027</v>
      </c>
      <c r="D391" t="s">
        <v>327</v>
      </c>
      <c r="E391" t="s">
        <v>36</v>
      </c>
      <c r="F391" t="s">
        <v>169</v>
      </c>
      <c r="G391" t="s">
        <v>169</v>
      </c>
      <c r="H391" t="s">
        <v>2595</v>
      </c>
      <c r="I391" t="s">
        <v>2596</v>
      </c>
      <c r="J391" t="s">
        <v>143</v>
      </c>
      <c r="K391" t="s">
        <v>162</v>
      </c>
      <c r="L391" t="s">
        <v>162</v>
      </c>
      <c r="M391" t="s">
        <v>328</v>
      </c>
      <c r="N391" t="s">
        <v>329</v>
      </c>
      <c r="O391">
        <v>10020947</v>
      </c>
      <c r="P391" s="108">
        <v>42661</v>
      </c>
      <c r="Q391" s="108">
        <v>42663</v>
      </c>
      <c r="R391" s="108">
        <v>42774</v>
      </c>
      <c r="S391" t="s">
        <v>153</v>
      </c>
      <c r="T391">
        <v>4</v>
      </c>
      <c r="U391" t="s">
        <v>124</v>
      </c>
      <c r="V391">
        <v>4</v>
      </c>
      <c r="W391">
        <v>4</v>
      </c>
      <c r="X391">
        <v>2</v>
      </c>
      <c r="Y391">
        <f>VLOOKUP(Table_clu7sql1_ssdb_REPORT_vw_IE_External_MI_SON[[#This Row],[URN]],[1]Data!$D$2:$BB$1084,31,)</f>
        <v>2</v>
      </c>
      <c r="Z391" t="s">
        <v>2596</v>
      </c>
      <c r="AA391" t="s">
        <v>2596</v>
      </c>
      <c r="AB391" t="s">
        <v>2599</v>
      </c>
      <c r="AC391">
        <v>10045464</v>
      </c>
      <c r="AD391" t="s">
        <v>144</v>
      </c>
      <c r="AE391" s="108">
        <v>43131</v>
      </c>
      <c r="AF391" t="s">
        <v>2636</v>
      </c>
      <c r="AG391" s="108">
        <v>43178</v>
      </c>
      <c r="AH391" t="s">
        <v>146</v>
      </c>
    </row>
    <row r="392" spans="1:34" x14ac:dyDescent="0.25">
      <c r="A392" s="111" t="str">
        <f>HYPERLINK("http://www.ofsted.gov.uk/inspection-reports/find-inspection-report/provider/ELS/131792 ","Ofsted School Webpage")</f>
        <v>Ofsted School Webpage</v>
      </c>
      <c r="B392">
        <v>131792</v>
      </c>
      <c r="C392">
        <v>8966028</v>
      </c>
      <c r="D392" t="s">
        <v>972</v>
      </c>
      <c r="E392" t="s">
        <v>37</v>
      </c>
      <c r="F392" t="s">
        <v>142</v>
      </c>
      <c r="G392" t="s">
        <v>142</v>
      </c>
      <c r="H392" t="s">
        <v>2595</v>
      </c>
      <c r="I392" t="s">
        <v>2596</v>
      </c>
      <c r="J392" t="s">
        <v>143</v>
      </c>
      <c r="K392" t="s">
        <v>162</v>
      </c>
      <c r="L392" t="s">
        <v>162</v>
      </c>
      <c r="M392" t="s">
        <v>328</v>
      </c>
      <c r="N392" t="s">
        <v>973</v>
      </c>
      <c r="O392">
        <v>10006084</v>
      </c>
      <c r="P392" s="108">
        <v>42696</v>
      </c>
      <c r="Q392" s="108">
        <v>42698</v>
      </c>
      <c r="R392" s="108">
        <v>42751</v>
      </c>
      <c r="S392" t="s">
        <v>153</v>
      </c>
      <c r="T392">
        <v>2</v>
      </c>
      <c r="U392" t="s">
        <v>123</v>
      </c>
      <c r="V392">
        <v>2</v>
      </c>
      <c r="W392">
        <v>2</v>
      </c>
      <c r="X392">
        <v>2</v>
      </c>
      <c r="Y392">
        <f>VLOOKUP(Table_clu7sql1_ssdb_REPORT_vw_IE_External_MI_SON[[#This Row],[URN]],[1]Data!$D$2:$BB$1084,31,)</f>
        <v>2</v>
      </c>
      <c r="Z392" t="s">
        <v>2596</v>
      </c>
      <c r="AA392">
        <v>2</v>
      </c>
      <c r="AB392" t="s">
        <v>2598</v>
      </c>
      <c r="AC392" t="s">
        <v>2596</v>
      </c>
      <c r="AD392" t="s">
        <v>2596</v>
      </c>
      <c r="AE392" t="s">
        <v>2596</v>
      </c>
      <c r="AF392" t="s">
        <v>2596</v>
      </c>
      <c r="AG392" t="s">
        <v>2596</v>
      </c>
      <c r="AH392" t="s">
        <v>2596</v>
      </c>
    </row>
    <row r="393" spans="1:34" x14ac:dyDescent="0.25">
      <c r="A393" s="111" t="str">
        <f>HYPERLINK("http://www.ofsted.gov.uk/inspection-reports/find-inspection-report/provider/ELS/131802 ","Ofsted School Webpage")</f>
        <v>Ofsted School Webpage</v>
      </c>
      <c r="B393">
        <v>131802</v>
      </c>
      <c r="C393">
        <v>9286067</v>
      </c>
      <c r="D393" t="s">
        <v>170</v>
      </c>
      <c r="E393" t="s">
        <v>37</v>
      </c>
      <c r="F393" t="s">
        <v>142</v>
      </c>
      <c r="G393" t="s">
        <v>142</v>
      </c>
      <c r="H393" t="s">
        <v>2595</v>
      </c>
      <c r="I393" t="s">
        <v>2596</v>
      </c>
      <c r="J393" t="s">
        <v>143</v>
      </c>
      <c r="K393" t="s">
        <v>171</v>
      </c>
      <c r="L393" t="s">
        <v>171</v>
      </c>
      <c r="M393" t="s">
        <v>172</v>
      </c>
      <c r="N393" t="s">
        <v>173</v>
      </c>
      <c r="O393">
        <v>10026048</v>
      </c>
      <c r="P393" s="108">
        <v>42822</v>
      </c>
      <c r="Q393" s="108">
        <v>42824</v>
      </c>
      <c r="R393" s="108">
        <v>42857</v>
      </c>
      <c r="S393" t="s">
        <v>153</v>
      </c>
      <c r="T393">
        <v>3</v>
      </c>
      <c r="U393" t="s">
        <v>123</v>
      </c>
      <c r="V393">
        <v>3</v>
      </c>
      <c r="W393">
        <v>3</v>
      </c>
      <c r="X393">
        <v>3</v>
      </c>
      <c r="Y393">
        <f>VLOOKUP(Table_clu7sql1_ssdb_REPORT_vw_IE_External_MI_SON[[#This Row],[URN]],[1]Data!$D$2:$BB$1084,31,)</f>
        <v>3</v>
      </c>
      <c r="Z393" t="s">
        <v>2596</v>
      </c>
      <c r="AA393" t="s">
        <v>2596</v>
      </c>
      <c r="AB393" t="s">
        <v>2599</v>
      </c>
      <c r="AC393">
        <v>10043120</v>
      </c>
      <c r="AD393" t="s">
        <v>144</v>
      </c>
      <c r="AE393" s="108">
        <v>43013</v>
      </c>
      <c r="AF393" t="s">
        <v>2636</v>
      </c>
      <c r="AG393" s="108">
        <v>43045</v>
      </c>
      <c r="AH393" t="s">
        <v>174</v>
      </c>
    </row>
    <row r="394" spans="1:34" x14ac:dyDescent="0.25">
      <c r="A394" s="111" t="str">
        <f>HYPERLINK("http://www.ofsted.gov.uk/inspection-reports/find-inspection-report/provider/ELS/131810 ","Ofsted School Webpage")</f>
        <v>Ofsted School Webpage</v>
      </c>
      <c r="B394">
        <v>131810</v>
      </c>
      <c r="C394">
        <v>8866085</v>
      </c>
      <c r="D394" t="s">
        <v>137</v>
      </c>
      <c r="E394" t="s">
        <v>37</v>
      </c>
      <c r="F394" t="s">
        <v>142</v>
      </c>
      <c r="G394" t="s">
        <v>142</v>
      </c>
      <c r="H394" t="s">
        <v>2595</v>
      </c>
      <c r="I394" t="s">
        <v>2596</v>
      </c>
      <c r="J394" t="s">
        <v>143</v>
      </c>
      <c r="K394" t="s">
        <v>139</v>
      </c>
      <c r="L394" t="s">
        <v>139</v>
      </c>
      <c r="M394" t="s">
        <v>140</v>
      </c>
      <c r="N394" t="s">
        <v>141</v>
      </c>
      <c r="O394">
        <v>10012905</v>
      </c>
      <c r="P394" s="108">
        <v>42682</v>
      </c>
      <c r="Q394" s="108">
        <v>42684</v>
      </c>
      <c r="R394" s="108">
        <v>42740</v>
      </c>
      <c r="S394" t="s">
        <v>3005</v>
      </c>
      <c r="T394">
        <v>4</v>
      </c>
      <c r="U394" t="s">
        <v>124</v>
      </c>
      <c r="V394">
        <v>4</v>
      </c>
      <c r="W394">
        <v>4</v>
      </c>
      <c r="X394">
        <v>3</v>
      </c>
      <c r="Y394">
        <f>VLOOKUP(Table_clu7sql1_ssdb_REPORT_vw_IE_External_MI_SON[[#This Row],[URN]],[1]Data!$D$2:$BB$1084,31,)</f>
        <v>3</v>
      </c>
      <c r="Z394" t="s">
        <v>2596</v>
      </c>
      <c r="AA394" t="s">
        <v>2596</v>
      </c>
      <c r="AB394" t="s">
        <v>2599</v>
      </c>
      <c r="AC394">
        <v>10040602</v>
      </c>
      <c r="AD394" t="s">
        <v>144</v>
      </c>
      <c r="AE394" s="108">
        <v>43020</v>
      </c>
      <c r="AF394" t="s">
        <v>2636</v>
      </c>
      <c r="AG394" s="108">
        <v>43053</v>
      </c>
      <c r="AH394" t="s">
        <v>146</v>
      </c>
    </row>
    <row r="395" spans="1:34" x14ac:dyDescent="0.25">
      <c r="A395" s="111" t="str">
        <f>HYPERLINK("http://www.ofsted.gov.uk/inspection-reports/find-inspection-report/provider/ELS/131825 ","Ofsted School Webpage")</f>
        <v>Ofsted School Webpage</v>
      </c>
      <c r="B395">
        <v>131825</v>
      </c>
      <c r="C395">
        <v>8216004</v>
      </c>
      <c r="D395" t="s">
        <v>1481</v>
      </c>
      <c r="E395" t="s">
        <v>36</v>
      </c>
      <c r="F395" t="s">
        <v>142</v>
      </c>
      <c r="G395" t="s">
        <v>180</v>
      </c>
      <c r="H395" t="s">
        <v>2595</v>
      </c>
      <c r="I395" t="s">
        <v>2596</v>
      </c>
      <c r="J395" t="s">
        <v>143</v>
      </c>
      <c r="K395" t="s">
        <v>177</v>
      </c>
      <c r="L395" t="s">
        <v>177</v>
      </c>
      <c r="M395" t="s">
        <v>178</v>
      </c>
      <c r="N395" t="s">
        <v>1482</v>
      </c>
      <c r="O395">
        <v>10033545</v>
      </c>
      <c r="P395" s="108">
        <v>42878</v>
      </c>
      <c r="Q395" s="108">
        <v>42880</v>
      </c>
      <c r="R395" s="108">
        <v>42920</v>
      </c>
      <c r="S395" t="s">
        <v>153</v>
      </c>
      <c r="T395">
        <v>4</v>
      </c>
      <c r="U395" t="s">
        <v>124</v>
      </c>
      <c r="V395">
        <v>4</v>
      </c>
      <c r="W395">
        <v>4</v>
      </c>
      <c r="X395">
        <v>3</v>
      </c>
      <c r="Y395">
        <f>VLOOKUP(Table_clu7sql1_ssdb_REPORT_vw_IE_External_MI_SON[[#This Row],[URN]],[1]Data!$D$2:$BB$1084,31,)</f>
        <v>3</v>
      </c>
      <c r="Z395" t="s">
        <v>2596</v>
      </c>
      <c r="AA395" t="s">
        <v>2596</v>
      </c>
      <c r="AB395" t="s">
        <v>2599</v>
      </c>
      <c r="AC395">
        <v>10047102</v>
      </c>
      <c r="AD395" t="s">
        <v>144</v>
      </c>
      <c r="AE395" s="108">
        <v>43160</v>
      </c>
      <c r="AF395" t="s">
        <v>2636</v>
      </c>
      <c r="AG395" s="108">
        <v>43187</v>
      </c>
      <c r="AH395" t="s">
        <v>174</v>
      </c>
    </row>
    <row r="396" spans="1:34" x14ac:dyDescent="0.25">
      <c r="A396" s="111" t="str">
        <f>HYPERLINK("http://www.ofsted.gov.uk/inspection-reports/find-inspection-report/provider/ELS/131940 ","Ofsted School Webpage")</f>
        <v>Ofsted School Webpage</v>
      </c>
      <c r="B396">
        <v>131940</v>
      </c>
      <c r="C396">
        <v>3126063</v>
      </c>
      <c r="D396" t="s">
        <v>403</v>
      </c>
      <c r="E396" t="s">
        <v>37</v>
      </c>
      <c r="F396" t="s">
        <v>142</v>
      </c>
      <c r="G396" t="s">
        <v>142</v>
      </c>
      <c r="H396" t="s">
        <v>2595</v>
      </c>
      <c r="I396" t="s">
        <v>2596</v>
      </c>
      <c r="J396" t="s">
        <v>143</v>
      </c>
      <c r="K396" t="s">
        <v>189</v>
      </c>
      <c r="L396" t="s">
        <v>189</v>
      </c>
      <c r="M396" t="s">
        <v>404</v>
      </c>
      <c r="N396" t="s">
        <v>405</v>
      </c>
      <c r="O396" t="s">
        <v>1029</v>
      </c>
      <c r="P396" s="108">
        <v>42066</v>
      </c>
      <c r="Q396" s="108">
        <v>42068</v>
      </c>
      <c r="R396" s="108">
        <v>42114</v>
      </c>
      <c r="S396" t="s">
        <v>153</v>
      </c>
      <c r="T396">
        <v>2</v>
      </c>
      <c r="U396" t="s">
        <v>2596</v>
      </c>
      <c r="V396">
        <v>2</v>
      </c>
      <c r="W396" t="s">
        <v>2596</v>
      </c>
      <c r="X396">
        <v>2</v>
      </c>
      <c r="Y396">
        <f>VLOOKUP(Table_clu7sql1_ssdb_REPORT_vw_IE_External_MI_SON[[#This Row],[URN]],[1]Data!$D$2:$BB$1084,31,)</f>
        <v>2</v>
      </c>
      <c r="Z396">
        <v>2</v>
      </c>
      <c r="AA396">
        <v>2</v>
      </c>
      <c r="AB396" t="s">
        <v>2598</v>
      </c>
      <c r="AC396" t="s">
        <v>2596</v>
      </c>
      <c r="AD396" t="s">
        <v>2596</v>
      </c>
      <c r="AE396" t="s">
        <v>2596</v>
      </c>
      <c r="AF396" t="s">
        <v>2596</v>
      </c>
      <c r="AG396" t="s">
        <v>2596</v>
      </c>
      <c r="AH396" t="s">
        <v>2596</v>
      </c>
    </row>
    <row r="397" spans="1:34" x14ac:dyDescent="0.25">
      <c r="A397" s="111" t="str">
        <f>HYPERLINK("http://www.ofsted.gov.uk/inspection-reports/find-inspection-report/provider/ELS/131952 ","Ofsted School Webpage")</f>
        <v>Ofsted School Webpage</v>
      </c>
      <c r="B397">
        <v>131952</v>
      </c>
      <c r="C397">
        <v>3046112</v>
      </c>
      <c r="D397" t="s">
        <v>722</v>
      </c>
      <c r="E397" t="s">
        <v>36</v>
      </c>
      <c r="F397" t="s">
        <v>142</v>
      </c>
      <c r="G397" t="s">
        <v>275</v>
      </c>
      <c r="H397" t="s">
        <v>2595</v>
      </c>
      <c r="I397" t="s">
        <v>2596</v>
      </c>
      <c r="J397" t="s">
        <v>143</v>
      </c>
      <c r="K397" t="s">
        <v>189</v>
      </c>
      <c r="L397" t="s">
        <v>189</v>
      </c>
      <c r="M397" t="s">
        <v>702</v>
      </c>
      <c r="N397" t="s">
        <v>723</v>
      </c>
      <c r="O397">
        <v>10022431</v>
      </c>
      <c r="P397" s="108">
        <v>43130</v>
      </c>
      <c r="Q397" s="108">
        <v>43132</v>
      </c>
      <c r="R397" s="108">
        <v>43157</v>
      </c>
      <c r="S397" t="s">
        <v>153</v>
      </c>
      <c r="T397">
        <v>2</v>
      </c>
      <c r="U397" t="s">
        <v>123</v>
      </c>
      <c r="V397">
        <v>2</v>
      </c>
      <c r="W397">
        <v>1</v>
      </c>
      <c r="X397">
        <v>2</v>
      </c>
      <c r="Y397">
        <f>VLOOKUP(Table_clu7sql1_ssdb_REPORT_vw_IE_External_MI_SON[[#This Row],[URN]],[1]Data!$D$2:$BB$1084,31,)</f>
        <v>2</v>
      </c>
      <c r="Z397">
        <v>2</v>
      </c>
      <c r="AA397" t="s">
        <v>2596</v>
      </c>
      <c r="AB397" t="s">
        <v>2598</v>
      </c>
      <c r="AC397" t="s">
        <v>2596</v>
      </c>
      <c r="AD397" t="s">
        <v>2596</v>
      </c>
      <c r="AE397" t="s">
        <v>2596</v>
      </c>
      <c r="AF397" t="s">
        <v>2596</v>
      </c>
      <c r="AG397" t="s">
        <v>2596</v>
      </c>
      <c r="AH397" t="s">
        <v>2596</v>
      </c>
    </row>
    <row r="398" spans="1:34" x14ac:dyDescent="0.25">
      <c r="A398" s="111" t="str">
        <f>HYPERLINK("http://www.ofsted.gov.uk/inspection-reports/find-inspection-report/provider/ELS/131960 ","Ofsted School Webpage")</f>
        <v>Ofsted School Webpage</v>
      </c>
      <c r="B398">
        <v>131960</v>
      </c>
      <c r="C398">
        <v>3816010</v>
      </c>
      <c r="D398" t="s">
        <v>2897</v>
      </c>
      <c r="E398" t="s">
        <v>37</v>
      </c>
      <c r="F398" t="s">
        <v>142</v>
      </c>
      <c r="G398" t="s">
        <v>142</v>
      </c>
      <c r="H398" t="s">
        <v>2595</v>
      </c>
      <c r="I398" t="s">
        <v>2596</v>
      </c>
      <c r="J398" t="s">
        <v>143</v>
      </c>
      <c r="K398" t="s">
        <v>202</v>
      </c>
      <c r="L398" t="s">
        <v>203</v>
      </c>
      <c r="M398" t="s">
        <v>1307</v>
      </c>
      <c r="N398" t="s">
        <v>1359</v>
      </c>
      <c r="O398">
        <v>10006061</v>
      </c>
      <c r="P398" s="108">
        <v>42514</v>
      </c>
      <c r="Q398" s="108">
        <v>42516</v>
      </c>
      <c r="R398" s="108">
        <v>42543</v>
      </c>
      <c r="S398" t="s">
        <v>153</v>
      </c>
      <c r="T398">
        <v>2</v>
      </c>
      <c r="U398" t="s">
        <v>123</v>
      </c>
      <c r="V398">
        <v>2</v>
      </c>
      <c r="W398">
        <v>2</v>
      </c>
      <c r="X398">
        <v>2</v>
      </c>
      <c r="Y398">
        <f>VLOOKUP(Table_clu7sql1_ssdb_REPORT_vw_IE_External_MI_SON[[#This Row],[URN]],[1]Data!$D$2:$BB$1084,31,)</f>
        <v>2</v>
      </c>
      <c r="Z398" t="s">
        <v>2596</v>
      </c>
      <c r="AA398" t="s">
        <v>2596</v>
      </c>
      <c r="AB398" t="s">
        <v>2598</v>
      </c>
      <c r="AC398" t="s">
        <v>2596</v>
      </c>
      <c r="AD398" t="s">
        <v>2596</v>
      </c>
      <c r="AE398" s="108" t="s">
        <v>2596</v>
      </c>
      <c r="AF398" t="s">
        <v>2596</v>
      </c>
      <c r="AG398" s="108" t="s">
        <v>2596</v>
      </c>
      <c r="AH398" t="s">
        <v>2596</v>
      </c>
    </row>
    <row r="399" spans="1:34" x14ac:dyDescent="0.25">
      <c r="A399" s="111" t="str">
        <f>HYPERLINK("http://www.ofsted.gov.uk/inspection-reports/find-inspection-report/provider/ELS/131975 ","Ofsted School Webpage")</f>
        <v>Ofsted School Webpage</v>
      </c>
      <c r="B399">
        <v>131975</v>
      </c>
      <c r="C399">
        <v>9336200</v>
      </c>
      <c r="D399" t="s">
        <v>1399</v>
      </c>
      <c r="E399" t="s">
        <v>37</v>
      </c>
      <c r="F399" t="s">
        <v>142</v>
      </c>
      <c r="G399" t="s">
        <v>142</v>
      </c>
      <c r="H399" t="s">
        <v>2595</v>
      </c>
      <c r="I399" t="s">
        <v>2596</v>
      </c>
      <c r="J399" t="s">
        <v>143</v>
      </c>
      <c r="K399" t="s">
        <v>182</v>
      </c>
      <c r="L399" t="s">
        <v>182</v>
      </c>
      <c r="M399" t="s">
        <v>219</v>
      </c>
      <c r="N399" t="s">
        <v>1400</v>
      </c>
      <c r="O399">
        <v>10026040</v>
      </c>
      <c r="P399" s="108">
        <v>42801</v>
      </c>
      <c r="Q399" s="108">
        <v>42803</v>
      </c>
      <c r="R399" s="108">
        <v>42850</v>
      </c>
      <c r="S399" t="s">
        <v>224</v>
      </c>
      <c r="T399">
        <v>2</v>
      </c>
      <c r="U399" t="s">
        <v>123</v>
      </c>
      <c r="V399">
        <v>2</v>
      </c>
      <c r="W399">
        <v>2</v>
      </c>
      <c r="X399">
        <v>2</v>
      </c>
      <c r="Y399">
        <f>VLOOKUP(Table_clu7sql1_ssdb_REPORT_vw_IE_External_MI_SON[[#This Row],[URN]],[1]Data!$D$2:$BB$1084,31,)</f>
        <v>2</v>
      </c>
      <c r="Z399" t="s">
        <v>2596</v>
      </c>
      <c r="AA399">
        <v>2</v>
      </c>
      <c r="AB399" t="s">
        <v>2598</v>
      </c>
      <c r="AC399" t="s">
        <v>2596</v>
      </c>
      <c r="AD399" t="s">
        <v>2596</v>
      </c>
      <c r="AE399" s="108" t="s">
        <v>2596</v>
      </c>
      <c r="AF399" t="s">
        <v>2596</v>
      </c>
      <c r="AG399" s="108" t="s">
        <v>2596</v>
      </c>
      <c r="AH399" t="s">
        <v>2596</v>
      </c>
    </row>
    <row r="400" spans="1:34" x14ac:dyDescent="0.25">
      <c r="A400" s="111" t="str">
        <f>HYPERLINK("http://www.ofsted.gov.uk/inspection-reports/find-inspection-report/provider/ELS/131976 ","Ofsted School Webpage")</f>
        <v>Ofsted School Webpage</v>
      </c>
      <c r="B400">
        <v>131976</v>
      </c>
      <c r="C400">
        <v>9366579</v>
      </c>
      <c r="D400" t="s">
        <v>1761</v>
      </c>
      <c r="E400" t="s">
        <v>37</v>
      </c>
      <c r="F400" t="s">
        <v>142</v>
      </c>
      <c r="G400" t="s">
        <v>397</v>
      </c>
      <c r="H400" t="s">
        <v>2595</v>
      </c>
      <c r="I400" t="s">
        <v>2596</v>
      </c>
      <c r="J400" t="s">
        <v>143</v>
      </c>
      <c r="K400" t="s">
        <v>139</v>
      </c>
      <c r="L400" t="s">
        <v>139</v>
      </c>
      <c r="M400" t="s">
        <v>535</v>
      </c>
      <c r="N400" t="s">
        <v>1762</v>
      </c>
      <c r="O400">
        <v>10020834</v>
      </c>
      <c r="P400" s="108">
        <v>42626</v>
      </c>
      <c r="Q400" s="108">
        <v>42628</v>
      </c>
      <c r="R400" s="108">
        <v>42654</v>
      </c>
      <c r="S400" t="s">
        <v>153</v>
      </c>
      <c r="T400">
        <v>1</v>
      </c>
      <c r="U400" t="s">
        <v>123</v>
      </c>
      <c r="V400">
        <v>1</v>
      </c>
      <c r="W400">
        <v>1</v>
      </c>
      <c r="X400">
        <v>1</v>
      </c>
      <c r="Y400">
        <f>VLOOKUP(Table_clu7sql1_ssdb_REPORT_vw_IE_External_MI_SON[[#This Row],[URN]],[1]Data!$D$2:$BB$1084,31,)</f>
        <v>1</v>
      </c>
      <c r="Z400" t="s">
        <v>2596</v>
      </c>
      <c r="AA400">
        <v>1</v>
      </c>
      <c r="AB400" t="s">
        <v>2598</v>
      </c>
      <c r="AC400" t="s">
        <v>2596</v>
      </c>
      <c r="AD400" t="s">
        <v>2596</v>
      </c>
      <c r="AE400" s="108" t="s">
        <v>2596</v>
      </c>
      <c r="AF400" t="s">
        <v>2596</v>
      </c>
      <c r="AG400" s="108" t="s">
        <v>2596</v>
      </c>
      <c r="AH400" t="s">
        <v>2596</v>
      </c>
    </row>
    <row r="401" spans="1:34" x14ac:dyDescent="0.25">
      <c r="A401" s="111" t="str">
        <f>HYPERLINK("http://www.ofsted.gov.uk/inspection-reports/find-inspection-report/provider/ELS/131978 ","Ofsted School Webpage")</f>
        <v>Ofsted School Webpage</v>
      </c>
      <c r="B401">
        <v>131978</v>
      </c>
      <c r="C401">
        <v>2026399</v>
      </c>
      <c r="D401" t="s">
        <v>1596</v>
      </c>
      <c r="E401" t="s">
        <v>36</v>
      </c>
      <c r="F401" t="s">
        <v>142</v>
      </c>
      <c r="G401" t="s">
        <v>142</v>
      </c>
      <c r="H401" t="s">
        <v>2595</v>
      </c>
      <c r="I401" t="s">
        <v>2596</v>
      </c>
      <c r="J401" t="s">
        <v>143</v>
      </c>
      <c r="K401" t="s">
        <v>189</v>
      </c>
      <c r="L401" t="s">
        <v>189</v>
      </c>
      <c r="M401" t="s">
        <v>491</v>
      </c>
      <c r="N401" t="s">
        <v>1597</v>
      </c>
      <c r="O401">
        <v>10035794</v>
      </c>
      <c r="P401" s="108">
        <v>43081</v>
      </c>
      <c r="Q401" s="108">
        <v>43083</v>
      </c>
      <c r="R401" s="108">
        <v>43122</v>
      </c>
      <c r="S401" t="s">
        <v>153</v>
      </c>
      <c r="T401">
        <v>2</v>
      </c>
      <c r="U401" t="s">
        <v>123</v>
      </c>
      <c r="V401">
        <v>2</v>
      </c>
      <c r="W401">
        <v>1</v>
      </c>
      <c r="X401">
        <v>2</v>
      </c>
      <c r="Y401">
        <f>VLOOKUP(Table_clu7sql1_ssdb_REPORT_vw_IE_External_MI_SON[[#This Row],[URN]],[1]Data!$D$2:$BB$1084,31,)</f>
        <v>2</v>
      </c>
      <c r="Z401">
        <v>2</v>
      </c>
      <c r="AA401" t="s">
        <v>2596</v>
      </c>
      <c r="AB401" t="s">
        <v>2598</v>
      </c>
      <c r="AC401" t="s">
        <v>2596</v>
      </c>
      <c r="AD401" t="s">
        <v>2596</v>
      </c>
      <c r="AE401" t="s">
        <v>2596</v>
      </c>
      <c r="AF401" t="s">
        <v>2596</v>
      </c>
      <c r="AG401" t="s">
        <v>2596</v>
      </c>
      <c r="AH401" t="s">
        <v>2596</v>
      </c>
    </row>
    <row r="402" spans="1:34" x14ac:dyDescent="0.25">
      <c r="A402" s="111" t="str">
        <f>HYPERLINK("http://www.ofsted.gov.uk/inspection-reports/find-inspection-report/provider/ELS/132003 ","Ofsted School Webpage")</f>
        <v>Ofsted School Webpage</v>
      </c>
      <c r="B402">
        <v>132003</v>
      </c>
      <c r="C402">
        <v>8696014</v>
      </c>
      <c r="D402" t="s">
        <v>551</v>
      </c>
      <c r="E402" t="s">
        <v>37</v>
      </c>
      <c r="F402" t="s">
        <v>142</v>
      </c>
      <c r="G402" t="s">
        <v>142</v>
      </c>
      <c r="H402" t="s">
        <v>2595</v>
      </c>
      <c r="I402" t="s">
        <v>2596</v>
      </c>
      <c r="J402" t="s">
        <v>143</v>
      </c>
      <c r="K402" t="s">
        <v>139</v>
      </c>
      <c r="L402" t="s">
        <v>139</v>
      </c>
      <c r="M402" t="s">
        <v>552</v>
      </c>
      <c r="N402" t="s">
        <v>553</v>
      </c>
      <c r="O402">
        <v>10020923</v>
      </c>
      <c r="P402" s="108">
        <v>43060</v>
      </c>
      <c r="Q402" s="108">
        <v>43062</v>
      </c>
      <c r="R402" s="108">
        <v>43117</v>
      </c>
      <c r="S402" t="s">
        <v>3005</v>
      </c>
      <c r="T402">
        <v>1</v>
      </c>
      <c r="U402" t="s">
        <v>123</v>
      </c>
      <c r="V402">
        <v>1</v>
      </c>
      <c r="W402">
        <v>1</v>
      </c>
      <c r="X402">
        <v>1</v>
      </c>
      <c r="Y402">
        <f>VLOOKUP(Table_clu7sql1_ssdb_REPORT_vw_IE_External_MI_SON[[#This Row],[URN]],[1]Data!$D$2:$BB$1084,31,)</f>
        <v>1</v>
      </c>
      <c r="Z402" t="s">
        <v>2596</v>
      </c>
      <c r="AA402">
        <v>1</v>
      </c>
      <c r="AB402" t="s">
        <v>2598</v>
      </c>
      <c r="AC402" t="s">
        <v>2596</v>
      </c>
      <c r="AD402" t="s">
        <v>2596</v>
      </c>
      <c r="AE402" t="s">
        <v>2596</v>
      </c>
      <c r="AF402" t="s">
        <v>2596</v>
      </c>
      <c r="AG402" t="s">
        <v>2596</v>
      </c>
      <c r="AH402" t="s">
        <v>2596</v>
      </c>
    </row>
    <row r="403" spans="1:34" x14ac:dyDescent="0.25">
      <c r="A403" s="111" t="str">
        <f>HYPERLINK("http://www.ofsted.gov.uk/inspection-reports/find-inspection-report/provider/ELS/132041 ","Ofsted School Webpage")</f>
        <v>Ofsted School Webpage</v>
      </c>
      <c r="B403">
        <v>132041</v>
      </c>
      <c r="C403">
        <v>2046405</v>
      </c>
      <c r="D403" t="s">
        <v>1682</v>
      </c>
      <c r="E403" t="s">
        <v>36</v>
      </c>
      <c r="F403" t="s">
        <v>142</v>
      </c>
      <c r="G403" t="s">
        <v>275</v>
      </c>
      <c r="H403" t="s">
        <v>2595</v>
      </c>
      <c r="I403" t="s">
        <v>2596</v>
      </c>
      <c r="J403" t="s">
        <v>143</v>
      </c>
      <c r="K403" t="s">
        <v>189</v>
      </c>
      <c r="L403" t="s">
        <v>189</v>
      </c>
      <c r="M403" t="s">
        <v>434</v>
      </c>
      <c r="N403" t="s">
        <v>1683</v>
      </c>
      <c r="O403" t="s">
        <v>1684</v>
      </c>
      <c r="P403" s="108">
        <v>41982</v>
      </c>
      <c r="Q403" s="108">
        <v>41984</v>
      </c>
      <c r="R403" s="108">
        <v>42055</v>
      </c>
      <c r="S403" t="s">
        <v>153</v>
      </c>
      <c r="T403">
        <v>4</v>
      </c>
      <c r="U403" t="s">
        <v>2596</v>
      </c>
      <c r="V403">
        <v>4</v>
      </c>
      <c r="W403" t="s">
        <v>2596</v>
      </c>
      <c r="X403">
        <v>4</v>
      </c>
      <c r="Y403">
        <f>VLOOKUP(Table_clu7sql1_ssdb_REPORT_vw_IE_External_MI_SON[[#This Row],[URN]],[1]Data!$D$2:$BB$1084,31,)</f>
        <v>4</v>
      </c>
      <c r="Z403">
        <v>3</v>
      </c>
      <c r="AA403">
        <v>9</v>
      </c>
      <c r="AB403" t="s">
        <v>2599</v>
      </c>
      <c r="AC403">
        <v>10026505</v>
      </c>
      <c r="AD403" t="s">
        <v>144</v>
      </c>
      <c r="AE403" s="108">
        <v>42752</v>
      </c>
      <c r="AF403" t="s">
        <v>2634</v>
      </c>
      <c r="AG403" s="108">
        <v>42773</v>
      </c>
      <c r="AH403" t="s">
        <v>174</v>
      </c>
    </row>
    <row r="404" spans="1:34" x14ac:dyDescent="0.25">
      <c r="A404" s="111" t="str">
        <f>HYPERLINK("http://www.ofsted.gov.uk/inspection-reports/find-inspection-report/provider/ELS/132068 ","Ofsted School Webpage")</f>
        <v>Ofsted School Webpage</v>
      </c>
      <c r="B404">
        <v>132068</v>
      </c>
      <c r="C404">
        <v>3046078</v>
      </c>
      <c r="D404" t="s">
        <v>701</v>
      </c>
      <c r="E404" t="s">
        <v>36</v>
      </c>
      <c r="F404" t="s">
        <v>142</v>
      </c>
      <c r="G404" t="s">
        <v>142</v>
      </c>
      <c r="H404" t="s">
        <v>2595</v>
      </c>
      <c r="I404" t="s">
        <v>2596</v>
      </c>
      <c r="J404" t="s">
        <v>143</v>
      </c>
      <c r="K404" t="s">
        <v>189</v>
      </c>
      <c r="L404" t="s">
        <v>189</v>
      </c>
      <c r="M404" t="s">
        <v>702</v>
      </c>
      <c r="N404" t="s">
        <v>703</v>
      </c>
      <c r="O404">
        <v>10020770</v>
      </c>
      <c r="P404" s="108">
        <v>42906</v>
      </c>
      <c r="Q404" s="108">
        <v>42907</v>
      </c>
      <c r="R404" s="108">
        <v>42930</v>
      </c>
      <c r="S404" t="s">
        <v>153</v>
      </c>
      <c r="T404">
        <v>3</v>
      </c>
      <c r="U404" t="s">
        <v>123</v>
      </c>
      <c r="V404">
        <v>3</v>
      </c>
      <c r="W404">
        <v>2</v>
      </c>
      <c r="X404">
        <v>3</v>
      </c>
      <c r="Y404">
        <f>VLOOKUP(Table_clu7sql1_ssdb_REPORT_vw_IE_External_MI_SON[[#This Row],[URN]],[1]Data!$D$2:$BB$1084,31,)</f>
        <v>3</v>
      </c>
      <c r="Z404" t="s">
        <v>2596</v>
      </c>
      <c r="AA404" t="s">
        <v>2596</v>
      </c>
      <c r="AB404" t="s">
        <v>2598</v>
      </c>
      <c r="AC404" t="s">
        <v>2596</v>
      </c>
      <c r="AD404" t="s">
        <v>2596</v>
      </c>
      <c r="AE404" t="s">
        <v>2596</v>
      </c>
      <c r="AF404" t="s">
        <v>2596</v>
      </c>
      <c r="AG404" t="s">
        <v>2596</v>
      </c>
      <c r="AH404" t="s">
        <v>2596</v>
      </c>
    </row>
    <row r="405" spans="1:34" x14ac:dyDescent="0.25">
      <c r="A405" s="111" t="str">
        <f>HYPERLINK("http://www.ofsted.gov.uk/inspection-reports/find-inspection-report/provider/ELS/132069 ","Ofsted School Webpage")</f>
        <v>Ofsted School Webpage</v>
      </c>
      <c r="B405">
        <v>132069</v>
      </c>
      <c r="C405">
        <v>9386258</v>
      </c>
      <c r="D405" t="s">
        <v>1013</v>
      </c>
      <c r="E405" t="s">
        <v>37</v>
      </c>
      <c r="F405" t="s">
        <v>142</v>
      </c>
      <c r="G405" t="s">
        <v>142</v>
      </c>
      <c r="H405" t="s">
        <v>2595</v>
      </c>
      <c r="I405" t="s">
        <v>2596</v>
      </c>
      <c r="J405" t="s">
        <v>143</v>
      </c>
      <c r="K405" t="s">
        <v>139</v>
      </c>
      <c r="L405" t="s">
        <v>139</v>
      </c>
      <c r="M405" t="s">
        <v>351</v>
      </c>
      <c r="N405" t="s">
        <v>1014</v>
      </c>
      <c r="O405">
        <v>10026017</v>
      </c>
      <c r="P405" s="108">
        <v>43067</v>
      </c>
      <c r="Q405" s="108">
        <v>43069</v>
      </c>
      <c r="R405" s="108">
        <v>43126</v>
      </c>
      <c r="S405" t="s">
        <v>3005</v>
      </c>
      <c r="T405">
        <v>1</v>
      </c>
      <c r="U405" t="s">
        <v>123</v>
      </c>
      <c r="V405">
        <v>1</v>
      </c>
      <c r="W405">
        <v>1</v>
      </c>
      <c r="X405">
        <v>1</v>
      </c>
      <c r="Y405">
        <f>VLOOKUP(Table_clu7sql1_ssdb_REPORT_vw_IE_External_MI_SON[[#This Row],[URN]],[1]Data!$D$2:$BB$1084,31,)</f>
        <v>1</v>
      </c>
      <c r="Z405" t="s">
        <v>2596</v>
      </c>
      <c r="AA405">
        <v>1</v>
      </c>
      <c r="AB405" t="s">
        <v>2598</v>
      </c>
      <c r="AC405" t="s">
        <v>2596</v>
      </c>
      <c r="AD405" t="s">
        <v>2596</v>
      </c>
      <c r="AE405" t="s">
        <v>2596</v>
      </c>
      <c r="AF405" t="s">
        <v>2596</v>
      </c>
      <c r="AG405" t="s">
        <v>2596</v>
      </c>
      <c r="AH405" t="s">
        <v>2596</v>
      </c>
    </row>
    <row r="406" spans="1:34" x14ac:dyDescent="0.25">
      <c r="A406" s="111" t="str">
        <f>HYPERLINK("http://www.ofsted.gov.uk/inspection-reports/find-inspection-report/provider/ELS/132079 ","Ofsted School Webpage")</f>
        <v>Ofsted School Webpage</v>
      </c>
      <c r="B406">
        <v>132079</v>
      </c>
      <c r="C406">
        <v>8886046</v>
      </c>
      <c r="D406" t="s">
        <v>531</v>
      </c>
      <c r="E406" t="s">
        <v>37</v>
      </c>
      <c r="F406" t="s">
        <v>142</v>
      </c>
      <c r="G406" t="s">
        <v>142</v>
      </c>
      <c r="H406" t="s">
        <v>2595</v>
      </c>
      <c r="I406" t="s">
        <v>2596</v>
      </c>
      <c r="J406" t="s">
        <v>143</v>
      </c>
      <c r="K406" t="s">
        <v>162</v>
      </c>
      <c r="L406" t="s">
        <v>162</v>
      </c>
      <c r="M406" t="s">
        <v>163</v>
      </c>
      <c r="N406" t="s">
        <v>532</v>
      </c>
      <c r="O406">
        <v>10020809</v>
      </c>
      <c r="P406" s="108">
        <v>42633</v>
      </c>
      <c r="Q406" s="108">
        <v>42635</v>
      </c>
      <c r="R406" s="108">
        <v>42661</v>
      </c>
      <c r="S406" t="s">
        <v>3005</v>
      </c>
      <c r="T406">
        <v>2</v>
      </c>
      <c r="U406" t="s">
        <v>123</v>
      </c>
      <c r="V406">
        <v>2</v>
      </c>
      <c r="W406">
        <v>2</v>
      </c>
      <c r="X406">
        <v>2</v>
      </c>
      <c r="Y406">
        <f>VLOOKUP(Table_clu7sql1_ssdb_REPORT_vw_IE_External_MI_SON[[#This Row],[URN]],[1]Data!$D$2:$BB$1084,31,)</f>
        <v>2</v>
      </c>
      <c r="Z406" t="s">
        <v>2596</v>
      </c>
      <c r="AA406" t="s">
        <v>2596</v>
      </c>
      <c r="AB406" t="s">
        <v>2598</v>
      </c>
      <c r="AC406" t="s">
        <v>2596</v>
      </c>
      <c r="AD406" t="s">
        <v>2596</v>
      </c>
      <c r="AE406" s="108" t="s">
        <v>2596</v>
      </c>
      <c r="AF406" t="s">
        <v>2596</v>
      </c>
      <c r="AG406" s="108" t="s">
        <v>2596</v>
      </c>
      <c r="AH406" t="s">
        <v>2596</v>
      </c>
    </row>
    <row r="407" spans="1:34" x14ac:dyDescent="0.25">
      <c r="A407" s="111" t="str">
        <f>HYPERLINK("http://www.ofsted.gov.uk/inspection-reports/find-inspection-report/provider/ELS/132097 ","Ofsted School Webpage")</f>
        <v>Ofsted School Webpage</v>
      </c>
      <c r="B407">
        <v>132097</v>
      </c>
      <c r="C407">
        <v>8876006</v>
      </c>
      <c r="D407" t="s">
        <v>1770</v>
      </c>
      <c r="E407" t="s">
        <v>37</v>
      </c>
      <c r="F407" t="s">
        <v>142</v>
      </c>
      <c r="G407" t="s">
        <v>142</v>
      </c>
      <c r="H407" t="s">
        <v>2595</v>
      </c>
      <c r="I407" t="s">
        <v>2596</v>
      </c>
      <c r="J407" t="s">
        <v>143</v>
      </c>
      <c r="K407" t="s">
        <v>139</v>
      </c>
      <c r="L407" t="s">
        <v>139</v>
      </c>
      <c r="M407" t="s">
        <v>229</v>
      </c>
      <c r="N407" t="s">
        <v>1771</v>
      </c>
      <c r="O407">
        <v>10026020</v>
      </c>
      <c r="P407" s="108">
        <v>42899</v>
      </c>
      <c r="Q407" s="108">
        <v>42901</v>
      </c>
      <c r="R407" s="108">
        <v>42928</v>
      </c>
      <c r="S407" t="s">
        <v>153</v>
      </c>
      <c r="T407">
        <v>2</v>
      </c>
      <c r="U407" t="s">
        <v>123</v>
      </c>
      <c r="V407">
        <v>2</v>
      </c>
      <c r="W407">
        <v>1</v>
      </c>
      <c r="X407">
        <v>2</v>
      </c>
      <c r="Y407">
        <f>VLOOKUP(Table_clu7sql1_ssdb_REPORT_vw_IE_External_MI_SON[[#This Row],[URN]],[1]Data!$D$2:$BB$1084,31,)</f>
        <v>2</v>
      </c>
      <c r="Z407" t="s">
        <v>2596</v>
      </c>
      <c r="AA407">
        <v>2</v>
      </c>
      <c r="AB407" t="s">
        <v>2598</v>
      </c>
      <c r="AC407" t="s">
        <v>2596</v>
      </c>
      <c r="AD407" t="s">
        <v>2596</v>
      </c>
      <c r="AE407" t="s">
        <v>2596</v>
      </c>
      <c r="AF407" t="s">
        <v>2596</v>
      </c>
      <c r="AG407" t="s">
        <v>2596</v>
      </c>
      <c r="AH407" t="s">
        <v>2596</v>
      </c>
    </row>
    <row r="408" spans="1:34" x14ac:dyDescent="0.25">
      <c r="A408" s="111" t="str">
        <f>HYPERLINK("http://www.ofsted.gov.uk/inspection-reports/find-inspection-report/provider/ELS/132099 ","Ofsted School Webpage")</f>
        <v>Ofsted School Webpage</v>
      </c>
      <c r="B408">
        <v>132099</v>
      </c>
      <c r="C408">
        <v>3826021</v>
      </c>
      <c r="D408" t="s">
        <v>2026</v>
      </c>
      <c r="E408" t="s">
        <v>36</v>
      </c>
      <c r="F408" t="s">
        <v>142</v>
      </c>
      <c r="G408" t="s">
        <v>180</v>
      </c>
      <c r="H408" t="s">
        <v>2595</v>
      </c>
      <c r="I408" t="s">
        <v>2596</v>
      </c>
      <c r="J408" t="s">
        <v>143</v>
      </c>
      <c r="K408" t="s">
        <v>202</v>
      </c>
      <c r="L408" t="s">
        <v>203</v>
      </c>
      <c r="M408" t="s">
        <v>720</v>
      </c>
      <c r="N408" t="s">
        <v>2027</v>
      </c>
      <c r="O408">
        <v>10007703</v>
      </c>
      <c r="P408" s="108">
        <v>42395</v>
      </c>
      <c r="Q408" s="108">
        <v>42397</v>
      </c>
      <c r="R408" s="108">
        <v>42444</v>
      </c>
      <c r="S408" t="s">
        <v>153</v>
      </c>
      <c r="T408">
        <v>2</v>
      </c>
      <c r="U408" t="s">
        <v>123</v>
      </c>
      <c r="V408">
        <v>2</v>
      </c>
      <c r="W408">
        <v>2</v>
      </c>
      <c r="X408">
        <v>2</v>
      </c>
      <c r="Y408">
        <f>VLOOKUP(Table_clu7sql1_ssdb_REPORT_vw_IE_External_MI_SON[[#This Row],[URN]],[1]Data!$D$2:$BB$1084,31,)</f>
        <v>2</v>
      </c>
      <c r="Z408">
        <v>2</v>
      </c>
      <c r="AA408" t="s">
        <v>2596</v>
      </c>
      <c r="AB408" t="s">
        <v>2598</v>
      </c>
      <c r="AC408" t="s">
        <v>2596</v>
      </c>
      <c r="AD408" t="s">
        <v>2596</v>
      </c>
      <c r="AE408" t="s">
        <v>2596</v>
      </c>
      <c r="AF408" t="s">
        <v>2596</v>
      </c>
      <c r="AG408" t="s">
        <v>2596</v>
      </c>
      <c r="AH408" t="s">
        <v>2596</v>
      </c>
    </row>
    <row r="409" spans="1:34" x14ac:dyDescent="0.25">
      <c r="A409" s="111" t="str">
        <f>HYPERLINK("http://www.ofsted.gov.uk/inspection-reports/find-inspection-report/provider/ELS/132112 ","Ofsted School Webpage")</f>
        <v>Ofsted School Webpage</v>
      </c>
      <c r="B409">
        <v>132112</v>
      </c>
      <c r="C409">
        <v>9096050</v>
      </c>
      <c r="D409" t="s">
        <v>822</v>
      </c>
      <c r="E409" t="s">
        <v>37</v>
      </c>
      <c r="F409" t="s">
        <v>142</v>
      </c>
      <c r="G409" t="s">
        <v>142</v>
      </c>
      <c r="H409" t="s">
        <v>2595</v>
      </c>
      <c r="I409" t="s">
        <v>2596</v>
      </c>
      <c r="J409" t="s">
        <v>143</v>
      </c>
      <c r="K409" t="s">
        <v>162</v>
      </c>
      <c r="L409" t="s">
        <v>162</v>
      </c>
      <c r="M409" t="s">
        <v>895</v>
      </c>
      <c r="N409" t="s">
        <v>896</v>
      </c>
      <c r="O409">
        <v>10020789</v>
      </c>
      <c r="P409" s="108">
        <v>42717</v>
      </c>
      <c r="Q409" s="108">
        <v>42718</v>
      </c>
      <c r="R409" s="108">
        <v>42753</v>
      </c>
      <c r="S409" t="s">
        <v>153</v>
      </c>
      <c r="T409">
        <v>2</v>
      </c>
      <c r="U409" t="s">
        <v>123</v>
      </c>
      <c r="V409">
        <v>2</v>
      </c>
      <c r="W409">
        <v>2</v>
      </c>
      <c r="X409">
        <v>2</v>
      </c>
      <c r="Y409">
        <f>VLOOKUP(Table_clu7sql1_ssdb_REPORT_vw_IE_External_MI_SON[[#This Row],[URN]],[1]Data!$D$2:$BB$1084,31,)</f>
        <v>2</v>
      </c>
      <c r="Z409" t="s">
        <v>2596</v>
      </c>
      <c r="AA409" t="s">
        <v>2596</v>
      </c>
      <c r="AB409" t="s">
        <v>2598</v>
      </c>
      <c r="AC409" t="s">
        <v>2596</v>
      </c>
      <c r="AD409" t="s">
        <v>2596</v>
      </c>
      <c r="AE409" s="108" t="s">
        <v>2596</v>
      </c>
      <c r="AF409" t="s">
        <v>2596</v>
      </c>
      <c r="AG409" s="108" t="s">
        <v>2596</v>
      </c>
      <c r="AH409" t="s">
        <v>2596</v>
      </c>
    </row>
    <row r="410" spans="1:34" x14ac:dyDescent="0.25">
      <c r="A410" s="111" t="str">
        <f>HYPERLINK("http://www.ofsted.gov.uk/inspection-reports/find-inspection-report/provider/ELS/132119 ","Ofsted School Webpage")</f>
        <v>Ofsted School Webpage</v>
      </c>
      <c r="B410">
        <v>132119</v>
      </c>
      <c r="C410">
        <v>3416046</v>
      </c>
      <c r="D410" t="s">
        <v>609</v>
      </c>
      <c r="E410" t="s">
        <v>36</v>
      </c>
      <c r="F410" t="s">
        <v>142</v>
      </c>
      <c r="G410" t="s">
        <v>610</v>
      </c>
      <c r="H410" t="s">
        <v>2595</v>
      </c>
      <c r="I410" t="s">
        <v>2596</v>
      </c>
      <c r="J410" t="s">
        <v>143</v>
      </c>
      <c r="K410" t="s">
        <v>162</v>
      </c>
      <c r="L410" t="s">
        <v>162</v>
      </c>
      <c r="M410" t="s">
        <v>611</v>
      </c>
      <c r="N410" t="s">
        <v>612</v>
      </c>
      <c r="O410">
        <v>10020911</v>
      </c>
      <c r="P410" s="108">
        <v>42675</v>
      </c>
      <c r="Q410" s="108">
        <v>42677</v>
      </c>
      <c r="R410" s="108">
        <v>42741</v>
      </c>
      <c r="S410" t="s">
        <v>153</v>
      </c>
      <c r="T410">
        <v>2</v>
      </c>
      <c r="U410" t="s">
        <v>123</v>
      </c>
      <c r="V410">
        <v>1</v>
      </c>
      <c r="W410">
        <v>1</v>
      </c>
      <c r="X410">
        <v>2</v>
      </c>
      <c r="Y410">
        <f>VLOOKUP(Table_clu7sql1_ssdb_REPORT_vw_IE_External_MI_SON[[#This Row],[URN]],[1]Data!$D$2:$BB$1084,31,)</f>
        <v>2</v>
      </c>
      <c r="Z410">
        <v>2</v>
      </c>
      <c r="AA410" t="s">
        <v>2596</v>
      </c>
      <c r="AB410" t="s">
        <v>2598</v>
      </c>
      <c r="AC410" t="s">
        <v>2596</v>
      </c>
      <c r="AD410" t="s">
        <v>2596</v>
      </c>
      <c r="AE410" s="108" t="s">
        <v>2596</v>
      </c>
      <c r="AF410" t="s">
        <v>2596</v>
      </c>
      <c r="AG410" s="108" t="s">
        <v>2596</v>
      </c>
      <c r="AH410" t="s">
        <v>2596</v>
      </c>
    </row>
    <row r="411" spans="1:34" x14ac:dyDescent="0.25">
      <c r="A411" s="111" t="str">
        <f>HYPERLINK("http://www.ofsted.gov.uk/inspection-reports/find-inspection-report/provider/ELS/132120 ","Ofsted School Webpage")</f>
        <v>Ofsted School Webpage</v>
      </c>
      <c r="B411">
        <v>132120</v>
      </c>
      <c r="C411">
        <v>8306024</v>
      </c>
      <c r="D411" t="s">
        <v>1151</v>
      </c>
      <c r="E411" t="s">
        <v>37</v>
      </c>
      <c r="F411" t="s">
        <v>142</v>
      </c>
      <c r="G411" t="s">
        <v>142</v>
      </c>
      <c r="H411" t="s">
        <v>2595</v>
      </c>
      <c r="I411" t="s">
        <v>2596</v>
      </c>
      <c r="J411" t="s">
        <v>143</v>
      </c>
      <c r="K411" t="s">
        <v>171</v>
      </c>
      <c r="L411" t="s">
        <v>171</v>
      </c>
      <c r="M411" t="s">
        <v>320</v>
      </c>
      <c r="N411" t="s">
        <v>1152</v>
      </c>
      <c r="O411" t="s">
        <v>1153</v>
      </c>
      <c r="P411" s="108">
        <v>42165</v>
      </c>
      <c r="Q411" s="108">
        <v>42167</v>
      </c>
      <c r="R411" s="108">
        <v>42193</v>
      </c>
      <c r="S411" t="s">
        <v>3005</v>
      </c>
      <c r="T411">
        <v>2</v>
      </c>
      <c r="U411" t="s">
        <v>2596</v>
      </c>
      <c r="V411">
        <v>2</v>
      </c>
      <c r="W411" t="s">
        <v>2596</v>
      </c>
      <c r="X411">
        <v>2</v>
      </c>
      <c r="Y411">
        <f>VLOOKUP(Table_clu7sql1_ssdb_REPORT_vw_IE_External_MI_SON[[#This Row],[URN]],[1]Data!$D$2:$BB$1084,31,)</f>
        <v>2</v>
      </c>
      <c r="Z411">
        <v>9</v>
      </c>
      <c r="AA411">
        <v>2</v>
      </c>
      <c r="AB411" t="s">
        <v>2598</v>
      </c>
      <c r="AC411" t="s">
        <v>2596</v>
      </c>
      <c r="AD411" t="s">
        <v>2596</v>
      </c>
      <c r="AE411" t="s">
        <v>2596</v>
      </c>
      <c r="AF411" t="s">
        <v>2596</v>
      </c>
      <c r="AG411" t="s">
        <v>2596</v>
      </c>
      <c r="AH411" t="s">
        <v>2596</v>
      </c>
    </row>
    <row r="412" spans="1:34" x14ac:dyDescent="0.25">
      <c r="A412" s="111" t="str">
        <f>HYPERLINK("http://www.ofsted.gov.uk/inspection-reports/find-inspection-report/provider/ELS/132190 ","Ofsted School Webpage")</f>
        <v>Ofsted School Webpage</v>
      </c>
      <c r="B412">
        <v>132190</v>
      </c>
      <c r="C412">
        <v>8926013</v>
      </c>
      <c r="D412" t="s">
        <v>1624</v>
      </c>
      <c r="E412" t="s">
        <v>36</v>
      </c>
      <c r="F412" t="s">
        <v>142</v>
      </c>
      <c r="G412" t="s">
        <v>180</v>
      </c>
      <c r="H412" t="s">
        <v>2595</v>
      </c>
      <c r="I412" t="s">
        <v>2596</v>
      </c>
      <c r="J412" t="s">
        <v>143</v>
      </c>
      <c r="K412" t="s">
        <v>171</v>
      </c>
      <c r="L412" t="s">
        <v>171</v>
      </c>
      <c r="M412" t="s">
        <v>244</v>
      </c>
      <c r="N412" t="s">
        <v>1625</v>
      </c>
      <c r="O412">
        <v>10033530</v>
      </c>
      <c r="P412" s="108">
        <v>42920</v>
      </c>
      <c r="Q412" s="108">
        <v>42922</v>
      </c>
      <c r="R412" s="108">
        <v>43041</v>
      </c>
      <c r="S412" t="s">
        <v>153</v>
      </c>
      <c r="T412">
        <v>4</v>
      </c>
      <c r="U412" t="s">
        <v>124</v>
      </c>
      <c r="V412">
        <v>4</v>
      </c>
      <c r="W412">
        <v>4</v>
      </c>
      <c r="X412">
        <v>3</v>
      </c>
      <c r="Y412">
        <f>VLOOKUP(Table_clu7sql1_ssdb_REPORT_vw_IE_External_MI_SON[[#This Row],[URN]],[1]Data!$D$2:$BB$1084,31,)</f>
        <v>3</v>
      </c>
      <c r="Z412" t="s">
        <v>2596</v>
      </c>
      <c r="AA412" t="s">
        <v>2596</v>
      </c>
      <c r="AB412" t="s">
        <v>2599</v>
      </c>
      <c r="AC412" t="s">
        <v>2596</v>
      </c>
      <c r="AD412" t="s">
        <v>2596</v>
      </c>
      <c r="AE412" s="108" t="s">
        <v>2596</v>
      </c>
      <c r="AF412" t="s">
        <v>2596</v>
      </c>
      <c r="AG412" s="108" t="s">
        <v>2596</v>
      </c>
      <c r="AH412" t="s">
        <v>2596</v>
      </c>
    </row>
    <row r="413" spans="1:34" x14ac:dyDescent="0.25">
      <c r="A413" s="111" t="str">
        <f>HYPERLINK("http://www.ofsted.gov.uk/inspection-reports/find-inspection-report/provider/ELS/132732 ","Ofsted School Webpage")</f>
        <v>Ofsted School Webpage</v>
      </c>
      <c r="B413">
        <v>132732</v>
      </c>
      <c r="C413">
        <v>3826026</v>
      </c>
      <c r="D413" t="s">
        <v>1610</v>
      </c>
      <c r="E413" t="s">
        <v>36</v>
      </c>
      <c r="F413" t="s">
        <v>142</v>
      </c>
      <c r="G413" t="s">
        <v>142</v>
      </c>
      <c r="H413" t="s">
        <v>2595</v>
      </c>
      <c r="I413" t="s">
        <v>2596</v>
      </c>
      <c r="J413" t="s">
        <v>143</v>
      </c>
      <c r="K413" t="s">
        <v>202</v>
      </c>
      <c r="L413" t="s">
        <v>203</v>
      </c>
      <c r="M413" t="s">
        <v>720</v>
      </c>
      <c r="N413" t="s">
        <v>1611</v>
      </c>
      <c r="O413">
        <v>10008574</v>
      </c>
      <c r="P413" s="108">
        <v>42430</v>
      </c>
      <c r="Q413" s="108">
        <v>42432</v>
      </c>
      <c r="R413" s="108">
        <v>42459</v>
      </c>
      <c r="S413" t="s">
        <v>153</v>
      </c>
      <c r="T413">
        <v>2</v>
      </c>
      <c r="U413" t="s">
        <v>123</v>
      </c>
      <c r="V413">
        <v>2</v>
      </c>
      <c r="W413">
        <v>2</v>
      </c>
      <c r="X413">
        <v>2</v>
      </c>
      <c r="Y413">
        <f>VLOOKUP(Table_clu7sql1_ssdb_REPORT_vw_IE_External_MI_SON[[#This Row],[URN]],[1]Data!$D$2:$BB$1084,31,)</f>
        <v>2</v>
      </c>
      <c r="Z413" t="s">
        <v>2596</v>
      </c>
      <c r="AA413" t="s">
        <v>2596</v>
      </c>
      <c r="AB413" t="s">
        <v>2598</v>
      </c>
      <c r="AC413" t="s">
        <v>2596</v>
      </c>
      <c r="AD413" t="s">
        <v>2596</v>
      </c>
      <c r="AE413" t="s">
        <v>2596</v>
      </c>
      <c r="AF413" t="s">
        <v>2596</v>
      </c>
      <c r="AG413" t="s">
        <v>2596</v>
      </c>
      <c r="AH413" t="s">
        <v>2596</v>
      </c>
    </row>
    <row r="414" spans="1:34" x14ac:dyDescent="0.25">
      <c r="A414" s="111" t="str">
        <f>HYPERLINK("http://www.ofsted.gov.uk/inspection-reports/find-inspection-report/provider/ELS/132735 ","Ofsted School Webpage")</f>
        <v>Ofsted School Webpage</v>
      </c>
      <c r="B414">
        <v>132735</v>
      </c>
      <c r="C414">
        <v>8606024</v>
      </c>
      <c r="D414" t="s">
        <v>284</v>
      </c>
      <c r="E414" t="s">
        <v>37</v>
      </c>
      <c r="F414" t="s">
        <v>142</v>
      </c>
      <c r="G414" t="s">
        <v>142</v>
      </c>
      <c r="H414" t="s">
        <v>2595</v>
      </c>
      <c r="I414" t="s">
        <v>2596</v>
      </c>
      <c r="J414" t="s">
        <v>143</v>
      </c>
      <c r="K414" t="s">
        <v>150</v>
      </c>
      <c r="L414" t="s">
        <v>150</v>
      </c>
      <c r="M414" t="s">
        <v>271</v>
      </c>
      <c r="N414" t="s">
        <v>285</v>
      </c>
      <c r="O414">
        <v>10040663</v>
      </c>
      <c r="P414" s="108">
        <v>43018</v>
      </c>
      <c r="Q414" s="108">
        <v>43020</v>
      </c>
      <c r="R414" s="108">
        <v>43048</v>
      </c>
      <c r="S414" t="s">
        <v>153</v>
      </c>
      <c r="T414">
        <v>3</v>
      </c>
      <c r="U414" t="s">
        <v>123</v>
      </c>
      <c r="V414">
        <v>3</v>
      </c>
      <c r="W414">
        <v>2</v>
      </c>
      <c r="X414">
        <v>3</v>
      </c>
      <c r="Y414">
        <f>VLOOKUP(Table_clu7sql1_ssdb_REPORT_vw_IE_External_MI_SON[[#This Row],[URN]],[1]Data!$D$2:$BB$1084,31,)</f>
        <v>3</v>
      </c>
      <c r="Z414" t="s">
        <v>2596</v>
      </c>
      <c r="AA414">
        <v>3</v>
      </c>
      <c r="AB414" t="s">
        <v>2598</v>
      </c>
      <c r="AC414" t="s">
        <v>2596</v>
      </c>
      <c r="AD414" t="s">
        <v>2596</v>
      </c>
      <c r="AE414" t="s">
        <v>2596</v>
      </c>
      <c r="AF414" t="s">
        <v>2596</v>
      </c>
      <c r="AG414" t="s">
        <v>2596</v>
      </c>
      <c r="AH414" t="s">
        <v>2596</v>
      </c>
    </row>
    <row r="415" spans="1:34" x14ac:dyDescent="0.25">
      <c r="A415" s="111" t="str">
        <f>HYPERLINK("http://www.ofsted.gov.uk/inspection-reports/find-inspection-report/provider/ELS/132736 ","Ofsted School Webpage")</f>
        <v>Ofsted School Webpage</v>
      </c>
      <c r="B415">
        <v>132736</v>
      </c>
      <c r="C415">
        <v>2046407</v>
      </c>
      <c r="D415" t="s">
        <v>1991</v>
      </c>
      <c r="E415" t="s">
        <v>36</v>
      </c>
      <c r="F415" t="s">
        <v>142</v>
      </c>
      <c r="G415" t="s">
        <v>180</v>
      </c>
      <c r="H415" t="s">
        <v>2595</v>
      </c>
      <c r="I415" t="s">
        <v>2596</v>
      </c>
      <c r="J415" t="s">
        <v>143</v>
      </c>
      <c r="K415" t="s">
        <v>189</v>
      </c>
      <c r="L415" t="s">
        <v>189</v>
      </c>
      <c r="M415" t="s">
        <v>434</v>
      </c>
      <c r="N415" t="s">
        <v>1992</v>
      </c>
      <c r="O415" t="s">
        <v>1993</v>
      </c>
      <c r="P415" s="108">
        <v>41968</v>
      </c>
      <c r="Q415" s="108">
        <v>41970</v>
      </c>
      <c r="R415" s="108">
        <v>42044</v>
      </c>
      <c r="S415" t="s">
        <v>153</v>
      </c>
      <c r="T415">
        <v>2</v>
      </c>
      <c r="U415" t="s">
        <v>2596</v>
      </c>
      <c r="V415">
        <v>1</v>
      </c>
      <c r="W415" t="s">
        <v>2596</v>
      </c>
      <c r="X415">
        <v>2</v>
      </c>
      <c r="Y415">
        <f>VLOOKUP(Table_clu7sql1_ssdb_REPORT_vw_IE_External_MI_SON[[#This Row],[URN]],[1]Data!$D$2:$BB$1084,31,)</f>
        <v>1</v>
      </c>
      <c r="Z415">
        <v>9</v>
      </c>
      <c r="AA415">
        <v>9</v>
      </c>
      <c r="AB415" t="s">
        <v>2598</v>
      </c>
      <c r="AC415" t="s">
        <v>2596</v>
      </c>
      <c r="AD415" t="s">
        <v>2596</v>
      </c>
      <c r="AE415" t="s">
        <v>2596</v>
      </c>
      <c r="AF415" t="s">
        <v>2596</v>
      </c>
      <c r="AG415" t="s">
        <v>2596</v>
      </c>
      <c r="AH415" t="s">
        <v>2596</v>
      </c>
    </row>
    <row r="416" spans="1:34" x14ac:dyDescent="0.25">
      <c r="A416" s="111" t="str">
        <f>HYPERLINK("http://www.ofsted.gov.uk/inspection-reports/find-inspection-report/provider/ELS/132738 ","Ofsted School Webpage")</f>
        <v>Ofsted School Webpage</v>
      </c>
      <c r="B416">
        <v>132738</v>
      </c>
      <c r="C416">
        <v>8886047</v>
      </c>
      <c r="D416" t="s">
        <v>1694</v>
      </c>
      <c r="E416" t="s">
        <v>36</v>
      </c>
      <c r="F416" t="s">
        <v>261</v>
      </c>
      <c r="G416" t="s">
        <v>180</v>
      </c>
      <c r="H416" t="s">
        <v>2595</v>
      </c>
      <c r="I416" t="s">
        <v>2596</v>
      </c>
      <c r="J416" t="s">
        <v>143</v>
      </c>
      <c r="K416" t="s">
        <v>162</v>
      </c>
      <c r="L416" t="s">
        <v>162</v>
      </c>
      <c r="M416" t="s">
        <v>163</v>
      </c>
      <c r="N416" t="s">
        <v>1695</v>
      </c>
      <c r="O416">
        <v>10007709</v>
      </c>
      <c r="P416" s="108">
        <v>42745</v>
      </c>
      <c r="Q416" s="108">
        <v>42747</v>
      </c>
      <c r="R416" s="108">
        <v>42768</v>
      </c>
      <c r="S416" t="s">
        <v>153</v>
      </c>
      <c r="T416">
        <v>2</v>
      </c>
      <c r="U416" t="s">
        <v>123</v>
      </c>
      <c r="V416">
        <v>2</v>
      </c>
      <c r="W416">
        <v>1</v>
      </c>
      <c r="X416">
        <v>2</v>
      </c>
      <c r="Y416">
        <f>VLOOKUP(Table_clu7sql1_ssdb_REPORT_vw_IE_External_MI_SON[[#This Row],[URN]],[1]Data!$D$2:$BB$1084,31,)</f>
        <v>2</v>
      </c>
      <c r="Z416">
        <v>2</v>
      </c>
      <c r="AA416" t="s">
        <v>2596</v>
      </c>
      <c r="AB416" t="s">
        <v>2598</v>
      </c>
      <c r="AC416" t="s">
        <v>2596</v>
      </c>
      <c r="AD416" t="s">
        <v>2596</v>
      </c>
      <c r="AE416" t="s">
        <v>2596</v>
      </c>
      <c r="AF416" t="s">
        <v>2596</v>
      </c>
      <c r="AG416" t="s">
        <v>2596</v>
      </c>
      <c r="AH416" t="s">
        <v>2596</v>
      </c>
    </row>
    <row r="417" spans="1:34" x14ac:dyDescent="0.25">
      <c r="A417" s="111" t="str">
        <f>HYPERLINK("http://www.ofsted.gov.uk/inspection-reports/find-inspection-report/provider/ELS/132743 ","Ofsted School Webpage")</f>
        <v>Ofsted School Webpage</v>
      </c>
      <c r="B417">
        <v>132743</v>
      </c>
      <c r="C417">
        <v>3306101</v>
      </c>
      <c r="D417" t="s">
        <v>1509</v>
      </c>
      <c r="E417" t="s">
        <v>37</v>
      </c>
      <c r="F417" t="s">
        <v>142</v>
      </c>
      <c r="G417" t="s">
        <v>142</v>
      </c>
      <c r="H417" t="s">
        <v>2595</v>
      </c>
      <c r="I417" t="s">
        <v>2596</v>
      </c>
      <c r="J417" t="s">
        <v>143</v>
      </c>
      <c r="K417" t="s">
        <v>150</v>
      </c>
      <c r="L417" t="s">
        <v>150</v>
      </c>
      <c r="M417" t="s">
        <v>167</v>
      </c>
      <c r="N417" t="s">
        <v>1510</v>
      </c>
      <c r="O417">
        <v>10008601</v>
      </c>
      <c r="P417" s="108">
        <v>42494</v>
      </c>
      <c r="Q417" s="108">
        <v>42496</v>
      </c>
      <c r="R417" s="108">
        <v>42542</v>
      </c>
      <c r="S417" t="s">
        <v>153</v>
      </c>
      <c r="T417">
        <v>2</v>
      </c>
      <c r="U417" t="s">
        <v>123</v>
      </c>
      <c r="V417">
        <v>2</v>
      </c>
      <c r="W417">
        <v>2</v>
      </c>
      <c r="X417">
        <v>2</v>
      </c>
      <c r="Y417">
        <f>VLOOKUP(Table_clu7sql1_ssdb_REPORT_vw_IE_External_MI_SON[[#This Row],[URN]],[1]Data!$D$2:$BB$1084,31,)</f>
        <v>2</v>
      </c>
      <c r="Z417" t="s">
        <v>2596</v>
      </c>
      <c r="AA417" t="s">
        <v>2596</v>
      </c>
      <c r="AB417" t="s">
        <v>2598</v>
      </c>
      <c r="AC417" t="s">
        <v>2596</v>
      </c>
      <c r="AD417" t="s">
        <v>2596</v>
      </c>
      <c r="AE417" t="s">
        <v>2596</v>
      </c>
      <c r="AF417" t="s">
        <v>2596</v>
      </c>
      <c r="AG417" t="s">
        <v>2596</v>
      </c>
      <c r="AH417" t="s">
        <v>2596</v>
      </c>
    </row>
    <row r="418" spans="1:34" x14ac:dyDescent="0.25">
      <c r="A418" s="111" t="str">
        <f>HYPERLINK("http://www.ofsted.gov.uk/inspection-reports/find-inspection-report/provider/ELS/132749 ","Ofsted School Webpage")</f>
        <v>Ofsted School Webpage</v>
      </c>
      <c r="B418">
        <v>132749</v>
      </c>
      <c r="C418">
        <v>8896007</v>
      </c>
      <c r="D418" t="s">
        <v>1702</v>
      </c>
      <c r="E418" t="s">
        <v>36</v>
      </c>
      <c r="F418" t="s">
        <v>261</v>
      </c>
      <c r="G418" t="s">
        <v>180</v>
      </c>
      <c r="H418" t="s">
        <v>2595</v>
      </c>
      <c r="I418" t="s">
        <v>2596</v>
      </c>
      <c r="J418" t="s">
        <v>143</v>
      </c>
      <c r="K418" t="s">
        <v>162</v>
      </c>
      <c r="L418" t="s">
        <v>162</v>
      </c>
      <c r="M418" t="s">
        <v>440</v>
      </c>
      <c r="N418" t="s">
        <v>1703</v>
      </c>
      <c r="O418" t="s">
        <v>1704</v>
      </c>
      <c r="P418" s="108">
        <v>41961</v>
      </c>
      <c r="Q418" s="108">
        <v>41963</v>
      </c>
      <c r="R418" s="108">
        <v>41985</v>
      </c>
      <c r="S418" t="s">
        <v>153</v>
      </c>
      <c r="T418">
        <v>2</v>
      </c>
      <c r="U418" t="s">
        <v>2596</v>
      </c>
      <c r="V418">
        <v>1</v>
      </c>
      <c r="W418" t="s">
        <v>2596</v>
      </c>
      <c r="X418">
        <v>2</v>
      </c>
      <c r="Y418">
        <f>VLOOKUP(Table_clu7sql1_ssdb_REPORT_vw_IE_External_MI_SON[[#This Row],[URN]],[1]Data!$D$2:$BB$1084,31,)</f>
        <v>2</v>
      </c>
      <c r="Z418">
        <v>9</v>
      </c>
      <c r="AA418">
        <v>9</v>
      </c>
      <c r="AB418" t="s">
        <v>2598</v>
      </c>
      <c r="AC418" t="s">
        <v>2596</v>
      </c>
      <c r="AD418" t="s">
        <v>2596</v>
      </c>
      <c r="AE418" t="s">
        <v>2596</v>
      </c>
      <c r="AF418" t="s">
        <v>2596</v>
      </c>
      <c r="AG418" t="s">
        <v>2596</v>
      </c>
      <c r="AH418" t="s">
        <v>2596</v>
      </c>
    </row>
    <row r="419" spans="1:34" x14ac:dyDescent="0.25">
      <c r="A419" s="111" t="str">
        <f>HYPERLINK("http://www.ofsted.gov.uk/inspection-reports/find-inspection-report/provider/ELS/132750 ","Ofsted School Webpage")</f>
        <v>Ofsted School Webpage</v>
      </c>
      <c r="B419">
        <v>132750</v>
      </c>
      <c r="C419">
        <v>3356010</v>
      </c>
      <c r="D419" t="s">
        <v>1519</v>
      </c>
      <c r="E419" t="s">
        <v>36</v>
      </c>
      <c r="F419" t="s">
        <v>142</v>
      </c>
      <c r="G419" t="s">
        <v>180</v>
      </c>
      <c r="H419" t="s">
        <v>2595</v>
      </c>
      <c r="I419" t="s">
        <v>2596</v>
      </c>
      <c r="J419" t="s">
        <v>143</v>
      </c>
      <c r="K419" t="s">
        <v>150</v>
      </c>
      <c r="L419" t="s">
        <v>150</v>
      </c>
      <c r="M419" t="s">
        <v>1452</v>
      </c>
      <c r="N419" t="s">
        <v>1520</v>
      </c>
      <c r="O419">
        <v>10038830</v>
      </c>
      <c r="P419" s="108">
        <v>43116</v>
      </c>
      <c r="Q419" s="108">
        <v>43118</v>
      </c>
      <c r="R419" s="108">
        <v>43139</v>
      </c>
      <c r="S419" t="s">
        <v>153</v>
      </c>
      <c r="T419">
        <v>2</v>
      </c>
      <c r="U419" t="s">
        <v>123</v>
      </c>
      <c r="V419">
        <v>2</v>
      </c>
      <c r="W419">
        <v>1</v>
      </c>
      <c r="X419">
        <v>2</v>
      </c>
      <c r="Y419">
        <f>VLOOKUP(Table_clu7sql1_ssdb_REPORT_vw_IE_External_MI_SON[[#This Row],[URN]],[1]Data!$D$2:$BB$1084,31,)</f>
        <v>2</v>
      </c>
      <c r="Z419">
        <v>2</v>
      </c>
      <c r="AA419" t="s">
        <v>2596</v>
      </c>
      <c r="AB419" t="s">
        <v>2598</v>
      </c>
      <c r="AC419" t="s">
        <v>2596</v>
      </c>
      <c r="AD419" t="s">
        <v>2596</v>
      </c>
      <c r="AE419" t="s">
        <v>2596</v>
      </c>
      <c r="AF419" t="s">
        <v>2596</v>
      </c>
      <c r="AG419" t="s">
        <v>2596</v>
      </c>
      <c r="AH419" t="s">
        <v>2596</v>
      </c>
    </row>
    <row r="420" spans="1:34" x14ac:dyDescent="0.25">
      <c r="A420" s="111" t="str">
        <f>HYPERLINK("http://www.ofsted.gov.uk/inspection-reports/find-inspection-report/provider/ELS/132772 ","Ofsted School Webpage")</f>
        <v>Ofsted School Webpage</v>
      </c>
      <c r="B420">
        <v>132772</v>
      </c>
      <c r="C420">
        <v>8936096</v>
      </c>
      <c r="D420" t="s">
        <v>863</v>
      </c>
      <c r="E420" t="s">
        <v>37</v>
      </c>
      <c r="F420" t="s">
        <v>142</v>
      </c>
      <c r="G420" t="s">
        <v>142</v>
      </c>
      <c r="H420" t="s">
        <v>2595</v>
      </c>
      <c r="I420" t="s">
        <v>2596</v>
      </c>
      <c r="J420" t="s">
        <v>143</v>
      </c>
      <c r="K420" t="s">
        <v>150</v>
      </c>
      <c r="L420" t="s">
        <v>150</v>
      </c>
      <c r="M420" t="s">
        <v>151</v>
      </c>
      <c r="N420" t="s">
        <v>864</v>
      </c>
      <c r="O420">
        <v>10006013</v>
      </c>
      <c r="P420" s="108">
        <v>42626</v>
      </c>
      <c r="Q420" s="108">
        <v>42628</v>
      </c>
      <c r="R420" s="108">
        <v>42655</v>
      </c>
      <c r="S420" t="s">
        <v>153</v>
      </c>
      <c r="T420">
        <v>2</v>
      </c>
      <c r="U420" t="s">
        <v>123</v>
      </c>
      <c r="V420">
        <v>2</v>
      </c>
      <c r="W420">
        <v>2</v>
      </c>
      <c r="X420">
        <v>2</v>
      </c>
      <c r="Y420">
        <f>VLOOKUP(Table_clu7sql1_ssdb_REPORT_vw_IE_External_MI_SON[[#This Row],[URN]],[1]Data!$D$2:$BB$1084,31,)</f>
        <v>2</v>
      </c>
      <c r="Z420" t="s">
        <v>2596</v>
      </c>
      <c r="AA420" t="s">
        <v>2596</v>
      </c>
      <c r="AB420" t="s">
        <v>2598</v>
      </c>
      <c r="AC420" t="s">
        <v>2596</v>
      </c>
      <c r="AD420" t="s">
        <v>2596</v>
      </c>
      <c r="AE420" t="s">
        <v>2596</v>
      </c>
      <c r="AF420" t="s">
        <v>2596</v>
      </c>
      <c r="AG420" t="s">
        <v>2596</v>
      </c>
      <c r="AH420" t="s">
        <v>2596</v>
      </c>
    </row>
    <row r="421" spans="1:34" x14ac:dyDescent="0.25">
      <c r="A421" s="111" t="str">
        <f>HYPERLINK("http://www.ofsted.gov.uk/inspection-reports/find-inspection-report/provider/ELS/132774 ","Ofsted School Webpage")</f>
        <v>Ofsted School Webpage</v>
      </c>
      <c r="B421">
        <v>132774</v>
      </c>
      <c r="C421">
        <v>8016021</v>
      </c>
      <c r="D421" t="s">
        <v>1538</v>
      </c>
      <c r="E421" t="s">
        <v>36</v>
      </c>
      <c r="F421" t="s">
        <v>142</v>
      </c>
      <c r="G421" t="s">
        <v>169</v>
      </c>
      <c r="H421" t="s">
        <v>2595</v>
      </c>
      <c r="I421" t="s">
        <v>2596</v>
      </c>
      <c r="J421" t="s">
        <v>143</v>
      </c>
      <c r="K421" t="s">
        <v>182</v>
      </c>
      <c r="L421" t="s">
        <v>182</v>
      </c>
      <c r="M421" t="s">
        <v>317</v>
      </c>
      <c r="N421" t="s">
        <v>1539</v>
      </c>
      <c r="O421">
        <v>10020750</v>
      </c>
      <c r="P421" s="108">
        <v>42661</v>
      </c>
      <c r="Q421" s="108">
        <v>42663</v>
      </c>
      <c r="R421" s="108">
        <v>42696</v>
      </c>
      <c r="S421" t="s">
        <v>153</v>
      </c>
      <c r="T421">
        <v>3</v>
      </c>
      <c r="U421" t="s">
        <v>123</v>
      </c>
      <c r="V421">
        <v>3</v>
      </c>
      <c r="W421">
        <v>2</v>
      </c>
      <c r="X421">
        <v>3</v>
      </c>
      <c r="Y421">
        <f>VLOOKUP(Table_clu7sql1_ssdb_REPORT_vw_IE_External_MI_SON[[#This Row],[URN]],[1]Data!$D$2:$BB$1084,31,)</f>
        <v>3</v>
      </c>
      <c r="Z421">
        <v>2</v>
      </c>
      <c r="AA421" t="s">
        <v>2596</v>
      </c>
      <c r="AB421" t="s">
        <v>2599</v>
      </c>
      <c r="AC421" t="s">
        <v>2596</v>
      </c>
      <c r="AD421" t="s">
        <v>2596</v>
      </c>
      <c r="AE421" t="s">
        <v>2596</v>
      </c>
      <c r="AF421" t="s">
        <v>2596</v>
      </c>
      <c r="AG421" t="s">
        <v>2596</v>
      </c>
      <c r="AH421" t="s">
        <v>2596</v>
      </c>
    </row>
    <row r="422" spans="1:34" x14ac:dyDescent="0.25">
      <c r="A422" s="111" t="str">
        <f>HYPERLINK("http://www.ofsted.gov.uk/inspection-reports/find-inspection-report/provider/ELS/132775 ","Ofsted School Webpage")</f>
        <v>Ofsted School Webpage</v>
      </c>
      <c r="B422">
        <v>132775</v>
      </c>
      <c r="C422">
        <v>8656034</v>
      </c>
      <c r="D422" t="s">
        <v>1074</v>
      </c>
      <c r="E422" t="s">
        <v>37</v>
      </c>
      <c r="F422" t="s">
        <v>142</v>
      </c>
      <c r="G422" t="s">
        <v>142</v>
      </c>
      <c r="H422" t="s">
        <v>2595</v>
      </c>
      <c r="I422" t="s">
        <v>2596</v>
      </c>
      <c r="J422" t="s">
        <v>143</v>
      </c>
      <c r="K422" t="s">
        <v>182</v>
      </c>
      <c r="L422" t="s">
        <v>182</v>
      </c>
      <c r="M422" t="s">
        <v>183</v>
      </c>
      <c r="N422" t="s">
        <v>1075</v>
      </c>
      <c r="O422">
        <v>10006330</v>
      </c>
      <c r="P422" s="108">
        <v>42339</v>
      </c>
      <c r="Q422" s="108">
        <v>42341</v>
      </c>
      <c r="R422" s="108">
        <v>42395</v>
      </c>
      <c r="S422" t="s">
        <v>3005</v>
      </c>
      <c r="T422">
        <v>2</v>
      </c>
      <c r="U422" t="s">
        <v>123</v>
      </c>
      <c r="V422">
        <v>2</v>
      </c>
      <c r="W422">
        <v>2</v>
      </c>
      <c r="X422">
        <v>2</v>
      </c>
      <c r="Y422">
        <f>VLOOKUP(Table_clu7sql1_ssdb_REPORT_vw_IE_External_MI_SON[[#This Row],[URN]],[1]Data!$D$2:$BB$1084,31,)</f>
        <v>2</v>
      </c>
      <c r="Z422" t="s">
        <v>2596</v>
      </c>
      <c r="AA422" t="s">
        <v>2596</v>
      </c>
      <c r="AB422" t="s">
        <v>2598</v>
      </c>
      <c r="AC422" t="s">
        <v>2596</v>
      </c>
      <c r="AD422" t="s">
        <v>2596</v>
      </c>
      <c r="AE422" t="s">
        <v>2596</v>
      </c>
      <c r="AF422" t="s">
        <v>2596</v>
      </c>
      <c r="AG422" t="s">
        <v>2596</v>
      </c>
      <c r="AH422" t="s">
        <v>2596</v>
      </c>
    </row>
    <row r="423" spans="1:34" x14ac:dyDescent="0.25">
      <c r="A423" s="111" t="str">
        <f>HYPERLINK("http://www.ofsted.gov.uk/inspection-reports/find-inspection-report/provider/ELS/132776 ","Ofsted School Webpage")</f>
        <v>Ofsted School Webpage</v>
      </c>
      <c r="B423">
        <v>132776</v>
      </c>
      <c r="C423">
        <v>3066094</v>
      </c>
      <c r="D423" t="s">
        <v>2873</v>
      </c>
      <c r="E423" t="s">
        <v>36</v>
      </c>
      <c r="F423" t="s">
        <v>142</v>
      </c>
      <c r="G423" t="s">
        <v>142</v>
      </c>
      <c r="H423" t="s">
        <v>2595</v>
      </c>
      <c r="I423" t="s">
        <v>2596</v>
      </c>
      <c r="J423" t="s">
        <v>143</v>
      </c>
      <c r="K423" t="s">
        <v>189</v>
      </c>
      <c r="L423" t="s">
        <v>189</v>
      </c>
      <c r="M423" t="s">
        <v>676</v>
      </c>
      <c r="N423" t="s">
        <v>1567</v>
      </c>
      <c r="O423">
        <v>10020768</v>
      </c>
      <c r="P423" s="108">
        <v>42913</v>
      </c>
      <c r="Q423" s="108">
        <v>42915</v>
      </c>
      <c r="R423" s="108">
        <v>43052</v>
      </c>
      <c r="S423" t="s">
        <v>153</v>
      </c>
      <c r="T423">
        <v>4</v>
      </c>
      <c r="U423" t="s">
        <v>124</v>
      </c>
      <c r="V423">
        <v>4</v>
      </c>
      <c r="W423">
        <v>4</v>
      </c>
      <c r="X423">
        <v>3</v>
      </c>
      <c r="Y423">
        <f>VLOOKUP(Table_clu7sql1_ssdb_REPORT_vw_IE_External_MI_SON[[#This Row],[URN]],[1]Data!$D$2:$BB$1084,31,)</f>
        <v>3</v>
      </c>
      <c r="Z423" t="s">
        <v>2596</v>
      </c>
      <c r="AA423" t="s">
        <v>2596</v>
      </c>
      <c r="AB423" t="s">
        <v>2599</v>
      </c>
      <c r="AC423" t="s">
        <v>2596</v>
      </c>
      <c r="AD423" t="s">
        <v>2596</v>
      </c>
      <c r="AE423" t="s">
        <v>2596</v>
      </c>
      <c r="AF423" t="s">
        <v>2596</v>
      </c>
      <c r="AG423" t="s">
        <v>2596</v>
      </c>
      <c r="AH423" t="s">
        <v>2596</v>
      </c>
    </row>
    <row r="424" spans="1:34" x14ac:dyDescent="0.25">
      <c r="A424" s="111" t="str">
        <f>HYPERLINK("http://www.ofsted.gov.uk/inspection-reports/find-inspection-report/provider/ELS/132777 ","Ofsted School Webpage")</f>
        <v>Ofsted School Webpage</v>
      </c>
      <c r="B424">
        <v>132777</v>
      </c>
      <c r="C424">
        <v>2036377</v>
      </c>
      <c r="D424" t="s">
        <v>2097</v>
      </c>
      <c r="E424" t="s">
        <v>36</v>
      </c>
      <c r="F424" t="s">
        <v>142</v>
      </c>
      <c r="G424" t="s">
        <v>142</v>
      </c>
      <c r="H424" t="s">
        <v>2595</v>
      </c>
      <c r="I424" t="s">
        <v>2596</v>
      </c>
      <c r="J424" t="s">
        <v>143</v>
      </c>
      <c r="K424" t="s">
        <v>189</v>
      </c>
      <c r="L424" t="s">
        <v>189</v>
      </c>
      <c r="M424" t="s">
        <v>437</v>
      </c>
      <c r="N424" t="s">
        <v>2098</v>
      </c>
      <c r="O424">
        <v>10020721</v>
      </c>
      <c r="P424" s="108">
        <v>42920</v>
      </c>
      <c r="Q424" s="108">
        <v>42922</v>
      </c>
      <c r="R424" s="108">
        <v>43017</v>
      </c>
      <c r="S424" t="s">
        <v>153</v>
      </c>
      <c r="T424">
        <v>4</v>
      </c>
      <c r="U424" t="s">
        <v>124</v>
      </c>
      <c r="V424">
        <v>4</v>
      </c>
      <c r="W424">
        <v>4</v>
      </c>
      <c r="X424">
        <v>4</v>
      </c>
      <c r="Y424">
        <f>VLOOKUP(Table_clu7sql1_ssdb_REPORT_vw_IE_External_MI_SON[[#This Row],[URN]],[1]Data!$D$2:$BB$1084,31,)</f>
        <v>4</v>
      </c>
      <c r="Z424" t="s">
        <v>2596</v>
      </c>
      <c r="AA424" t="s">
        <v>2596</v>
      </c>
      <c r="AB424" t="s">
        <v>2599</v>
      </c>
      <c r="AC424" t="s">
        <v>2596</v>
      </c>
      <c r="AD424" t="s">
        <v>2596</v>
      </c>
      <c r="AE424" t="s">
        <v>2596</v>
      </c>
      <c r="AF424" t="s">
        <v>2596</v>
      </c>
      <c r="AG424" t="s">
        <v>2596</v>
      </c>
      <c r="AH424" t="s">
        <v>2596</v>
      </c>
    </row>
    <row r="425" spans="1:34" x14ac:dyDescent="0.25">
      <c r="A425" s="111" t="str">
        <f>HYPERLINK("http://www.ofsted.gov.uk/inspection-reports/find-inspection-report/provider/ELS/132781 ","Ofsted School Webpage")</f>
        <v>Ofsted School Webpage</v>
      </c>
      <c r="B425">
        <v>132781</v>
      </c>
      <c r="C425">
        <v>8566014</v>
      </c>
      <c r="D425" t="s">
        <v>1951</v>
      </c>
      <c r="E425" t="s">
        <v>36</v>
      </c>
      <c r="F425" t="s">
        <v>261</v>
      </c>
      <c r="G425" t="s">
        <v>261</v>
      </c>
      <c r="H425" t="s">
        <v>2595</v>
      </c>
      <c r="I425" t="s">
        <v>2596</v>
      </c>
      <c r="J425" t="s">
        <v>143</v>
      </c>
      <c r="K425" t="s">
        <v>171</v>
      </c>
      <c r="L425" t="s">
        <v>171</v>
      </c>
      <c r="M425" t="s">
        <v>287</v>
      </c>
      <c r="N425" t="s">
        <v>1952</v>
      </c>
      <c r="O425" t="s">
        <v>1953</v>
      </c>
      <c r="P425" s="108">
        <v>41772</v>
      </c>
      <c r="Q425" s="108">
        <v>41773</v>
      </c>
      <c r="R425" s="108">
        <v>41878</v>
      </c>
      <c r="S425" t="s">
        <v>153</v>
      </c>
      <c r="T425">
        <v>4</v>
      </c>
      <c r="U425" t="s">
        <v>2596</v>
      </c>
      <c r="V425">
        <v>4</v>
      </c>
      <c r="W425" t="s">
        <v>2596</v>
      </c>
      <c r="X425">
        <v>4</v>
      </c>
      <c r="Y425">
        <f>VLOOKUP(Table_clu7sql1_ssdb_REPORT_vw_IE_External_MI_SON[[#This Row],[URN]],[1]Data!$D$2:$BB$1084,31,)</f>
        <v>4</v>
      </c>
      <c r="Z425" t="s">
        <v>2596</v>
      </c>
      <c r="AA425" t="s">
        <v>2596</v>
      </c>
      <c r="AB425" t="s">
        <v>2599</v>
      </c>
      <c r="AC425" t="s">
        <v>2596</v>
      </c>
      <c r="AD425" t="s">
        <v>2596</v>
      </c>
      <c r="AE425" t="s">
        <v>2596</v>
      </c>
      <c r="AF425" t="s">
        <v>2596</v>
      </c>
      <c r="AG425" t="s">
        <v>2596</v>
      </c>
      <c r="AH425" t="s">
        <v>2596</v>
      </c>
    </row>
    <row r="426" spans="1:34" x14ac:dyDescent="0.25">
      <c r="A426" s="111" t="str">
        <f>HYPERLINK("http://www.ofsted.gov.uk/inspection-reports/find-inspection-report/provider/ELS/132788 ","Ofsted School Webpage")</f>
        <v>Ofsted School Webpage</v>
      </c>
      <c r="B426">
        <v>132788</v>
      </c>
      <c r="C426">
        <v>2076399</v>
      </c>
      <c r="D426" t="s">
        <v>250</v>
      </c>
      <c r="E426" t="s">
        <v>36</v>
      </c>
      <c r="F426" t="s">
        <v>142</v>
      </c>
      <c r="G426" t="s">
        <v>142</v>
      </c>
      <c r="H426" t="s">
        <v>2595</v>
      </c>
      <c r="I426" t="s">
        <v>2596</v>
      </c>
      <c r="J426" t="s">
        <v>143</v>
      </c>
      <c r="K426" t="s">
        <v>189</v>
      </c>
      <c r="L426" t="s">
        <v>189</v>
      </c>
      <c r="M426" t="s">
        <v>251</v>
      </c>
      <c r="N426" t="s">
        <v>252</v>
      </c>
      <c r="O426">
        <v>10026288</v>
      </c>
      <c r="P426" s="108">
        <v>43039</v>
      </c>
      <c r="Q426" s="108">
        <v>43041</v>
      </c>
      <c r="R426" s="108">
        <v>43067</v>
      </c>
      <c r="S426" t="s">
        <v>153</v>
      </c>
      <c r="T426">
        <v>2</v>
      </c>
      <c r="U426" t="s">
        <v>123</v>
      </c>
      <c r="V426">
        <v>2</v>
      </c>
      <c r="W426">
        <v>2</v>
      </c>
      <c r="X426">
        <v>2</v>
      </c>
      <c r="Y426">
        <f>VLOOKUP(Table_clu7sql1_ssdb_REPORT_vw_IE_External_MI_SON[[#This Row],[URN]],[1]Data!$D$2:$BB$1084,31,)</f>
        <v>2</v>
      </c>
      <c r="Z426" t="s">
        <v>2596</v>
      </c>
      <c r="AA426" t="s">
        <v>2596</v>
      </c>
      <c r="AB426" t="s">
        <v>2598</v>
      </c>
      <c r="AC426" t="s">
        <v>2596</v>
      </c>
      <c r="AD426" t="s">
        <v>2596</v>
      </c>
      <c r="AE426" t="s">
        <v>2596</v>
      </c>
      <c r="AF426" t="s">
        <v>2596</v>
      </c>
      <c r="AG426" t="s">
        <v>2596</v>
      </c>
      <c r="AH426" t="s">
        <v>2596</v>
      </c>
    </row>
    <row r="427" spans="1:34" x14ac:dyDescent="0.25">
      <c r="A427" s="111" t="str">
        <f>HYPERLINK("http://www.ofsted.gov.uk/inspection-reports/find-inspection-report/provider/ELS/132797 ","Ofsted School Webpage")</f>
        <v>Ofsted School Webpage</v>
      </c>
      <c r="B427">
        <v>132797</v>
      </c>
      <c r="C427">
        <v>2116390</v>
      </c>
      <c r="D427" t="s">
        <v>1659</v>
      </c>
      <c r="E427" t="s">
        <v>36</v>
      </c>
      <c r="F427" t="s">
        <v>142</v>
      </c>
      <c r="G427" t="s">
        <v>180</v>
      </c>
      <c r="H427" t="s">
        <v>2595</v>
      </c>
      <c r="I427" t="s">
        <v>2596</v>
      </c>
      <c r="J427" t="s">
        <v>143</v>
      </c>
      <c r="K427" t="s">
        <v>189</v>
      </c>
      <c r="L427" t="s">
        <v>189</v>
      </c>
      <c r="M427" t="s">
        <v>494</v>
      </c>
      <c r="N427" t="s">
        <v>1660</v>
      </c>
      <c r="O427" t="s">
        <v>1661</v>
      </c>
      <c r="P427" s="108">
        <v>41723</v>
      </c>
      <c r="Q427" s="108">
        <v>41725</v>
      </c>
      <c r="R427" s="108">
        <v>41754</v>
      </c>
      <c r="S427" t="s">
        <v>153</v>
      </c>
      <c r="T427">
        <v>2</v>
      </c>
      <c r="U427" t="s">
        <v>2596</v>
      </c>
      <c r="V427">
        <v>2</v>
      </c>
      <c r="W427" t="s">
        <v>2596</v>
      </c>
      <c r="X427">
        <v>2</v>
      </c>
      <c r="Y427">
        <f>VLOOKUP(Table_clu7sql1_ssdb_REPORT_vw_IE_External_MI_SON[[#This Row],[URN]],[1]Data!$D$2:$BB$1084,31,)</f>
        <v>2</v>
      </c>
      <c r="Z427" t="s">
        <v>2596</v>
      </c>
      <c r="AA427" t="s">
        <v>2596</v>
      </c>
      <c r="AB427" t="s">
        <v>2599</v>
      </c>
      <c r="AC427" t="s">
        <v>2596</v>
      </c>
      <c r="AD427" t="s">
        <v>2596</v>
      </c>
      <c r="AE427" s="108" t="s">
        <v>2596</v>
      </c>
      <c r="AF427" t="s">
        <v>2596</v>
      </c>
      <c r="AG427" s="108" t="s">
        <v>2596</v>
      </c>
      <c r="AH427" t="s">
        <v>2596</v>
      </c>
    </row>
    <row r="428" spans="1:34" x14ac:dyDescent="0.25">
      <c r="A428" s="111" t="str">
        <f>HYPERLINK("http://www.ofsted.gov.uk/inspection-reports/find-inspection-report/provider/ELS/132828 ","Ofsted School Webpage")</f>
        <v>Ofsted School Webpage</v>
      </c>
      <c r="B428">
        <v>132828</v>
      </c>
      <c r="C428">
        <v>8886048</v>
      </c>
      <c r="D428" t="s">
        <v>586</v>
      </c>
      <c r="E428" t="s">
        <v>37</v>
      </c>
      <c r="F428" t="s">
        <v>142</v>
      </c>
      <c r="G428" t="s">
        <v>142</v>
      </c>
      <c r="H428" t="s">
        <v>2595</v>
      </c>
      <c r="I428" t="s">
        <v>2596</v>
      </c>
      <c r="J428" t="s">
        <v>143</v>
      </c>
      <c r="K428" t="s">
        <v>162</v>
      </c>
      <c r="L428" t="s">
        <v>162</v>
      </c>
      <c r="M428" t="s">
        <v>163</v>
      </c>
      <c r="N428" t="s">
        <v>587</v>
      </c>
      <c r="O428" t="s">
        <v>588</v>
      </c>
      <c r="P428" s="108">
        <v>42059</v>
      </c>
      <c r="Q428" s="108">
        <v>42061</v>
      </c>
      <c r="R428" s="108">
        <v>42096</v>
      </c>
      <c r="S428" t="s">
        <v>153</v>
      </c>
      <c r="T428">
        <v>1</v>
      </c>
      <c r="U428" t="s">
        <v>2596</v>
      </c>
      <c r="V428">
        <v>1</v>
      </c>
      <c r="W428" t="s">
        <v>2596</v>
      </c>
      <c r="X428">
        <v>1</v>
      </c>
      <c r="Y428">
        <f>VLOOKUP(Table_clu7sql1_ssdb_REPORT_vw_IE_External_MI_SON[[#This Row],[URN]],[1]Data!$D$2:$BB$1084,31,)</f>
        <v>1</v>
      </c>
      <c r="Z428">
        <v>9</v>
      </c>
      <c r="AA428">
        <v>9</v>
      </c>
      <c r="AB428" t="s">
        <v>2598</v>
      </c>
      <c r="AC428" t="s">
        <v>2596</v>
      </c>
      <c r="AD428" t="s">
        <v>2596</v>
      </c>
      <c r="AE428" t="s">
        <v>2596</v>
      </c>
      <c r="AF428" t="s">
        <v>2596</v>
      </c>
      <c r="AG428" t="s">
        <v>2596</v>
      </c>
      <c r="AH428" t="s">
        <v>2596</v>
      </c>
    </row>
    <row r="429" spans="1:34" x14ac:dyDescent="0.25">
      <c r="A429" s="111" t="str">
        <f>HYPERLINK("http://www.ofsted.gov.uk/inspection-reports/find-inspection-report/provider/ELS/132848 ","Ofsted School Webpage")</f>
        <v>Ofsted School Webpage</v>
      </c>
      <c r="B429">
        <v>132848</v>
      </c>
      <c r="C429">
        <v>3206501</v>
      </c>
      <c r="D429" t="s">
        <v>661</v>
      </c>
      <c r="E429" t="s">
        <v>36</v>
      </c>
      <c r="F429" t="s">
        <v>180</v>
      </c>
      <c r="G429" t="s">
        <v>261</v>
      </c>
      <c r="H429" t="s">
        <v>2595</v>
      </c>
      <c r="I429" t="s">
        <v>2596</v>
      </c>
      <c r="J429" t="s">
        <v>143</v>
      </c>
      <c r="K429" t="s">
        <v>189</v>
      </c>
      <c r="L429" t="s">
        <v>189</v>
      </c>
      <c r="M429" t="s">
        <v>662</v>
      </c>
      <c r="N429" t="s">
        <v>663</v>
      </c>
      <c r="O429">
        <v>10043179</v>
      </c>
      <c r="P429" s="108">
        <v>43081</v>
      </c>
      <c r="Q429" s="108">
        <v>43083</v>
      </c>
      <c r="R429" s="108">
        <v>43129</v>
      </c>
      <c r="S429" t="s">
        <v>153</v>
      </c>
      <c r="T429">
        <v>3</v>
      </c>
      <c r="U429" t="s">
        <v>123</v>
      </c>
      <c r="V429">
        <v>3</v>
      </c>
      <c r="W429">
        <v>3</v>
      </c>
      <c r="X429">
        <v>3</v>
      </c>
      <c r="Y429">
        <f>VLOOKUP(Table_clu7sql1_ssdb_REPORT_vw_IE_External_MI_SON[[#This Row],[URN]],[1]Data!$D$2:$BB$1084,31,)</f>
        <v>3</v>
      </c>
      <c r="Z429" t="s">
        <v>2596</v>
      </c>
      <c r="AA429" t="s">
        <v>2596</v>
      </c>
      <c r="AB429" t="s">
        <v>2598</v>
      </c>
      <c r="AC429" t="s">
        <v>2596</v>
      </c>
      <c r="AD429" t="s">
        <v>2596</v>
      </c>
      <c r="AE429" t="s">
        <v>2596</v>
      </c>
      <c r="AF429" t="s">
        <v>2596</v>
      </c>
      <c r="AG429" t="s">
        <v>2596</v>
      </c>
      <c r="AH429" t="s">
        <v>2596</v>
      </c>
    </row>
    <row r="430" spans="1:34" x14ac:dyDescent="0.25">
      <c r="A430" s="111" t="str">
        <f>HYPERLINK("http://www.ofsted.gov.uk/inspection-reports/find-inspection-report/provider/ELS/132855 ","Ofsted School Webpage")</f>
        <v>Ofsted School Webpage</v>
      </c>
      <c r="B430">
        <v>132855</v>
      </c>
      <c r="C430">
        <v>9296046</v>
      </c>
      <c r="D430" t="s">
        <v>838</v>
      </c>
      <c r="E430" t="s">
        <v>37</v>
      </c>
      <c r="F430" t="s">
        <v>142</v>
      </c>
      <c r="G430" t="s">
        <v>142</v>
      </c>
      <c r="H430" t="s">
        <v>2595</v>
      </c>
      <c r="I430" t="s">
        <v>2596</v>
      </c>
      <c r="J430" t="s">
        <v>143</v>
      </c>
      <c r="K430" t="s">
        <v>202</v>
      </c>
      <c r="L430" t="s">
        <v>234</v>
      </c>
      <c r="M430" t="s">
        <v>839</v>
      </c>
      <c r="N430" t="s">
        <v>840</v>
      </c>
      <c r="O430">
        <v>10012944</v>
      </c>
      <c r="P430" s="108">
        <v>42675</v>
      </c>
      <c r="Q430" s="108">
        <v>42677</v>
      </c>
      <c r="R430" s="108">
        <v>42717</v>
      </c>
      <c r="S430" t="s">
        <v>3005</v>
      </c>
      <c r="T430">
        <v>2</v>
      </c>
      <c r="U430" t="s">
        <v>123</v>
      </c>
      <c r="V430">
        <v>2</v>
      </c>
      <c r="W430">
        <v>2</v>
      </c>
      <c r="X430">
        <v>2</v>
      </c>
      <c r="Y430">
        <f>VLOOKUP(Table_clu7sql1_ssdb_REPORT_vw_IE_External_MI_SON[[#This Row],[URN]],[1]Data!$D$2:$BB$1084,31,)</f>
        <v>2</v>
      </c>
      <c r="Z430" t="s">
        <v>2596</v>
      </c>
      <c r="AA430" t="s">
        <v>2596</v>
      </c>
      <c r="AB430" t="s">
        <v>2598</v>
      </c>
      <c r="AC430" t="s">
        <v>2596</v>
      </c>
      <c r="AD430" t="s">
        <v>2596</v>
      </c>
      <c r="AE430" t="s">
        <v>2596</v>
      </c>
      <c r="AF430" t="s">
        <v>2596</v>
      </c>
      <c r="AG430" t="s">
        <v>2596</v>
      </c>
      <c r="AH430" t="s">
        <v>2596</v>
      </c>
    </row>
    <row r="431" spans="1:34" x14ac:dyDescent="0.25">
      <c r="A431" s="111" t="str">
        <f>HYPERLINK("http://www.ofsted.gov.uk/inspection-reports/find-inspection-report/provider/ELS/133262 ","Ofsted School Webpage")</f>
        <v>Ofsted School Webpage</v>
      </c>
      <c r="B431">
        <v>133262</v>
      </c>
      <c r="C431">
        <v>3416082</v>
      </c>
      <c r="D431" t="s">
        <v>853</v>
      </c>
      <c r="E431" t="s">
        <v>37</v>
      </c>
      <c r="F431" t="s">
        <v>142</v>
      </c>
      <c r="G431" t="s">
        <v>142</v>
      </c>
      <c r="H431" t="s">
        <v>2595</v>
      </c>
      <c r="I431" t="s">
        <v>2596</v>
      </c>
      <c r="J431" t="s">
        <v>143</v>
      </c>
      <c r="K431" t="s">
        <v>162</v>
      </c>
      <c r="L431" t="s">
        <v>162</v>
      </c>
      <c r="M431" t="s">
        <v>611</v>
      </c>
      <c r="N431" t="s">
        <v>854</v>
      </c>
      <c r="O431">
        <v>10026007</v>
      </c>
      <c r="P431" s="108">
        <v>42745</v>
      </c>
      <c r="Q431" s="108">
        <v>42747</v>
      </c>
      <c r="R431" s="108">
        <v>42793</v>
      </c>
      <c r="S431" t="s">
        <v>153</v>
      </c>
      <c r="T431">
        <v>1</v>
      </c>
      <c r="U431" t="s">
        <v>123</v>
      </c>
      <c r="V431">
        <v>1</v>
      </c>
      <c r="W431">
        <v>1</v>
      </c>
      <c r="X431">
        <v>1</v>
      </c>
      <c r="Y431">
        <f>VLOOKUP(Table_clu7sql1_ssdb_REPORT_vw_IE_External_MI_SON[[#This Row],[URN]],[1]Data!$D$2:$BB$1084,31,)</f>
        <v>1</v>
      </c>
      <c r="Z431" t="s">
        <v>2596</v>
      </c>
      <c r="AA431" t="s">
        <v>2596</v>
      </c>
      <c r="AB431" t="s">
        <v>2598</v>
      </c>
      <c r="AC431" t="s">
        <v>2596</v>
      </c>
      <c r="AD431" t="s">
        <v>2596</v>
      </c>
      <c r="AE431" t="s">
        <v>2596</v>
      </c>
      <c r="AF431" t="s">
        <v>2596</v>
      </c>
      <c r="AG431" t="s">
        <v>2596</v>
      </c>
      <c r="AH431" t="s">
        <v>2596</v>
      </c>
    </row>
    <row r="432" spans="1:34" x14ac:dyDescent="0.25">
      <c r="A432" s="111" t="str">
        <f>HYPERLINK("http://www.ofsted.gov.uk/inspection-reports/find-inspection-report/provider/ELS/133285 ","Ofsted School Webpage")</f>
        <v>Ofsted School Webpage</v>
      </c>
      <c r="B432">
        <v>133285</v>
      </c>
      <c r="C432">
        <v>3506018</v>
      </c>
      <c r="D432" t="s">
        <v>1470</v>
      </c>
      <c r="E432" t="s">
        <v>36</v>
      </c>
      <c r="F432" t="s">
        <v>261</v>
      </c>
      <c r="G432" t="s">
        <v>180</v>
      </c>
      <c r="H432" t="s">
        <v>2595</v>
      </c>
      <c r="I432" t="s">
        <v>2596</v>
      </c>
      <c r="J432" t="s">
        <v>143</v>
      </c>
      <c r="K432" t="s">
        <v>162</v>
      </c>
      <c r="L432" t="s">
        <v>162</v>
      </c>
      <c r="M432" t="s">
        <v>1202</v>
      </c>
      <c r="N432" t="s">
        <v>1471</v>
      </c>
      <c r="O432">
        <v>10007711</v>
      </c>
      <c r="P432" s="108">
        <v>42759</v>
      </c>
      <c r="Q432" s="108">
        <v>42761</v>
      </c>
      <c r="R432" s="108">
        <v>42803</v>
      </c>
      <c r="S432" t="s">
        <v>153</v>
      </c>
      <c r="T432">
        <v>1</v>
      </c>
      <c r="U432" t="s">
        <v>123</v>
      </c>
      <c r="V432">
        <v>1</v>
      </c>
      <c r="W432">
        <v>1</v>
      </c>
      <c r="X432">
        <v>1</v>
      </c>
      <c r="Y432">
        <f>VLOOKUP(Table_clu7sql1_ssdb_REPORT_vw_IE_External_MI_SON[[#This Row],[URN]],[1]Data!$D$2:$BB$1084,31,)</f>
        <v>1</v>
      </c>
      <c r="Z432" t="s">
        <v>2596</v>
      </c>
      <c r="AA432">
        <v>1</v>
      </c>
      <c r="AB432" t="s">
        <v>2598</v>
      </c>
      <c r="AC432" t="s">
        <v>2596</v>
      </c>
      <c r="AD432" t="s">
        <v>2596</v>
      </c>
      <c r="AE432" s="108" t="s">
        <v>2596</v>
      </c>
      <c r="AF432" t="s">
        <v>2596</v>
      </c>
      <c r="AG432" s="108" t="s">
        <v>2596</v>
      </c>
      <c r="AH432" t="s">
        <v>2596</v>
      </c>
    </row>
    <row r="433" spans="1:34" x14ac:dyDescent="0.25">
      <c r="A433" s="111" t="str">
        <f>HYPERLINK("http://www.ofsted.gov.uk/inspection-reports/find-inspection-report/provider/ELS/133298 ","Ofsted School Webpage")</f>
        <v>Ofsted School Webpage</v>
      </c>
      <c r="B433">
        <v>133298</v>
      </c>
      <c r="C433">
        <v>8866089</v>
      </c>
      <c r="D433" t="s">
        <v>1806</v>
      </c>
      <c r="E433" t="s">
        <v>37</v>
      </c>
      <c r="F433" t="s">
        <v>142</v>
      </c>
      <c r="G433" t="s">
        <v>142</v>
      </c>
      <c r="H433" t="s">
        <v>2595</v>
      </c>
      <c r="I433" t="s">
        <v>2596</v>
      </c>
      <c r="J433" t="s">
        <v>143</v>
      </c>
      <c r="K433" t="s">
        <v>139</v>
      </c>
      <c r="L433" t="s">
        <v>139</v>
      </c>
      <c r="M433" t="s">
        <v>140</v>
      </c>
      <c r="N433" t="s">
        <v>2898</v>
      </c>
      <c r="O433">
        <v>10012926</v>
      </c>
      <c r="P433" s="108">
        <v>42766</v>
      </c>
      <c r="Q433" s="108">
        <v>42768</v>
      </c>
      <c r="R433" s="108">
        <v>42797</v>
      </c>
      <c r="S433" t="s">
        <v>153</v>
      </c>
      <c r="T433">
        <v>3</v>
      </c>
      <c r="U433" t="s">
        <v>123</v>
      </c>
      <c r="V433">
        <v>3</v>
      </c>
      <c r="W433">
        <v>3</v>
      </c>
      <c r="X433">
        <v>3</v>
      </c>
      <c r="Y433">
        <f>VLOOKUP(Table_clu7sql1_ssdb_REPORT_vw_IE_External_MI_SON[[#This Row],[URN]],[1]Data!$D$2:$BB$1084,31,)</f>
        <v>3</v>
      </c>
      <c r="Z433" t="s">
        <v>2596</v>
      </c>
      <c r="AA433" t="s">
        <v>2596</v>
      </c>
      <c r="AB433" t="s">
        <v>2598</v>
      </c>
      <c r="AC433" t="s">
        <v>2596</v>
      </c>
      <c r="AD433" t="s">
        <v>2596</v>
      </c>
      <c r="AE433" s="108" t="s">
        <v>2596</v>
      </c>
      <c r="AF433" t="s">
        <v>2596</v>
      </c>
      <c r="AG433" s="108" t="s">
        <v>2596</v>
      </c>
      <c r="AH433" t="s">
        <v>2596</v>
      </c>
    </row>
    <row r="434" spans="1:34" x14ac:dyDescent="0.25">
      <c r="A434" s="111" t="str">
        <f>HYPERLINK("http://www.ofsted.gov.uk/inspection-reports/find-inspection-report/provider/ELS/133307 ","Ofsted School Webpage")</f>
        <v>Ofsted School Webpage</v>
      </c>
      <c r="B434">
        <v>133307</v>
      </c>
      <c r="C434">
        <v>2116391</v>
      </c>
      <c r="D434" t="s">
        <v>1603</v>
      </c>
      <c r="E434" t="s">
        <v>36</v>
      </c>
      <c r="F434" t="s">
        <v>142</v>
      </c>
      <c r="G434" t="s">
        <v>261</v>
      </c>
      <c r="H434" t="s">
        <v>2595</v>
      </c>
      <c r="I434" t="s">
        <v>2596</v>
      </c>
      <c r="J434" t="s">
        <v>143</v>
      </c>
      <c r="K434" t="s">
        <v>189</v>
      </c>
      <c r="L434" t="s">
        <v>189</v>
      </c>
      <c r="M434" t="s">
        <v>494</v>
      </c>
      <c r="N434" t="s">
        <v>1604</v>
      </c>
      <c r="O434">
        <v>10026290</v>
      </c>
      <c r="P434" s="108">
        <v>43011</v>
      </c>
      <c r="Q434" s="108">
        <v>43013</v>
      </c>
      <c r="R434" s="108">
        <v>43077</v>
      </c>
      <c r="S434" t="s">
        <v>153</v>
      </c>
      <c r="T434">
        <v>4</v>
      </c>
      <c r="U434" t="s">
        <v>124</v>
      </c>
      <c r="V434">
        <v>4</v>
      </c>
      <c r="W434">
        <v>4</v>
      </c>
      <c r="X434">
        <v>3</v>
      </c>
      <c r="Y434">
        <f>VLOOKUP(Table_clu7sql1_ssdb_REPORT_vw_IE_External_MI_SON[[#This Row],[URN]],[1]Data!$D$2:$BB$1084,31,)</f>
        <v>3</v>
      </c>
      <c r="Z434" t="s">
        <v>2596</v>
      </c>
      <c r="AA434" t="s">
        <v>2596</v>
      </c>
      <c r="AB434" t="s">
        <v>2599</v>
      </c>
      <c r="AC434" t="s">
        <v>2596</v>
      </c>
      <c r="AD434" t="s">
        <v>2596</v>
      </c>
      <c r="AE434" t="s">
        <v>2596</v>
      </c>
      <c r="AF434" t="s">
        <v>2596</v>
      </c>
      <c r="AG434" t="s">
        <v>2596</v>
      </c>
      <c r="AH434" t="s">
        <v>2596</v>
      </c>
    </row>
    <row r="435" spans="1:34" x14ac:dyDescent="0.25">
      <c r="A435" s="111" t="str">
        <f>HYPERLINK("http://www.ofsted.gov.uk/inspection-reports/find-inspection-report/provider/ELS/133309 ","Ofsted School Webpage")</f>
        <v>Ofsted School Webpage</v>
      </c>
      <c r="B435">
        <v>133309</v>
      </c>
      <c r="C435">
        <v>3416047</v>
      </c>
      <c r="D435" t="s">
        <v>1188</v>
      </c>
      <c r="E435" t="s">
        <v>37</v>
      </c>
      <c r="F435" t="s">
        <v>142</v>
      </c>
      <c r="G435" t="s">
        <v>142</v>
      </c>
      <c r="H435" t="s">
        <v>2595</v>
      </c>
      <c r="I435" t="s">
        <v>2596</v>
      </c>
      <c r="J435" t="s">
        <v>143</v>
      </c>
      <c r="K435" t="s">
        <v>162</v>
      </c>
      <c r="L435" t="s">
        <v>162</v>
      </c>
      <c r="M435" t="s">
        <v>611</v>
      </c>
      <c r="N435" t="s">
        <v>1189</v>
      </c>
      <c r="O435" t="s">
        <v>1190</v>
      </c>
      <c r="P435" s="108">
        <v>42087</v>
      </c>
      <c r="Q435" s="108">
        <v>42089</v>
      </c>
      <c r="R435" s="108">
        <v>42123</v>
      </c>
      <c r="S435" t="s">
        <v>153</v>
      </c>
      <c r="T435">
        <v>1</v>
      </c>
      <c r="U435" t="s">
        <v>2596</v>
      </c>
      <c r="V435">
        <v>1</v>
      </c>
      <c r="W435" t="s">
        <v>2596</v>
      </c>
      <c r="X435">
        <v>1</v>
      </c>
      <c r="Y435">
        <f>VLOOKUP(Table_clu7sql1_ssdb_REPORT_vw_IE_External_MI_SON[[#This Row],[URN]],[1]Data!$D$2:$BB$1084,31,)</f>
        <v>1</v>
      </c>
      <c r="Z435">
        <v>9</v>
      </c>
      <c r="AA435">
        <v>1</v>
      </c>
      <c r="AB435" t="s">
        <v>2598</v>
      </c>
      <c r="AC435" t="s">
        <v>2596</v>
      </c>
      <c r="AD435" t="s">
        <v>2596</v>
      </c>
      <c r="AE435" t="s">
        <v>2596</v>
      </c>
      <c r="AF435" t="s">
        <v>2596</v>
      </c>
      <c r="AG435" t="s">
        <v>2596</v>
      </c>
      <c r="AH435" t="s">
        <v>2596</v>
      </c>
    </row>
    <row r="436" spans="1:34" x14ac:dyDescent="0.25">
      <c r="A436" s="111" t="str">
        <f>HYPERLINK("http://www.ofsted.gov.uk/inspection-reports/find-inspection-report/provider/ELS/133346 ","Ofsted School Webpage")</f>
        <v>Ofsted School Webpage</v>
      </c>
      <c r="B436">
        <v>133346</v>
      </c>
      <c r="C436">
        <v>9096051</v>
      </c>
      <c r="D436" t="s">
        <v>1377</v>
      </c>
      <c r="E436" t="s">
        <v>37</v>
      </c>
      <c r="F436" t="s">
        <v>142</v>
      </c>
      <c r="G436" t="s">
        <v>142</v>
      </c>
      <c r="H436" t="s">
        <v>2595</v>
      </c>
      <c r="I436" t="s">
        <v>2596</v>
      </c>
      <c r="J436" t="s">
        <v>143</v>
      </c>
      <c r="K436" t="s">
        <v>162</v>
      </c>
      <c r="L436" t="s">
        <v>162</v>
      </c>
      <c r="M436" t="s">
        <v>895</v>
      </c>
      <c r="N436" t="s">
        <v>1378</v>
      </c>
      <c r="O436">
        <v>10033388</v>
      </c>
      <c r="P436" s="108">
        <v>42801</v>
      </c>
      <c r="Q436" s="108">
        <v>42803</v>
      </c>
      <c r="R436" s="108">
        <v>42828</v>
      </c>
      <c r="S436" t="s">
        <v>3005</v>
      </c>
      <c r="T436">
        <v>2</v>
      </c>
      <c r="U436" t="s">
        <v>123</v>
      </c>
      <c r="V436">
        <v>2</v>
      </c>
      <c r="W436">
        <v>1</v>
      </c>
      <c r="X436">
        <v>2</v>
      </c>
      <c r="Y436">
        <f>VLOOKUP(Table_clu7sql1_ssdb_REPORT_vw_IE_External_MI_SON[[#This Row],[URN]],[1]Data!$D$2:$BB$1084,31,)</f>
        <v>2</v>
      </c>
      <c r="Z436" t="s">
        <v>2596</v>
      </c>
      <c r="AA436" t="s">
        <v>2596</v>
      </c>
      <c r="AB436" t="s">
        <v>2598</v>
      </c>
      <c r="AC436" t="s">
        <v>2596</v>
      </c>
      <c r="AD436" t="s">
        <v>2596</v>
      </c>
      <c r="AE436" t="s">
        <v>2596</v>
      </c>
      <c r="AF436" t="s">
        <v>2596</v>
      </c>
      <c r="AG436" t="s">
        <v>2596</v>
      </c>
      <c r="AH436" t="s">
        <v>2596</v>
      </c>
    </row>
    <row r="437" spans="1:34" x14ac:dyDescent="0.25">
      <c r="A437" s="111" t="str">
        <f>HYPERLINK("http://www.ofsted.gov.uk/inspection-reports/find-inspection-report/provider/ELS/133348 ","Ofsted School Webpage")</f>
        <v>Ofsted School Webpage</v>
      </c>
      <c r="B437">
        <v>133348</v>
      </c>
      <c r="C437">
        <v>8466023</v>
      </c>
      <c r="D437" t="s">
        <v>623</v>
      </c>
      <c r="E437" t="s">
        <v>36</v>
      </c>
      <c r="F437" t="s">
        <v>142</v>
      </c>
      <c r="G437" t="s">
        <v>142</v>
      </c>
      <c r="H437" t="s">
        <v>2595</v>
      </c>
      <c r="I437" t="s">
        <v>2596</v>
      </c>
      <c r="J437" t="s">
        <v>143</v>
      </c>
      <c r="K437" t="s">
        <v>139</v>
      </c>
      <c r="L437" t="s">
        <v>139</v>
      </c>
      <c r="M437" t="s">
        <v>365</v>
      </c>
      <c r="N437" t="s">
        <v>624</v>
      </c>
      <c r="O437" t="s">
        <v>625</v>
      </c>
      <c r="P437" s="108">
        <v>41542</v>
      </c>
      <c r="Q437" s="108">
        <v>41544</v>
      </c>
      <c r="R437" s="108">
        <v>41564</v>
      </c>
      <c r="S437" t="s">
        <v>153</v>
      </c>
      <c r="T437">
        <v>3</v>
      </c>
      <c r="U437" t="s">
        <v>2596</v>
      </c>
      <c r="V437">
        <v>3</v>
      </c>
      <c r="W437" t="s">
        <v>2596</v>
      </c>
      <c r="X437">
        <v>3</v>
      </c>
      <c r="Y437">
        <f>VLOOKUP(Table_clu7sql1_ssdb_REPORT_vw_IE_External_MI_SON[[#This Row],[URN]],[1]Data!$D$2:$BB$1084,31,)</f>
        <v>3</v>
      </c>
      <c r="Z437" t="s">
        <v>2596</v>
      </c>
      <c r="AA437" t="s">
        <v>2596</v>
      </c>
      <c r="AB437" t="s">
        <v>2599</v>
      </c>
      <c r="AC437" t="s">
        <v>2596</v>
      </c>
      <c r="AD437" t="s">
        <v>2596</v>
      </c>
      <c r="AE437" t="s">
        <v>2596</v>
      </c>
      <c r="AF437" t="s">
        <v>2596</v>
      </c>
      <c r="AG437" t="s">
        <v>2596</v>
      </c>
      <c r="AH437" t="s">
        <v>2596</v>
      </c>
    </row>
    <row r="438" spans="1:34" x14ac:dyDescent="0.25">
      <c r="A438" s="111" t="str">
        <f>HYPERLINK("http://www.ofsted.gov.uk/inspection-reports/find-inspection-report/provider/ELS/133349 ","Ofsted School Webpage")</f>
        <v>Ofsted School Webpage</v>
      </c>
      <c r="B438">
        <v>133349</v>
      </c>
      <c r="C438">
        <v>8566015</v>
      </c>
      <c r="D438" t="s">
        <v>312</v>
      </c>
      <c r="E438" t="s">
        <v>36</v>
      </c>
      <c r="F438" t="s">
        <v>180</v>
      </c>
      <c r="G438" t="s">
        <v>180</v>
      </c>
      <c r="H438" t="s">
        <v>2595</v>
      </c>
      <c r="I438" t="s">
        <v>2596</v>
      </c>
      <c r="J438" t="s">
        <v>143</v>
      </c>
      <c r="K438" t="s">
        <v>171</v>
      </c>
      <c r="L438" t="s">
        <v>171</v>
      </c>
      <c r="M438" t="s">
        <v>287</v>
      </c>
      <c r="N438" t="s">
        <v>313</v>
      </c>
      <c r="O438">
        <v>10039184</v>
      </c>
      <c r="P438" s="108">
        <v>43018</v>
      </c>
      <c r="Q438" s="108">
        <v>43020</v>
      </c>
      <c r="R438" s="108">
        <v>43052</v>
      </c>
      <c r="S438" t="s">
        <v>153</v>
      </c>
      <c r="T438">
        <v>2</v>
      </c>
      <c r="U438" t="s">
        <v>123</v>
      </c>
      <c r="V438">
        <v>2</v>
      </c>
      <c r="W438">
        <v>1</v>
      </c>
      <c r="X438">
        <v>2</v>
      </c>
      <c r="Y438">
        <f>VLOOKUP(Table_clu7sql1_ssdb_REPORT_vw_IE_External_MI_SON[[#This Row],[URN]],[1]Data!$D$2:$BB$1084,31,)</f>
        <v>2</v>
      </c>
      <c r="Z438" t="s">
        <v>2596</v>
      </c>
      <c r="AA438" t="s">
        <v>2596</v>
      </c>
      <c r="AB438" t="s">
        <v>2598</v>
      </c>
      <c r="AC438" t="s">
        <v>2596</v>
      </c>
      <c r="AD438" t="s">
        <v>2596</v>
      </c>
      <c r="AE438" s="108" t="s">
        <v>2596</v>
      </c>
      <c r="AF438" t="s">
        <v>2596</v>
      </c>
      <c r="AG438" s="108" t="s">
        <v>2596</v>
      </c>
      <c r="AH438" t="s">
        <v>2596</v>
      </c>
    </row>
    <row r="439" spans="1:34" x14ac:dyDescent="0.25">
      <c r="A439" s="111" t="str">
        <f>HYPERLINK("http://www.ofsted.gov.uk/inspection-reports/find-inspection-report/provider/ELS/133385 ","Ofsted School Webpage")</f>
        <v>Ofsted School Webpage</v>
      </c>
      <c r="B439">
        <v>133385</v>
      </c>
      <c r="C439">
        <v>3046079</v>
      </c>
      <c r="D439" t="s">
        <v>2323</v>
      </c>
      <c r="E439" t="s">
        <v>36</v>
      </c>
      <c r="F439" t="s">
        <v>142</v>
      </c>
      <c r="G439" t="s">
        <v>180</v>
      </c>
      <c r="H439" t="s">
        <v>2595</v>
      </c>
      <c r="I439" t="s">
        <v>2596</v>
      </c>
      <c r="J439" t="s">
        <v>143</v>
      </c>
      <c r="K439" t="s">
        <v>189</v>
      </c>
      <c r="L439" t="s">
        <v>189</v>
      </c>
      <c r="M439" t="s">
        <v>702</v>
      </c>
      <c r="N439" t="s">
        <v>2324</v>
      </c>
      <c r="O439">
        <v>10012821</v>
      </c>
      <c r="P439" s="108">
        <v>42661</v>
      </c>
      <c r="Q439" s="108">
        <v>42663</v>
      </c>
      <c r="R439" s="108">
        <v>42751</v>
      </c>
      <c r="S439" t="s">
        <v>153</v>
      </c>
      <c r="T439">
        <v>4</v>
      </c>
      <c r="U439" t="s">
        <v>124</v>
      </c>
      <c r="V439">
        <v>4</v>
      </c>
      <c r="W439">
        <v>4</v>
      </c>
      <c r="X439">
        <v>3</v>
      </c>
      <c r="Y439">
        <f>VLOOKUP(Table_clu7sql1_ssdb_REPORT_vw_IE_External_MI_SON[[#This Row],[URN]],[1]Data!$D$2:$BB$1084,31,)</f>
        <v>3</v>
      </c>
      <c r="Z439">
        <v>4</v>
      </c>
      <c r="AA439">
        <v>4</v>
      </c>
      <c r="AB439" t="s">
        <v>2599</v>
      </c>
      <c r="AC439">
        <v>10044655</v>
      </c>
      <c r="AD439" t="s">
        <v>144</v>
      </c>
      <c r="AE439" s="108">
        <v>43132</v>
      </c>
      <c r="AF439" t="s">
        <v>2636</v>
      </c>
      <c r="AG439" s="108">
        <v>43171</v>
      </c>
      <c r="AH439" t="s">
        <v>174</v>
      </c>
    </row>
    <row r="440" spans="1:34" x14ac:dyDescent="0.25">
      <c r="A440" s="111" t="str">
        <f>HYPERLINK("http://www.ofsted.gov.uk/inspection-reports/find-inspection-report/provider/ELS/133392 ","Ofsted School Webpage")</f>
        <v>Ofsted School Webpage</v>
      </c>
      <c r="B440">
        <v>133392</v>
      </c>
      <c r="C440">
        <v>8786202</v>
      </c>
      <c r="D440" t="s">
        <v>496</v>
      </c>
      <c r="E440" t="s">
        <v>37</v>
      </c>
      <c r="F440" t="s">
        <v>142</v>
      </c>
      <c r="G440" t="s">
        <v>142</v>
      </c>
      <c r="H440" t="s">
        <v>2595</v>
      </c>
      <c r="I440" t="s">
        <v>2596</v>
      </c>
      <c r="J440" t="s">
        <v>143</v>
      </c>
      <c r="K440" t="s">
        <v>182</v>
      </c>
      <c r="L440" t="s">
        <v>182</v>
      </c>
      <c r="M440" t="s">
        <v>323</v>
      </c>
      <c r="N440" t="s">
        <v>497</v>
      </c>
      <c r="O440">
        <v>10006819</v>
      </c>
      <c r="P440" s="108">
        <v>42389</v>
      </c>
      <c r="Q440" s="108">
        <v>42391</v>
      </c>
      <c r="R440" s="108">
        <v>42430</v>
      </c>
      <c r="S440" t="s">
        <v>3005</v>
      </c>
      <c r="T440">
        <v>1</v>
      </c>
      <c r="U440" t="s">
        <v>123</v>
      </c>
      <c r="V440">
        <v>1</v>
      </c>
      <c r="W440">
        <v>1</v>
      </c>
      <c r="X440">
        <v>1</v>
      </c>
      <c r="Y440">
        <f>VLOOKUP(Table_clu7sql1_ssdb_REPORT_vw_IE_External_MI_SON[[#This Row],[URN]],[1]Data!$D$2:$BB$1084,31,)</f>
        <v>1</v>
      </c>
      <c r="Z440" t="s">
        <v>2596</v>
      </c>
      <c r="AA440" t="s">
        <v>2596</v>
      </c>
      <c r="AB440" t="s">
        <v>2598</v>
      </c>
      <c r="AC440" t="s">
        <v>2596</v>
      </c>
      <c r="AD440" t="s">
        <v>2596</v>
      </c>
      <c r="AE440" s="108" t="s">
        <v>2596</v>
      </c>
      <c r="AF440" t="s">
        <v>2596</v>
      </c>
      <c r="AG440" s="108" t="s">
        <v>2596</v>
      </c>
      <c r="AH440" t="s">
        <v>2596</v>
      </c>
    </row>
    <row r="441" spans="1:34" x14ac:dyDescent="0.25">
      <c r="A441" s="111" t="str">
        <f>HYPERLINK("http://www.ofsted.gov.uk/inspection-reports/find-inspection-report/provider/ELS/133429 ","Ofsted School Webpage")</f>
        <v>Ofsted School Webpage</v>
      </c>
      <c r="B441">
        <v>133429</v>
      </c>
      <c r="C441">
        <v>8116012</v>
      </c>
      <c r="D441" t="s">
        <v>1015</v>
      </c>
      <c r="E441" t="s">
        <v>37</v>
      </c>
      <c r="F441" t="s">
        <v>142</v>
      </c>
      <c r="G441" t="s">
        <v>142</v>
      </c>
      <c r="H441" t="s">
        <v>2595</v>
      </c>
      <c r="I441" t="s">
        <v>2596</v>
      </c>
      <c r="J441" t="s">
        <v>143</v>
      </c>
      <c r="K441" t="s">
        <v>202</v>
      </c>
      <c r="L441" t="s">
        <v>203</v>
      </c>
      <c r="M441" t="s">
        <v>657</v>
      </c>
      <c r="N441" t="s">
        <v>1016</v>
      </c>
      <c r="O441" t="s">
        <v>1017</v>
      </c>
      <c r="P441" s="108">
        <v>42136</v>
      </c>
      <c r="Q441" s="108">
        <v>42138</v>
      </c>
      <c r="R441" s="108">
        <v>42171</v>
      </c>
      <c r="S441" t="s">
        <v>153</v>
      </c>
      <c r="T441">
        <v>2</v>
      </c>
      <c r="U441" t="s">
        <v>2596</v>
      </c>
      <c r="V441">
        <v>2</v>
      </c>
      <c r="W441" t="s">
        <v>2596</v>
      </c>
      <c r="X441">
        <v>2</v>
      </c>
      <c r="Y441">
        <f>VLOOKUP(Table_clu7sql1_ssdb_REPORT_vw_IE_External_MI_SON[[#This Row],[URN]],[1]Data!$D$2:$BB$1084,31,)</f>
        <v>2</v>
      </c>
      <c r="Z441">
        <v>9</v>
      </c>
      <c r="AA441">
        <v>9</v>
      </c>
      <c r="AB441" t="s">
        <v>2598</v>
      </c>
      <c r="AC441" t="s">
        <v>2596</v>
      </c>
      <c r="AD441" t="s">
        <v>2596</v>
      </c>
      <c r="AE441" t="s">
        <v>2596</v>
      </c>
      <c r="AF441" t="s">
        <v>2596</v>
      </c>
      <c r="AG441" t="s">
        <v>2596</v>
      </c>
      <c r="AH441" t="s">
        <v>2596</v>
      </c>
    </row>
    <row r="442" spans="1:34" x14ac:dyDescent="0.25">
      <c r="A442" s="111" t="str">
        <f>HYPERLINK("http://www.ofsted.gov.uk/inspection-reports/find-inspection-report/provider/ELS/133438 ","Ofsted School Webpage")</f>
        <v>Ofsted School Webpage</v>
      </c>
      <c r="B442">
        <v>133438</v>
      </c>
      <c r="C442">
        <v>3066104</v>
      </c>
      <c r="D442" t="s">
        <v>1368</v>
      </c>
      <c r="E442" t="s">
        <v>37</v>
      </c>
      <c r="F442" t="s">
        <v>142</v>
      </c>
      <c r="G442" t="s">
        <v>142</v>
      </c>
      <c r="H442" t="s">
        <v>2595</v>
      </c>
      <c r="I442" t="s">
        <v>2596</v>
      </c>
      <c r="J442" t="s">
        <v>143</v>
      </c>
      <c r="K442" t="s">
        <v>189</v>
      </c>
      <c r="L442" t="s">
        <v>189</v>
      </c>
      <c r="M442" t="s">
        <v>676</v>
      </c>
      <c r="N442" t="s">
        <v>1369</v>
      </c>
      <c r="O442" t="s">
        <v>1370</v>
      </c>
      <c r="P442" s="108">
        <v>41584</v>
      </c>
      <c r="Q442" s="108">
        <v>41586</v>
      </c>
      <c r="R442" s="108">
        <v>41606</v>
      </c>
      <c r="S442" t="s">
        <v>153</v>
      </c>
      <c r="T442">
        <v>2</v>
      </c>
      <c r="U442" t="s">
        <v>2596</v>
      </c>
      <c r="V442">
        <v>2</v>
      </c>
      <c r="W442" t="s">
        <v>2596</v>
      </c>
      <c r="X442">
        <v>2</v>
      </c>
      <c r="Y442">
        <f>VLOOKUP(Table_clu7sql1_ssdb_REPORT_vw_IE_External_MI_SON[[#This Row],[URN]],[1]Data!$D$2:$BB$1084,31,)</f>
        <v>2</v>
      </c>
      <c r="Z442" t="s">
        <v>2596</v>
      </c>
      <c r="AA442" t="s">
        <v>2596</v>
      </c>
      <c r="AB442" t="s">
        <v>2886</v>
      </c>
      <c r="AC442" t="s">
        <v>2596</v>
      </c>
      <c r="AD442" t="s">
        <v>2596</v>
      </c>
      <c r="AE442" s="108" t="s">
        <v>2596</v>
      </c>
      <c r="AF442" t="s">
        <v>2596</v>
      </c>
      <c r="AG442" s="108" t="s">
        <v>2596</v>
      </c>
      <c r="AH442" t="s">
        <v>2596</v>
      </c>
    </row>
    <row r="443" spans="1:34" x14ac:dyDescent="0.25">
      <c r="A443" s="111" t="str">
        <f>HYPERLINK("http://www.ofsted.gov.uk/inspection-reports/find-inspection-report/provider/ELS/133439 ","Ofsted School Webpage")</f>
        <v>Ofsted School Webpage</v>
      </c>
      <c r="B443">
        <v>133439</v>
      </c>
      <c r="C443">
        <v>2046409</v>
      </c>
      <c r="D443" t="s">
        <v>1061</v>
      </c>
      <c r="E443" t="s">
        <v>37</v>
      </c>
      <c r="F443" t="s">
        <v>142</v>
      </c>
      <c r="G443" t="s">
        <v>275</v>
      </c>
      <c r="H443" t="s">
        <v>2595</v>
      </c>
      <c r="I443" t="s">
        <v>2596</v>
      </c>
      <c r="J443" t="s">
        <v>143</v>
      </c>
      <c r="K443" t="s">
        <v>189</v>
      </c>
      <c r="L443" t="s">
        <v>189</v>
      </c>
      <c r="M443" t="s">
        <v>434</v>
      </c>
      <c r="N443" t="s">
        <v>1062</v>
      </c>
      <c r="O443">
        <v>10038165</v>
      </c>
      <c r="P443" s="108">
        <v>43165</v>
      </c>
      <c r="Q443" s="108">
        <v>43167</v>
      </c>
      <c r="R443" s="108">
        <v>43185</v>
      </c>
      <c r="S443" t="s">
        <v>153</v>
      </c>
      <c r="T443">
        <v>2</v>
      </c>
      <c r="U443" t="s">
        <v>123</v>
      </c>
      <c r="V443">
        <v>2</v>
      </c>
      <c r="W443">
        <v>2</v>
      </c>
      <c r="X443">
        <v>2</v>
      </c>
      <c r="Y443">
        <f>VLOOKUP(Table_clu7sql1_ssdb_REPORT_vw_IE_External_MI_SON[[#This Row],[URN]],[1]Data!$D$2:$BB$1084,31,)</f>
        <v>2</v>
      </c>
      <c r="Z443">
        <v>2</v>
      </c>
      <c r="AA443" t="s">
        <v>2596</v>
      </c>
      <c r="AB443" t="s">
        <v>2598</v>
      </c>
      <c r="AC443" t="s">
        <v>2596</v>
      </c>
      <c r="AD443" t="s">
        <v>2596</v>
      </c>
      <c r="AE443" t="s">
        <v>2596</v>
      </c>
      <c r="AF443" t="s">
        <v>2596</v>
      </c>
      <c r="AG443" t="s">
        <v>2596</v>
      </c>
      <c r="AH443" t="s">
        <v>2596</v>
      </c>
    </row>
    <row r="444" spans="1:34" x14ac:dyDescent="0.25">
      <c r="A444" s="111" t="str">
        <f>HYPERLINK("http://www.ofsted.gov.uk/inspection-reports/find-inspection-report/provider/ELS/133443 ","Ofsted School Webpage")</f>
        <v>Ofsted School Webpage</v>
      </c>
      <c r="B444">
        <v>133443</v>
      </c>
      <c r="C444">
        <v>3186586</v>
      </c>
      <c r="D444" t="s">
        <v>1458</v>
      </c>
      <c r="E444" t="s">
        <v>36</v>
      </c>
      <c r="F444" t="s">
        <v>142</v>
      </c>
      <c r="G444" t="s">
        <v>142</v>
      </c>
      <c r="H444" t="s">
        <v>2595</v>
      </c>
      <c r="I444" t="s">
        <v>2596</v>
      </c>
      <c r="J444" t="s">
        <v>143</v>
      </c>
      <c r="K444" t="s">
        <v>189</v>
      </c>
      <c r="L444" t="s">
        <v>189</v>
      </c>
      <c r="M444" t="s">
        <v>190</v>
      </c>
      <c r="N444" t="s">
        <v>1459</v>
      </c>
      <c r="O444" t="s">
        <v>1460</v>
      </c>
      <c r="P444" s="108">
        <v>41443</v>
      </c>
      <c r="Q444" s="108">
        <v>41445</v>
      </c>
      <c r="R444" s="108">
        <v>41465</v>
      </c>
      <c r="S444" t="s">
        <v>153</v>
      </c>
      <c r="T444">
        <v>2</v>
      </c>
      <c r="U444" t="s">
        <v>2596</v>
      </c>
      <c r="V444">
        <v>2</v>
      </c>
      <c r="W444" t="s">
        <v>2596</v>
      </c>
      <c r="X444">
        <v>2</v>
      </c>
      <c r="Y444">
        <f>VLOOKUP(Table_clu7sql1_ssdb_REPORT_vw_IE_External_MI_SON[[#This Row],[URN]],[1]Data!$D$2:$BB$1084,31,)</f>
        <v>2</v>
      </c>
      <c r="Z444" t="s">
        <v>2596</v>
      </c>
      <c r="AA444" t="s">
        <v>2596</v>
      </c>
      <c r="AB444" t="s">
        <v>2886</v>
      </c>
      <c r="AC444" t="s">
        <v>2596</v>
      </c>
      <c r="AD444" t="s">
        <v>2596</v>
      </c>
      <c r="AE444" s="108" t="s">
        <v>2596</v>
      </c>
      <c r="AF444" t="s">
        <v>2596</v>
      </c>
      <c r="AG444" s="108" t="s">
        <v>2596</v>
      </c>
      <c r="AH444" t="s">
        <v>2596</v>
      </c>
    </row>
    <row r="445" spans="1:34" x14ac:dyDescent="0.25">
      <c r="A445" s="111" t="str">
        <f>HYPERLINK("http://www.ofsted.gov.uk/inspection-reports/find-inspection-report/provider/ELS/133447 ","Ofsted School Webpage")</f>
        <v>Ofsted School Webpage</v>
      </c>
      <c r="B445">
        <v>133447</v>
      </c>
      <c r="C445">
        <v>2096361</v>
      </c>
      <c r="D445" t="s">
        <v>1588</v>
      </c>
      <c r="E445" t="s">
        <v>36</v>
      </c>
      <c r="F445" t="s">
        <v>142</v>
      </c>
      <c r="G445" t="s">
        <v>169</v>
      </c>
      <c r="H445" t="s">
        <v>2595</v>
      </c>
      <c r="I445" t="s">
        <v>2596</v>
      </c>
      <c r="J445" t="s">
        <v>143</v>
      </c>
      <c r="K445" t="s">
        <v>189</v>
      </c>
      <c r="L445" t="s">
        <v>189</v>
      </c>
      <c r="M445" t="s">
        <v>484</v>
      </c>
      <c r="N445" t="s">
        <v>1589</v>
      </c>
      <c r="O445">
        <v>10035796</v>
      </c>
      <c r="P445" s="108">
        <v>43067</v>
      </c>
      <c r="Q445" s="108">
        <v>43069</v>
      </c>
      <c r="R445" s="108">
        <v>43136</v>
      </c>
      <c r="S445" t="s">
        <v>153</v>
      </c>
      <c r="T445">
        <v>4</v>
      </c>
      <c r="U445" t="s">
        <v>123</v>
      </c>
      <c r="V445">
        <v>4</v>
      </c>
      <c r="W445">
        <v>3</v>
      </c>
      <c r="X445">
        <v>4</v>
      </c>
      <c r="Y445">
        <f>VLOOKUP(Table_clu7sql1_ssdb_REPORT_vw_IE_External_MI_SON[[#This Row],[URN]],[1]Data!$D$2:$BB$1084,31,)</f>
        <v>4</v>
      </c>
      <c r="Z445">
        <v>4</v>
      </c>
      <c r="AA445" t="s">
        <v>2596</v>
      </c>
      <c r="AB445" t="s">
        <v>2599</v>
      </c>
      <c r="AC445" t="s">
        <v>2596</v>
      </c>
      <c r="AD445" t="s">
        <v>2596</v>
      </c>
      <c r="AE445" s="108" t="s">
        <v>2596</v>
      </c>
      <c r="AF445" t="s">
        <v>2596</v>
      </c>
      <c r="AG445" s="108" t="s">
        <v>2596</v>
      </c>
      <c r="AH445" t="s">
        <v>2596</v>
      </c>
    </row>
    <row r="446" spans="1:34" x14ac:dyDescent="0.25">
      <c r="A446" s="111" t="str">
        <f>HYPERLINK("http://www.ofsted.gov.uk/inspection-reports/find-inspection-report/provider/ELS/133449 ","Ofsted School Webpage")</f>
        <v>Ofsted School Webpage</v>
      </c>
      <c r="B446">
        <v>133449</v>
      </c>
      <c r="C446">
        <v>2046410</v>
      </c>
      <c r="D446" t="s">
        <v>1259</v>
      </c>
      <c r="E446" t="s">
        <v>36</v>
      </c>
      <c r="F446" t="s">
        <v>142</v>
      </c>
      <c r="G446" t="s">
        <v>180</v>
      </c>
      <c r="H446" t="s">
        <v>2595</v>
      </c>
      <c r="I446" t="s">
        <v>2596</v>
      </c>
      <c r="J446" t="s">
        <v>143</v>
      </c>
      <c r="K446" t="s">
        <v>189</v>
      </c>
      <c r="L446" t="s">
        <v>189</v>
      </c>
      <c r="M446" t="s">
        <v>434</v>
      </c>
      <c r="N446" t="s">
        <v>1260</v>
      </c>
      <c r="O446">
        <v>10034443</v>
      </c>
      <c r="P446" s="108">
        <v>42920</v>
      </c>
      <c r="Q446" s="108">
        <v>42922</v>
      </c>
      <c r="R446" s="108">
        <v>43011</v>
      </c>
      <c r="S446" t="s">
        <v>153</v>
      </c>
      <c r="T446">
        <v>4</v>
      </c>
      <c r="U446" t="s">
        <v>124</v>
      </c>
      <c r="V446">
        <v>4</v>
      </c>
      <c r="W446">
        <v>4</v>
      </c>
      <c r="X446">
        <v>2</v>
      </c>
      <c r="Y446">
        <f>VLOOKUP(Table_clu7sql1_ssdb_REPORT_vw_IE_External_MI_SON[[#This Row],[URN]],[1]Data!$D$2:$BB$1084,31,)</f>
        <v>2</v>
      </c>
      <c r="Z446" t="s">
        <v>2596</v>
      </c>
      <c r="AA446" t="s">
        <v>2596</v>
      </c>
      <c r="AB446" t="s">
        <v>2599</v>
      </c>
      <c r="AC446">
        <v>10045463</v>
      </c>
      <c r="AD446" t="s">
        <v>144</v>
      </c>
      <c r="AE446" s="108">
        <v>43158</v>
      </c>
      <c r="AF446" t="s">
        <v>2636</v>
      </c>
      <c r="AG446" s="108">
        <v>43188</v>
      </c>
      <c r="AH446" t="s">
        <v>174</v>
      </c>
    </row>
    <row r="447" spans="1:34" x14ac:dyDescent="0.25">
      <c r="A447" s="111" t="str">
        <f>HYPERLINK("http://www.ofsted.gov.uk/inspection-reports/find-inspection-report/provider/ELS/133453 ","Ofsted School Webpage")</f>
        <v>Ofsted School Webpage</v>
      </c>
      <c r="B447">
        <v>133453</v>
      </c>
      <c r="C447">
        <v>3806113</v>
      </c>
      <c r="D447" t="s">
        <v>1700</v>
      </c>
      <c r="E447" t="s">
        <v>36</v>
      </c>
      <c r="F447" t="s">
        <v>142</v>
      </c>
      <c r="G447" t="s">
        <v>180</v>
      </c>
      <c r="H447" t="s">
        <v>2595</v>
      </c>
      <c r="I447" t="s">
        <v>2596</v>
      </c>
      <c r="J447" t="s">
        <v>143</v>
      </c>
      <c r="K447" t="s">
        <v>202</v>
      </c>
      <c r="L447" t="s">
        <v>203</v>
      </c>
      <c r="M447" t="s">
        <v>295</v>
      </c>
      <c r="N447" t="s">
        <v>1701</v>
      </c>
      <c r="O447">
        <v>10033917</v>
      </c>
      <c r="P447" s="108">
        <v>42920</v>
      </c>
      <c r="Q447" s="108">
        <v>42922</v>
      </c>
      <c r="R447" s="108">
        <v>43118</v>
      </c>
      <c r="S447" t="s">
        <v>153</v>
      </c>
      <c r="T447">
        <v>3</v>
      </c>
      <c r="U447" t="s">
        <v>123</v>
      </c>
      <c r="V447">
        <v>3</v>
      </c>
      <c r="W447">
        <v>3</v>
      </c>
      <c r="X447">
        <v>2</v>
      </c>
      <c r="Y447">
        <f>VLOOKUP(Table_clu7sql1_ssdb_REPORT_vw_IE_External_MI_SON[[#This Row],[URN]],[1]Data!$D$2:$BB$1084,31,)</f>
        <v>2</v>
      </c>
      <c r="Z447">
        <v>2</v>
      </c>
      <c r="AA447" t="s">
        <v>2596</v>
      </c>
      <c r="AB447" t="s">
        <v>2599</v>
      </c>
      <c r="AC447" t="s">
        <v>2596</v>
      </c>
      <c r="AD447" t="s">
        <v>2596</v>
      </c>
      <c r="AE447" t="s">
        <v>2596</v>
      </c>
      <c r="AF447" t="s">
        <v>2596</v>
      </c>
      <c r="AG447" t="s">
        <v>2596</v>
      </c>
      <c r="AH447" t="s">
        <v>2596</v>
      </c>
    </row>
    <row r="448" spans="1:34" x14ac:dyDescent="0.25">
      <c r="A448" s="111" t="str">
        <f>HYPERLINK("http://www.ofsted.gov.uk/inspection-reports/find-inspection-report/provider/ELS/133477 ","Ofsted School Webpage")</f>
        <v>Ofsted School Webpage</v>
      </c>
      <c r="B448">
        <v>133477</v>
      </c>
      <c r="C448">
        <v>9366581</v>
      </c>
      <c r="D448" t="s">
        <v>1309</v>
      </c>
      <c r="E448" t="s">
        <v>37</v>
      </c>
      <c r="F448" t="s">
        <v>142</v>
      </c>
      <c r="G448" t="s">
        <v>169</v>
      </c>
      <c r="H448" t="s">
        <v>2595</v>
      </c>
      <c r="I448" t="s">
        <v>2596</v>
      </c>
      <c r="J448" t="s">
        <v>143</v>
      </c>
      <c r="K448" t="s">
        <v>139</v>
      </c>
      <c r="L448" t="s">
        <v>139</v>
      </c>
      <c r="M448" t="s">
        <v>535</v>
      </c>
      <c r="N448" t="s">
        <v>1310</v>
      </c>
      <c r="O448">
        <v>10026023</v>
      </c>
      <c r="P448" s="108">
        <v>43158</v>
      </c>
      <c r="Q448" s="108">
        <v>43160</v>
      </c>
      <c r="R448" s="108">
        <v>43185</v>
      </c>
      <c r="S448" t="s">
        <v>153</v>
      </c>
      <c r="T448">
        <v>2</v>
      </c>
      <c r="U448" t="s">
        <v>123</v>
      </c>
      <c r="V448">
        <v>2</v>
      </c>
      <c r="W448">
        <v>2</v>
      </c>
      <c r="X448">
        <v>2</v>
      </c>
      <c r="Y448">
        <f>VLOOKUP(Table_clu7sql1_ssdb_REPORT_vw_IE_External_MI_SON[[#This Row],[URN]],[1]Data!$D$2:$BB$1084,31,)</f>
        <v>2</v>
      </c>
      <c r="Z448" t="s">
        <v>2596</v>
      </c>
      <c r="AA448">
        <v>2</v>
      </c>
      <c r="AB448" t="s">
        <v>2598</v>
      </c>
      <c r="AC448" t="s">
        <v>2596</v>
      </c>
      <c r="AD448" t="s">
        <v>2596</v>
      </c>
      <c r="AE448" t="s">
        <v>2596</v>
      </c>
      <c r="AF448" t="s">
        <v>2596</v>
      </c>
      <c r="AG448" t="s">
        <v>2596</v>
      </c>
      <c r="AH448" t="s">
        <v>2596</v>
      </c>
    </row>
    <row r="449" spans="1:34" x14ac:dyDescent="0.25">
      <c r="A449" s="111" t="str">
        <f>HYPERLINK("http://www.ofsted.gov.uk/inspection-reports/find-inspection-report/provider/ELS/133478 ","Ofsted School Webpage")</f>
        <v>Ofsted School Webpage</v>
      </c>
      <c r="B449">
        <v>133478</v>
      </c>
      <c r="C449">
        <v>8936025</v>
      </c>
      <c r="D449" t="s">
        <v>361</v>
      </c>
      <c r="E449" t="s">
        <v>37</v>
      </c>
      <c r="F449" t="s">
        <v>142</v>
      </c>
      <c r="G449" t="s">
        <v>142</v>
      </c>
      <c r="H449" t="s">
        <v>2595</v>
      </c>
      <c r="I449" t="s">
        <v>2596</v>
      </c>
      <c r="J449" t="s">
        <v>143</v>
      </c>
      <c r="K449" t="s">
        <v>150</v>
      </c>
      <c r="L449" t="s">
        <v>150</v>
      </c>
      <c r="M449" t="s">
        <v>151</v>
      </c>
      <c r="N449" t="s">
        <v>362</v>
      </c>
      <c r="O449" t="s">
        <v>1772</v>
      </c>
      <c r="P449" s="108">
        <v>42185</v>
      </c>
      <c r="Q449" s="108">
        <v>42187</v>
      </c>
      <c r="R449" s="108">
        <v>42212</v>
      </c>
      <c r="S449" t="s">
        <v>153</v>
      </c>
      <c r="T449">
        <v>2</v>
      </c>
      <c r="U449" t="s">
        <v>2596</v>
      </c>
      <c r="V449">
        <v>2</v>
      </c>
      <c r="W449" t="s">
        <v>2596</v>
      </c>
      <c r="X449">
        <v>2</v>
      </c>
      <c r="Y449">
        <f>VLOOKUP(Table_clu7sql1_ssdb_REPORT_vw_IE_External_MI_SON[[#This Row],[URN]],[1]Data!$D$2:$BB$1084,31,)</f>
        <v>2</v>
      </c>
      <c r="Z449">
        <v>9</v>
      </c>
      <c r="AA449">
        <v>2</v>
      </c>
      <c r="AB449" t="s">
        <v>2598</v>
      </c>
      <c r="AC449" t="s">
        <v>2596</v>
      </c>
      <c r="AD449" t="s">
        <v>2596</v>
      </c>
      <c r="AE449" t="s">
        <v>2596</v>
      </c>
      <c r="AF449" t="s">
        <v>2596</v>
      </c>
      <c r="AG449" t="s">
        <v>2596</v>
      </c>
      <c r="AH449" t="s">
        <v>2596</v>
      </c>
    </row>
    <row r="450" spans="1:34" x14ac:dyDescent="0.25">
      <c r="A450" s="111" t="str">
        <f>HYPERLINK("http://www.ofsted.gov.uk/inspection-reports/find-inspection-report/provider/ELS/133485 ","Ofsted School Webpage")</f>
        <v>Ofsted School Webpage</v>
      </c>
      <c r="B450">
        <v>133485</v>
      </c>
      <c r="C450">
        <v>8766000</v>
      </c>
      <c r="D450" t="s">
        <v>836</v>
      </c>
      <c r="E450" t="s">
        <v>37</v>
      </c>
      <c r="F450" t="s">
        <v>142</v>
      </c>
      <c r="G450" t="s">
        <v>142</v>
      </c>
      <c r="H450" t="s">
        <v>2595</v>
      </c>
      <c r="I450" t="s">
        <v>2596</v>
      </c>
      <c r="J450" t="s">
        <v>143</v>
      </c>
      <c r="K450" t="s">
        <v>162</v>
      </c>
      <c r="L450" t="s">
        <v>162</v>
      </c>
      <c r="M450" t="s">
        <v>590</v>
      </c>
      <c r="N450" t="s">
        <v>837</v>
      </c>
      <c r="O450">
        <v>10009033</v>
      </c>
      <c r="P450" s="108">
        <v>42332</v>
      </c>
      <c r="Q450" s="108">
        <v>42334</v>
      </c>
      <c r="R450" s="108">
        <v>42359</v>
      </c>
      <c r="S450" t="s">
        <v>153</v>
      </c>
      <c r="T450">
        <v>2</v>
      </c>
      <c r="U450" t="s">
        <v>123</v>
      </c>
      <c r="V450">
        <v>2</v>
      </c>
      <c r="W450">
        <v>1</v>
      </c>
      <c r="X450">
        <v>2</v>
      </c>
      <c r="Y450">
        <f>VLOOKUP(Table_clu7sql1_ssdb_REPORT_vw_IE_External_MI_SON[[#This Row],[URN]],[1]Data!$D$2:$BB$1084,31,)</f>
        <v>2</v>
      </c>
      <c r="Z450" t="s">
        <v>2596</v>
      </c>
      <c r="AA450" t="s">
        <v>2596</v>
      </c>
      <c r="AB450" t="s">
        <v>2598</v>
      </c>
      <c r="AC450" t="s">
        <v>2596</v>
      </c>
      <c r="AD450" t="s">
        <v>2596</v>
      </c>
      <c r="AE450" t="s">
        <v>2596</v>
      </c>
      <c r="AF450" t="s">
        <v>2596</v>
      </c>
      <c r="AG450" t="s">
        <v>2596</v>
      </c>
      <c r="AH450" t="s">
        <v>2596</v>
      </c>
    </row>
    <row r="451" spans="1:34" x14ac:dyDescent="0.25">
      <c r="A451" s="111" t="str">
        <f>HYPERLINK("http://www.ofsted.gov.uk/inspection-reports/find-inspection-report/provider/ELS/133517 ","Ofsted School Webpage")</f>
        <v>Ofsted School Webpage</v>
      </c>
      <c r="B451">
        <v>133517</v>
      </c>
      <c r="C451">
        <v>3206061</v>
      </c>
      <c r="D451" t="s">
        <v>2264</v>
      </c>
      <c r="E451" t="s">
        <v>36</v>
      </c>
      <c r="F451" t="s">
        <v>261</v>
      </c>
      <c r="G451" t="s">
        <v>180</v>
      </c>
      <c r="H451" t="s">
        <v>2595</v>
      </c>
      <c r="I451" t="s">
        <v>2596</v>
      </c>
      <c r="J451" t="s">
        <v>143</v>
      </c>
      <c r="K451" t="s">
        <v>189</v>
      </c>
      <c r="L451" t="s">
        <v>189</v>
      </c>
      <c r="M451" t="s">
        <v>662</v>
      </c>
      <c r="N451" t="s">
        <v>2265</v>
      </c>
      <c r="O451">
        <v>10012847</v>
      </c>
      <c r="P451" s="108">
        <v>43116</v>
      </c>
      <c r="Q451" s="108">
        <v>43118</v>
      </c>
      <c r="R451" s="108">
        <v>43171</v>
      </c>
      <c r="S451" t="s">
        <v>153</v>
      </c>
      <c r="T451">
        <v>2</v>
      </c>
      <c r="U451" t="s">
        <v>123</v>
      </c>
      <c r="V451">
        <v>2</v>
      </c>
      <c r="W451">
        <v>2</v>
      </c>
      <c r="X451">
        <v>2</v>
      </c>
      <c r="Y451">
        <f>VLOOKUP(Table_clu7sql1_ssdb_REPORT_vw_IE_External_MI_SON[[#This Row],[URN]],[1]Data!$D$2:$BB$1084,31,)</f>
        <v>2</v>
      </c>
      <c r="Z451">
        <v>2</v>
      </c>
      <c r="AA451" t="s">
        <v>2596</v>
      </c>
      <c r="AB451" t="s">
        <v>2598</v>
      </c>
      <c r="AC451" t="s">
        <v>2596</v>
      </c>
      <c r="AD451" t="s">
        <v>2596</v>
      </c>
      <c r="AE451" t="s">
        <v>2596</v>
      </c>
      <c r="AF451" t="s">
        <v>2596</v>
      </c>
      <c r="AG451" t="s">
        <v>2596</v>
      </c>
      <c r="AH451" t="s">
        <v>2596</v>
      </c>
    </row>
    <row r="452" spans="1:34" x14ac:dyDescent="0.25">
      <c r="A452" s="111" t="str">
        <f>HYPERLINK("http://www.ofsted.gov.uk/inspection-reports/find-inspection-report/provider/ELS/133521 ","Ofsted School Webpage")</f>
        <v>Ofsted School Webpage</v>
      </c>
      <c r="B452">
        <v>133521</v>
      </c>
      <c r="C452">
        <v>3306102</v>
      </c>
      <c r="D452" t="s">
        <v>265</v>
      </c>
      <c r="E452" t="s">
        <v>36</v>
      </c>
      <c r="F452" t="s">
        <v>142</v>
      </c>
      <c r="G452" t="s">
        <v>180</v>
      </c>
      <c r="H452" t="s">
        <v>2595</v>
      </c>
      <c r="I452" t="s">
        <v>2596</v>
      </c>
      <c r="J452" t="s">
        <v>143</v>
      </c>
      <c r="K452" t="s">
        <v>150</v>
      </c>
      <c r="L452" t="s">
        <v>150</v>
      </c>
      <c r="M452" t="s">
        <v>167</v>
      </c>
      <c r="N452" t="s">
        <v>266</v>
      </c>
      <c r="O452">
        <v>10040956</v>
      </c>
      <c r="P452" s="108">
        <v>43025</v>
      </c>
      <c r="Q452" s="108">
        <v>43027</v>
      </c>
      <c r="R452" s="108">
        <v>43062</v>
      </c>
      <c r="S452" t="s">
        <v>153</v>
      </c>
      <c r="T452">
        <v>4</v>
      </c>
      <c r="U452" t="s">
        <v>123</v>
      </c>
      <c r="V452">
        <v>4</v>
      </c>
      <c r="W452">
        <v>2</v>
      </c>
      <c r="X452">
        <v>3</v>
      </c>
      <c r="Y452">
        <f>VLOOKUP(Table_clu7sql1_ssdb_REPORT_vw_IE_External_MI_SON[[#This Row],[URN]],[1]Data!$D$2:$BB$1084,31,)</f>
        <v>3</v>
      </c>
      <c r="Z452">
        <v>2</v>
      </c>
      <c r="AA452" t="s">
        <v>2596</v>
      </c>
      <c r="AB452" t="s">
        <v>2599</v>
      </c>
      <c r="AC452" t="s">
        <v>2596</v>
      </c>
      <c r="AD452" t="s">
        <v>2596</v>
      </c>
      <c r="AE452" t="s">
        <v>2596</v>
      </c>
      <c r="AF452" t="s">
        <v>2596</v>
      </c>
      <c r="AG452" t="s">
        <v>2596</v>
      </c>
      <c r="AH452" t="s">
        <v>2596</v>
      </c>
    </row>
    <row r="453" spans="1:34" x14ac:dyDescent="0.25">
      <c r="A453" s="111" t="str">
        <f>HYPERLINK("http://www.ofsted.gov.uk/inspection-reports/find-inspection-report/provider/ELS/133522 ","Ofsted School Webpage")</f>
        <v>Ofsted School Webpage</v>
      </c>
      <c r="B453">
        <v>133522</v>
      </c>
      <c r="C453">
        <v>9336210</v>
      </c>
      <c r="D453" t="s">
        <v>1196</v>
      </c>
      <c r="E453" t="s">
        <v>37</v>
      </c>
      <c r="F453" t="s">
        <v>142</v>
      </c>
      <c r="G453" t="s">
        <v>142</v>
      </c>
      <c r="H453" t="s">
        <v>2595</v>
      </c>
      <c r="I453" t="s">
        <v>2596</v>
      </c>
      <c r="J453" t="s">
        <v>143</v>
      </c>
      <c r="K453" t="s">
        <v>182</v>
      </c>
      <c r="L453" t="s">
        <v>182</v>
      </c>
      <c r="M453" t="s">
        <v>219</v>
      </c>
      <c r="N453" t="s">
        <v>1197</v>
      </c>
      <c r="O453" t="s">
        <v>1198</v>
      </c>
      <c r="P453" s="108">
        <v>42074</v>
      </c>
      <c r="Q453" s="108">
        <v>42076</v>
      </c>
      <c r="R453" s="108">
        <v>42115</v>
      </c>
      <c r="S453" t="s">
        <v>153</v>
      </c>
      <c r="T453">
        <v>2</v>
      </c>
      <c r="U453" t="s">
        <v>2596</v>
      </c>
      <c r="V453">
        <v>2</v>
      </c>
      <c r="W453" t="s">
        <v>2596</v>
      </c>
      <c r="X453">
        <v>2</v>
      </c>
      <c r="Y453">
        <f>VLOOKUP(Table_clu7sql1_ssdb_REPORT_vw_IE_External_MI_SON[[#This Row],[URN]],[1]Data!$D$2:$BB$1084,31,)</f>
        <v>2</v>
      </c>
      <c r="Z453">
        <v>9</v>
      </c>
      <c r="AA453">
        <v>9</v>
      </c>
      <c r="AB453" t="s">
        <v>2598</v>
      </c>
      <c r="AC453" t="s">
        <v>2596</v>
      </c>
      <c r="AD453" t="s">
        <v>2596</v>
      </c>
      <c r="AE453" t="s">
        <v>2596</v>
      </c>
      <c r="AF453" t="s">
        <v>2596</v>
      </c>
      <c r="AG453" t="s">
        <v>2596</v>
      </c>
      <c r="AH453" t="s">
        <v>2596</v>
      </c>
    </row>
    <row r="454" spans="1:34" x14ac:dyDescent="0.25">
      <c r="A454" s="111" t="str">
        <f>HYPERLINK("http://www.ofsted.gov.uk/inspection-reports/find-inspection-report/provider/ELS/133527 ","Ofsted School Webpage")</f>
        <v>Ofsted School Webpage</v>
      </c>
      <c r="B454">
        <v>133527</v>
      </c>
      <c r="C454">
        <v>9336203</v>
      </c>
      <c r="D454" t="s">
        <v>355</v>
      </c>
      <c r="E454" t="s">
        <v>37</v>
      </c>
      <c r="F454" t="s">
        <v>142</v>
      </c>
      <c r="G454" t="s">
        <v>142</v>
      </c>
      <c r="H454" t="s">
        <v>2595</v>
      </c>
      <c r="I454" t="s">
        <v>2596</v>
      </c>
      <c r="J454" t="s">
        <v>143</v>
      </c>
      <c r="K454" t="s">
        <v>182</v>
      </c>
      <c r="L454" t="s">
        <v>182</v>
      </c>
      <c r="M454" t="s">
        <v>219</v>
      </c>
      <c r="N454" t="s">
        <v>356</v>
      </c>
      <c r="O454">
        <v>10033891</v>
      </c>
      <c r="P454" s="108">
        <v>42990</v>
      </c>
      <c r="Q454" s="108">
        <v>42992</v>
      </c>
      <c r="R454" s="108">
        <v>43019</v>
      </c>
      <c r="S454" t="s">
        <v>153</v>
      </c>
      <c r="T454">
        <v>2</v>
      </c>
      <c r="U454" t="s">
        <v>123</v>
      </c>
      <c r="V454">
        <v>2</v>
      </c>
      <c r="W454">
        <v>2</v>
      </c>
      <c r="X454">
        <v>2</v>
      </c>
      <c r="Y454">
        <f>VLOOKUP(Table_clu7sql1_ssdb_REPORT_vw_IE_External_MI_SON[[#This Row],[URN]],[1]Data!$D$2:$BB$1084,31,)</f>
        <v>2</v>
      </c>
      <c r="Z454" t="s">
        <v>2596</v>
      </c>
      <c r="AA454" t="s">
        <v>2596</v>
      </c>
      <c r="AB454" t="s">
        <v>2598</v>
      </c>
      <c r="AC454" t="s">
        <v>2596</v>
      </c>
      <c r="AD454" t="s">
        <v>2596</v>
      </c>
      <c r="AE454" s="108" t="s">
        <v>2596</v>
      </c>
      <c r="AF454" t="s">
        <v>2596</v>
      </c>
      <c r="AG454" s="108" t="s">
        <v>2596</v>
      </c>
      <c r="AH454" t="s">
        <v>2596</v>
      </c>
    </row>
    <row r="455" spans="1:34" x14ac:dyDescent="0.25">
      <c r="A455" s="111" t="str">
        <f>HYPERLINK("http://www.ofsted.gov.uk/inspection-reports/find-inspection-report/provider/ELS/133533 ","Ofsted School Webpage")</f>
        <v>Ofsted School Webpage</v>
      </c>
      <c r="B455">
        <v>133533</v>
      </c>
      <c r="C455">
        <v>3026114</v>
      </c>
      <c r="D455" t="s">
        <v>343</v>
      </c>
      <c r="E455" t="s">
        <v>36</v>
      </c>
      <c r="F455" t="s">
        <v>142</v>
      </c>
      <c r="G455" t="s">
        <v>275</v>
      </c>
      <c r="H455" t="s">
        <v>2595</v>
      </c>
      <c r="I455" t="s">
        <v>2596</v>
      </c>
      <c r="J455" t="s">
        <v>143</v>
      </c>
      <c r="K455" t="s">
        <v>189</v>
      </c>
      <c r="L455" t="s">
        <v>189</v>
      </c>
      <c r="M455" t="s">
        <v>268</v>
      </c>
      <c r="N455" t="s">
        <v>344</v>
      </c>
      <c r="O455">
        <v>10038166</v>
      </c>
      <c r="P455" s="108">
        <v>43025</v>
      </c>
      <c r="Q455" s="108">
        <v>43027</v>
      </c>
      <c r="R455" s="108">
        <v>43066</v>
      </c>
      <c r="S455" t="s">
        <v>153</v>
      </c>
      <c r="T455">
        <v>2</v>
      </c>
      <c r="U455" t="s">
        <v>123</v>
      </c>
      <c r="V455">
        <v>2</v>
      </c>
      <c r="W455">
        <v>2</v>
      </c>
      <c r="X455">
        <v>2</v>
      </c>
      <c r="Y455">
        <f>VLOOKUP(Table_clu7sql1_ssdb_REPORT_vw_IE_External_MI_SON[[#This Row],[URN]],[1]Data!$D$2:$BB$1084,31,)</f>
        <v>2</v>
      </c>
      <c r="Z455">
        <v>3</v>
      </c>
      <c r="AA455" t="s">
        <v>2596</v>
      </c>
      <c r="AB455" t="s">
        <v>2598</v>
      </c>
      <c r="AC455" t="s">
        <v>2596</v>
      </c>
      <c r="AD455" t="s">
        <v>2596</v>
      </c>
      <c r="AE455" t="s">
        <v>2596</v>
      </c>
      <c r="AF455" t="s">
        <v>2596</v>
      </c>
      <c r="AG455" t="s">
        <v>2596</v>
      </c>
      <c r="AH455" t="s">
        <v>2596</v>
      </c>
    </row>
    <row r="456" spans="1:34" x14ac:dyDescent="0.25">
      <c r="A456" s="111" t="str">
        <f>HYPERLINK("http://www.ofsted.gov.uk/inspection-reports/find-inspection-report/provider/ELS/133539 ","Ofsted School Webpage")</f>
        <v>Ofsted School Webpage</v>
      </c>
      <c r="B456">
        <v>133539</v>
      </c>
      <c r="C456">
        <v>8866093</v>
      </c>
      <c r="D456" t="s">
        <v>525</v>
      </c>
      <c r="E456" t="s">
        <v>37</v>
      </c>
      <c r="F456" t="s">
        <v>142</v>
      </c>
      <c r="G456" t="s">
        <v>142</v>
      </c>
      <c r="H456" t="s">
        <v>2595</v>
      </c>
      <c r="I456" t="s">
        <v>2596</v>
      </c>
      <c r="J456" t="s">
        <v>143</v>
      </c>
      <c r="K456" t="s">
        <v>139</v>
      </c>
      <c r="L456" t="s">
        <v>139</v>
      </c>
      <c r="M456" t="s">
        <v>140</v>
      </c>
      <c r="N456" t="s">
        <v>526</v>
      </c>
      <c r="O456">
        <v>10033950</v>
      </c>
      <c r="P456" s="108">
        <v>43130</v>
      </c>
      <c r="Q456" s="108">
        <v>43132</v>
      </c>
      <c r="R456" s="108">
        <v>43164</v>
      </c>
      <c r="S456" t="s">
        <v>153</v>
      </c>
      <c r="T456">
        <v>2</v>
      </c>
      <c r="U456" t="s">
        <v>123</v>
      </c>
      <c r="V456">
        <v>2</v>
      </c>
      <c r="W456">
        <v>2</v>
      </c>
      <c r="X456">
        <v>2</v>
      </c>
      <c r="Y456">
        <f>VLOOKUP(Table_clu7sql1_ssdb_REPORT_vw_IE_External_MI_SON[[#This Row],[URN]],[1]Data!$D$2:$BB$1084,31,)</f>
        <v>2</v>
      </c>
      <c r="Z456" t="s">
        <v>2596</v>
      </c>
      <c r="AA456" t="s">
        <v>2596</v>
      </c>
      <c r="AB456" t="s">
        <v>2598</v>
      </c>
      <c r="AC456" t="s">
        <v>2596</v>
      </c>
      <c r="AD456" t="s">
        <v>2596</v>
      </c>
      <c r="AE456" t="s">
        <v>2596</v>
      </c>
      <c r="AF456" t="s">
        <v>2596</v>
      </c>
      <c r="AG456" t="s">
        <v>2596</v>
      </c>
      <c r="AH456" t="s">
        <v>2596</v>
      </c>
    </row>
    <row r="457" spans="1:34" x14ac:dyDescent="0.25">
      <c r="A457" s="111" t="str">
        <f>HYPERLINK("http://www.ofsted.gov.uk/inspection-reports/find-inspection-report/provider/ELS/133540 ","Ofsted School Webpage")</f>
        <v>Ofsted School Webpage</v>
      </c>
      <c r="B457">
        <v>133540</v>
      </c>
      <c r="C457">
        <v>8886050</v>
      </c>
      <c r="D457" t="s">
        <v>1119</v>
      </c>
      <c r="E457" t="s">
        <v>37</v>
      </c>
      <c r="F457" t="s">
        <v>142</v>
      </c>
      <c r="G457" t="s">
        <v>142</v>
      </c>
      <c r="H457" t="s">
        <v>2595</v>
      </c>
      <c r="I457" t="s">
        <v>2596</v>
      </c>
      <c r="J457" t="s">
        <v>143</v>
      </c>
      <c r="K457" t="s">
        <v>162</v>
      </c>
      <c r="L457" t="s">
        <v>162</v>
      </c>
      <c r="M457" t="s">
        <v>163</v>
      </c>
      <c r="N457" t="s">
        <v>1120</v>
      </c>
      <c r="O457">
        <v>10008865</v>
      </c>
      <c r="P457" s="108">
        <v>42556</v>
      </c>
      <c r="Q457" s="108">
        <v>42558</v>
      </c>
      <c r="R457" s="108">
        <v>42625</v>
      </c>
      <c r="S457" t="s">
        <v>153</v>
      </c>
      <c r="T457">
        <v>1</v>
      </c>
      <c r="U457" t="s">
        <v>123</v>
      </c>
      <c r="V457">
        <v>1</v>
      </c>
      <c r="W457">
        <v>1</v>
      </c>
      <c r="X457">
        <v>1</v>
      </c>
      <c r="Y457">
        <f>VLOOKUP(Table_clu7sql1_ssdb_REPORT_vw_IE_External_MI_SON[[#This Row],[URN]],[1]Data!$D$2:$BB$1084,31,)</f>
        <v>1</v>
      </c>
      <c r="Z457" t="s">
        <v>2596</v>
      </c>
      <c r="AA457">
        <v>1</v>
      </c>
      <c r="AB457" t="s">
        <v>2598</v>
      </c>
      <c r="AC457" t="s">
        <v>2596</v>
      </c>
      <c r="AD457" t="s">
        <v>2596</v>
      </c>
      <c r="AE457" t="s">
        <v>2596</v>
      </c>
      <c r="AF457" t="s">
        <v>2596</v>
      </c>
      <c r="AG457" t="s">
        <v>2596</v>
      </c>
      <c r="AH457" t="s">
        <v>2596</v>
      </c>
    </row>
    <row r="458" spans="1:34" x14ac:dyDescent="0.25">
      <c r="A458" s="111" t="str">
        <f>HYPERLINK("http://www.ofsted.gov.uk/inspection-reports/find-inspection-report/provider/ELS/133541 ","Ofsted School Webpage")</f>
        <v>Ofsted School Webpage</v>
      </c>
      <c r="B458">
        <v>133541</v>
      </c>
      <c r="C458">
        <v>8896009</v>
      </c>
      <c r="D458" t="s">
        <v>1598</v>
      </c>
      <c r="E458" t="s">
        <v>36</v>
      </c>
      <c r="F458" t="s">
        <v>261</v>
      </c>
      <c r="G458" t="s">
        <v>180</v>
      </c>
      <c r="H458" t="s">
        <v>2595</v>
      </c>
      <c r="I458" t="s">
        <v>2596</v>
      </c>
      <c r="J458" t="s">
        <v>143</v>
      </c>
      <c r="K458" t="s">
        <v>162</v>
      </c>
      <c r="L458" t="s">
        <v>162</v>
      </c>
      <c r="M458" t="s">
        <v>440</v>
      </c>
      <c r="N458" t="s">
        <v>1599</v>
      </c>
      <c r="O458">
        <v>10026008</v>
      </c>
      <c r="P458" s="108">
        <v>42920</v>
      </c>
      <c r="Q458" s="108">
        <v>42922</v>
      </c>
      <c r="R458" s="108">
        <v>42944</v>
      </c>
      <c r="S458" t="s">
        <v>153</v>
      </c>
      <c r="T458">
        <v>2</v>
      </c>
      <c r="U458" t="s">
        <v>123</v>
      </c>
      <c r="V458">
        <v>2</v>
      </c>
      <c r="W458">
        <v>1</v>
      </c>
      <c r="X458">
        <v>2</v>
      </c>
      <c r="Y458">
        <f>VLOOKUP(Table_clu7sql1_ssdb_REPORT_vw_IE_External_MI_SON[[#This Row],[URN]],[1]Data!$D$2:$BB$1084,31,)</f>
        <v>2</v>
      </c>
      <c r="Z458" t="s">
        <v>2596</v>
      </c>
      <c r="AA458" t="s">
        <v>2596</v>
      </c>
      <c r="AB458" t="s">
        <v>2598</v>
      </c>
      <c r="AC458" t="s">
        <v>2596</v>
      </c>
      <c r="AD458" t="s">
        <v>2596</v>
      </c>
      <c r="AE458" t="s">
        <v>2596</v>
      </c>
      <c r="AF458" t="s">
        <v>2596</v>
      </c>
      <c r="AG458" t="s">
        <v>2596</v>
      </c>
      <c r="AH458" t="s">
        <v>2596</v>
      </c>
    </row>
    <row r="459" spans="1:34" x14ac:dyDescent="0.25">
      <c r="A459" s="111" t="str">
        <f>HYPERLINK("http://www.ofsted.gov.uk/inspection-reports/find-inspection-report/provider/ELS/133553 ","Ofsted School Webpage")</f>
        <v>Ofsted School Webpage</v>
      </c>
      <c r="B459">
        <v>133553</v>
      </c>
      <c r="C459">
        <v>3026115</v>
      </c>
      <c r="D459" t="s">
        <v>734</v>
      </c>
      <c r="E459" t="s">
        <v>36</v>
      </c>
      <c r="F459" t="s">
        <v>142</v>
      </c>
      <c r="G459" t="s">
        <v>275</v>
      </c>
      <c r="H459" t="s">
        <v>2595</v>
      </c>
      <c r="I459" t="s">
        <v>2596</v>
      </c>
      <c r="J459" t="s">
        <v>143</v>
      </c>
      <c r="K459" t="s">
        <v>189</v>
      </c>
      <c r="L459" t="s">
        <v>189</v>
      </c>
      <c r="M459" t="s">
        <v>268</v>
      </c>
      <c r="N459" t="s">
        <v>735</v>
      </c>
      <c r="O459">
        <v>10021534</v>
      </c>
      <c r="P459" s="108">
        <v>42675</v>
      </c>
      <c r="Q459" s="108">
        <v>42677</v>
      </c>
      <c r="R459" s="108">
        <v>42709</v>
      </c>
      <c r="S459" t="s">
        <v>153</v>
      </c>
      <c r="T459">
        <v>3</v>
      </c>
      <c r="U459" t="s">
        <v>123</v>
      </c>
      <c r="V459">
        <v>3</v>
      </c>
      <c r="W459">
        <v>2</v>
      </c>
      <c r="X459">
        <v>3</v>
      </c>
      <c r="Y459">
        <f>VLOOKUP(Table_clu7sql1_ssdb_REPORT_vw_IE_External_MI_SON[[#This Row],[URN]],[1]Data!$D$2:$BB$1084,31,)</f>
        <v>3</v>
      </c>
      <c r="Z459">
        <v>2</v>
      </c>
      <c r="AA459" t="s">
        <v>2596</v>
      </c>
      <c r="AB459" t="s">
        <v>2599</v>
      </c>
      <c r="AC459">
        <v>10034607</v>
      </c>
      <c r="AD459" t="s">
        <v>144</v>
      </c>
      <c r="AE459" s="108">
        <v>42871</v>
      </c>
      <c r="AF459" t="s">
        <v>2634</v>
      </c>
      <c r="AG459" s="108">
        <v>42905</v>
      </c>
      <c r="AH459" t="s">
        <v>146</v>
      </c>
    </row>
    <row r="460" spans="1:34" x14ac:dyDescent="0.25">
      <c r="A460" s="111" t="str">
        <f>HYPERLINK("http://www.ofsted.gov.uk/inspection-reports/find-inspection-report/provider/ELS/133570 ","Ofsted School Webpage")</f>
        <v>Ofsted School Webpage</v>
      </c>
      <c r="B460">
        <v>133570</v>
      </c>
      <c r="C460">
        <v>8736041</v>
      </c>
      <c r="D460" t="s">
        <v>1732</v>
      </c>
      <c r="E460" t="s">
        <v>37</v>
      </c>
      <c r="F460" t="s">
        <v>142</v>
      </c>
      <c r="G460" t="s">
        <v>142</v>
      </c>
      <c r="H460" t="s">
        <v>2595</v>
      </c>
      <c r="I460" t="s">
        <v>2596</v>
      </c>
      <c r="J460" t="s">
        <v>143</v>
      </c>
      <c r="K460" t="s">
        <v>177</v>
      </c>
      <c r="L460" t="s">
        <v>177</v>
      </c>
      <c r="M460" t="s">
        <v>241</v>
      </c>
      <c r="N460" t="s">
        <v>1733</v>
      </c>
      <c r="O460">
        <v>10006070</v>
      </c>
      <c r="P460" s="108">
        <v>42766</v>
      </c>
      <c r="Q460" s="108">
        <v>42768</v>
      </c>
      <c r="R460" s="108">
        <v>42808</v>
      </c>
      <c r="S460" t="s">
        <v>153</v>
      </c>
      <c r="T460">
        <v>3</v>
      </c>
      <c r="U460" t="s">
        <v>123</v>
      </c>
      <c r="V460">
        <v>3</v>
      </c>
      <c r="W460">
        <v>3</v>
      </c>
      <c r="X460">
        <v>3</v>
      </c>
      <c r="Y460">
        <f>VLOOKUP(Table_clu7sql1_ssdb_REPORT_vw_IE_External_MI_SON[[#This Row],[URN]],[1]Data!$D$2:$BB$1084,31,)</f>
        <v>3</v>
      </c>
      <c r="Z460" t="s">
        <v>2596</v>
      </c>
      <c r="AA460" t="s">
        <v>2596</v>
      </c>
      <c r="AB460" t="s">
        <v>2599</v>
      </c>
      <c r="AC460" t="s">
        <v>2596</v>
      </c>
      <c r="AD460" t="s">
        <v>2596</v>
      </c>
      <c r="AE460" s="108" t="s">
        <v>2596</v>
      </c>
      <c r="AF460" t="s">
        <v>2596</v>
      </c>
      <c r="AG460" s="108" t="s">
        <v>2596</v>
      </c>
      <c r="AH460" t="s">
        <v>2596</v>
      </c>
    </row>
    <row r="461" spans="1:34" x14ac:dyDescent="0.25">
      <c r="A461" s="111" t="str">
        <f>HYPERLINK("http://www.ofsted.gov.uk/inspection-reports/find-inspection-report/provider/ELS/133603 ","Ofsted School Webpage")</f>
        <v>Ofsted School Webpage</v>
      </c>
      <c r="B461">
        <v>133603</v>
      </c>
      <c r="C461">
        <v>3306103</v>
      </c>
      <c r="D461" t="s">
        <v>704</v>
      </c>
      <c r="E461" t="s">
        <v>36</v>
      </c>
      <c r="F461" t="s">
        <v>261</v>
      </c>
      <c r="G461" t="s">
        <v>261</v>
      </c>
      <c r="H461" t="s">
        <v>2595</v>
      </c>
      <c r="I461" t="s">
        <v>2596</v>
      </c>
      <c r="J461" t="s">
        <v>143</v>
      </c>
      <c r="K461" t="s">
        <v>150</v>
      </c>
      <c r="L461" t="s">
        <v>150</v>
      </c>
      <c r="M461" t="s">
        <v>167</v>
      </c>
      <c r="N461" t="s">
        <v>705</v>
      </c>
      <c r="O461">
        <v>10006855</v>
      </c>
      <c r="P461" s="108">
        <v>42331</v>
      </c>
      <c r="Q461" s="108">
        <v>42333</v>
      </c>
      <c r="R461" s="108">
        <v>42380</v>
      </c>
      <c r="S461" t="s">
        <v>153</v>
      </c>
      <c r="T461">
        <v>4</v>
      </c>
      <c r="U461" t="s">
        <v>123</v>
      </c>
      <c r="V461">
        <v>4</v>
      </c>
      <c r="W461">
        <v>2</v>
      </c>
      <c r="X461">
        <v>4</v>
      </c>
      <c r="Y461">
        <f>VLOOKUP(Table_clu7sql1_ssdb_REPORT_vw_IE_External_MI_SON[[#This Row],[URN]],[1]Data!$D$2:$BB$1084,31,)</f>
        <v>4</v>
      </c>
      <c r="Z461" t="s">
        <v>2596</v>
      </c>
      <c r="AA461" t="s">
        <v>2596</v>
      </c>
      <c r="AB461" t="s">
        <v>2599</v>
      </c>
      <c r="AC461">
        <v>10022074</v>
      </c>
      <c r="AD461" t="s">
        <v>144</v>
      </c>
      <c r="AE461" s="108">
        <v>42774</v>
      </c>
      <c r="AF461" t="s">
        <v>2634</v>
      </c>
      <c r="AG461" s="108">
        <v>42814</v>
      </c>
      <c r="AH461" t="s">
        <v>146</v>
      </c>
    </row>
    <row r="462" spans="1:34" x14ac:dyDescent="0.25">
      <c r="A462" s="111" t="str">
        <f>HYPERLINK("http://www.ofsted.gov.uk/inspection-reports/find-inspection-report/provider/ELS/133640 ","Ofsted School Webpage")</f>
        <v>Ofsted School Webpage</v>
      </c>
      <c r="B462">
        <v>133640</v>
      </c>
      <c r="C462">
        <v>8106004</v>
      </c>
      <c r="D462" t="s">
        <v>1105</v>
      </c>
      <c r="E462" t="s">
        <v>37</v>
      </c>
      <c r="F462" t="s">
        <v>142</v>
      </c>
      <c r="G462" t="s">
        <v>142</v>
      </c>
      <c r="H462" t="s">
        <v>2595</v>
      </c>
      <c r="I462" t="s">
        <v>2596</v>
      </c>
      <c r="J462" t="s">
        <v>143</v>
      </c>
      <c r="K462" t="s">
        <v>202</v>
      </c>
      <c r="L462" t="s">
        <v>203</v>
      </c>
      <c r="M462" t="s">
        <v>211</v>
      </c>
      <c r="N462" t="s">
        <v>1106</v>
      </c>
      <c r="O462">
        <v>10020903</v>
      </c>
      <c r="P462" s="108">
        <v>42696</v>
      </c>
      <c r="Q462" s="108">
        <v>42698</v>
      </c>
      <c r="R462" s="108">
        <v>42727</v>
      </c>
      <c r="S462" t="s">
        <v>153</v>
      </c>
      <c r="T462">
        <v>3</v>
      </c>
      <c r="U462" t="s">
        <v>123</v>
      </c>
      <c r="V462">
        <v>3</v>
      </c>
      <c r="W462">
        <v>2</v>
      </c>
      <c r="X462">
        <v>3</v>
      </c>
      <c r="Y462">
        <f>VLOOKUP(Table_clu7sql1_ssdb_REPORT_vw_IE_External_MI_SON[[#This Row],[URN]],[1]Data!$D$2:$BB$1084,31,)</f>
        <v>3</v>
      </c>
      <c r="Z462" t="s">
        <v>2596</v>
      </c>
      <c r="AA462" t="s">
        <v>2596</v>
      </c>
      <c r="AB462" t="s">
        <v>2598</v>
      </c>
      <c r="AC462" t="s">
        <v>2596</v>
      </c>
      <c r="AD462" t="s">
        <v>2596</v>
      </c>
      <c r="AE462" s="108" t="s">
        <v>2596</v>
      </c>
      <c r="AF462" t="s">
        <v>2596</v>
      </c>
      <c r="AG462" s="108" t="s">
        <v>2596</v>
      </c>
      <c r="AH462" t="s">
        <v>2596</v>
      </c>
    </row>
    <row r="463" spans="1:34" x14ac:dyDescent="0.25">
      <c r="A463" s="111" t="str">
        <f>HYPERLINK("http://www.ofsted.gov.uk/inspection-reports/find-inspection-report/provider/ELS/133646 ","Ofsted School Webpage")</f>
        <v>Ofsted School Webpage</v>
      </c>
      <c r="B463">
        <v>133646</v>
      </c>
      <c r="C463">
        <v>2116392</v>
      </c>
      <c r="D463" t="s">
        <v>1780</v>
      </c>
      <c r="E463" t="s">
        <v>36</v>
      </c>
      <c r="F463" t="s">
        <v>142</v>
      </c>
      <c r="G463" t="s">
        <v>180</v>
      </c>
      <c r="H463" t="s">
        <v>2595</v>
      </c>
      <c r="I463" t="s">
        <v>2596</v>
      </c>
      <c r="J463" t="s">
        <v>143</v>
      </c>
      <c r="K463" t="s">
        <v>189</v>
      </c>
      <c r="L463" t="s">
        <v>189</v>
      </c>
      <c r="M463" t="s">
        <v>494</v>
      </c>
      <c r="N463" t="s">
        <v>1781</v>
      </c>
      <c r="O463" t="s">
        <v>1782</v>
      </c>
      <c r="P463" s="108">
        <v>41920</v>
      </c>
      <c r="Q463" s="108">
        <v>41922</v>
      </c>
      <c r="R463" s="108">
        <v>42039</v>
      </c>
      <c r="S463" t="s">
        <v>153</v>
      </c>
      <c r="T463">
        <v>4</v>
      </c>
      <c r="U463" t="s">
        <v>2596</v>
      </c>
      <c r="V463">
        <v>4</v>
      </c>
      <c r="W463" t="s">
        <v>2596</v>
      </c>
      <c r="X463">
        <v>4</v>
      </c>
      <c r="Y463">
        <f>VLOOKUP(Table_clu7sql1_ssdb_REPORT_vw_IE_External_MI_SON[[#This Row],[URN]],[1]Data!$D$2:$BB$1084,31,)</f>
        <v>4</v>
      </c>
      <c r="Z463">
        <v>9</v>
      </c>
      <c r="AA463">
        <v>9</v>
      </c>
      <c r="AB463" t="s">
        <v>2599</v>
      </c>
      <c r="AC463">
        <v>10020469</v>
      </c>
      <c r="AD463" t="s">
        <v>144</v>
      </c>
      <c r="AE463" s="108">
        <v>42656</v>
      </c>
      <c r="AF463" t="s">
        <v>2634</v>
      </c>
      <c r="AG463" s="108">
        <v>42689</v>
      </c>
      <c r="AH463" t="s">
        <v>146</v>
      </c>
    </row>
    <row r="464" spans="1:34" x14ac:dyDescent="0.25">
      <c r="A464" s="111" t="str">
        <f>HYPERLINK("http://www.ofsted.gov.uk/inspection-reports/find-inspection-report/provider/ELS/133651 ","Ofsted School Webpage")</f>
        <v>Ofsted School Webpage</v>
      </c>
      <c r="B464">
        <v>133651</v>
      </c>
      <c r="C464">
        <v>8736032</v>
      </c>
      <c r="D464" t="s">
        <v>240</v>
      </c>
      <c r="E464" t="s">
        <v>37</v>
      </c>
      <c r="F464" t="s">
        <v>142</v>
      </c>
      <c r="G464" t="s">
        <v>142</v>
      </c>
      <c r="H464" t="s">
        <v>2595</v>
      </c>
      <c r="I464" t="s">
        <v>2596</v>
      </c>
      <c r="J464" t="s">
        <v>143</v>
      </c>
      <c r="K464" t="s">
        <v>177</v>
      </c>
      <c r="L464" t="s">
        <v>177</v>
      </c>
      <c r="M464" t="s">
        <v>241</v>
      </c>
      <c r="N464" t="s">
        <v>242</v>
      </c>
      <c r="O464">
        <v>10038904</v>
      </c>
      <c r="P464" s="108">
        <v>42997</v>
      </c>
      <c r="Q464" s="108">
        <v>42998</v>
      </c>
      <c r="R464" s="108">
        <v>43027</v>
      </c>
      <c r="S464" t="s">
        <v>3005</v>
      </c>
      <c r="T464">
        <v>2</v>
      </c>
      <c r="U464" t="s">
        <v>123</v>
      </c>
      <c r="V464">
        <v>2</v>
      </c>
      <c r="W464">
        <v>2</v>
      </c>
      <c r="X464">
        <v>2</v>
      </c>
      <c r="Y464">
        <f>VLOOKUP(Table_clu7sql1_ssdb_REPORT_vw_IE_External_MI_SON[[#This Row],[URN]],[1]Data!$D$2:$BB$1084,31,)</f>
        <v>2</v>
      </c>
      <c r="Z464" t="s">
        <v>2596</v>
      </c>
      <c r="AA464" t="s">
        <v>2596</v>
      </c>
      <c r="AB464" t="s">
        <v>2598</v>
      </c>
      <c r="AC464" t="s">
        <v>2596</v>
      </c>
      <c r="AD464" t="s">
        <v>2596</v>
      </c>
      <c r="AE464" t="s">
        <v>2596</v>
      </c>
      <c r="AF464" t="s">
        <v>2596</v>
      </c>
      <c r="AG464" t="s">
        <v>2596</v>
      </c>
      <c r="AH464" t="s">
        <v>2596</v>
      </c>
    </row>
    <row r="465" spans="1:34" x14ac:dyDescent="0.25">
      <c r="A465" s="111" t="str">
        <f>HYPERLINK("http://www.ofsted.gov.uk/inspection-reports/find-inspection-report/provider/ELS/133964 ","Ofsted School Webpage")</f>
        <v>Ofsted School Webpage</v>
      </c>
      <c r="B465">
        <v>133964</v>
      </c>
      <c r="C465">
        <v>8506079</v>
      </c>
      <c r="D465" t="s">
        <v>2177</v>
      </c>
      <c r="E465" t="s">
        <v>36</v>
      </c>
      <c r="F465" t="s">
        <v>142</v>
      </c>
      <c r="G465" t="s">
        <v>169</v>
      </c>
      <c r="H465" t="s">
        <v>2595</v>
      </c>
      <c r="I465" t="s">
        <v>2596</v>
      </c>
      <c r="J465" t="s">
        <v>143</v>
      </c>
      <c r="K465" t="s">
        <v>139</v>
      </c>
      <c r="L465" t="s">
        <v>139</v>
      </c>
      <c r="M465" t="s">
        <v>158</v>
      </c>
      <c r="N465" t="s">
        <v>2178</v>
      </c>
      <c r="O465">
        <v>10008560</v>
      </c>
      <c r="P465" s="108">
        <v>42514</v>
      </c>
      <c r="Q465" s="108">
        <v>42516</v>
      </c>
      <c r="R465" s="108">
        <v>42542</v>
      </c>
      <c r="S465" t="s">
        <v>153</v>
      </c>
      <c r="T465">
        <v>3</v>
      </c>
      <c r="U465" t="s">
        <v>123</v>
      </c>
      <c r="V465">
        <v>3</v>
      </c>
      <c r="W465">
        <v>2</v>
      </c>
      <c r="X465">
        <v>2</v>
      </c>
      <c r="Y465">
        <f>VLOOKUP(Table_clu7sql1_ssdb_REPORT_vw_IE_External_MI_SON[[#This Row],[URN]],[1]Data!$D$2:$BB$1084,31,)</f>
        <v>2</v>
      </c>
      <c r="Z465" t="s">
        <v>2596</v>
      </c>
      <c r="AA465" t="s">
        <v>2596</v>
      </c>
      <c r="AB465" t="s">
        <v>2598</v>
      </c>
      <c r="AC465" t="s">
        <v>2596</v>
      </c>
      <c r="AD465" t="s">
        <v>2596</v>
      </c>
      <c r="AE465" s="108" t="s">
        <v>2596</v>
      </c>
      <c r="AF465" t="s">
        <v>2596</v>
      </c>
      <c r="AG465" s="108" t="s">
        <v>2596</v>
      </c>
      <c r="AH465" t="s">
        <v>2596</v>
      </c>
    </row>
    <row r="466" spans="1:34" x14ac:dyDescent="0.25">
      <c r="A466" s="111" t="str">
        <f>HYPERLINK("http://www.ofsted.gov.uk/inspection-reports/find-inspection-report/provider/ELS/133989 ","Ofsted School Webpage")</f>
        <v>Ofsted School Webpage</v>
      </c>
      <c r="B466">
        <v>133989</v>
      </c>
      <c r="C466">
        <v>8606026</v>
      </c>
      <c r="D466" t="s">
        <v>282</v>
      </c>
      <c r="E466" t="s">
        <v>37</v>
      </c>
      <c r="F466" t="s">
        <v>142</v>
      </c>
      <c r="G466" t="s">
        <v>142</v>
      </c>
      <c r="H466" t="s">
        <v>2595</v>
      </c>
      <c r="I466" t="s">
        <v>2596</v>
      </c>
      <c r="J466" t="s">
        <v>143</v>
      </c>
      <c r="K466" t="s">
        <v>150</v>
      </c>
      <c r="L466" t="s">
        <v>150</v>
      </c>
      <c r="M466" t="s">
        <v>271</v>
      </c>
      <c r="N466" t="s">
        <v>283</v>
      </c>
      <c r="O466">
        <v>10006319</v>
      </c>
      <c r="P466" s="108">
        <v>42759</v>
      </c>
      <c r="Q466" s="108">
        <v>42761</v>
      </c>
      <c r="R466" s="108">
        <v>42816</v>
      </c>
      <c r="S466" t="s">
        <v>153</v>
      </c>
      <c r="T466">
        <v>4</v>
      </c>
      <c r="U466" t="s">
        <v>124</v>
      </c>
      <c r="V466">
        <v>4</v>
      </c>
      <c r="W466">
        <v>4</v>
      </c>
      <c r="X466">
        <v>3</v>
      </c>
      <c r="Y466">
        <f>VLOOKUP(Table_clu7sql1_ssdb_REPORT_vw_IE_External_MI_SON[[#This Row],[URN]],[1]Data!$D$2:$BB$1084,31,)</f>
        <v>3</v>
      </c>
      <c r="Z466" t="s">
        <v>2596</v>
      </c>
      <c r="AA466" t="s">
        <v>2596</v>
      </c>
      <c r="AB466" t="s">
        <v>2599</v>
      </c>
      <c r="AC466">
        <v>10040567</v>
      </c>
      <c r="AD466" t="s">
        <v>144</v>
      </c>
      <c r="AE466" s="108">
        <v>42998</v>
      </c>
      <c r="AF466" t="s">
        <v>2636</v>
      </c>
      <c r="AG466" s="108">
        <v>43025</v>
      </c>
      <c r="AH466" t="s">
        <v>146</v>
      </c>
    </row>
    <row r="467" spans="1:34" x14ac:dyDescent="0.25">
      <c r="A467" s="111" t="str">
        <f>HYPERLINK("http://www.ofsted.gov.uk/inspection-reports/find-inspection-report/provider/ELS/134000 ","Ofsted School Webpage")</f>
        <v>Ofsted School Webpage</v>
      </c>
      <c r="B467">
        <v>134000</v>
      </c>
      <c r="C467">
        <v>8936026</v>
      </c>
      <c r="D467" t="s">
        <v>1799</v>
      </c>
      <c r="E467" t="s">
        <v>37</v>
      </c>
      <c r="F467" t="s">
        <v>142</v>
      </c>
      <c r="G467" t="s">
        <v>142</v>
      </c>
      <c r="H467" t="s">
        <v>2595</v>
      </c>
      <c r="I467" t="s">
        <v>2596</v>
      </c>
      <c r="J467" t="s">
        <v>143</v>
      </c>
      <c r="K467" t="s">
        <v>150</v>
      </c>
      <c r="L467" t="s">
        <v>150</v>
      </c>
      <c r="M467" t="s">
        <v>151</v>
      </c>
      <c r="N467" t="s">
        <v>1800</v>
      </c>
      <c r="O467">
        <v>10012915</v>
      </c>
      <c r="P467" s="108">
        <v>42906</v>
      </c>
      <c r="Q467" s="108">
        <v>42908</v>
      </c>
      <c r="R467" s="108">
        <v>42933</v>
      </c>
      <c r="S467" t="s">
        <v>153</v>
      </c>
      <c r="T467">
        <v>2</v>
      </c>
      <c r="U467" t="s">
        <v>123</v>
      </c>
      <c r="V467">
        <v>2</v>
      </c>
      <c r="W467">
        <v>2</v>
      </c>
      <c r="X467">
        <v>2</v>
      </c>
      <c r="Y467">
        <f>VLOOKUP(Table_clu7sql1_ssdb_REPORT_vw_IE_External_MI_SON[[#This Row],[URN]],[1]Data!$D$2:$BB$1084,31,)</f>
        <v>2</v>
      </c>
      <c r="Z467" t="s">
        <v>2596</v>
      </c>
      <c r="AA467">
        <v>2</v>
      </c>
      <c r="AB467" t="s">
        <v>2598</v>
      </c>
      <c r="AC467" t="s">
        <v>2596</v>
      </c>
      <c r="AD467" t="s">
        <v>2596</v>
      </c>
      <c r="AE467" s="108" t="s">
        <v>2596</v>
      </c>
      <c r="AF467" t="s">
        <v>2596</v>
      </c>
      <c r="AG467" s="108" t="s">
        <v>2596</v>
      </c>
      <c r="AH467" t="s">
        <v>2596</v>
      </c>
    </row>
    <row r="468" spans="1:34" x14ac:dyDescent="0.25">
      <c r="A468" s="111" t="str">
        <f>HYPERLINK("http://www.ofsted.gov.uk/inspection-reports/find-inspection-report/provider/ELS/134034 ","Ofsted School Webpage")</f>
        <v>Ofsted School Webpage</v>
      </c>
      <c r="B468">
        <v>134034</v>
      </c>
      <c r="C468">
        <v>3306104</v>
      </c>
      <c r="D468" t="s">
        <v>1256</v>
      </c>
      <c r="E468" t="s">
        <v>36</v>
      </c>
      <c r="F468" t="s">
        <v>142</v>
      </c>
      <c r="G468" t="s">
        <v>180</v>
      </c>
      <c r="H468" t="s">
        <v>2595</v>
      </c>
      <c r="I468" t="s">
        <v>2596</v>
      </c>
      <c r="J468" t="s">
        <v>143</v>
      </c>
      <c r="K468" t="s">
        <v>150</v>
      </c>
      <c r="L468" t="s">
        <v>150</v>
      </c>
      <c r="M468" t="s">
        <v>167</v>
      </c>
      <c r="N468" t="s">
        <v>1257</v>
      </c>
      <c r="O468" t="s">
        <v>1258</v>
      </c>
      <c r="P468" s="108">
        <v>41947</v>
      </c>
      <c r="Q468" s="108">
        <v>41949</v>
      </c>
      <c r="R468" s="108">
        <v>41969</v>
      </c>
      <c r="S468" t="s">
        <v>153</v>
      </c>
      <c r="T468">
        <v>1</v>
      </c>
      <c r="U468" t="s">
        <v>2596</v>
      </c>
      <c r="V468">
        <v>2</v>
      </c>
      <c r="W468" t="s">
        <v>2596</v>
      </c>
      <c r="X468">
        <v>1</v>
      </c>
      <c r="Y468">
        <f>VLOOKUP(Table_clu7sql1_ssdb_REPORT_vw_IE_External_MI_SON[[#This Row],[URN]],[1]Data!$D$2:$BB$1084,31,)</f>
        <v>1</v>
      </c>
      <c r="Z468">
        <v>9</v>
      </c>
      <c r="AA468">
        <v>9</v>
      </c>
      <c r="AB468" t="s">
        <v>2598</v>
      </c>
      <c r="AC468" t="s">
        <v>2596</v>
      </c>
      <c r="AD468" t="s">
        <v>2596</v>
      </c>
      <c r="AE468" s="108" t="s">
        <v>2596</v>
      </c>
      <c r="AF468" t="s">
        <v>2596</v>
      </c>
      <c r="AG468" s="108" t="s">
        <v>2596</v>
      </c>
      <c r="AH468" t="s">
        <v>2596</v>
      </c>
    </row>
    <row r="469" spans="1:34" x14ac:dyDescent="0.25">
      <c r="A469" s="111" t="str">
        <f>HYPERLINK("http://www.ofsted.gov.uk/inspection-reports/find-inspection-report/provider/ELS/134084 ","Ofsted School Webpage")</f>
        <v>Ofsted School Webpage</v>
      </c>
      <c r="B469">
        <v>134084</v>
      </c>
      <c r="C469">
        <v>3096087</v>
      </c>
      <c r="D469" t="s">
        <v>185</v>
      </c>
      <c r="E469" t="s">
        <v>36</v>
      </c>
      <c r="F469" t="s">
        <v>142</v>
      </c>
      <c r="G469" t="s">
        <v>180</v>
      </c>
      <c r="H469" t="s">
        <v>2595</v>
      </c>
      <c r="I469" t="s">
        <v>2596</v>
      </c>
      <c r="J469" t="s">
        <v>143</v>
      </c>
      <c r="K469" t="s">
        <v>189</v>
      </c>
      <c r="L469" t="s">
        <v>189</v>
      </c>
      <c r="M469" t="s">
        <v>650</v>
      </c>
      <c r="N469" t="s">
        <v>2194</v>
      </c>
      <c r="O469" t="s">
        <v>2195</v>
      </c>
      <c r="P469" s="108">
        <v>42171</v>
      </c>
      <c r="Q469" s="108">
        <v>42173</v>
      </c>
      <c r="R469" s="108">
        <v>42255</v>
      </c>
      <c r="S469" t="s">
        <v>153</v>
      </c>
      <c r="T469">
        <v>3</v>
      </c>
      <c r="U469" t="s">
        <v>2596</v>
      </c>
      <c r="V469">
        <v>2</v>
      </c>
      <c r="W469" t="s">
        <v>2596</v>
      </c>
      <c r="X469">
        <v>3</v>
      </c>
      <c r="Y469">
        <f>VLOOKUP(Table_clu7sql1_ssdb_REPORT_vw_IE_External_MI_SON[[#This Row],[URN]],[1]Data!$D$2:$BB$1084,31,)</f>
        <v>3</v>
      </c>
      <c r="Z469">
        <v>3</v>
      </c>
      <c r="AA469">
        <v>9</v>
      </c>
      <c r="AB469" t="s">
        <v>2598</v>
      </c>
      <c r="AC469" t="s">
        <v>2596</v>
      </c>
      <c r="AD469" t="s">
        <v>2596</v>
      </c>
      <c r="AE469" t="s">
        <v>2596</v>
      </c>
      <c r="AF469" t="s">
        <v>2596</v>
      </c>
      <c r="AG469" t="s">
        <v>2596</v>
      </c>
      <c r="AH469" t="s">
        <v>2596</v>
      </c>
    </row>
    <row r="470" spans="1:34" x14ac:dyDescent="0.25">
      <c r="A470" s="111" t="str">
        <f>HYPERLINK("http://www.ofsted.gov.uk/inspection-reports/find-inspection-report/provider/ELS/134085 ","Ofsted School Webpage")</f>
        <v>Ofsted School Webpage</v>
      </c>
      <c r="B470">
        <v>134085</v>
      </c>
      <c r="C470">
        <v>8716003</v>
      </c>
      <c r="D470" t="s">
        <v>185</v>
      </c>
      <c r="E470" t="s">
        <v>36</v>
      </c>
      <c r="F470" t="s">
        <v>142</v>
      </c>
      <c r="G470" t="s">
        <v>180</v>
      </c>
      <c r="H470" t="s">
        <v>2595</v>
      </c>
      <c r="I470" t="s">
        <v>2596</v>
      </c>
      <c r="J470" t="s">
        <v>143</v>
      </c>
      <c r="K470" t="s">
        <v>139</v>
      </c>
      <c r="L470" t="s">
        <v>139</v>
      </c>
      <c r="M470" t="s">
        <v>186</v>
      </c>
      <c r="N470" t="s">
        <v>187</v>
      </c>
      <c r="O470">
        <v>10039160</v>
      </c>
      <c r="P470" s="108">
        <v>43018</v>
      </c>
      <c r="Q470" s="108">
        <v>43020</v>
      </c>
      <c r="R470" s="108">
        <v>43045</v>
      </c>
      <c r="S470" t="s">
        <v>153</v>
      </c>
      <c r="T470">
        <v>2</v>
      </c>
      <c r="U470" t="s">
        <v>123</v>
      </c>
      <c r="V470">
        <v>1</v>
      </c>
      <c r="W470">
        <v>1</v>
      </c>
      <c r="X470">
        <v>2</v>
      </c>
      <c r="Y470">
        <f>VLOOKUP(Table_clu7sql1_ssdb_REPORT_vw_IE_External_MI_SON[[#This Row],[URN]],[1]Data!$D$2:$BB$1084,31,)</f>
        <v>2</v>
      </c>
      <c r="Z470">
        <v>1</v>
      </c>
      <c r="AA470" t="s">
        <v>2596</v>
      </c>
      <c r="AB470" t="s">
        <v>2598</v>
      </c>
      <c r="AC470" t="s">
        <v>2596</v>
      </c>
      <c r="AD470" t="s">
        <v>2596</v>
      </c>
      <c r="AE470" s="108" t="s">
        <v>2596</v>
      </c>
      <c r="AF470" t="s">
        <v>2596</v>
      </c>
      <c r="AG470" s="108" t="s">
        <v>2596</v>
      </c>
      <c r="AH470" t="s">
        <v>2596</v>
      </c>
    </row>
    <row r="471" spans="1:34" x14ac:dyDescent="0.25">
      <c r="A471" s="111" t="str">
        <f>HYPERLINK("http://www.ofsted.gov.uk/inspection-reports/find-inspection-report/provider/ELS/134087 ","Ofsted School Webpage")</f>
        <v>Ofsted School Webpage</v>
      </c>
      <c r="B471">
        <v>134087</v>
      </c>
      <c r="C471">
        <v>9196243</v>
      </c>
      <c r="D471" t="s">
        <v>2034</v>
      </c>
      <c r="E471" t="s">
        <v>36</v>
      </c>
      <c r="F471" t="s">
        <v>142</v>
      </c>
      <c r="G471" t="s">
        <v>142</v>
      </c>
      <c r="H471" t="s">
        <v>2595</v>
      </c>
      <c r="I471" t="s">
        <v>2596</v>
      </c>
      <c r="J471" t="s">
        <v>143</v>
      </c>
      <c r="K471" t="s">
        <v>177</v>
      </c>
      <c r="L471" t="s">
        <v>177</v>
      </c>
      <c r="M471" t="s">
        <v>773</v>
      </c>
      <c r="N471" t="s">
        <v>2035</v>
      </c>
      <c r="O471">
        <v>10033603</v>
      </c>
      <c r="P471" s="108">
        <v>42871</v>
      </c>
      <c r="Q471" s="108">
        <v>42873</v>
      </c>
      <c r="R471" s="108">
        <v>42912</v>
      </c>
      <c r="S471" t="s">
        <v>153</v>
      </c>
      <c r="T471">
        <v>2</v>
      </c>
      <c r="U471" t="s">
        <v>123</v>
      </c>
      <c r="V471">
        <v>2</v>
      </c>
      <c r="W471">
        <v>1</v>
      </c>
      <c r="X471">
        <v>2</v>
      </c>
      <c r="Y471">
        <f>VLOOKUP(Table_clu7sql1_ssdb_REPORT_vw_IE_External_MI_SON[[#This Row],[URN]],[1]Data!$D$2:$BB$1084,31,)</f>
        <v>2</v>
      </c>
      <c r="Z471" t="s">
        <v>2596</v>
      </c>
      <c r="AA471">
        <v>2</v>
      </c>
      <c r="AB471" t="s">
        <v>2598</v>
      </c>
      <c r="AC471" t="s">
        <v>2596</v>
      </c>
      <c r="AD471" t="s">
        <v>2596</v>
      </c>
      <c r="AE471" t="s">
        <v>2596</v>
      </c>
      <c r="AF471" t="s">
        <v>2596</v>
      </c>
      <c r="AG471" t="s">
        <v>2596</v>
      </c>
      <c r="AH471" t="s">
        <v>2596</v>
      </c>
    </row>
    <row r="472" spans="1:34" x14ac:dyDescent="0.25">
      <c r="A472" s="111" t="str">
        <f>HYPERLINK("http://www.ofsted.gov.uk/inspection-reports/find-inspection-report/provider/ELS/134091 ","Ofsted School Webpage")</f>
        <v>Ofsted School Webpage</v>
      </c>
      <c r="B472">
        <v>134091</v>
      </c>
      <c r="C472">
        <v>3306105</v>
      </c>
      <c r="D472" t="s">
        <v>2055</v>
      </c>
      <c r="E472" t="s">
        <v>36</v>
      </c>
      <c r="F472" t="s">
        <v>142</v>
      </c>
      <c r="G472" t="s">
        <v>169</v>
      </c>
      <c r="H472" t="s">
        <v>2595</v>
      </c>
      <c r="I472" t="s">
        <v>2596</v>
      </c>
      <c r="J472" t="s">
        <v>143</v>
      </c>
      <c r="K472" t="s">
        <v>150</v>
      </c>
      <c r="L472" t="s">
        <v>150</v>
      </c>
      <c r="M472" t="s">
        <v>167</v>
      </c>
      <c r="N472" t="s">
        <v>2056</v>
      </c>
      <c r="O472">
        <v>10008549</v>
      </c>
      <c r="P472" s="108">
        <v>42388</v>
      </c>
      <c r="Q472" s="108">
        <v>42390</v>
      </c>
      <c r="R472" s="108">
        <v>42426</v>
      </c>
      <c r="S472" t="s">
        <v>153</v>
      </c>
      <c r="T472">
        <v>2</v>
      </c>
      <c r="U472" t="s">
        <v>123</v>
      </c>
      <c r="V472">
        <v>2</v>
      </c>
      <c r="W472">
        <v>1</v>
      </c>
      <c r="X472">
        <v>2</v>
      </c>
      <c r="Y472">
        <f>VLOOKUP(Table_clu7sql1_ssdb_REPORT_vw_IE_External_MI_SON[[#This Row],[URN]],[1]Data!$D$2:$BB$1084,31,)</f>
        <v>2</v>
      </c>
      <c r="Z472">
        <v>1</v>
      </c>
      <c r="AA472" t="s">
        <v>2596</v>
      </c>
      <c r="AB472" t="s">
        <v>2598</v>
      </c>
      <c r="AC472" t="s">
        <v>2596</v>
      </c>
      <c r="AD472" t="s">
        <v>2596</v>
      </c>
      <c r="AE472" t="s">
        <v>2596</v>
      </c>
      <c r="AF472" t="s">
        <v>2596</v>
      </c>
      <c r="AG472" t="s">
        <v>2596</v>
      </c>
      <c r="AH472" t="s">
        <v>2596</v>
      </c>
    </row>
    <row r="473" spans="1:34" x14ac:dyDescent="0.25">
      <c r="A473" s="111" t="str">
        <f>HYPERLINK("http://www.ofsted.gov.uk/inspection-reports/find-inspection-report/provider/ELS/134137 ","Ofsted School Webpage")</f>
        <v>Ofsted School Webpage</v>
      </c>
      <c r="B473">
        <v>134137</v>
      </c>
      <c r="C473">
        <v>8236005</v>
      </c>
      <c r="D473" t="s">
        <v>1863</v>
      </c>
      <c r="E473" t="s">
        <v>36</v>
      </c>
      <c r="F473" t="s">
        <v>142</v>
      </c>
      <c r="G473" t="s">
        <v>142</v>
      </c>
      <c r="H473" t="s">
        <v>2595</v>
      </c>
      <c r="I473" t="s">
        <v>2596</v>
      </c>
      <c r="J473" t="s">
        <v>143</v>
      </c>
      <c r="K473" t="s">
        <v>177</v>
      </c>
      <c r="L473" t="s">
        <v>177</v>
      </c>
      <c r="M473" t="s">
        <v>371</v>
      </c>
      <c r="N473" t="s">
        <v>1864</v>
      </c>
      <c r="O473">
        <v>10026065</v>
      </c>
      <c r="P473" s="108">
        <v>43067</v>
      </c>
      <c r="Q473" s="108">
        <v>43069</v>
      </c>
      <c r="R473" s="108">
        <v>43110</v>
      </c>
      <c r="S473" t="s">
        <v>153</v>
      </c>
      <c r="T473">
        <v>2</v>
      </c>
      <c r="U473" t="s">
        <v>123</v>
      </c>
      <c r="V473">
        <v>2</v>
      </c>
      <c r="W473">
        <v>2</v>
      </c>
      <c r="X473">
        <v>2</v>
      </c>
      <c r="Y473">
        <f>VLOOKUP(Table_clu7sql1_ssdb_REPORT_vw_IE_External_MI_SON[[#This Row],[URN]],[1]Data!$D$2:$BB$1084,31,)</f>
        <v>2</v>
      </c>
      <c r="Z473" t="s">
        <v>2596</v>
      </c>
      <c r="AA473" t="s">
        <v>2596</v>
      </c>
      <c r="AB473" t="s">
        <v>2598</v>
      </c>
      <c r="AC473" t="s">
        <v>2596</v>
      </c>
      <c r="AD473" t="s">
        <v>2596</v>
      </c>
      <c r="AE473" s="108" t="s">
        <v>2596</v>
      </c>
      <c r="AF473" t="s">
        <v>2596</v>
      </c>
      <c r="AG473" s="108" t="s">
        <v>2596</v>
      </c>
      <c r="AH473" t="s">
        <v>2596</v>
      </c>
    </row>
    <row r="474" spans="1:34" x14ac:dyDescent="0.25">
      <c r="A474" s="111" t="str">
        <f>HYPERLINK("http://www.ofsted.gov.uk/inspection-reports/find-inspection-report/provider/ELS/134140 ","Ofsted School Webpage")</f>
        <v>Ofsted School Webpage</v>
      </c>
      <c r="B474">
        <v>134140</v>
      </c>
      <c r="C474">
        <v>3806114</v>
      </c>
      <c r="D474" t="s">
        <v>1622</v>
      </c>
      <c r="E474" t="s">
        <v>36</v>
      </c>
      <c r="F474" t="s">
        <v>261</v>
      </c>
      <c r="G474" t="s">
        <v>180</v>
      </c>
      <c r="H474" t="s">
        <v>2595</v>
      </c>
      <c r="I474" t="s">
        <v>2596</v>
      </c>
      <c r="J474" t="s">
        <v>143</v>
      </c>
      <c r="K474" t="s">
        <v>202</v>
      </c>
      <c r="L474" t="s">
        <v>203</v>
      </c>
      <c r="M474" t="s">
        <v>295</v>
      </c>
      <c r="N474" t="s">
        <v>1623</v>
      </c>
      <c r="O474">
        <v>10040142</v>
      </c>
      <c r="P474" s="108">
        <v>43060</v>
      </c>
      <c r="Q474" s="108">
        <v>43062</v>
      </c>
      <c r="R474" s="108">
        <v>43089</v>
      </c>
      <c r="S474" t="s">
        <v>153</v>
      </c>
      <c r="T474">
        <v>2</v>
      </c>
      <c r="U474" t="s">
        <v>123</v>
      </c>
      <c r="V474">
        <v>2</v>
      </c>
      <c r="W474">
        <v>2</v>
      </c>
      <c r="X474">
        <v>2</v>
      </c>
      <c r="Y474">
        <f>VLOOKUP(Table_clu7sql1_ssdb_REPORT_vw_IE_External_MI_SON[[#This Row],[URN]],[1]Data!$D$2:$BB$1084,31,)</f>
        <v>2</v>
      </c>
      <c r="Z474" t="s">
        <v>2596</v>
      </c>
      <c r="AA474">
        <v>2</v>
      </c>
      <c r="AB474" t="s">
        <v>2598</v>
      </c>
      <c r="AC474" t="s">
        <v>2596</v>
      </c>
      <c r="AD474" t="s">
        <v>2596</v>
      </c>
      <c r="AE474" t="s">
        <v>2596</v>
      </c>
      <c r="AF474" t="s">
        <v>2596</v>
      </c>
      <c r="AG474" t="s">
        <v>2596</v>
      </c>
      <c r="AH474" t="s">
        <v>2596</v>
      </c>
    </row>
    <row r="475" spans="1:34" x14ac:dyDescent="0.25">
      <c r="A475" s="111" t="str">
        <f>HYPERLINK("http://www.ofsted.gov.uk/inspection-reports/find-inspection-report/provider/ELS/134142 ","Ofsted School Webpage")</f>
        <v>Ofsted School Webpage</v>
      </c>
      <c r="B475">
        <v>134142</v>
      </c>
      <c r="C475">
        <v>2106393</v>
      </c>
      <c r="D475" t="s">
        <v>2497</v>
      </c>
      <c r="E475" t="s">
        <v>36</v>
      </c>
      <c r="F475" t="s">
        <v>142</v>
      </c>
      <c r="G475" t="s">
        <v>142</v>
      </c>
      <c r="H475" t="s">
        <v>2595</v>
      </c>
      <c r="I475" t="s">
        <v>2596</v>
      </c>
      <c r="J475" t="s">
        <v>143</v>
      </c>
      <c r="K475" t="s">
        <v>189</v>
      </c>
      <c r="L475" t="s">
        <v>189</v>
      </c>
      <c r="M475" t="s">
        <v>505</v>
      </c>
      <c r="N475" t="s">
        <v>2498</v>
      </c>
      <c r="O475" t="s">
        <v>2499</v>
      </c>
      <c r="P475" s="108">
        <v>41387</v>
      </c>
      <c r="Q475" s="108">
        <v>41389</v>
      </c>
      <c r="R475" s="108">
        <v>41410</v>
      </c>
      <c r="S475" t="s">
        <v>153</v>
      </c>
      <c r="T475">
        <v>2</v>
      </c>
      <c r="U475" t="s">
        <v>2596</v>
      </c>
      <c r="V475">
        <v>2</v>
      </c>
      <c r="W475" t="s">
        <v>2596</v>
      </c>
      <c r="X475">
        <v>2</v>
      </c>
      <c r="Y475">
        <f>VLOOKUP(Table_clu7sql1_ssdb_REPORT_vw_IE_External_MI_SON[[#This Row],[URN]],[1]Data!$D$2:$BB$1084,31,)</f>
        <v>2</v>
      </c>
      <c r="Z475" t="s">
        <v>2596</v>
      </c>
      <c r="AA475" t="s">
        <v>2596</v>
      </c>
      <c r="AB475" t="s">
        <v>2886</v>
      </c>
      <c r="AC475" t="s">
        <v>2596</v>
      </c>
      <c r="AD475" t="s">
        <v>2596</v>
      </c>
      <c r="AE475" t="s">
        <v>2596</v>
      </c>
      <c r="AF475" t="s">
        <v>2596</v>
      </c>
      <c r="AG475" t="s">
        <v>2596</v>
      </c>
      <c r="AH475" t="s">
        <v>2596</v>
      </c>
    </row>
    <row r="476" spans="1:34" x14ac:dyDescent="0.25">
      <c r="A476" s="111" t="str">
        <f>HYPERLINK("http://www.ofsted.gov.uk/inspection-reports/find-inspection-report/provider/ELS/134145 ","Ofsted School Webpage")</f>
        <v>Ofsted School Webpage</v>
      </c>
      <c r="B476">
        <v>134145</v>
      </c>
      <c r="C476">
        <v>2126405</v>
      </c>
      <c r="D476" t="s">
        <v>1224</v>
      </c>
      <c r="E476" t="s">
        <v>37</v>
      </c>
      <c r="F476" t="s">
        <v>142</v>
      </c>
      <c r="G476" t="s">
        <v>142</v>
      </c>
      <c r="H476" t="s">
        <v>2595</v>
      </c>
      <c r="I476" t="s">
        <v>2596</v>
      </c>
      <c r="J476" t="s">
        <v>143</v>
      </c>
      <c r="K476" t="s">
        <v>189</v>
      </c>
      <c r="L476" t="s">
        <v>189</v>
      </c>
      <c r="M476" t="s">
        <v>391</v>
      </c>
      <c r="N476" t="s">
        <v>1225</v>
      </c>
      <c r="O476">
        <v>10012791</v>
      </c>
      <c r="P476" s="108">
        <v>42542</v>
      </c>
      <c r="Q476" s="108">
        <v>42544</v>
      </c>
      <c r="R476" s="108">
        <v>42566</v>
      </c>
      <c r="S476" t="s">
        <v>153</v>
      </c>
      <c r="T476">
        <v>2</v>
      </c>
      <c r="U476" t="s">
        <v>123</v>
      </c>
      <c r="V476">
        <v>2</v>
      </c>
      <c r="W476">
        <v>1</v>
      </c>
      <c r="X476">
        <v>2</v>
      </c>
      <c r="Y476">
        <f>VLOOKUP(Table_clu7sql1_ssdb_REPORT_vw_IE_External_MI_SON[[#This Row],[URN]],[1]Data!$D$2:$BB$1084,31,)</f>
        <v>2</v>
      </c>
      <c r="Z476">
        <v>2</v>
      </c>
      <c r="AA476">
        <v>2</v>
      </c>
      <c r="AB476" t="s">
        <v>2598</v>
      </c>
      <c r="AC476" t="s">
        <v>2596</v>
      </c>
      <c r="AD476" t="s">
        <v>2596</v>
      </c>
      <c r="AE476" t="s">
        <v>2596</v>
      </c>
      <c r="AF476" t="s">
        <v>2596</v>
      </c>
      <c r="AG476" t="s">
        <v>2596</v>
      </c>
      <c r="AH476" t="s">
        <v>2596</v>
      </c>
    </row>
    <row r="477" spans="1:34" x14ac:dyDescent="0.25">
      <c r="A477" s="111" t="str">
        <f>HYPERLINK("http://www.ofsted.gov.uk/inspection-reports/find-inspection-report/provider/ELS/134148 ","Ofsted School Webpage")</f>
        <v>Ofsted School Webpage</v>
      </c>
      <c r="B477">
        <v>134148</v>
      </c>
      <c r="C477">
        <v>8456051</v>
      </c>
      <c r="D477" t="s">
        <v>902</v>
      </c>
      <c r="E477" t="s">
        <v>37</v>
      </c>
      <c r="F477" t="s">
        <v>142</v>
      </c>
      <c r="G477" t="s">
        <v>142</v>
      </c>
      <c r="H477" t="s">
        <v>2595</v>
      </c>
      <c r="I477" t="s">
        <v>2596</v>
      </c>
      <c r="J477" t="s">
        <v>143</v>
      </c>
      <c r="K477" t="s">
        <v>139</v>
      </c>
      <c r="L477" t="s">
        <v>139</v>
      </c>
      <c r="M477" t="s">
        <v>394</v>
      </c>
      <c r="N477" t="s">
        <v>903</v>
      </c>
      <c r="O477">
        <v>10020900</v>
      </c>
      <c r="P477" s="108">
        <v>42927</v>
      </c>
      <c r="Q477" s="108">
        <v>42929</v>
      </c>
      <c r="R477" s="108">
        <v>42992</v>
      </c>
      <c r="S477" t="s">
        <v>153</v>
      </c>
      <c r="T477">
        <v>2</v>
      </c>
      <c r="U477" t="s">
        <v>123</v>
      </c>
      <c r="V477">
        <v>2</v>
      </c>
      <c r="W477">
        <v>2</v>
      </c>
      <c r="X477">
        <v>2</v>
      </c>
      <c r="Y477">
        <f>VLOOKUP(Table_clu7sql1_ssdb_REPORT_vw_IE_External_MI_SON[[#This Row],[URN]],[1]Data!$D$2:$BB$1084,31,)</f>
        <v>2</v>
      </c>
      <c r="Z477" t="s">
        <v>2596</v>
      </c>
      <c r="AA477">
        <v>2</v>
      </c>
      <c r="AB477" t="s">
        <v>2598</v>
      </c>
      <c r="AC477" t="s">
        <v>2596</v>
      </c>
      <c r="AD477" t="s">
        <v>2596</v>
      </c>
      <c r="AE477" t="s">
        <v>2596</v>
      </c>
      <c r="AF477" t="s">
        <v>2596</v>
      </c>
      <c r="AG477" t="s">
        <v>2596</v>
      </c>
      <c r="AH477" t="s">
        <v>2596</v>
      </c>
    </row>
    <row r="478" spans="1:34" x14ac:dyDescent="0.25">
      <c r="A478" s="111" t="str">
        <f>HYPERLINK("http://www.ofsted.gov.uk/inspection-reports/find-inspection-report/provider/ELS/134175 ","Ofsted School Webpage")</f>
        <v>Ofsted School Webpage</v>
      </c>
      <c r="B478">
        <v>134175</v>
      </c>
      <c r="C478">
        <v>3056079</v>
      </c>
      <c r="D478" t="s">
        <v>1886</v>
      </c>
      <c r="E478" t="s">
        <v>36</v>
      </c>
      <c r="F478" t="s">
        <v>142</v>
      </c>
      <c r="G478" t="s">
        <v>249</v>
      </c>
      <c r="H478" t="s">
        <v>2595</v>
      </c>
      <c r="I478" t="s">
        <v>2596</v>
      </c>
      <c r="J478" t="s">
        <v>143</v>
      </c>
      <c r="K478" t="s">
        <v>189</v>
      </c>
      <c r="L478" t="s">
        <v>189</v>
      </c>
      <c r="M478" t="s">
        <v>540</v>
      </c>
      <c r="N478" t="s">
        <v>1887</v>
      </c>
      <c r="O478">
        <v>10026292</v>
      </c>
      <c r="P478" s="108">
        <v>42864</v>
      </c>
      <c r="Q478" s="108">
        <v>42866</v>
      </c>
      <c r="R478" s="108">
        <v>42922</v>
      </c>
      <c r="S478" t="s">
        <v>153</v>
      </c>
      <c r="T478">
        <v>2</v>
      </c>
      <c r="U478" t="s">
        <v>123</v>
      </c>
      <c r="V478">
        <v>2</v>
      </c>
      <c r="W478">
        <v>2</v>
      </c>
      <c r="X478">
        <v>2</v>
      </c>
      <c r="Y478">
        <f>VLOOKUP(Table_clu7sql1_ssdb_REPORT_vw_IE_External_MI_SON[[#This Row],[URN]],[1]Data!$D$2:$BB$1084,31,)</f>
        <v>2</v>
      </c>
      <c r="Z478">
        <v>2</v>
      </c>
      <c r="AA478" t="s">
        <v>2596</v>
      </c>
      <c r="AB478" t="s">
        <v>2598</v>
      </c>
      <c r="AC478" t="s">
        <v>2596</v>
      </c>
      <c r="AD478" t="s">
        <v>2596</v>
      </c>
      <c r="AE478" t="s">
        <v>2596</v>
      </c>
      <c r="AF478" t="s">
        <v>2596</v>
      </c>
      <c r="AG478" t="s">
        <v>2596</v>
      </c>
      <c r="AH478" t="s">
        <v>2596</v>
      </c>
    </row>
    <row r="479" spans="1:34" x14ac:dyDescent="0.25">
      <c r="A479" s="111" t="str">
        <f>HYPERLINK("http://www.ofsted.gov.uk/inspection-reports/find-inspection-report/provider/ELS/134179 ","Ofsted School Webpage")</f>
        <v>Ofsted School Webpage</v>
      </c>
      <c r="B479">
        <v>134179</v>
      </c>
      <c r="C479">
        <v>8736033</v>
      </c>
      <c r="D479" t="s">
        <v>1088</v>
      </c>
      <c r="E479" t="s">
        <v>37</v>
      </c>
      <c r="F479" t="s">
        <v>142</v>
      </c>
      <c r="G479" t="s">
        <v>142</v>
      </c>
      <c r="H479" t="s">
        <v>2595</v>
      </c>
      <c r="I479" t="s">
        <v>2596</v>
      </c>
      <c r="J479" t="s">
        <v>143</v>
      </c>
      <c r="K479" t="s">
        <v>177</v>
      </c>
      <c r="L479" t="s">
        <v>177</v>
      </c>
      <c r="M479" t="s">
        <v>241</v>
      </c>
      <c r="N479" t="s">
        <v>1089</v>
      </c>
      <c r="O479">
        <v>10006014</v>
      </c>
      <c r="P479" s="108">
        <v>42745</v>
      </c>
      <c r="Q479" s="108">
        <v>42747</v>
      </c>
      <c r="R479" s="108">
        <v>42793</v>
      </c>
      <c r="S479" t="s">
        <v>153</v>
      </c>
      <c r="T479">
        <v>3</v>
      </c>
      <c r="U479" t="s">
        <v>123</v>
      </c>
      <c r="V479">
        <v>2</v>
      </c>
      <c r="W479">
        <v>3</v>
      </c>
      <c r="X479">
        <v>3</v>
      </c>
      <c r="Y479">
        <f>VLOOKUP(Table_clu7sql1_ssdb_REPORT_vw_IE_External_MI_SON[[#This Row],[URN]],[1]Data!$D$2:$BB$1084,31,)</f>
        <v>3</v>
      </c>
      <c r="Z479" t="s">
        <v>2596</v>
      </c>
      <c r="AA479" t="s">
        <v>2596</v>
      </c>
      <c r="AB479" t="s">
        <v>2599</v>
      </c>
      <c r="AC479" t="s">
        <v>2596</v>
      </c>
      <c r="AD479" t="s">
        <v>2596</v>
      </c>
      <c r="AE479" t="s">
        <v>2596</v>
      </c>
      <c r="AF479" t="s">
        <v>2596</v>
      </c>
      <c r="AG479" t="s">
        <v>2596</v>
      </c>
      <c r="AH479" t="s">
        <v>2596</v>
      </c>
    </row>
    <row r="480" spans="1:34" x14ac:dyDescent="0.25">
      <c r="A480" s="111" t="str">
        <f>HYPERLINK("http://www.ofsted.gov.uk/inspection-reports/find-inspection-report/provider/ELS/134186 ","Ofsted School Webpage")</f>
        <v>Ofsted School Webpage</v>
      </c>
      <c r="B480">
        <v>134186</v>
      </c>
      <c r="C480">
        <v>8776001</v>
      </c>
      <c r="D480" t="s">
        <v>345</v>
      </c>
      <c r="E480" t="s">
        <v>37</v>
      </c>
      <c r="F480" t="s">
        <v>142</v>
      </c>
      <c r="G480" t="s">
        <v>142</v>
      </c>
      <c r="H480" t="s">
        <v>2595</v>
      </c>
      <c r="I480" t="s">
        <v>2596</v>
      </c>
      <c r="J480" t="s">
        <v>143</v>
      </c>
      <c r="K480" t="s">
        <v>162</v>
      </c>
      <c r="L480" t="s">
        <v>162</v>
      </c>
      <c r="M480" t="s">
        <v>346</v>
      </c>
      <c r="N480" t="s">
        <v>347</v>
      </c>
      <c r="O480">
        <v>10026010</v>
      </c>
      <c r="P480" s="108">
        <v>43018</v>
      </c>
      <c r="Q480" s="108">
        <v>43020</v>
      </c>
      <c r="R480" s="108">
        <v>43061</v>
      </c>
      <c r="S480" t="s">
        <v>3005</v>
      </c>
      <c r="T480">
        <v>1</v>
      </c>
      <c r="U480" t="s">
        <v>123</v>
      </c>
      <c r="V480">
        <v>1</v>
      </c>
      <c r="W480">
        <v>1</v>
      </c>
      <c r="X480">
        <v>1</v>
      </c>
      <c r="Y480">
        <f>VLOOKUP(Table_clu7sql1_ssdb_REPORT_vw_IE_External_MI_SON[[#This Row],[URN]],[1]Data!$D$2:$BB$1084,31,)</f>
        <v>1</v>
      </c>
      <c r="Z480" t="s">
        <v>2596</v>
      </c>
      <c r="AA480">
        <v>1</v>
      </c>
      <c r="AB480" t="s">
        <v>2598</v>
      </c>
      <c r="AC480" t="s">
        <v>2596</v>
      </c>
      <c r="AD480" t="s">
        <v>2596</v>
      </c>
      <c r="AE480" t="s">
        <v>2596</v>
      </c>
      <c r="AF480" t="s">
        <v>2596</v>
      </c>
      <c r="AG480" t="s">
        <v>2596</v>
      </c>
      <c r="AH480" t="s">
        <v>2596</v>
      </c>
    </row>
    <row r="481" spans="1:34" x14ac:dyDescent="0.25">
      <c r="A481" s="111" t="str">
        <f>HYPERLINK("http://www.ofsted.gov.uk/inspection-reports/find-inspection-report/provider/ELS/134191 ","Ofsted School Webpage")</f>
        <v>Ofsted School Webpage</v>
      </c>
      <c r="B481">
        <v>134191</v>
      </c>
      <c r="C481">
        <v>9096053</v>
      </c>
      <c r="D481" t="s">
        <v>1251</v>
      </c>
      <c r="E481" t="s">
        <v>37</v>
      </c>
      <c r="F481" t="s">
        <v>142</v>
      </c>
      <c r="G481" t="s">
        <v>142</v>
      </c>
      <c r="H481" t="s">
        <v>2595</v>
      </c>
      <c r="I481" t="s">
        <v>2596</v>
      </c>
      <c r="J481" t="s">
        <v>143</v>
      </c>
      <c r="K481" t="s">
        <v>162</v>
      </c>
      <c r="L481" t="s">
        <v>162</v>
      </c>
      <c r="M481" t="s">
        <v>895</v>
      </c>
      <c r="N481" t="s">
        <v>1252</v>
      </c>
      <c r="O481">
        <v>10034047</v>
      </c>
      <c r="P481" s="108">
        <v>42899</v>
      </c>
      <c r="Q481" s="108">
        <v>42901</v>
      </c>
      <c r="R481" s="108">
        <v>42928</v>
      </c>
      <c r="S481" t="s">
        <v>3005</v>
      </c>
      <c r="T481">
        <v>2</v>
      </c>
      <c r="U481" t="s">
        <v>123</v>
      </c>
      <c r="V481">
        <v>2</v>
      </c>
      <c r="W481">
        <v>1</v>
      </c>
      <c r="X481">
        <v>2</v>
      </c>
      <c r="Y481">
        <f>VLOOKUP(Table_clu7sql1_ssdb_REPORT_vw_IE_External_MI_SON[[#This Row],[URN]],[1]Data!$D$2:$BB$1084,31,)</f>
        <v>2</v>
      </c>
      <c r="Z481" t="s">
        <v>2596</v>
      </c>
      <c r="AA481">
        <v>2</v>
      </c>
      <c r="AB481" t="s">
        <v>2598</v>
      </c>
      <c r="AC481" t="s">
        <v>2596</v>
      </c>
      <c r="AD481" t="s">
        <v>2596</v>
      </c>
      <c r="AE481" t="s">
        <v>2596</v>
      </c>
      <c r="AF481" t="s">
        <v>2596</v>
      </c>
      <c r="AG481" t="s">
        <v>2596</v>
      </c>
      <c r="AH481" t="s">
        <v>2596</v>
      </c>
    </row>
    <row r="482" spans="1:34" x14ac:dyDescent="0.25">
      <c r="A482" s="111" t="str">
        <f>HYPERLINK("http://www.ofsted.gov.uk/inspection-reports/find-inspection-report/provider/ELS/134192 ","Ofsted School Webpage")</f>
        <v>Ofsted School Webpage</v>
      </c>
      <c r="B482">
        <v>134192</v>
      </c>
      <c r="C482">
        <v>2136393</v>
      </c>
      <c r="D482" t="s">
        <v>1652</v>
      </c>
      <c r="E482" t="s">
        <v>36</v>
      </c>
      <c r="F482" t="s">
        <v>142</v>
      </c>
      <c r="G482" t="s">
        <v>142</v>
      </c>
      <c r="H482" t="s">
        <v>2595</v>
      </c>
      <c r="I482" t="s">
        <v>2596</v>
      </c>
      <c r="J482" t="s">
        <v>143</v>
      </c>
      <c r="K482" t="s">
        <v>189</v>
      </c>
      <c r="L482" t="s">
        <v>189</v>
      </c>
      <c r="M482" t="s">
        <v>632</v>
      </c>
      <c r="N482" t="s">
        <v>1653</v>
      </c>
      <c r="O482">
        <v>10008540</v>
      </c>
      <c r="P482" s="108">
        <v>42444</v>
      </c>
      <c r="Q482" s="108">
        <v>42446</v>
      </c>
      <c r="R482" s="108">
        <v>42493</v>
      </c>
      <c r="S482" t="s">
        <v>153</v>
      </c>
      <c r="T482">
        <v>1</v>
      </c>
      <c r="U482" t="s">
        <v>123</v>
      </c>
      <c r="V482">
        <v>1</v>
      </c>
      <c r="W482">
        <v>1</v>
      </c>
      <c r="X482">
        <v>1</v>
      </c>
      <c r="Y482">
        <f>VLOOKUP(Table_clu7sql1_ssdb_REPORT_vw_IE_External_MI_SON[[#This Row],[URN]],[1]Data!$D$2:$BB$1084,31,)</f>
        <v>1</v>
      </c>
      <c r="Z482">
        <v>1</v>
      </c>
      <c r="AA482" t="s">
        <v>2596</v>
      </c>
      <c r="AB482" t="s">
        <v>2598</v>
      </c>
      <c r="AC482" t="s">
        <v>2596</v>
      </c>
      <c r="AD482" t="s">
        <v>2596</v>
      </c>
      <c r="AE482" t="s">
        <v>2596</v>
      </c>
      <c r="AF482" t="s">
        <v>2596</v>
      </c>
      <c r="AG482" t="s">
        <v>2596</v>
      </c>
      <c r="AH482" t="s">
        <v>2596</v>
      </c>
    </row>
    <row r="483" spans="1:34" x14ac:dyDescent="0.25">
      <c r="A483" s="111" t="str">
        <f>HYPERLINK("http://www.ofsted.gov.uk/inspection-reports/find-inspection-report/provider/ELS/134243 ","Ofsted School Webpage")</f>
        <v>Ofsted School Webpage</v>
      </c>
      <c r="B483">
        <v>134243</v>
      </c>
      <c r="C483">
        <v>3136072</v>
      </c>
      <c r="D483" t="s">
        <v>715</v>
      </c>
      <c r="E483" t="s">
        <v>36</v>
      </c>
      <c r="F483" t="s">
        <v>142</v>
      </c>
      <c r="G483" t="s">
        <v>180</v>
      </c>
      <c r="H483" t="s">
        <v>2595</v>
      </c>
      <c r="I483" t="s">
        <v>2596</v>
      </c>
      <c r="J483" t="s">
        <v>143</v>
      </c>
      <c r="K483" t="s">
        <v>189</v>
      </c>
      <c r="L483" t="s">
        <v>189</v>
      </c>
      <c r="M483" t="s">
        <v>226</v>
      </c>
      <c r="N483" t="s">
        <v>716</v>
      </c>
      <c r="O483">
        <v>10007697</v>
      </c>
      <c r="P483" s="108">
        <v>43109</v>
      </c>
      <c r="Q483" s="108">
        <v>43111</v>
      </c>
      <c r="R483" s="108">
        <v>43158</v>
      </c>
      <c r="S483" t="s">
        <v>153</v>
      </c>
      <c r="T483">
        <v>3</v>
      </c>
      <c r="U483" t="s">
        <v>123</v>
      </c>
      <c r="V483">
        <v>3</v>
      </c>
      <c r="W483">
        <v>3</v>
      </c>
      <c r="X483">
        <v>3</v>
      </c>
      <c r="Y483">
        <f>VLOOKUP(Table_clu7sql1_ssdb_REPORT_vw_IE_External_MI_SON[[#This Row],[URN]],[1]Data!$D$2:$BB$1084,31,)</f>
        <v>3</v>
      </c>
      <c r="Z483">
        <v>3</v>
      </c>
      <c r="AA483" t="s">
        <v>2596</v>
      </c>
      <c r="AB483" t="s">
        <v>2598</v>
      </c>
      <c r="AC483" t="s">
        <v>2596</v>
      </c>
      <c r="AD483" t="s">
        <v>2596</v>
      </c>
      <c r="AE483" t="s">
        <v>2596</v>
      </c>
      <c r="AF483" t="s">
        <v>2596</v>
      </c>
      <c r="AG483" t="s">
        <v>2596</v>
      </c>
      <c r="AH483" t="s">
        <v>2596</v>
      </c>
    </row>
    <row r="484" spans="1:34" x14ac:dyDescent="0.25">
      <c r="A484" s="111" t="str">
        <f>HYPERLINK("http://www.ofsted.gov.uk/inspection-reports/find-inspection-report/provider/ELS/134244 ","Ofsted School Webpage")</f>
        <v>Ofsted School Webpage</v>
      </c>
      <c r="B484">
        <v>134244</v>
      </c>
      <c r="C484">
        <v>3176076</v>
      </c>
      <c r="D484" t="s">
        <v>1828</v>
      </c>
      <c r="E484" t="s">
        <v>36</v>
      </c>
      <c r="F484" t="s">
        <v>180</v>
      </c>
      <c r="G484" t="s">
        <v>180</v>
      </c>
      <c r="H484" t="s">
        <v>2595</v>
      </c>
      <c r="I484" t="s">
        <v>2596</v>
      </c>
      <c r="J484" t="s">
        <v>143</v>
      </c>
      <c r="K484" t="s">
        <v>189</v>
      </c>
      <c r="L484" t="s">
        <v>189</v>
      </c>
      <c r="M484" t="s">
        <v>756</v>
      </c>
      <c r="N484" t="s">
        <v>1829</v>
      </c>
      <c r="O484">
        <v>10012977</v>
      </c>
      <c r="P484" s="108">
        <v>42711</v>
      </c>
      <c r="Q484" s="108">
        <v>42713</v>
      </c>
      <c r="R484" s="108">
        <v>42739</v>
      </c>
      <c r="S484" t="s">
        <v>153</v>
      </c>
      <c r="T484">
        <v>2</v>
      </c>
      <c r="U484" t="s">
        <v>123</v>
      </c>
      <c r="V484">
        <v>2</v>
      </c>
      <c r="W484">
        <v>2</v>
      </c>
      <c r="X484">
        <v>2</v>
      </c>
      <c r="Y484">
        <f>VLOOKUP(Table_clu7sql1_ssdb_REPORT_vw_IE_External_MI_SON[[#This Row],[URN]],[1]Data!$D$2:$BB$1084,31,)</f>
        <v>2</v>
      </c>
      <c r="Z484">
        <v>2</v>
      </c>
      <c r="AA484" t="s">
        <v>2596</v>
      </c>
      <c r="AB484" t="s">
        <v>2598</v>
      </c>
      <c r="AC484" t="s">
        <v>2596</v>
      </c>
      <c r="AD484" t="s">
        <v>2596</v>
      </c>
      <c r="AE484" t="s">
        <v>2596</v>
      </c>
      <c r="AF484" t="s">
        <v>2596</v>
      </c>
      <c r="AG484" t="s">
        <v>2596</v>
      </c>
      <c r="AH484" t="s">
        <v>2596</v>
      </c>
    </row>
    <row r="485" spans="1:34" x14ac:dyDescent="0.25">
      <c r="A485" s="111" t="str">
        <f>HYPERLINK("http://www.ofsted.gov.uk/inspection-reports/find-inspection-report/provider/ELS/134289 ","Ofsted School Webpage")</f>
        <v>Ofsted School Webpage</v>
      </c>
      <c r="B485">
        <v>134289</v>
      </c>
      <c r="C485">
        <v>8216010</v>
      </c>
      <c r="D485" t="s">
        <v>1963</v>
      </c>
      <c r="E485" t="s">
        <v>36</v>
      </c>
      <c r="F485" t="s">
        <v>142</v>
      </c>
      <c r="G485" t="s">
        <v>180</v>
      </c>
      <c r="H485" t="s">
        <v>2595</v>
      </c>
      <c r="I485" t="s">
        <v>2596</v>
      </c>
      <c r="J485" t="s">
        <v>143</v>
      </c>
      <c r="K485" t="s">
        <v>177</v>
      </c>
      <c r="L485" t="s">
        <v>177</v>
      </c>
      <c r="M485" t="s">
        <v>178</v>
      </c>
      <c r="N485" t="s">
        <v>1964</v>
      </c>
      <c r="O485">
        <v>10043520</v>
      </c>
      <c r="P485" s="108">
        <v>43151</v>
      </c>
      <c r="Q485" s="108">
        <v>43153</v>
      </c>
      <c r="R485" s="108">
        <v>43182</v>
      </c>
      <c r="S485" t="s">
        <v>153</v>
      </c>
      <c r="T485">
        <v>3</v>
      </c>
      <c r="U485" t="s">
        <v>123</v>
      </c>
      <c r="V485">
        <v>3</v>
      </c>
      <c r="W485">
        <v>2</v>
      </c>
      <c r="X485">
        <v>3</v>
      </c>
      <c r="Y485">
        <f>VLOOKUP(Table_clu7sql1_ssdb_REPORT_vw_IE_External_MI_SON[[#This Row],[URN]],[1]Data!$D$2:$BB$1084,31,)</f>
        <v>3</v>
      </c>
      <c r="Z485" t="s">
        <v>2596</v>
      </c>
      <c r="AA485" t="s">
        <v>2596</v>
      </c>
      <c r="AB485" t="s">
        <v>2599</v>
      </c>
      <c r="AC485" t="s">
        <v>2596</v>
      </c>
      <c r="AD485" t="s">
        <v>2596</v>
      </c>
      <c r="AE485" s="108" t="s">
        <v>2596</v>
      </c>
      <c r="AF485" t="s">
        <v>2596</v>
      </c>
      <c r="AG485" s="108" t="s">
        <v>2596</v>
      </c>
      <c r="AH485" t="s">
        <v>2596</v>
      </c>
    </row>
    <row r="486" spans="1:34" x14ac:dyDescent="0.25">
      <c r="A486" s="111" t="str">
        <f>HYPERLINK("http://www.ofsted.gov.uk/inspection-reports/find-inspection-report/provider/ELS/134294 ","Ofsted School Webpage")</f>
        <v>Ofsted School Webpage</v>
      </c>
      <c r="B486">
        <v>134294</v>
      </c>
      <c r="C486">
        <v>8316006</v>
      </c>
      <c r="D486" t="s">
        <v>375</v>
      </c>
      <c r="E486" t="s">
        <v>36</v>
      </c>
      <c r="F486" t="s">
        <v>261</v>
      </c>
      <c r="G486" t="s">
        <v>180</v>
      </c>
      <c r="H486" t="s">
        <v>2595</v>
      </c>
      <c r="I486" t="s">
        <v>2596</v>
      </c>
      <c r="J486" t="s">
        <v>143</v>
      </c>
      <c r="K486" t="s">
        <v>171</v>
      </c>
      <c r="L486" t="s">
        <v>171</v>
      </c>
      <c r="M486" t="s">
        <v>376</v>
      </c>
      <c r="N486" t="s">
        <v>377</v>
      </c>
      <c r="O486">
        <v>10033532</v>
      </c>
      <c r="P486" s="108">
        <v>43025</v>
      </c>
      <c r="Q486" s="108">
        <v>43027</v>
      </c>
      <c r="R486" s="108">
        <v>43052</v>
      </c>
      <c r="S486" t="s">
        <v>153</v>
      </c>
      <c r="T486">
        <v>3</v>
      </c>
      <c r="U486" t="s">
        <v>123</v>
      </c>
      <c r="V486">
        <v>3</v>
      </c>
      <c r="W486">
        <v>2</v>
      </c>
      <c r="X486">
        <v>3</v>
      </c>
      <c r="Y486">
        <f>VLOOKUP(Table_clu7sql1_ssdb_REPORT_vw_IE_External_MI_SON[[#This Row],[URN]],[1]Data!$D$2:$BB$1084,31,)</f>
        <v>3</v>
      </c>
      <c r="Z486">
        <v>3</v>
      </c>
      <c r="AA486" t="s">
        <v>2596</v>
      </c>
      <c r="AB486" t="s">
        <v>2598</v>
      </c>
      <c r="AC486" t="s">
        <v>2596</v>
      </c>
      <c r="AD486" t="s">
        <v>2596</v>
      </c>
      <c r="AE486" t="s">
        <v>2596</v>
      </c>
      <c r="AF486" t="s">
        <v>2596</v>
      </c>
      <c r="AG486" t="s">
        <v>2596</v>
      </c>
      <c r="AH486" t="s">
        <v>2596</v>
      </c>
    </row>
    <row r="487" spans="1:34" x14ac:dyDescent="0.25">
      <c r="A487" s="111" t="str">
        <f>HYPERLINK("http://www.ofsted.gov.uk/inspection-reports/find-inspection-report/provider/ELS/134315 ","Ofsted School Webpage")</f>
        <v>Ofsted School Webpage</v>
      </c>
      <c r="B487">
        <v>134315</v>
      </c>
      <c r="C487">
        <v>8136004</v>
      </c>
      <c r="D487" t="s">
        <v>1352</v>
      </c>
      <c r="E487" t="s">
        <v>37</v>
      </c>
      <c r="F487" t="s">
        <v>142</v>
      </c>
      <c r="G487" t="s">
        <v>142</v>
      </c>
      <c r="H487" t="s">
        <v>2595</v>
      </c>
      <c r="I487" t="s">
        <v>2596</v>
      </c>
      <c r="J487" t="s">
        <v>143</v>
      </c>
      <c r="K487" t="s">
        <v>202</v>
      </c>
      <c r="L487" t="s">
        <v>203</v>
      </c>
      <c r="M487" t="s">
        <v>962</v>
      </c>
      <c r="N487" t="s">
        <v>1353</v>
      </c>
      <c r="O487">
        <v>10012920</v>
      </c>
      <c r="P487" s="108">
        <v>42556</v>
      </c>
      <c r="Q487" s="108">
        <v>42558</v>
      </c>
      <c r="R487" s="108">
        <v>42625</v>
      </c>
      <c r="S487" t="s">
        <v>3005</v>
      </c>
      <c r="T487">
        <v>2</v>
      </c>
      <c r="U487" t="s">
        <v>123</v>
      </c>
      <c r="V487">
        <v>2</v>
      </c>
      <c r="W487">
        <v>2</v>
      </c>
      <c r="X487">
        <v>2</v>
      </c>
      <c r="Y487">
        <f>VLOOKUP(Table_clu7sql1_ssdb_REPORT_vw_IE_External_MI_SON[[#This Row],[URN]],[1]Data!$D$2:$BB$1084,31,)</f>
        <v>2</v>
      </c>
      <c r="Z487" t="s">
        <v>2596</v>
      </c>
      <c r="AA487">
        <v>2</v>
      </c>
      <c r="AB487" t="s">
        <v>2598</v>
      </c>
      <c r="AC487" t="s">
        <v>2596</v>
      </c>
      <c r="AD487" t="s">
        <v>2596</v>
      </c>
      <c r="AE487" t="s">
        <v>2596</v>
      </c>
      <c r="AF487" t="s">
        <v>2596</v>
      </c>
      <c r="AG487" t="s">
        <v>2596</v>
      </c>
      <c r="AH487" t="s">
        <v>2596</v>
      </c>
    </row>
    <row r="488" spans="1:34" x14ac:dyDescent="0.25">
      <c r="A488" s="111" t="str">
        <f>HYPERLINK("http://www.ofsted.gov.uk/inspection-reports/find-inspection-report/provider/ELS/134386 ","Ofsted School Webpage")</f>
        <v>Ofsted School Webpage</v>
      </c>
      <c r="B488">
        <v>134386</v>
      </c>
      <c r="C488">
        <v>3806115</v>
      </c>
      <c r="D488" t="s">
        <v>2212</v>
      </c>
      <c r="E488" t="s">
        <v>36</v>
      </c>
      <c r="F488" t="s">
        <v>142</v>
      </c>
      <c r="G488" t="s">
        <v>180</v>
      </c>
      <c r="H488" t="s">
        <v>2595</v>
      </c>
      <c r="I488" t="s">
        <v>2596</v>
      </c>
      <c r="J488" t="s">
        <v>143</v>
      </c>
      <c r="K488" t="s">
        <v>202</v>
      </c>
      <c r="L488" t="s">
        <v>203</v>
      </c>
      <c r="M488" t="s">
        <v>295</v>
      </c>
      <c r="N488" t="s">
        <v>2213</v>
      </c>
      <c r="O488">
        <v>10012814</v>
      </c>
      <c r="P488" s="108">
        <v>42507</v>
      </c>
      <c r="Q488" s="108">
        <v>42509</v>
      </c>
      <c r="R488" s="108">
        <v>42545</v>
      </c>
      <c r="S488" t="s">
        <v>153</v>
      </c>
      <c r="T488">
        <v>2</v>
      </c>
      <c r="U488" t="s">
        <v>123</v>
      </c>
      <c r="V488">
        <v>2</v>
      </c>
      <c r="W488">
        <v>2</v>
      </c>
      <c r="X488">
        <v>2</v>
      </c>
      <c r="Y488">
        <f>VLOOKUP(Table_clu7sql1_ssdb_REPORT_vw_IE_External_MI_SON[[#This Row],[URN]],[1]Data!$D$2:$BB$1084,31,)</f>
        <v>2</v>
      </c>
      <c r="Z488" t="s">
        <v>2596</v>
      </c>
      <c r="AA488" t="s">
        <v>2596</v>
      </c>
      <c r="AB488" t="s">
        <v>2598</v>
      </c>
      <c r="AC488" t="s">
        <v>2596</v>
      </c>
      <c r="AD488" t="s">
        <v>2596</v>
      </c>
      <c r="AE488" t="s">
        <v>2596</v>
      </c>
      <c r="AF488" t="s">
        <v>2596</v>
      </c>
      <c r="AG488" t="s">
        <v>2596</v>
      </c>
      <c r="AH488" t="s">
        <v>2596</v>
      </c>
    </row>
    <row r="489" spans="1:34" x14ac:dyDescent="0.25">
      <c r="A489" s="111" t="str">
        <f>HYPERLINK("http://www.ofsted.gov.uk/inspection-reports/find-inspection-report/provider/ELS/134388 ","Ofsted School Webpage")</f>
        <v>Ofsted School Webpage</v>
      </c>
      <c r="B489">
        <v>134388</v>
      </c>
      <c r="C489">
        <v>3016002</v>
      </c>
      <c r="D489" t="s">
        <v>1102</v>
      </c>
      <c r="E489" t="s">
        <v>37</v>
      </c>
      <c r="F489" t="s">
        <v>142</v>
      </c>
      <c r="G489" t="s">
        <v>142</v>
      </c>
      <c r="H489" t="s">
        <v>2595</v>
      </c>
      <c r="I489" t="s">
        <v>2596</v>
      </c>
      <c r="J489" t="s">
        <v>143</v>
      </c>
      <c r="K489" t="s">
        <v>189</v>
      </c>
      <c r="L489" t="s">
        <v>189</v>
      </c>
      <c r="M489" t="s">
        <v>1103</v>
      </c>
      <c r="N489" t="s">
        <v>1104</v>
      </c>
      <c r="O489">
        <v>10038168</v>
      </c>
      <c r="P489" s="108">
        <v>43054</v>
      </c>
      <c r="Q489" s="108">
        <v>43056</v>
      </c>
      <c r="R489" s="108">
        <v>43097</v>
      </c>
      <c r="S489" t="s">
        <v>153</v>
      </c>
      <c r="T489">
        <v>3</v>
      </c>
      <c r="U489" t="s">
        <v>123</v>
      </c>
      <c r="V489">
        <v>2</v>
      </c>
      <c r="W489">
        <v>3</v>
      </c>
      <c r="X489">
        <v>3</v>
      </c>
      <c r="Y489">
        <f>VLOOKUP(Table_clu7sql1_ssdb_REPORT_vw_IE_External_MI_SON[[#This Row],[URN]],[1]Data!$D$2:$BB$1084,31,)</f>
        <v>3</v>
      </c>
      <c r="Z489" t="s">
        <v>2596</v>
      </c>
      <c r="AA489" t="s">
        <v>2596</v>
      </c>
      <c r="AB489" t="s">
        <v>2598</v>
      </c>
      <c r="AC489" t="s">
        <v>2596</v>
      </c>
      <c r="AD489" t="s">
        <v>2596</v>
      </c>
      <c r="AE489" t="s">
        <v>2596</v>
      </c>
      <c r="AF489" t="s">
        <v>2596</v>
      </c>
      <c r="AG489" t="s">
        <v>2596</v>
      </c>
      <c r="AH489" t="s">
        <v>2596</v>
      </c>
    </row>
    <row r="490" spans="1:34" x14ac:dyDescent="0.25">
      <c r="A490" s="111" t="str">
        <f>HYPERLINK("http://www.ofsted.gov.uk/inspection-reports/find-inspection-report/provider/ELS/134395 ","Ofsted School Webpage")</f>
        <v>Ofsted School Webpage</v>
      </c>
      <c r="B490">
        <v>134395</v>
      </c>
      <c r="C490">
        <v>8306027</v>
      </c>
      <c r="D490" t="s">
        <v>1340</v>
      </c>
      <c r="E490" t="s">
        <v>37</v>
      </c>
      <c r="F490" t="s">
        <v>142</v>
      </c>
      <c r="G490" t="s">
        <v>142</v>
      </c>
      <c r="H490" t="s">
        <v>2595</v>
      </c>
      <c r="I490" t="s">
        <v>2596</v>
      </c>
      <c r="J490" t="s">
        <v>143</v>
      </c>
      <c r="K490" t="s">
        <v>171</v>
      </c>
      <c r="L490" t="s">
        <v>171</v>
      </c>
      <c r="M490" t="s">
        <v>320</v>
      </c>
      <c r="N490" t="s">
        <v>1341</v>
      </c>
      <c r="O490">
        <v>10006102</v>
      </c>
      <c r="P490" s="108">
        <v>42899</v>
      </c>
      <c r="Q490" s="108">
        <v>42900</v>
      </c>
      <c r="R490" s="108">
        <v>42923</v>
      </c>
      <c r="S490" t="s">
        <v>153</v>
      </c>
      <c r="T490">
        <v>3</v>
      </c>
      <c r="U490" t="s">
        <v>123</v>
      </c>
      <c r="V490">
        <v>3</v>
      </c>
      <c r="W490">
        <v>2</v>
      </c>
      <c r="X490">
        <v>3</v>
      </c>
      <c r="Y490">
        <f>VLOOKUP(Table_clu7sql1_ssdb_REPORT_vw_IE_External_MI_SON[[#This Row],[URN]],[1]Data!$D$2:$BB$1084,31,)</f>
        <v>2</v>
      </c>
      <c r="Z490" t="s">
        <v>2596</v>
      </c>
      <c r="AA490" t="s">
        <v>2596</v>
      </c>
      <c r="AB490" t="s">
        <v>2599</v>
      </c>
      <c r="AC490" t="s">
        <v>2596</v>
      </c>
      <c r="AD490" t="s">
        <v>2596</v>
      </c>
      <c r="AE490" t="s">
        <v>2596</v>
      </c>
      <c r="AF490" t="s">
        <v>2596</v>
      </c>
      <c r="AG490" t="s">
        <v>2596</v>
      </c>
      <c r="AH490" t="s">
        <v>2596</v>
      </c>
    </row>
    <row r="491" spans="1:34" x14ac:dyDescent="0.25">
      <c r="A491" s="111" t="str">
        <f>HYPERLINK("http://www.ofsted.gov.uk/inspection-reports/find-inspection-report/provider/ELS/134398 ","Ofsted School Webpage")</f>
        <v>Ofsted School Webpage</v>
      </c>
      <c r="B491">
        <v>134398</v>
      </c>
      <c r="C491">
        <v>8816048</v>
      </c>
      <c r="D491" t="s">
        <v>1818</v>
      </c>
      <c r="E491" t="s">
        <v>37</v>
      </c>
      <c r="F491" t="s">
        <v>142</v>
      </c>
      <c r="G491" t="s">
        <v>142</v>
      </c>
      <c r="H491" t="s">
        <v>2595</v>
      </c>
      <c r="I491" t="s">
        <v>2596</v>
      </c>
      <c r="J491" t="s">
        <v>143</v>
      </c>
      <c r="K491" t="s">
        <v>177</v>
      </c>
      <c r="L491" t="s">
        <v>177</v>
      </c>
      <c r="M491" t="s">
        <v>280</v>
      </c>
      <c r="N491" t="s">
        <v>1819</v>
      </c>
      <c r="O491">
        <v>10026066</v>
      </c>
      <c r="P491" s="108">
        <v>43067</v>
      </c>
      <c r="Q491" s="108">
        <v>43069</v>
      </c>
      <c r="R491" s="108">
        <v>43117</v>
      </c>
      <c r="S491" t="s">
        <v>153</v>
      </c>
      <c r="T491">
        <v>3</v>
      </c>
      <c r="U491" t="s">
        <v>123</v>
      </c>
      <c r="V491">
        <v>3</v>
      </c>
      <c r="W491">
        <v>2</v>
      </c>
      <c r="X491">
        <v>2</v>
      </c>
      <c r="Y491">
        <f>VLOOKUP(Table_clu7sql1_ssdb_REPORT_vw_IE_External_MI_SON[[#This Row],[URN]],[1]Data!$D$2:$BB$1084,31,)</f>
        <v>2</v>
      </c>
      <c r="Z491" t="s">
        <v>2596</v>
      </c>
      <c r="AA491" t="s">
        <v>2596</v>
      </c>
      <c r="AB491" t="s">
        <v>2599</v>
      </c>
      <c r="AC491" t="s">
        <v>2596</v>
      </c>
      <c r="AD491" t="s">
        <v>2596</v>
      </c>
      <c r="AE491" s="108" t="s">
        <v>2596</v>
      </c>
      <c r="AF491" t="s">
        <v>2596</v>
      </c>
      <c r="AG491" s="108" t="s">
        <v>2596</v>
      </c>
      <c r="AH491" t="s">
        <v>2596</v>
      </c>
    </row>
    <row r="492" spans="1:34" x14ac:dyDescent="0.25">
      <c r="A492" s="111" t="str">
        <f>HYPERLINK("http://www.ofsted.gov.uk/inspection-reports/find-inspection-report/provider/ELS/134400 ","Ofsted School Webpage")</f>
        <v>Ofsted School Webpage</v>
      </c>
      <c r="B492">
        <v>134400</v>
      </c>
      <c r="C492">
        <v>2096363</v>
      </c>
      <c r="D492" t="s">
        <v>483</v>
      </c>
      <c r="E492" t="s">
        <v>36</v>
      </c>
      <c r="F492" t="s">
        <v>261</v>
      </c>
      <c r="G492" t="s">
        <v>180</v>
      </c>
      <c r="H492" t="s">
        <v>2595</v>
      </c>
      <c r="I492" t="s">
        <v>2596</v>
      </c>
      <c r="J492" t="s">
        <v>143</v>
      </c>
      <c r="K492" t="s">
        <v>189</v>
      </c>
      <c r="L492" t="s">
        <v>189</v>
      </c>
      <c r="M492" t="s">
        <v>484</v>
      </c>
      <c r="N492" t="s">
        <v>485</v>
      </c>
      <c r="O492">
        <v>10033423</v>
      </c>
      <c r="P492" s="108">
        <v>42802</v>
      </c>
      <c r="Q492" s="108">
        <v>42804</v>
      </c>
      <c r="R492" s="108">
        <v>42850</v>
      </c>
      <c r="S492" t="s">
        <v>153</v>
      </c>
      <c r="T492">
        <v>4</v>
      </c>
      <c r="U492" t="s">
        <v>124</v>
      </c>
      <c r="V492">
        <v>4</v>
      </c>
      <c r="W492">
        <v>4</v>
      </c>
      <c r="X492">
        <v>3</v>
      </c>
      <c r="Y492">
        <f>VLOOKUP(Table_clu7sql1_ssdb_REPORT_vw_IE_External_MI_SON[[#This Row],[URN]],[1]Data!$D$2:$BB$1084,31,)</f>
        <v>3</v>
      </c>
      <c r="Z492">
        <v>4</v>
      </c>
      <c r="AA492" t="s">
        <v>2596</v>
      </c>
      <c r="AB492" t="s">
        <v>2599</v>
      </c>
      <c r="AC492">
        <v>10039573</v>
      </c>
      <c r="AD492" t="s">
        <v>144</v>
      </c>
      <c r="AE492" s="108">
        <v>42990</v>
      </c>
      <c r="AF492" t="s">
        <v>2636</v>
      </c>
      <c r="AG492" s="108">
        <v>43059</v>
      </c>
      <c r="AH492" t="s">
        <v>174</v>
      </c>
    </row>
    <row r="493" spans="1:34" x14ac:dyDescent="0.25">
      <c r="A493" s="111" t="str">
        <f>HYPERLINK("http://www.ofsted.gov.uk/inspection-reports/find-inspection-report/provider/ELS/134402 ","Ofsted School Webpage")</f>
        <v>Ofsted School Webpage</v>
      </c>
      <c r="B493">
        <v>134402</v>
      </c>
      <c r="C493">
        <v>2036300</v>
      </c>
      <c r="D493" t="s">
        <v>2280</v>
      </c>
      <c r="E493" t="s">
        <v>36</v>
      </c>
      <c r="F493" t="s">
        <v>142</v>
      </c>
      <c r="G493" t="s">
        <v>142</v>
      </c>
      <c r="H493" t="s">
        <v>2595</v>
      </c>
      <c r="I493" t="s">
        <v>2596</v>
      </c>
      <c r="J493" t="s">
        <v>143</v>
      </c>
      <c r="K493" t="s">
        <v>189</v>
      </c>
      <c r="L493" t="s">
        <v>189</v>
      </c>
      <c r="M493" t="s">
        <v>437</v>
      </c>
      <c r="N493" t="s">
        <v>2281</v>
      </c>
      <c r="O493" t="s">
        <v>2282</v>
      </c>
      <c r="P493" s="108">
        <v>41716</v>
      </c>
      <c r="Q493" s="108">
        <v>41718</v>
      </c>
      <c r="R493" s="108">
        <v>41754</v>
      </c>
      <c r="S493" t="s">
        <v>153</v>
      </c>
      <c r="T493">
        <v>2</v>
      </c>
      <c r="U493" t="s">
        <v>2596</v>
      </c>
      <c r="V493">
        <v>2</v>
      </c>
      <c r="W493" t="s">
        <v>2596</v>
      </c>
      <c r="X493">
        <v>2</v>
      </c>
      <c r="Y493">
        <f>VLOOKUP(Table_clu7sql1_ssdb_REPORT_vw_IE_External_MI_SON[[#This Row],[URN]],[1]Data!$D$2:$BB$1084,31,)</f>
        <v>2</v>
      </c>
      <c r="Z493" t="s">
        <v>2596</v>
      </c>
      <c r="AA493" t="s">
        <v>2596</v>
      </c>
      <c r="AB493" t="s">
        <v>2886</v>
      </c>
      <c r="AC493" t="s">
        <v>2596</v>
      </c>
      <c r="AD493" t="s">
        <v>2596</v>
      </c>
      <c r="AE493" s="108" t="s">
        <v>2596</v>
      </c>
      <c r="AF493" t="s">
        <v>2596</v>
      </c>
      <c r="AG493" s="108" t="s">
        <v>2596</v>
      </c>
      <c r="AH493" t="s">
        <v>2596</v>
      </c>
    </row>
    <row r="494" spans="1:34" x14ac:dyDescent="0.25">
      <c r="A494" s="111" t="str">
        <f>HYPERLINK("http://www.ofsted.gov.uk/inspection-reports/find-inspection-report/provider/ELS/134415 ","Ofsted School Webpage")</f>
        <v>Ofsted School Webpage</v>
      </c>
      <c r="B494">
        <v>134415</v>
      </c>
      <c r="C494">
        <v>8676035</v>
      </c>
      <c r="D494" t="s">
        <v>976</v>
      </c>
      <c r="E494" t="s">
        <v>37</v>
      </c>
      <c r="F494" t="s">
        <v>142</v>
      </c>
      <c r="G494" t="s">
        <v>142</v>
      </c>
      <c r="H494" t="s">
        <v>2595</v>
      </c>
      <c r="I494" t="s">
        <v>2596</v>
      </c>
      <c r="J494" t="s">
        <v>143</v>
      </c>
      <c r="K494" t="s">
        <v>139</v>
      </c>
      <c r="L494" t="s">
        <v>139</v>
      </c>
      <c r="M494" t="s">
        <v>977</v>
      </c>
      <c r="N494" t="s">
        <v>978</v>
      </c>
      <c r="O494" t="s">
        <v>979</v>
      </c>
      <c r="P494" s="108">
        <v>42045</v>
      </c>
      <c r="Q494" s="108">
        <v>42047</v>
      </c>
      <c r="R494" s="108">
        <v>42076</v>
      </c>
      <c r="S494" t="s">
        <v>153</v>
      </c>
      <c r="T494">
        <v>2</v>
      </c>
      <c r="U494" t="s">
        <v>2596</v>
      </c>
      <c r="V494">
        <v>2</v>
      </c>
      <c r="W494" t="s">
        <v>2596</v>
      </c>
      <c r="X494">
        <v>2</v>
      </c>
      <c r="Y494">
        <f>VLOOKUP(Table_clu7sql1_ssdb_REPORT_vw_IE_External_MI_SON[[#This Row],[URN]],[1]Data!$D$2:$BB$1084,31,)</f>
        <v>2</v>
      </c>
      <c r="Z494">
        <v>9</v>
      </c>
      <c r="AA494">
        <v>9</v>
      </c>
      <c r="AB494" t="s">
        <v>2598</v>
      </c>
      <c r="AC494" t="s">
        <v>2596</v>
      </c>
      <c r="AD494" t="s">
        <v>2596</v>
      </c>
      <c r="AE494" t="s">
        <v>2596</v>
      </c>
      <c r="AF494" t="s">
        <v>2596</v>
      </c>
      <c r="AG494" t="s">
        <v>2596</v>
      </c>
      <c r="AH494" t="s">
        <v>2596</v>
      </c>
    </row>
    <row r="495" spans="1:34" x14ac:dyDescent="0.25">
      <c r="A495" s="111" t="str">
        <f>HYPERLINK("http://www.ofsted.gov.uk/inspection-reports/find-inspection-report/provider/ELS/134417 ","Ofsted School Webpage")</f>
        <v>Ofsted School Webpage</v>
      </c>
      <c r="B495">
        <v>134417</v>
      </c>
      <c r="C495">
        <v>3166064</v>
      </c>
      <c r="D495" t="s">
        <v>1274</v>
      </c>
      <c r="E495" t="s">
        <v>36</v>
      </c>
      <c r="F495" t="s">
        <v>142</v>
      </c>
      <c r="G495" t="s">
        <v>180</v>
      </c>
      <c r="H495" t="s">
        <v>2595</v>
      </c>
      <c r="I495" t="s">
        <v>2596</v>
      </c>
      <c r="J495" t="s">
        <v>143</v>
      </c>
      <c r="K495" t="s">
        <v>189</v>
      </c>
      <c r="L495" t="s">
        <v>189</v>
      </c>
      <c r="M495" t="s">
        <v>460</v>
      </c>
      <c r="N495" t="s">
        <v>1275</v>
      </c>
      <c r="O495">
        <v>10007702</v>
      </c>
      <c r="P495" s="108">
        <v>42451</v>
      </c>
      <c r="Q495" s="108">
        <v>42453</v>
      </c>
      <c r="R495" s="108">
        <v>42502</v>
      </c>
      <c r="S495" t="s">
        <v>153</v>
      </c>
      <c r="T495">
        <v>2</v>
      </c>
      <c r="U495" t="s">
        <v>123</v>
      </c>
      <c r="V495">
        <v>2</v>
      </c>
      <c r="W495">
        <v>2</v>
      </c>
      <c r="X495">
        <v>2</v>
      </c>
      <c r="Y495">
        <f>VLOOKUP(Table_clu7sql1_ssdb_REPORT_vw_IE_External_MI_SON[[#This Row],[URN]],[1]Data!$D$2:$BB$1084,31,)</f>
        <v>2</v>
      </c>
      <c r="Z495">
        <v>1</v>
      </c>
      <c r="AA495" t="s">
        <v>2596</v>
      </c>
      <c r="AB495" t="s">
        <v>2598</v>
      </c>
      <c r="AC495" t="s">
        <v>2596</v>
      </c>
      <c r="AD495" t="s">
        <v>2596</v>
      </c>
      <c r="AE495" t="s">
        <v>2596</v>
      </c>
      <c r="AF495" t="s">
        <v>2596</v>
      </c>
      <c r="AG495" t="s">
        <v>2596</v>
      </c>
      <c r="AH495" t="s">
        <v>2596</v>
      </c>
    </row>
    <row r="496" spans="1:34" x14ac:dyDescent="0.25">
      <c r="A496" s="111" t="str">
        <f>HYPERLINK("http://www.ofsted.gov.uk/inspection-reports/find-inspection-report/provider/ELS/134422 ","Ofsted School Webpage")</f>
        <v>Ofsted School Webpage</v>
      </c>
      <c r="B496">
        <v>134422</v>
      </c>
      <c r="C496">
        <v>3366024</v>
      </c>
      <c r="D496" t="s">
        <v>2191</v>
      </c>
      <c r="E496" t="s">
        <v>36</v>
      </c>
      <c r="F496" t="s">
        <v>180</v>
      </c>
      <c r="G496" t="s">
        <v>180</v>
      </c>
      <c r="H496" t="s">
        <v>2595</v>
      </c>
      <c r="I496" t="s">
        <v>2596</v>
      </c>
      <c r="J496" t="s">
        <v>143</v>
      </c>
      <c r="K496" t="s">
        <v>150</v>
      </c>
      <c r="L496" t="s">
        <v>150</v>
      </c>
      <c r="M496" t="s">
        <v>2192</v>
      </c>
      <c r="N496" t="s">
        <v>2193</v>
      </c>
      <c r="O496">
        <v>10025695</v>
      </c>
      <c r="P496" s="108">
        <v>42871</v>
      </c>
      <c r="Q496" s="108">
        <v>42873</v>
      </c>
      <c r="R496" s="108">
        <v>42923</v>
      </c>
      <c r="S496" t="s">
        <v>153</v>
      </c>
      <c r="T496">
        <v>4</v>
      </c>
      <c r="U496" t="s">
        <v>124</v>
      </c>
      <c r="V496">
        <v>4</v>
      </c>
      <c r="W496">
        <v>3</v>
      </c>
      <c r="X496">
        <v>3</v>
      </c>
      <c r="Y496">
        <f>VLOOKUP(Table_clu7sql1_ssdb_REPORT_vw_IE_External_MI_SON[[#This Row],[URN]],[1]Data!$D$2:$BB$1084,31,)</f>
        <v>3</v>
      </c>
      <c r="Z496">
        <v>3</v>
      </c>
      <c r="AA496" t="s">
        <v>2596</v>
      </c>
      <c r="AB496" t="s">
        <v>2599</v>
      </c>
      <c r="AC496" t="s">
        <v>2596</v>
      </c>
      <c r="AD496" t="s">
        <v>2596</v>
      </c>
      <c r="AE496" s="108" t="s">
        <v>2596</v>
      </c>
      <c r="AF496" t="s">
        <v>2596</v>
      </c>
      <c r="AG496" s="108" t="s">
        <v>2596</v>
      </c>
      <c r="AH496" t="s">
        <v>2596</v>
      </c>
    </row>
    <row r="497" spans="1:34" x14ac:dyDescent="0.25">
      <c r="A497" s="111" t="str">
        <f>HYPERLINK("http://www.ofsted.gov.uk/inspection-reports/find-inspection-report/provider/ELS/134424 ","Ofsted School Webpage")</f>
        <v>Ofsted School Webpage</v>
      </c>
      <c r="B497">
        <v>134424</v>
      </c>
      <c r="C497">
        <v>8726013</v>
      </c>
      <c r="D497" t="s">
        <v>292</v>
      </c>
      <c r="E497" t="s">
        <v>36</v>
      </c>
      <c r="F497" t="s">
        <v>169</v>
      </c>
      <c r="G497" t="s">
        <v>169</v>
      </c>
      <c r="H497" t="s">
        <v>2595</v>
      </c>
      <c r="I497" t="s">
        <v>2596</v>
      </c>
      <c r="J497" t="s">
        <v>143</v>
      </c>
      <c r="K497" t="s">
        <v>139</v>
      </c>
      <c r="L497" t="s">
        <v>139</v>
      </c>
      <c r="M497" t="s">
        <v>293</v>
      </c>
      <c r="N497" t="s">
        <v>2879</v>
      </c>
      <c r="O497">
        <v>10033951</v>
      </c>
      <c r="P497" s="108">
        <v>43025</v>
      </c>
      <c r="Q497" s="108">
        <v>43027</v>
      </c>
      <c r="R497" s="108">
        <v>43053</v>
      </c>
      <c r="S497" t="s">
        <v>153</v>
      </c>
      <c r="T497">
        <v>3</v>
      </c>
      <c r="U497" t="s">
        <v>123</v>
      </c>
      <c r="V497">
        <v>3</v>
      </c>
      <c r="W497">
        <v>2</v>
      </c>
      <c r="X497">
        <v>3</v>
      </c>
      <c r="Y497">
        <f>VLOOKUP(Table_clu7sql1_ssdb_REPORT_vw_IE_External_MI_SON[[#This Row],[URN]],[1]Data!$D$2:$BB$1084,31,)</f>
        <v>3</v>
      </c>
      <c r="Z497">
        <v>2</v>
      </c>
      <c r="AA497" t="s">
        <v>2596</v>
      </c>
      <c r="AB497" t="s">
        <v>2598</v>
      </c>
      <c r="AC497" t="s">
        <v>2596</v>
      </c>
      <c r="AD497" t="s">
        <v>2596</v>
      </c>
      <c r="AE497" t="s">
        <v>2596</v>
      </c>
      <c r="AF497" t="s">
        <v>2596</v>
      </c>
      <c r="AG497" t="s">
        <v>2596</v>
      </c>
      <c r="AH497" t="s">
        <v>2596</v>
      </c>
    </row>
    <row r="498" spans="1:34" x14ac:dyDescent="0.25">
      <c r="A498" s="111" t="str">
        <f>HYPERLINK("http://www.ofsted.gov.uk/inspection-reports/find-inspection-report/provider/ELS/134427 ","Ofsted School Webpage")</f>
        <v>Ofsted School Webpage</v>
      </c>
      <c r="B498">
        <v>134427</v>
      </c>
      <c r="C498">
        <v>3806118</v>
      </c>
      <c r="D498" t="s">
        <v>2899</v>
      </c>
      <c r="E498" t="s">
        <v>36</v>
      </c>
      <c r="F498" t="s">
        <v>142</v>
      </c>
      <c r="G498" t="s">
        <v>169</v>
      </c>
      <c r="H498" t="s">
        <v>2595</v>
      </c>
      <c r="I498" t="s">
        <v>2596</v>
      </c>
      <c r="J498" t="s">
        <v>143</v>
      </c>
      <c r="K498" t="s">
        <v>202</v>
      </c>
      <c r="L498" t="s">
        <v>203</v>
      </c>
      <c r="M498" t="s">
        <v>295</v>
      </c>
      <c r="N498" t="s">
        <v>727</v>
      </c>
      <c r="O498">
        <v>10008553</v>
      </c>
      <c r="P498" s="108">
        <v>42451</v>
      </c>
      <c r="Q498" s="108">
        <v>42453</v>
      </c>
      <c r="R498" s="108">
        <v>42489</v>
      </c>
      <c r="S498" t="s">
        <v>153</v>
      </c>
      <c r="T498">
        <v>2</v>
      </c>
      <c r="U498" t="s">
        <v>123</v>
      </c>
      <c r="V498">
        <v>2</v>
      </c>
      <c r="W498">
        <v>2</v>
      </c>
      <c r="X498">
        <v>2</v>
      </c>
      <c r="Y498">
        <f>VLOOKUP(Table_clu7sql1_ssdb_REPORT_vw_IE_External_MI_SON[[#This Row],[URN]],[1]Data!$D$2:$BB$1084,31,)</f>
        <v>2</v>
      </c>
      <c r="Z498" t="s">
        <v>2596</v>
      </c>
      <c r="AA498" t="s">
        <v>2596</v>
      </c>
      <c r="AB498" t="s">
        <v>2598</v>
      </c>
      <c r="AC498" t="s">
        <v>2596</v>
      </c>
      <c r="AD498" t="s">
        <v>2596</v>
      </c>
      <c r="AE498" s="108" t="s">
        <v>2596</v>
      </c>
      <c r="AF498" t="s">
        <v>2596</v>
      </c>
      <c r="AG498" s="108" t="s">
        <v>2596</v>
      </c>
      <c r="AH498" t="s">
        <v>2596</v>
      </c>
    </row>
    <row r="499" spans="1:34" x14ac:dyDescent="0.25">
      <c r="A499" s="111" t="str">
        <f>HYPERLINK("http://www.ofsted.gov.uk/inspection-reports/find-inspection-report/provider/ELS/134429 ","Ofsted School Webpage")</f>
        <v>Ofsted School Webpage</v>
      </c>
      <c r="B499">
        <v>134429</v>
      </c>
      <c r="C499">
        <v>3806117</v>
      </c>
      <c r="D499" t="s">
        <v>1206</v>
      </c>
      <c r="E499" t="s">
        <v>36</v>
      </c>
      <c r="F499" t="s">
        <v>142</v>
      </c>
      <c r="G499" t="s">
        <v>180</v>
      </c>
      <c r="H499" t="s">
        <v>2595</v>
      </c>
      <c r="I499" t="s">
        <v>2596</v>
      </c>
      <c r="J499" t="s">
        <v>143</v>
      </c>
      <c r="K499" t="s">
        <v>202</v>
      </c>
      <c r="L499" t="s">
        <v>203</v>
      </c>
      <c r="M499" t="s">
        <v>295</v>
      </c>
      <c r="N499" t="s">
        <v>1207</v>
      </c>
      <c r="O499">
        <v>10025955</v>
      </c>
      <c r="P499" s="108">
        <v>42752</v>
      </c>
      <c r="Q499" s="108">
        <v>42754</v>
      </c>
      <c r="R499" s="108">
        <v>42781</v>
      </c>
      <c r="S499" t="s">
        <v>153</v>
      </c>
      <c r="T499">
        <v>3</v>
      </c>
      <c r="U499" t="s">
        <v>123</v>
      </c>
      <c r="V499">
        <v>3</v>
      </c>
      <c r="W499">
        <v>2</v>
      </c>
      <c r="X499">
        <v>3</v>
      </c>
      <c r="Y499">
        <f>VLOOKUP(Table_clu7sql1_ssdb_REPORT_vw_IE_External_MI_SON[[#This Row],[URN]],[1]Data!$D$2:$BB$1084,31,)</f>
        <v>3</v>
      </c>
      <c r="Z499">
        <v>2</v>
      </c>
      <c r="AA499" t="s">
        <v>2596</v>
      </c>
      <c r="AB499" t="s">
        <v>2599</v>
      </c>
      <c r="AC499" t="s">
        <v>2596</v>
      </c>
      <c r="AD499" t="s">
        <v>2596</v>
      </c>
      <c r="AE499" t="s">
        <v>2596</v>
      </c>
      <c r="AF499" t="s">
        <v>2596</v>
      </c>
      <c r="AG499" t="s">
        <v>2596</v>
      </c>
      <c r="AH499" t="s">
        <v>2596</v>
      </c>
    </row>
    <row r="500" spans="1:34" x14ac:dyDescent="0.25">
      <c r="A500" s="111" t="str">
        <f>HYPERLINK("http://www.ofsted.gov.uk/inspection-reports/find-inspection-report/provider/ELS/134438 ","Ofsted School Webpage")</f>
        <v>Ofsted School Webpage</v>
      </c>
      <c r="B500">
        <v>134438</v>
      </c>
      <c r="C500">
        <v>8556020</v>
      </c>
      <c r="D500" t="s">
        <v>237</v>
      </c>
      <c r="E500" t="s">
        <v>37</v>
      </c>
      <c r="F500" t="s">
        <v>142</v>
      </c>
      <c r="G500" t="s">
        <v>142</v>
      </c>
      <c r="H500" t="s">
        <v>2595</v>
      </c>
      <c r="I500" t="s">
        <v>2596</v>
      </c>
      <c r="J500" t="s">
        <v>143</v>
      </c>
      <c r="K500" t="s">
        <v>171</v>
      </c>
      <c r="L500" t="s">
        <v>171</v>
      </c>
      <c r="M500" t="s">
        <v>238</v>
      </c>
      <c r="N500" t="s">
        <v>239</v>
      </c>
      <c r="O500">
        <v>10040612</v>
      </c>
      <c r="P500" s="108">
        <v>42990</v>
      </c>
      <c r="Q500" s="108">
        <v>42992</v>
      </c>
      <c r="R500" s="108">
        <v>43020</v>
      </c>
      <c r="S500" t="s">
        <v>153</v>
      </c>
      <c r="T500">
        <v>3</v>
      </c>
      <c r="U500" t="s">
        <v>123</v>
      </c>
      <c r="V500">
        <v>3</v>
      </c>
      <c r="W500">
        <v>2</v>
      </c>
      <c r="X500">
        <v>3</v>
      </c>
      <c r="Y500">
        <f>VLOOKUP(Table_clu7sql1_ssdb_REPORT_vw_IE_External_MI_SON[[#This Row],[URN]],[1]Data!$D$2:$BB$1084,31,)</f>
        <v>3</v>
      </c>
      <c r="Z500" t="s">
        <v>2596</v>
      </c>
      <c r="AA500">
        <v>2</v>
      </c>
      <c r="AB500" t="s">
        <v>2599</v>
      </c>
      <c r="AC500" t="s">
        <v>2596</v>
      </c>
      <c r="AD500" t="s">
        <v>2596</v>
      </c>
      <c r="AE500" t="s">
        <v>2596</v>
      </c>
      <c r="AF500" t="s">
        <v>2596</v>
      </c>
      <c r="AG500" t="s">
        <v>2596</v>
      </c>
      <c r="AH500" t="s">
        <v>2596</v>
      </c>
    </row>
    <row r="501" spans="1:34" x14ac:dyDescent="0.25">
      <c r="A501" s="111" t="str">
        <f>HYPERLINK("http://www.ofsted.gov.uk/inspection-reports/find-inspection-report/provider/ELS/134440 ","Ofsted School Webpage")</f>
        <v>Ofsted School Webpage</v>
      </c>
      <c r="B501">
        <v>134440</v>
      </c>
      <c r="C501">
        <v>9266150</v>
      </c>
      <c r="D501" t="s">
        <v>1943</v>
      </c>
      <c r="E501" t="s">
        <v>36</v>
      </c>
      <c r="F501" t="s">
        <v>142</v>
      </c>
      <c r="G501" t="s">
        <v>142</v>
      </c>
      <c r="H501" t="s">
        <v>2595</v>
      </c>
      <c r="I501" t="s">
        <v>2596</v>
      </c>
      <c r="J501" t="s">
        <v>143</v>
      </c>
      <c r="K501" t="s">
        <v>177</v>
      </c>
      <c r="L501" t="s">
        <v>177</v>
      </c>
      <c r="M501" t="s">
        <v>401</v>
      </c>
      <c r="N501" t="s">
        <v>1944</v>
      </c>
      <c r="O501">
        <v>10020816</v>
      </c>
      <c r="P501" s="108">
        <v>42864</v>
      </c>
      <c r="Q501" s="108">
        <v>42866</v>
      </c>
      <c r="R501" s="108">
        <v>42907</v>
      </c>
      <c r="S501" t="s">
        <v>153</v>
      </c>
      <c r="T501">
        <v>3</v>
      </c>
      <c r="U501" t="s">
        <v>123</v>
      </c>
      <c r="V501">
        <v>3</v>
      </c>
      <c r="W501">
        <v>3</v>
      </c>
      <c r="X501">
        <v>3</v>
      </c>
      <c r="Y501">
        <f>VLOOKUP(Table_clu7sql1_ssdb_REPORT_vw_IE_External_MI_SON[[#This Row],[URN]],[1]Data!$D$2:$BB$1084,31,)</f>
        <v>3</v>
      </c>
      <c r="Z501" t="s">
        <v>2596</v>
      </c>
      <c r="AA501" t="s">
        <v>2596</v>
      </c>
      <c r="AB501" t="s">
        <v>2599</v>
      </c>
      <c r="AC501" t="s">
        <v>2596</v>
      </c>
      <c r="AD501" t="s">
        <v>2596</v>
      </c>
      <c r="AE501" t="s">
        <v>2596</v>
      </c>
      <c r="AF501" t="s">
        <v>2596</v>
      </c>
      <c r="AG501" t="s">
        <v>2596</v>
      </c>
      <c r="AH501" t="s">
        <v>2596</v>
      </c>
    </row>
    <row r="502" spans="1:34" x14ac:dyDescent="0.25">
      <c r="A502" s="111" t="str">
        <f>HYPERLINK("http://www.ofsted.gov.uk/inspection-reports/find-inspection-report/provider/ELS/134441 ","Ofsted School Webpage")</f>
        <v>Ofsted School Webpage</v>
      </c>
      <c r="B502">
        <v>134441</v>
      </c>
      <c r="C502">
        <v>8016023</v>
      </c>
      <c r="D502" t="s">
        <v>1941</v>
      </c>
      <c r="E502" t="s">
        <v>36</v>
      </c>
      <c r="F502" t="s">
        <v>142</v>
      </c>
      <c r="G502" t="s">
        <v>142</v>
      </c>
      <c r="H502" t="s">
        <v>2595</v>
      </c>
      <c r="I502" t="s">
        <v>2596</v>
      </c>
      <c r="J502" t="s">
        <v>143</v>
      </c>
      <c r="K502" t="s">
        <v>182</v>
      </c>
      <c r="L502" t="s">
        <v>182</v>
      </c>
      <c r="M502" t="s">
        <v>317</v>
      </c>
      <c r="N502" t="s">
        <v>1942</v>
      </c>
      <c r="O502">
        <v>10017614</v>
      </c>
      <c r="P502" s="108">
        <v>42486</v>
      </c>
      <c r="Q502" s="108">
        <v>42488</v>
      </c>
      <c r="R502" s="108">
        <v>42534</v>
      </c>
      <c r="S502" t="s">
        <v>153</v>
      </c>
      <c r="T502">
        <v>2</v>
      </c>
      <c r="U502" t="s">
        <v>123</v>
      </c>
      <c r="V502">
        <v>2</v>
      </c>
      <c r="W502">
        <v>2</v>
      </c>
      <c r="X502">
        <v>2</v>
      </c>
      <c r="Y502">
        <f>VLOOKUP(Table_clu7sql1_ssdb_REPORT_vw_IE_External_MI_SON[[#This Row],[URN]],[1]Data!$D$2:$BB$1084,31,)</f>
        <v>2</v>
      </c>
      <c r="Z502" t="s">
        <v>2596</v>
      </c>
      <c r="AA502">
        <v>2</v>
      </c>
      <c r="AB502" t="s">
        <v>2598</v>
      </c>
      <c r="AC502" t="s">
        <v>2596</v>
      </c>
      <c r="AD502" t="s">
        <v>2596</v>
      </c>
      <c r="AE502" t="s">
        <v>2596</v>
      </c>
      <c r="AF502" t="s">
        <v>2596</v>
      </c>
      <c r="AG502" t="s">
        <v>2596</v>
      </c>
      <c r="AH502" t="s">
        <v>2596</v>
      </c>
    </row>
    <row r="503" spans="1:34" x14ac:dyDescent="0.25">
      <c r="A503" s="111" t="str">
        <f>HYPERLINK("http://www.ofsted.gov.uk/inspection-reports/find-inspection-report/provider/ELS/134469 ","Ofsted School Webpage")</f>
        <v>Ofsted School Webpage</v>
      </c>
      <c r="B503">
        <v>134469</v>
      </c>
      <c r="C503">
        <v>3586018</v>
      </c>
      <c r="D503" t="s">
        <v>1417</v>
      </c>
      <c r="E503" t="s">
        <v>36</v>
      </c>
      <c r="F503" t="s">
        <v>180</v>
      </c>
      <c r="G503" t="s">
        <v>180</v>
      </c>
      <c r="H503" t="s">
        <v>2595</v>
      </c>
      <c r="I503" t="s">
        <v>2596</v>
      </c>
      <c r="J503" t="s">
        <v>143</v>
      </c>
      <c r="K503" t="s">
        <v>162</v>
      </c>
      <c r="L503" t="s">
        <v>162</v>
      </c>
      <c r="M503" t="s">
        <v>1319</v>
      </c>
      <c r="N503" t="s">
        <v>1418</v>
      </c>
      <c r="O503">
        <v>10026011</v>
      </c>
      <c r="P503" s="108">
        <v>42808</v>
      </c>
      <c r="Q503" s="108">
        <v>42810</v>
      </c>
      <c r="R503" s="108">
        <v>42830</v>
      </c>
      <c r="S503" t="s">
        <v>153</v>
      </c>
      <c r="T503">
        <v>2</v>
      </c>
      <c r="U503" t="s">
        <v>123</v>
      </c>
      <c r="V503">
        <v>2</v>
      </c>
      <c r="W503">
        <v>2</v>
      </c>
      <c r="X503">
        <v>2</v>
      </c>
      <c r="Y503">
        <f>VLOOKUP(Table_clu7sql1_ssdb_REPORT_vw_IE_External_MI_SON[[#This Row],[URN]],[1]Data!$D$2:$BB$1084,31,)</f>
        <v>2</v>
      </c>
      <c r="Z503">
        <v>2</v>
      </c>
      <c r="AA503" t="s">
        <v>2596</v>
      </c>
      <c r="AB503" t="s">
        <v>2598</v>
      </c>
      <c r="AC503" t="s">
        <v>2596</v>
      </c>
      <c r="AD503" t="s">
        <v>2596</v>
      </c>
      <c r="AE503" t="s">
        <v>2596</v>
      </c>
      <c r="AF503" t="s">
        <v>2596</v>
      </c>
      <c r="AG503" t="s">
        <v>2596</v>
      </c>
      <c r="AH503" t="s">
        <v>2596</v>
      </c>
    </row>
    <row r="504" spans="1:34" x14ac:dyDescent="0.25">
      <c r="A504" s="111" t="str">
        <f>HYPERLINK("http://www.ofsted.gov.uk/inspection-reports/find-inspection-report/provider/ELS/134571 ","Ofsted School Webpage")</f>
        <v>Ofsted School Webpage</v>
      </c>
      <c r="B504">
        <v>134571</v>
      </c>
      <c r="C504">
        <v>3306106</v>
      </c>
      <c r="D504" t="s">
        <v>1949</v>
      </c>
      <c r="E504" t="s">
        <v>36</v>
      </c>
      <c r="F504" t="s">
        <v>142</v>
      </c>
      <c r="G504" t="s">
        <v>180</v>
      </c>
      <c r="H504" t="s">
        <v>2595</v>
      </c>
      <c r="I504" t="s">
        <v>2596</v>
      </c>
      <c r="J504" t="s">
        <v>143</v>
      </c>
      <c r="K504" t="s">
        <v>150</v>
      </c>
      <c r="L504" t="s">
        <v>150</v>
      </c>
      <c r="M504" t="s">
        <v>167</v>
      </c>
      <c r="N504" t="s">
        <v>1950</v>
      </c>
      <c r="O504">
        <v>10033569</v>
      </c>
      <c r="P504" s="108">
        <v>42927</v>
      </c>
      <c r="Q504" s="108">
        <v>42929</v>
      </c>
      <c r="R504" s="108">
        <v>42999</v>
      </c>
      <c r="S504" t="s">
        <v>153</v>
      </c>
      <c r="T504">
        <v>3</v>
      </c>
      <c r="U504" t="s">
        <v>123</v>
      </c>
      <c r="V504">
        <v>3</v>
      </c>
      <c r="W504">
        <v>2</v>
      </c>
      <c r="X504">
        <v>3</v>
      </c>
      <c r="Y504">
        <f>VLOOKUP(Table_clu7sql1_ssdb_REPORT_vw_IE_External_MI_SON[[#This Row],[URN]],[1]Data!$D$2:$BB$1084,31,)</f>
        <v>3</v>
      </c>
      <c r="Z504" t="s">
        <v>2596</v>
      </c>
      <c r="AA504">
        <v>2</v>
      </c>
      <c r="AB504" t="s">
        <v>2599</v>
      </c>
      <c r="AC504" t="s">
        <v>2596</v>
      </c>
      <c r="AD504" t="s">
        <v>2596</v>
      </c>
      <c r="AE504" t="s">
        <v>2596</v>
      </c>
      <c r="AF504" t="s">
        <v>2596</v>
      </c>
      <c r="AG504" t="s">
        <v>2596</v>
      </c>
      <c r="AH504" t="s">
        <v>2596</v>
      </c>
    </row>
    <row r="505" spans="1:34" x14ac:dyDescent="0.25">
      <c r="A505" s="111" t="str">
        <f>HYPERLINK("http://www.ofsted.gov.uk/inspection-reports/find-inspection-report/provider/ELS/134573 ","Ofsted School Webpage")</f>
        <v>Ofsted School Webpage</v>
      </c>
      <c r="B505">
        <v>134573</v>
      </c>
      <c r="C505">
        <v>2106394</v>
      </c>
      <c r="D505" t="s">
        <v>2112</v>
      </c>
      <c r="E505" t="s">
        <v>36</v>
      </c>
      <c r="F505" t="s">
        <v>142</v>
      </c>
      <c r="G505" t="s">
        <v>142</v>
      </c>
      <c r="H505" t="s">
        <v>2595</v>
      </c>
      <c r="I505" t="s">
        <v>2596</v>
      </c>
      <c r="J505" t="s">
        <v>143</v>
      </c>
      <c r="K505" t="s">
        <v>189</v>
      </c>
      <c r="L505" t="s">
        <v>189</v>
      </c>
      <c r="M505" t="s">
        <v>505</v>
      </c>
      <c r="N505" t="s">
        <v>2113</v>
      </c>
      <c r="O505" t="s">
        <v>2114</v>
      </c>
      <c r="P505" s="108">
        <v>40862</v>
      </c>
      <c r="Q505" s="108">
        <v>40863</v>
      </c>
      <c r="R505" s="108">
        <v>40886</v>
      </c>
      <c r="S505" t="s">
        <v>153</v>
      </c>
      <c r="T505">
        <v>2</v>
      </c>
      <c r="U505" t="s">
        <v>2596</v>
      </c>
      <c r="V505" t="s">
        <v>2596</v>
      </c>
      <c r="W505" t="s">
        <v>2596</v>
      </c>
      <c r="X505">
        <v>2</v>
      </c>
      <c r="Y505">
        <f>VLOOKUP(Table_clu7sql1_ssdb_REPORT_vw_IE_External_MI_SON[[#This Row],[URN]],[1]Data!$D$2:$BB$1084,31,)</f>
        <v>2</v>
      </c>
      <c r="Z505">
        <v>8</v>
      </c>
      <c r="AA505" t="s">
        <v>2596</v>
      </c>
      <c r="AB505" t="s">
        <v>2599</v>
      </c>
      <c r="AC505" t="s">
        <v>2596</v>
      </c>
      <c r="AD505" t="s">
        <v>2596</v>
      </c>
      <c r="AE505" t="s">
        <v>2596</v>
      </c>
      <c r="AF505" t="s">
        <v>2596</v>
      </c>
      <c r="AG505" t="s">
        <v>2596</v>
      </c>
      <c r="AH505" t="s">
        <v>2596</v>
      </c>
    </row>
    <row r="506" spans="1:34" x14ac:dyDescent="0.25">
      <c r="A506" s="111" t="str">
        <f>HYPERLINK("http://www.ofsted.gov.uk/inspection-reports/find-inspection-report/provider/ELS/134574 ","Ofsted School Webpage")</f>
        <v>Ofsted School Webpage</v>
      </c>
      <c r="B506">
        <v>134574</v>
      </c>
      <c r="C506">
        <v>3736030</v>
      </c>
      <c r="D506" t="s">
        <v>1947</v>
      </c>
      <c r="E506" t="s">
        <v>36</v>
      </c>
      <c r="F506" t="s">
        <v>180</v>
      </c>
      <c r="G506" t="s">
        <v>180</v>
      </c>
      <c r="H506" t="s">
        <v>2595</v>
      </c>
      <c r="I506" t="s">
        <v>2596</v>
      </c>
      <c r="J506" t="s">
        <v>143</v>
      </c>
      <c r="K506" t="s">
        <v>202</v>
      </c>
      <c r="L506" t="s">
        <v>203</v>
      </c>
      <c r="M506" t="s">
        <v>617</v>
      </c>
      <c r="N506" t="s">
        <v>1948</v>
      </c>
      <c r="O506">
        <v>10033918</v>
      </c>
      <c r="P506" s="108">
        <v>43081</v>
      </c>
      <c r="Q506" s="108">
        <v>43083</v>
      </c>
      <c r="R506" s="108">
        <v>43129</v>
      </c>
      <c r="S506" t="s">
        <v>153</v>
      </c>
      <c r="T506">
        <v>2</v>
      </c>
      <c r="U506" t="s">
        <v>123</v>
      </c>
      <c r="V506">
        <v>2</v>
      </c>
      <c r="W506">
        <v>2</v>
      </c>
      <c r="X506">
        <v>2</v>
      </c>
      <c r="Y506">
        <f>VLOOKUP(Table_clu7sql1_ssdb_REPORT_vw_IE_External_MI_SON[[#This Row],[URN]],[1]Data!$D$2:$BB$1084,31,)</f>
        <v>2</v>
      </c>
      <c r="Z506" t="s">
        <v>2596</v>
      </c>
      <c r="AA506" t="s">
        <v>2596</v>
      </c>
      <c r="AB506" t="s">
        <v>2598</v>
      </c>
      <c r="AC506" t="s">
        <v>2596</v>
      </c>
      <c r="AD506" t="s">
        <v>2596</v>
      </c>
      <c r="AE506" t="s">
        <v>2596</v>
      </c>
      <c r="AF506" t="s">
        <v>2596</v>
      </c>
      <c r="AG506" t="s">
        <v>2596</v>
      </c>
      <c r="AH506" t="s">
        <v>2596</v>
      </c>
    </row>
    <row r="507" spans="1:34" x14ac:dyDescent="0.25">
      <c r="A507" s="111" t="str">
        <f>HYPERLINK("http://www.ofsted.gov.uk/inspection-reports/find-inspection-report/provider/ELS/134575 ","Ofsted School Webpage")</f>
        <v>Ofsted School Webpage</v>
      </c>
      <c r="B507">
        <v>134575</v>
      </c>
      <c r="C507">
        <v>3546006</v>
      </c>
      <c r="D507" t="s">
        <v>2293</v>
      </c>
      <c r="E507" t="s">
        <v>36</v>
      </c>
      <c r="F507" t="s">
        <v>142</v>
      </c>
      <c r="G507" t="s">
        <v>180</v>
      </c>
      <c r="H507" t="s">
        <v>2595</v>
      </c>
      <c r="I507" t="s">
        <v>2596</v>
      </c>
      <c r="J507" t="s">
        <v>143</v>
      </c>
      <c r="K507" t="s">
        <v>162</v>
      </c>
      <c r="L507" t="s">
        <v>162</v>
      </c>
      <c r="M507" t="s">
        <v>412</v>
      </c>
      <c r="N507" t="s">
        <v>2294</v>
      </c>
      <c r="O507">
        <v>10034026</v>
      </c>
      <c r="P507" s="108">
        <v>42906</v>
      </c>
      <c r="Q507" s="108">
        <v>42908</v>
      </c>
      <c r="R507" s="108">
        <v>42930</v>
      </c>
      <c r="S507" t="s">
        <v>153</v>
      </c>
      <c r="T507">
        <v>2</v>
      </c>
      <c r="U507" t="s">
        <v>123</v>
      </c>
      <c r="V507">
        <v>2</v>
      </c>
      <c r="W507">
        <v>2</v>
      </c>
      <c r="X507">
        <v>2</v>
      </c>
      <c r="Y507">
        <f>VLOOKUP(Table_clu7sql1_ssdb_REPORT_vw_IE_External_MI_SON[[#This Row],[URN]],[1]Data!$D$2:$BB$1084,31,)</f>
        <v>2</v>
      </c>
      <c r="Z507" t="s">
        <v>2596</v>
      </c>
      <c r="AA507" t="s">
        <v>2596</v>
      </c>
      <c r="AB507" t="s">
        <v>2598</v>
      </c>
      <c r="AC507" t="s">
        <v>2596</v>
      </c>
      <c r="AD507" t="s">
        <v>2596</v>
      </c>
      <c r="AE507" t="s">
        <v>2596</v>
      </c>
      <c r="AF507" t="s">
        <v>2596</v>
      </c>
      <c r="AG507" t="s">
        <v>2596</v>
      </c>
      <c r="AH507" t="s">
        <v>2596</v>
      </c>
    </row>
    <row r="508" spans="1:34" x14ac:dyDescent="0.25">
      <c r="A508" s="111" t="str">
        <f>HYPERLINK("http://www.ofsted.gov.uk/inspection-reports/find-inspection-report/provider/ELS/134577 ","Ofsted School Webpage")</f>
        <v>Ofsted School Webpage</v>
      </c>
      <c r="B508">
        <v>134577</v>
      </c>
      <c r="C508">
        <v>3166063</v>
      </c>
      <c r="D508" t="s">
        <v>1696</v>
      </c>
      <c r="E508" t="s">
        <v>36</v>
      </c>
      <c r="F508" t="s">
        <v>180</v>
      </c>
      <c r="G508" t="s">
        <v>180</v>
      </c>
      <c r="H508" t="s">
        <v>2595</v>
      </c>
      <c r="I508" t="s">
        <v>2596</v>
      </c>
      <c r="J508" t="s">
        <v>143</v>
      </c>
      <c r="K508" t="s">
        <v>189</v>
      </c>
      <c r="L508" t="s">
        <v>189</v>
      </c>
      <c r="M508" t="s">
        <v>460</v>
      </c>
      <c r="N508" t="s">
        <v>1697</v>
      </c>
      <c r="O508">
        <v>10034448</v>
      </c>
      <c r="P508" s="108">
        <v>42920</v>
      </c>
      <c r="Q508" s="108">
        <v>42922</v>
      </c>
      <c r="R508" s="108">
        <v>43018</v>
      </c>
      <c r="S508" t="s">
        <v>153</v>
      </c>
      <c r="T508">
        <v>4</v>
      </c>
      <c r="U508" t="s">
        <v>124</v>
      </c>
      <c r="V508">
        <v>4</v>
      </c>
      <c r="W508">
        <v>4</v>
      </c>
      <c r="X508">
        <v>3</v>
      </c>
      <c r="Y508">
        <f>VLOOKUP(Table_clu7sql1_ssdb_REPORT_vw_IE_External_MI_SON[[#This Row],[URN]],[1]Data!$D$2:$BB$1084,31,)</f>
        <v>3</v>
      </c>
      <c r="Z508" t="s">
        <v>2596</v>
      </c>
      <c r="AA508" t="s">
        <v>2596</v>
      </c>
      <c r="AB508" t="s">
        <v>2599</v>
      </c>
      <c r="AC508" t="s">
        <v>2596</v>
      </c>
      <c r="AD508" t="s">
        <v>2596</v>
      </c>
      <c r="AE508" s="108" t="s">
        <v>2596</v>
      </c>
      <c r="AF508" t="s">
        <v>2596</v>
      </c>
      <c r="AG508" s="108" t="s">
        <v>2596</v>
      </c>
      <c r="AH508" t="s">
        <v>2596</v>
      </c>
    </row>
    <row r="509" spans="1:34" x14ac:dyDescent="0.25">
      <c r="A509" s="111" t="str">
        <f>HYPERLINK("http://www.ofsted.gov.uk/inspection-reports/find-inspection-report/provider/ELS/134579 ","Ofsted School Webpage")</f>
        <v>Ofsted School Webpage</v>
      </c>
      <c r="B509">
        <v>134579</v>
      </c>
      <c r="C509">
        <v>3206064</v>
      </c>
      <c r="D509" t="s">
        <v>2123</v>
      </c>
      <c r="E509" t="s">
        <v>36</v>
      </c>
      <c r="F509" t="s">
        <v>142</v>
      </c>
      <c r="G509" t="s">
        <v>142</v>
      </c>
      <c r="H509" t="s">
        <v>2595</v>
      </c>
      <c r="I509" t="s">
        <v>2596</v>
      </c>
      <c r="J509" t="s">
        <v>143</v>
      </c>
      <c r="K509" t="s">
        <v>189</v>
      </c>
      <c r="L509" t="s">
        <v>189</v>
      </c>
      <c r="M509" t="s">
        <v>662</v>
      </c>
      <c r="N509" t="s">
        <v>2124</v>
      </c>
      <c r="O509">
        <v>10008548</v>
      </c>
      <c r="P509" s="108">
        <v>42893</v>
      </c>
      <c r="Q509" s="108">
        <v>42895</v>
      </c>
      <c r="R509" s="108">
        <v>42990</v>
      </c>
      <c r="S509" t="s">
        <v>153</v>
      </c>
      <c r="T509">
        <v>4</v>
      </c>
      <c r="U509" t="s">
        <v>124</v>
      </c>
      <c r="V509">
        <v>4</v>
      </c>
      <c r="W509">
        <v>4</v>
      </c>
      <c r="X509">
        <v>4</v>
      </c>
      <c r="Y509">
        <f>VLOOKUP(Table_clu7sql1_ssdb_REPORT_vw_IE_External_MI_SON[[#This Row],[URN]],[1]Data!$D$2:$BB$1084,31,)</f>
        <v>4</v>
      </c>
      <c r="Z509">
        <v>4</v>
      </c>
      <c r="AA509" t="s">
        <v>2596</v>
      </c>
      <c r="AB509" t="s">
        <v>2599</v>
      </c>
      <c r="AC509" t="s">
        <v>2596</v>
      </c>
      <c r="AD509" t="s">
        <v>2596</v>
      </c>
      <c r="AE509" t="s">
        <v>2596</v>
      </c>
      <c r="AF509" t="s">
        <v>2596</v>
      </c>
      <c r="AG509" t="s">
        <v>2596</v>
      </c>
      <c r="AH509" t="s">
        <v>2596</v>
      </c>
    </row>
    <row r="510" spans="1:34" x14ac:dyDescent="0.25">
      <c r="A510" s="111" t="str">
        <f>HYPERLINK("http://www.ofsted.gov.uk/inspection-reports/find-inspection-report/provider/ELS/134580 ","Ofsted School Webpage")</f>
        <v>Ofsted School Webpage</v>
      </c>
      <c r="B510">
        <v>134580</v>
      </c>
      <c r="C510">
        <v>3086068</v>
      </c>
      <c r="D510" t="s">
        <v>218</v>
      </c>
      <c r="E510" t="s">
        <v>36</v>
      </c>
      <c r="F510" t="s">
        <v>142</v>
      </c>
      <c r="G510" t="s">
        <v>169</v>
      </c>
      <c r="H510" t="s">
        <v>2595</v>
      </c>
      <c r="I510" t="s">
        <v>2596</v>
      </c>
      <c r="J510" t="s">
        <v>143</v>
      </c>
      <c r="K510" t="s">
        <v>189</v>
      </c>
      <c r="L510" t="s">
        <v>189</v>
      </c>
      <c r="M510" t="s">
        <v>216</v>
      </c>
      <c r="N510" t="s">
        <v>2423</v>
      </c>
      <c r="O510">
        <v>10038169</v>
      </c>
      <c r="P510" s="108">
        <v>43081</v>
      </c>
      <c r="Q510" s="108">
        <v>43083</v>
      </c>
      <c r="R510" s="108">
        <v>43126</v>
      </c>
      <c r="S510" t="s">
        <v>153</v>
      </c>
      <c r="T510">
        <v>3</v>
      </c>
      <c r="U510" t="s">
        <v>123</v>
      </c>
      <c r="V510">
        <v>3</v>
      </c>
      <c r="W510">
        <v>2</v>
      </c>
      <c r="X510">
        <v>3</v>
      </c>
      <c r="Y510">
        <f>VLOOKUP(Table_clu7sql1_ssdb_REPORT_vw_IE_External_MI_SON[[#This Row],[URN]],[1]Data!$D$2:$BB$1084,31,)</f>
        <v>3</v>
      </c>
      <c r="Z510" t="s">
        <v>2596</v>
      </c>
      <c r="AA510" t="s">
        <v>2596</v>
      </c>
      <c r="AB510" t="s">
        <v>2599</v>
      </c>
      <c r="AC510" t="s">
        <v>2596</v>
      </c>
      <c r="AD510" t="s">
        <v>2596</v>
      </c>
      <c r="AE510" t="s">
        <v>2596</v>
      </c>
      <c r="AF510" t="s">
        <v>2596</v>
      </c>
      <c r="AG510" t="s">
        <v>2596</v>
      </c>
      <c r="AH510" t="s">
        <v>2596</v>
      </c>
    </row>
    <row r="511" spans="1:34" x14ac:dyDescent="0.25">
      <c r="A511" s="111" t="str">
        <f>HYPERLINK("http://www.ofsted.gov.uk/inspection-reports/find-inspection-report/provider/ELS/134585 ","Ofsted School Webpage")</f>
        <v>Ofsted School Webpage</v>
      </c>
      <c r="B511">
        <v>134585</v>
      </c>
      <c r="C511">
        <v>3066096</v>
      </c>
      <c r="D511" t="s">
        <v>1556</v>
      </c>
      <c r="E511" t="s">
        <v>36</v>
      </c>
      <c r="F511" t="s">
        <v>142</v>
      </c>
      <c r="G511" t="s">
        <v>180</v>
      </c>
      <c r="H511" t="s">
        <v>2595</v>
      </c>
      <c r="I511" t="s">
        <v>2596</v>
      </c>
      <c r="J511" t="s">
        <v>143</v>
      </c>
      <c r="K511" t="s">
        <v>189</v>
      </c>
      <c r="L511" t="s">
        <v>189</v>
      </c>
      <c r="M511" t="s">
        <v>676</v>
      </c>
      <c r="N511" t="s">
        <v>1557</v>
      </c>
      <c r="O511">
        <v>10007698</v>
      </c>
      <c r="P511" s="108">
        <v>42277</v>
      </c>
      <c r="Q511" s="108">
        <v>42278</v>
      </c>
      <c r="R511" s="108">
        <v>42331</v>
      </c>
      <c r="S511" t="s">
        <v>153</v>
      </c>
      <c r="T511">
        <v>2</v>
      </c>
      <c r="U511" t="s">
        <v>123</v>
      </c>
      <c r="V511">
        <v>2</v>
      </c>
      <c r="W511">
        <v>1</v>
      </c>
      <c r="X511">
        <v>2</v>
      </c>
      <c r="Y511">
        <f>VLOOKUP(Table_clu7sql1_ssdb_REPORT_vw_IE_External_MI_SON[[#This Row],[URN]],[1]Data!$D$2:$BB$1084,31,)</f>
        <v>2</v>
      </c>
      <c r="Z511">
        <v>2</v>
      </c>
      <c r="AA511" t="s">
        <v>2596</v>
      </c>
      <c r="AB511" t="s">
        <v>2598</v>
      </c>
      <c r="AC511" t="s">
        <v>2596</v>
      </c>
      <c r="AD511" t="s">
        <v>2596</v>
      </c>
      <c r="AE511" t="s">
        <v>2596</v>
      </c>
      <c r="AF511" t="s">
        <v>2596</v>
      </c>
      <c r="AG511" t="s">
        <v>2596</v>
      </c>
      <c r="AH511" t="s">
        <v>2596</v>
      </c>
    </row>
    <row r="512" spans="1:34" x14ac:dyDescent="0.25">
      <c r="A512" s="111" t="str">
        <f>HYPERLINK("http://www.ofsted.gov.uk/inspection-reports/find-inspection-report/provider/ELS/134587 ","Ofsted School Webpage")</f>
        <v>Ofsted School Webpage</v>
      </c>
      <c r="B512">
        <v>134587</v>
      </c>
      <c r="C512">
        <v>3806116</v>
      </c>
      <c r="D512" t="s">
        <v>2110</v>
      </c>
      <c r="E512" t="s">
        <v>36</v>
      </c>
      <c r="F512" t="s">
        <v>142</v>
      </c>
      <c r="G512" t="s">
        <v>180</v>
      </c>
      <c r="H512" t="s">
        <v>2595</v>
      </c>
      <c r="I512" t="s">
        <v>2596</v>
      </c>
      <c r="J512" t="s">
        <v>143</v>
      </c>
      <c r="K512" t="s">
        <v>202</v>
      </c>
      <c r="L512" t="s">
        <v>203</v>
      </c>
      <c r="M512" t="s">
        <v>295</v>
      </c>
      <c r="N512" t="s">
        <v>2111</v>
      </c>
      <c r="O512">
        <v>10026034</v>
      </c>
      <c r="P512" s="108">
        <v>42752</v>
      </c>
      <c r="Q512" s="108">
        <v>42754</v>
      </c>
      <c r="R512" s="108">
        <v>42781</v>
      </c>
      <c r="S512" t="s">
        <v>153</v>
      </c>
      <c r="T512">
        <v>3</v>
      </c>
      <c r="U512" t="s">
        <v>123</v>
      </c>
      <c r="V512">
        <v>3</v>
      </c>
      <c r="W512">
        <v>3</v>
      </c>
      <c r="X512">
        <v>3</v>
      </c>
      <c r="Y512">
        <f>VLOOKUP(Table_clu7sql1_ssdb_REPORT_vw_IE_External_MI_SON[[#This Row],[URN]],[1]Data!$D$2:$BB$1084,31,)</f>
        <v>3</v>
      </c>
      <c r="Z512" t="s">
        <v>2596</v>
      </c>
      <c r="AA512" t="s">
        <v>2596</v>
      </c>
      <c r="AB512" t="s">
        <v>2599</v>
      </c>
      <c r="AC512" t="s">
        <v>2596</v>
      </c>
      <c r="AD512" t="s">
        <v>2596</v>
      </c>
      <c r="AE512" t="s">
        <v>2596</v>
      </c>
      <c r="AF512" t="s">
        <v>2596</v>
      </c>
      <c r="AG512" t="s">
        <v>2596</v>
      </c>
      <c r="AH512" t="s">
        <v>2596</v>
      </c>
    </row>
    <row r="513" spans="1:34" x14ac:dyDescent="0.25">
      <c r="A513" s="111" t="str">
        <f>HYPERLINK("http://www.ofsted.gov.uk/inspection-reports/find-inspection-report/provider/ELS/134591 ","Ofsted School Webpage")</f>
        <v>Ofsted School Webpage</v>
      </c>
      <c r="B513">
        <v>134591</v>
      </c>
      <c r="C513">
        <v>3166065</v>
      </c>
      <c r="D513" t="s">
        <v>459</v>
      </c>
      <c r="E513" t="s">
        <v>36</v>
      </c>
      <c r="F513" t="s">
        <v>142</v>
      </c>
      <c r="G513" t="s">
        <v>180</v>
      </c>
      <c r="H513" t="s">
        <v>2595</v>
      </c>
      <c r="I513" t="s">
        <v>2596</v>
      </c>
      <c r="J513" t="s">
        <v>143</v>
      </c>
      <c r="K513" t="s">
        <v>189</v>
      </c>
      <c r="L513" t="s">
        <v>189</v>
      </c>
      <c r="M513" t="s">
        <v>460</v>
      </c>
      <c r="N513" t="s">
        <v>461</v>
      </c>
      <c r="O513">
        <v>10006015</v>
      </c>
      <c r="P513" s="108">
        <v>42633</v>
      </c>
      <c r="Q513" s="108">
        <v>42635</v>
      </c>
      <c r="R513" s="108">
        <v>42675</v>
      </c>
      <c r="S513" t="s">
        <v>153</v>
      </c>
      <c r="T513">
        <v>4</v>
      </c>
      <c r="U513" t="s">
        <v>124</v>
      </c>
      <c r="V513">
        <v>4</v>
      </c>
      <c r="W513">
        <v>4</v>
      </c>
      <c r="X513">
        <v>4</v>
      </c>
      <c r="Y513">
        <f>VLOOKUP(Table_clu7sql1_ssdb_REPORT_vw_IE_External_MI_SON[[#This Row],[URN]],[1]Data!$D$2:$BB$1084,31,)</f>
        <v>4</v>
      </c>
      <c r="Z513" t="s">
        <v>2596</v>
      </c>
      <c r="AA513" t="s">
        <v>2596</v>
      </c>
      <c r="AB513" t="s">
        <v>2599</v>
      </c>
      <c r="AC513">
        <v>10041234</v>
      </c>
      <c r="AD513" t="s">
        <v>144</v>
      </c>
      <c r="AE513" s="108">
        <v>43024</v>
      </c>
      <c r="AF513" t="s">
        <v>2636</v>
      </c>
      <c r="AG513" s="108">
        <v>43066</v>
      </c>
      <c r="AH513" t="s">
        <v>146</v>
      </c>
    </row>
    <row r="514" spans="1:34" x14ac:dyDescent="0.25">
      <c r="A514" s="111" t="str">
        <f>HYPERLINK("http://www.ofsted.gov.uk/inspection-reports/find-inspection-report/provider/ELS/134594 ","Ofsted School Webpage")</f>
        <v>Ofsted School Webpage</v>
      </c>
      <c r="B514">
        <v>134594</v>
      </c>
      <c r="C514">
        <v>3156081</v>
      </c>
      <c r="D514" t="s">
        <v>884</v>
      </c>
      <c r="E514" t="s">
        <v>37</v>
      </c>
      <c r="F514" t="s">
        <v>142</v>
      </c>
      <c r="G514" t="s">
        <v>142</v>
      </c>
      <c r="H514" t="s">
        <v>2595</v>
      </c>
      <c r="I514" t="s">
        <v>2596</v>
      </c>
      <c r="J514" t="s">
        <v>143</v>
      </c>
      <c r="K514" t="s">
        <v>189</v>
      </c>
      <c r="L514" t="s">
        <v>189</v>
      </c>
      <c r="M514" t="s">
        <v>193</v>
      </c>
      <c r="N514" t="s">
        <v>885</v>
      </c>
      <c r="O514">
        <v>10038170</v>
      </c>
      <c r="P514" s="108">
        <v>43053</v>
      </c>
      <c r="Q514" s="108">
        <v>43055</v>
      </c>
      <c r="R514" s="108">
        <v>43089</v>
      </c>
      <c r="S514" t="s">
        <v>153</v>
      </c>
      <c r="T514">
        <v>2</v>
      </c>
      <c r="U514" t="s">
        <v>123</v>
      </c>
      <c r="V514">
        <v>2</v>
      </c>
      <c r="W514">
        <v>2</v>
      </c>
      <c r="X514">
        <v>2</v>
      </c>
      <c r="Y514">
        <f>VLOOKUP(Table_clu7sql1_ssdb_REPORT_vw_IE_External_MI_SON[[#This Row],[URN]],[1]Data!$D$2:$BB$1084,31,)</f>
        <v>2</v>
      </c>
      <c r="Z514">
        <v>2</v>
      </c>
      <c r="AA514" t="s">
        <v>2596</v>
      </c>
      <c r="AB514" t="s">
        <v>2598</v>
      </c>
      <c r="AC514" t="s">
        <v>2596</v>
      </c>
      <c r="AD514" t="s">
        <v>2596</v>
      </c>
      <c r="AE514" t="s">
        <v>2596</v>
      </c>
      <c r="AF514" t="s">
        <v>2596</v>
      </c>
      <c r="AG514" t="s">
        <v>2596</v>
      </c>
      <c r="AH514" t="s">
        <v>2596</v>
      </c>
    </row>
    <row r="515" spans="1:34" x14ac:dyDescent="0.25">
      <c r="A515" s="111" t="str">
        <f>HYPERLINK("http://www.ofsted.gov.uk/inspection-reports/find-inspection-report/provider/ELS/134595 ","Ofsted School Webpage")</f>
        <v>Ofsted School Webpage</v>
      </c>
      <c r="B515">
        <v>134595</v>
      </c>
      <c r="C515">
        <v>8566018</v>
      </c>
      <c r="D515" t="s">
        <v>1448</v>
      </c>
      <c r="E515" t="s">
        <v>36</v>
      </c>
      <c r="F515" t="s">
        <v>142</v>
      </c>
      <c r="G515" t="s">
        <v>169</v>
      </c>
      <c r="H515" t="s">
        <v>2595</v>
      </c>
      <c r="I515" t="s">
        <v>2596</v>
      </c>
      <c r="J515" t="s">
        <v>143</v>
      </c>
      <c r="K515" t="s">
        <v>171</v>
      </c>
      <c r="L515" t="s">
        <v>171</v>
      </c>
      <c r="M515" t="s">
        <v>287</v>
      </c>
      <c r="N515" t="s">
        <v>1450</v>
      </c>
      <c r="O515">
        <v>10007859</v>
      </c>
      <c r="P515" s="108">
        <v>42277</v>
      </c>
      <c r="Q515" s="108">
        <v>42279</v>
      </c>
      <c r="R515" s="108">
        <v>42327</v>
      </c>
      <c r="S515" t="s">
        <v>153</v>
      </c>
      <c r="T515">
        <v>3</v>
      </c>
      <c r="U515" t="s">
        <v>123</v>
      </c>
      <c r="V515">
        <v>3</v>
      </c>
      <c r="W515">
        <v>3</v>
      </c>
      <c r="X515">
        <v>3</v>
      </c>
      <c r="Y515">
        <f>VLOOKUP(Table_clu7sql1_ssdb_REPORT_vw_IE_External_MI_SON[[#This Row],[URN]],[1]Data!$D$2:$BB$1084,31,)</f>
        <v>3</v>
      </c>
      <c r="Z515">
        <v>2</v>
      </c>
      <c r="AA515" t="s">
        <v>2596</v>
      </c>
      <c r="AB515" t="s">
        <v>2598</v>
      </c>
      <c r="AC515" t="s">
        <v>2596</v>
      </c>
      <c r="AD515" t="s">
        <v>2596</v>
      </c>
      <c r="AE515" t="s">
        <v>2596</v>
      </c>
      <c r="AF515" t="s">
        <v>2596</v>
      </c>
      <c r="AG515" t="s">
        <v>2596</v>
      </c>
      <c r="AH515" t="s">
        <v>2596</v>
      </c>
    </row>
    <row r="516" spans="1:34" x14ac:dyDescent="0.25">
      <c r="A516" s="111" t="str">
        <f>HYPERLINK("http://www.ofsted.gov.uk/inspection-reports/find-inspection-report/provider/ELS/134605 ","Ofsted School Webpage")</f>
        <v>Ofsted School Webpage</v>
      </c>
      <c r="B516">
        <v>134605</v>
      </c>
      <c r="C516">
        <v>8866108</v>
      </c>
      <c r="D516" t="s">
        <v>1182</v>
      </c>
      <c r="E516" t="s">
        <v>37</v>
      </c>
      <c r="F516" t="s">
        <v>142</v>
      </c>
      <c r="G516" t="s">
        <v>142</v>
      </c>
      <c r="H516" t="s">
        <v>2595</v>
      </c>
      <c r="I516" t="s">
        <v>2596</v>
      </c>
      <c r="J516" t="s">
        <v>143</v>
      </c>
      <c r="K516" t="s">
        <v>139</v>
      </c>
      <c r="L516" t="s">
        <v>139</v>
      </c>
      <c r="M516" t="s">
        <v>140</v>
      </c>
      <c r="N516" t="s">
        <v>1183</v>
      </c>
      <c r="O516" t="s">
        <v>1184</v>
      </c>
      <c r="P516" s="108">
        <v>41080</v>
      </c>
      <c r="Q516" s="108">
        <v>41081</v>
      </c>
      <c r="R516" s="108">
        <v>41102</v>
      </c>
      <c r="S516" t="s">
        <v>153</v>
      </c>
      <c r="T516">
        <v>1</v>
      </c>
      <c r="U516" t="s">
        <v>2596</v>
      </c>
      <c r="V516" t="s">
        <v>2596</v>
      </c>
      <c r="W516" t="s">
        <v>2596</v>
      </c>
      <c r="X516">
        <v>1</v>
      </c>
      <c r="Y516">
        <f>VLOOKUP(Table_clu7sql1_ssdb_REPORT_vw_IE_External_MI_SON[[#This Row],[URN]],[1]Data!$D$2:$BB$1084,31,)</f>
        <v>1</v>
      </c>
      <c r="Z516">
        <v>8</v>
      </c>
      <c r="AA516" t="s">
        <v>2596</v>
      </c>
      <c r="AB516" t="s">
        <v>2598</v>
      </c>
      <c r="AC516" t="s">
        <v>2596</v>
      </c>
      <c r="AD516" t="s">
        <v>2596</v>
      </c>
      <c r="AE516" t="s">
        <v>2596</v>
      </c>
      <c r="AF516" t="s">
        <v>2596</v>
      </c>
      <c r="AG516" t="s">
        <v>2596</v>
      </c>
      <c r="AH516" t="s">
        <v>2596</v>
      </c>
    </row>
    <row r="517" spans="1:34" x14ac:dyDescent="0.25">
      <c r="A517" s="111" t="str">
        <f>HYPERLINK("http://www.ofsted.gov.uk/inspection-reports/find-inspection-report/provider/ELS/134606 ","Ofsted School Webpage")</f>
        <v>Ofsted School Webpage</v>
      </c>
      <c r="B517">
        <v>134606</v>
      </c>
      <c r="C517">
        <v>8866107</v>
      </c>
      <c r="D517" t="s">
        <v>846</v>
      </c>
      <c r="E517" t="s">
        <v>37</v>
      </c>
      <c r="F517" t="s">
        <v>142</v>
      </c>
      <c r="G517" t="s">
        <v>142</v>
      </c>
      <c r="H517" t="s">
        <v>2595</v>
      </c>
      <c r="I517" t="s">
        <v>2596</v>
      </c>
      <c r="J517" t="s">
        <v>143</v>
      </c>
      <c r="K517" t="s">
        <v>139</v>
      </c>
      <c r="L517" t="s">
        <v>139</v>
      </c>
      <c r="M517" t="s">
        <v>140</v>
      </c>
      <c r="N517" t="s">
        <v>847</v>
      </c>
      <c r="O517" t="s">
        <v>848</v>
      </c>
      <c r="P517" s="108">
        <v>42067</v>
      </c>
      <c r="Q517" s="108">
        <v>42069</v>
      </c>
      <c r="R517" s="108">
        <v>42096</v>
      </c>
      <c r="S517" t="s">
        <v>153</v>
      </c>
      <c r="T517">
        <v>2</v>
      </c>
      <c r="U517" t="s">
        <v>2596</v>
      </c>
      <c r="V517">
        <v>2</v>
      </c>
      <c r="W517" t="s">
        <v>2596</v>
      </c>
      <c r="X517">
        <v>2</v>
      </c>
      <c r="Y517">
        <f>VLOOKUP(Table_clu7sql1_ssdb_REPORT_vw_IE_External_MI_SON[[#This Row],[URN]],[1]Data!$D$2:$BB$1084,31,)</f>
        <v>2</v>
      </c>
      <c r="Z517">
        <v>9</v>
      </c>
      <c r="AA517">
        <v>9</v>
      </c>
      <c r="AB517" t="s">
        <v>2598</v>
      </c>
      <c r="AC517" t="s">
        <v>2596</v>
      </c>
      <c r="AD517" t="s">
        <v>2596</v>
      </c>
      <c r="AE517" s="108" t="s">
        <v>2596</v>
      </c>
      <c r="AF517" t="s">
        <v>2596</v>
      </c>
      <c r="AG517" s="108" t="s">
        <v>2596</v>
      </c>
      <c r="AH517" t="s">
        <v>2596</v>
      </c>
    </row>
    <row r="518" spans="1:34" x14ac:dyDescent="0.25">
      <c r="A518" s="111" t="str">
        <f>HYPERLINK("http://www.ofsted.gov.uk/inspection-reports/find-inspection-report/provider/ELS/134614 ","Ofsted School Webpage")</f>
        <v>Ofsted School Webpage</v>
      </c>
      <c r="B518">
        <v>134614</v>
      </c>
      <c r="C518">
        <v>9376104</v>
      </c>
      <c r="D518" t="s">
        <v>1194</v>
      </c>
      <c r="E518" t="s">
        <v>37</v>
      </c>
      <c r="F518" t="s">
        <v>142</v>
      </c>
      <c r="G518" t="s">
        <v>142</v>
      </c>
      <c r="H518" t="s">
        <v>2595</v>
      </c>
      <c r="I518" t="s">
        <v>2596</v>
      </c>
      <c r="J518" t="s">
        <v>143</v>
      </c>
      <c r="K518" t="s">
        <v>150</v>
      </c>
      <c r="L518" t="s">
        <v>150</v>
      </c>
      <c r="M518" t="s">
        <v>333</v>
      </c>
      <c r="N518" t="s">
        <v>1195</v>
      </c>
      <c r="O518">
        <v>10006016</v>
      </c>
      <c r="P518" s="108">
        <v>42486</v>
      </c>
      <c r="Q518" s="108">
        <v>42488</v>
      </c>
      <c r="R518" s="108">
        <v>42549</v>
      </c>
      <c r="S518" t="s">
        <v>153</v>
      </c>
      <c r="T518">
        <v>4</v>
      </c>
      <c r="U518" t="s">
        <v>123</v>
      </c>
      <c r="V518">
        <v>4</v>
      </c>
      <c r="W518">
        <v>4</v>
      </c>
      <c r="X518">
        <v>3</v>
      </c>
      <c r="Y518">
        <f>VLOOKUP(Table_clu7sql1_ssdb_REPORT_vw_IE_External_MI_SON[[#This Row],[URN]],[1]Data!$D$2:$BB$1084,31,)</f>
        <v>3</v>
      </c>
      <c r="Z518" t="s">
        <v>2596</v>
      </c>
      <c r="AA518" t="s">
        <v>2596</v>
      </c>
      <c r="AB518" t="s">
        <v>2599</v>
      </c>
      <c r="AC518">
        <v>10025555</v>
      </c>
      <c r="AD518" t="s">
        <v>144</v>
      </c>
      <c r="AE518" s="108">
        <v>42761</v>
      </c>
      <c r="AF518" t="s">
        <v>2634</v>
      </c>
      <c r="AG518" s="108">
        <v>42794</v>
      </c>
      <c r="AH518" t="s">
        <v>146</v>
      </c>
    </row>
    <row r="519" spans="1:34" x14ac:dyDescent="0.25">
      <c r="A519" s="111" t="str">
        <f>HYPERLINK("http://www.ofsted.gov.uk/inspection-reports/find-inspection-report/provider/ELS/134627 ","Ofsted School Webpage")</f>
        <v>Ofsted School Webpage</v>
      </c>
      <c r="B519">
        <v>134627</v>
      </c>
      <c r="C519">
        <v>3166066</v>
      </c>
      <c r="D519" t="s">
        <v>692</v>
      </c>
      <c r="E519" t="s">
        <v>36</v>
      </c>
      <c r="F519" t="s">
        <v>142</v>
      </c>
      <c r="G519" t="s">
        <v>180</v>
      </c>
      <c r="H519" t="s">
        <v>2595</v>
      </c>
      <c r="I519" t="s">
        <v>2596</v>
      </c>
      <c r="J519" t="s">
        <v>143</v>
      </c>
      <c r="K519" t="s">
        <v>189</v>
      </c>
      <c r="L519" t="s">
        <v>189</v>
      </c>
      <c r="M519" t="s">
        <v>460</v>
      </c>
      <c r="N519" t="s">
        <v>693</v>
      </c>
      <c r="O519" t="s">
        <v>694</v>
      </c>
      <c r="P519" s="108">
        <v>41667</v>
      </c>
      <c r="Q519" s="108">
        <v>41669</v>
      </c>
      <c r="R519" s="108">
        <v>41697</v>
      </c>
      <c r="S519" t="s">
        <v>153</v>
      </c>
      <c r="T519">
        <v>2</v>
      </c>
      <c r="U519" t="s">
        <v>2596</v>
      </c>
      <c r="V519">
        <v>2</v>
      </c>
      <c r="W519" t="s">
        <v>2596</v>
      </c>
      <c r="X519">
        <v>2</v>
      </c>
      <c r="Y519">
        <f>VLOOKUP(Table_clu7sql1_ssdb_REPORT_vw_IE_External_MI_SON[[#This Row],[URN]],[1]Data!$D$2:$BB$1084,31,)</f>
        <v>2</v>
      </c>
      <c r="Z519" t="s">
        <v>2596</v>
      </c>
      <c r="AA519" t="s">
        <v>2596</v>
      </c>
      <c r="AB519" t="s">
        <v>2599</v>
      </c>
      <c r="AC519" t="s">
        <v>2596</v>
      </c>
      <c r="AD519" t="s">
        <v>2596</v>
      </c>
      <c r="AE519" t="s">
        <v>2596</v>
      </c>
      <c r="AF519" t="s">
        <v>2596</v>
      </c>
      <c r="AG519" t="s">
        <v>2596</v>
      </c>
      <c r="AH519" t="s">
        <v>2596</v>
      </c>
    </row>
    <row r="520" spans="1:34" x14ac:dyDescent="0.25">
      <c r="A520" s="111" t="str">
        <f>HYPERLINK("http://www.ofsted.gov.uk/inspection-reports/find-inspection-report/provider/ELS/134634 ","Ofsted School Webpage")</f>
        <v>Ofsted School Webpage</v>
      </c>
      <c r="B520">
        <v>134634</v>
      </c>
      <c r="C520">
        <v>8456054</v>
      </c>
      <c r="D520" t="s">
        <v>2900</v>
      </c>
      <c r="E520" t="s">
        <v>37</v>
      </c>
      <c r="F520" t="s">
        <v>142</v>
      </c>
      <c r="G520" t="s">
        <v>142</v>
      </c>
      <c r="H520" t="s">
        <v>2595</v>
      </c>
      <c r="I520" t="s">
        <v>2596</v>
      </c>
      <c r="J520" t="s">
        <v>143</v>
      </c>
      <c r="K520" t="s">
        <v>139</v>
      </c>
      <c r="L520" t="s">
        <v>139</v>
      </c>
      <c r="M520" t="s">
        <v>394</v>
      </c>
      <c r="N520" t="s">
        <v>1751</v>
      </c>
      <c r="O520" t="s">
        <v>1752</v>
      </c>
      <c r="P520" s="108">
        <v>42164</v>
      </c>
      <c r="Q520" s="108">
        <v>42166</v>
      </c>
      <c r="R520" s="108">
        <v>42198</v>
      </c>
      <c r="S520" t="s">
        <v>153</v>
      </c>
      <c r="T520">
        <v>2</v>
      </c>
      <c r="U520" t="s">
        <v>2596</v>
      </c>
      <c r="V520">
        <v>2</v>
      </c>
      <c r="W520" t="s">
        <v>2596</v>
      </c>
      <c r="X520">
        <v>1</v>
      </c>
      <c r="Y520">
        <f>VLOOKUP(Table_clu7sql1_ssdb_REPORT_vw_IE_External_MI_SON[[#This Row],[URN]],[1]Data!$D$2:$BB$1084,31,)</f>
        <v>1</v>
      </c>
      <c r="Z520">
        <v>1</v>
      </c>
      <c r="AA520">
        <v>9</v>
      </c>
      <c r="AB520" t="s">
        <v>2598</v>
      </c>
      <c r="AC520" t="s">
        <v>2596</v>
      </c>
      <c r="AD520" t="s">
        <v>2596</v>
      </c>
      <c r="AE520" s="108" t="s">
        <v>2596</v>
      </c>
      <c r="AF520" t="s">
        <v>2596</v>
      </c>
      <c r="AG520" s="108" t="s">
        <v>2596</v>
      </c>
      <c r="AH520" t="s">
        <v>2596</v>
      </c>
    </row>
    <row r="521" spans="1:34" x14ac:dyDescent="0.25">
      <c r="A521" s="111" t="str">
        <f>HYPERLINK("http://www.ofsted.gov.uk/inspection-reports/find-inspection-report/provider/ELS/134649 ","Ofsted School Webpage")</f>
        <v>Ofsted School Webpage</v>
      </c>
      <c r="B521">
        <v>134649</v>
      </c>
      <c r="C521">
        <v>8916022</v>
      </c>
      <c r="D521" t="s">
        <v>1092</v>
      </c>
      <c r="E521" t="s">
        <v>37</v>
      </c>
      <c r="F521" t="s">
        <v>142</v>
      </c>
      <c r="G521" t="s">
        <v>142</v>
      </c>
      <c r="H521" t="s">
        <v>2595</v>
      </c>
      <c r="I521" t="s">
        <v>2596</v>
      </c>
      <c r="J521" t="s">
        <v>143</v>
      </c>
      <c r="K521" t="s">
        <v>171</v>
      </c>
      <c r="L521" t="s">
        <v>171</v>
      </c>
      <c r="M521" t="s">
        <v>277</v>
      </c>
      <c r="N521" t="s">
        <v>1093</v>
      </c>
      <c r="O521" t="s">
        <v>1094</v>
      </c>
      <c r="P521" s="108">
        <v>41898</v>
      </c>
      <c r="Q521" s="108">
        <v>41900</v>
      </c>
      <c r="R521" s="108">
        <v>41921</v>
      </c>
      <c r="S521" t="s">
        <v>153</v>
      </c>
      <c r="T521">
        <v>2</v>
      </c>
      <c r="U521" t="s">
        <v>2596</v>
      </c>
      <c r="V521">
        <v>2</v>
      </c>
      <c r="W521" t="s">
        <v>2596</v>
      </c>
      <c r="X521">
        <v>2</v>
      </c>
      <c r="Y521">
        <f>VLOOKUP(Table_clu7sql1_ssdb_REPORT_vw_IE_External_MI_SON[[#This Row],[URN]],[1]Data!$D$2:$BB$1084,31,)</f>
        <v>2</v>
      </c>
      <c r="Z521" t="s">
        <v>2596</v>
      </c>
      <c r="AA521" t="s">
        <v>2596</v>
      </c>
      <c r="AB521" t="s">
        <v>2598</v>
      </c>
      <c r="AC521" t="s">
        <v>2596</v>
      </c>
      <c r="AD521" t="s">
        <v>2596</v>
      </c>
      <c r="AE521" s="108" t="s">
        <v>2596</v>
      </c>
      <c r="AF521" t="s">
        <v>2596</v>
      </c>
      <c r="AG521" s="108" t="s">
        <v>2596</v>
      </c>
      <c r="AH521" t="s">
        <v>2596</v>
      </c>
    </row>
    <row r="522" spans="1:34" x14ac:dyDescent="0.25">
      <c r="A522" s="111" t="str">
        <f>HYPERLINK("http://www.ofsted.gov.uk/inspection-reports/find-inspection-report/provider/ELS/134660 ","Ofsted School Webpage")</f>
        <v>Ofsted School Webpage</v>
      </c>
      <c r="B522">
        <v>134660</v>
      </c>
      <c r="C522">
        <v>8156036</v>
      </c>
      <c r="D522" t="s">
        <v>948</v>
      </c>
      <c r="E522" t="s">
        <v>37</v>
      </c>
      <c r="F522" t="s">
        <v>142</v>
      </c>
      <c r="G522" t="s">
        <v>142</v>
      </c>
      <c r="H522" t="s">
        <v>2595</v>
      </c>
      <c r="I522" t="s">
        <v>2596</v>
      </c>
      <c r="J522" t="s">
        <v>143</v>
      </c>
      <c r="K522" t="s">
        <v>202</v>
      </c>
      <c r="L522" t="s">
        <v>203</v>
      </c>
      <c r="M522" t="s">
        <v>509</v>
      </c>
      <c r="N522" t="s">
        <v>949</v>
      </c>
      <c r="O522" t="s">
        <v>950</v>
      </c>
      <c r="P522" s="108">
        <v>42122</v>
      </c>
      <c r="Q522" s="108">
        <v>42124</v>
      </c>
      <c r="R522" s="108">
        <v>42160</v>
      </c>
      <c r="S522" t="s">
        <v>153</v>
      </c>
      <c r="T522">
        <v>2</v>
      </c>
      <c r="U522" t="s">
        <v>2596</v>
      </c>
      <c r="V522">
        <v>2</v>
      </c>
      <c r="W522" t="s">
        <v>2596</v>
      </c>
      <c r="X522">
        <v>2</v>
      </c>
      <c r="Y522">
        <f>VLOOKUP(Table_clu7sql1_ssdb_REPORT_vw_IE_External_MI_SON[[#This Row],[URN]],[1]Data!$D$2:$BB$1084,31,)</f>
        <v>2</v>
      </c>
      <c r="Z522">
        <v>9</v>
      </c>
      <c r="AA522">
        <v>2</v>
      </c>
      <c r="AB522" t="s">
        <v>2598</v>
      </c>
      <c r="AC522" t="s">
        <v>2596</v>
      </c>
      <c r="AD522" t="s">
        <v>2596</v>
      </c>
      <c r="AE522" t="s">
        <v>2596</v>
      </c>
      <c r="AF522" t="s">
        <v>2596</v>
      </c>
      <c r="AG522" t="s">
        <v>2596</v>
      </c>
      <c r="AH522" t="s">
        <v>2596</v>
      </c>
    </row>
    <row r="523" spans="1:34" x14ac:dyDescent="0.25">
      <c r="A523" s="111" t="str">
        <f>HYPERLINK("http://www.ofsted.gov.uk/inspection-reports/find-inspection-report/provider/ELS/134764 ","Ofsted School Webpage")</f>
        <v>Ofsted School Webpage</v>
      </c>
      <c r="B523">
        <v>134764</v>
      </c>
      <c r="C523">
        <v>3026086</v>
      </c>
      <c r="D523" t="s">
        <v>2269</v>
      </c>
      <c r="E523" t="s">
        <v>36</v>
      </c>
      <c r="F523" t="s">
        <v>142</v>
      </c>
      <c r="G523" t="s">
        <v>142</v>
      </c>
      <c r="H523" t="s">
        <v>2595</v>
      </c>
      <c r="I523" t="s">
        <v>2596</v>
      </c>
      <c r="J523" t="s">
        <v>143</v>
      </c>
      <c r="K523" t="s">
        <v>189</v>
      </c>
      <c r="L523" t="s">
        <v>189</v>
      </c>
      <c r="M523" t="s">
        <v>268</v>
      </c>
      <c r="N523" t="s">
        <v>2270</v>
      </c>
      <c r="O523" t="s">
        <v>2271</v>
      </c>
      <c r="P523" s="108">
        <v>41605</v>
      </c>
      <c r="Q523" s="108">
        <v>41607</v>
      </c>
      <c r="R523" s="108">
        <v>41627</v>
      </c>
      <c r="S523" t="s">
        <v>153</v>
      </c>
      <c r="T523">
        <v>2</v>
      </c>
      <c r="U523" t="s">
        <v>2596</v>
      </c>
      <c r="V523">
        <v>2</v>
      </c>
      <c r="W523" t="s">
        <v>2596</v>
      </c>
      <c r="X523">
        <v>2</v>
      </c>
      <c r="Y523">
        <f>VLOOKUP(Table_clu7sql1_ssdb_REPORT_vw_IE_External_MI_SON[[#This Row],[URN]],[1]Data!$D$2:$BB$1084,31,)</f>
        <v>2</v>
      </c>
      <c r="Z523" t="s">
        <v>2596</v>
      </c>
      <c r="AA523" t="s">
        <v>2596</v>
      </c>
      <c r="AB523" t="s">
        <v>2886</v>
      </c>
      <c r="AC523" t="s">
        <v>2596</v>
      </c>
      <c r="AD523" t="s">
        <v>2596</v>
      </c>
      <c r="AE523" t="s">
        <v>2596</v>
      </c>
      <c r="AF523" t="s">
        <v>2596</v>
      </c>
      <c r="AG523" t="s">
        <v>2596</v>
      </c>
      <c r="AH523" t="s">
        <v>2596</v>
      </c>
    </row>
    <row r="524" spans="1:34" x14ac:dyDescent="0.25">
      <c r="A524" s="111" t="str">
        <f>HYPERLINK("http://www.ofsted.gov.uk/inspection-reports/find-inspection-report/provider/ELS/134781 ","Ofsted School Webpage")</f>
        <v>Ofsted School Webpage</v>
      </c>
      <c r="B524">
        <v>134781</v>
      </c>
      <c r="C524">
        <v>9096054</v>
      </c>
      <c r="D524" t="s">
        <v>1085</v>
      </c>
      <c r="E524" t="s">
        <v>37</v>
      </c>
      <c r="F524" t="s">
        <v>142</v>
      </c>
      <c r="G524" t="s">
        <v>142</v>
      </c>
      <c r="H524" t="s">
        <v>2595</v>
      </c>
      <c r="I524" t="s">
        <v>2596</v>
      </c>
      <c r="J524" t="s">
        <v>143</v>
      </c>
      <c r="K524" t="s">
        <v>162</v>
      </c>
      <c r="L524" t="s">
        <v>162</v>
      </c>
      <c r="M524" t="s">
        <v>895</v>
      </c>
      <c r="N524" t="s">
        <v>1086</v>
      </c>
      <c r="O524" t="s">
        <v>1087</v>
      </c>
      <c r="P524" s="108">
        <v>42185</v>
      </c>
      <c r="Q524" s="108">
        <v>42187</v>
      </c>
      <c r="R524" s="108">
        <v>42219</v>
      </c>
      <c r="S524" t="s">
        <v>3005</v>
      </c>
      <c r="T524">
        <v>1</v>
      </c>
      <c r="U524" t="s">
        <v>2596</v>
      </c>
      <c r="V524">
        <v>1</v>
      </c>
      <c r="W524" t="s">
        <v>2596</v>
      </c>
      <c r="X524">
        <v>1</v>
      </c>
      <c r="Y524">
        <f>VLOOKUP(Table_clu7sql1_ssdb_REPORT_vw_IE_External_MI_SON[[#This Row],[URN]],[1]Data!$D$2:$BB$1084,31,)</f>
        <v>1</v>
      </c>
      <c r="Z524">
        <v>9</v>
      </c>
      <c r="AA524">
        <v>1</v>
      </c>
      <c r="AB524" t="s">
        <v>2598</v>
      </c>
      <c r="AC524" t="s">
        <v>2596</v>
      </c>
      <c r="AD524" t="s">
        <v>2596</v>
      </c>
      <c r="AE524" t="s">
        <v>2596</v>
      </c>
      <c r="AF524" t="s">
        <v>2596</v>
      </c>
      <c r="AG524" t="s">
        <v>2596</v>
      </c>
      <c r="AH524" t="s">
        <v>2596</v>
      </c>
    </row>
    <row r="525" spans="1:34" x14ac:dyDescent="0.25">
      <c r="A525" s="111" t="str">
        <f>HYPERLINK("http://www.ofsted.gov.uk/inspection-reports/find-inspection-report/provider/ELS/134805 ","Ofsted School Webpage")</f>
        <v>Ofsted School Webpage</v>
      </c>
      <c r="B525">
        <v>134805</v>
      </c>
      <c r="C525">
        <v>8216006</v>
      </c>
      <c r="D525" t="s">
        <v>176</v>
      </c>
      <c r="E525" t="s">
        <v>36</v>
      </c>
      <c r="F525" t="s">
        <v>142</v>
      </c>
      <c r="G525" t="s">
        <v>180</v>
      </c>
      <c r="H525" t="s">
        <v>2595</v>
      </c>
      <c r="I525" t="s">
        <v>2596</v>
      </c>
      <c r="J525" t="s">
        <v>143</v>
      </c>
      <c r="K525" t="s">
        <v>177</v>
      </c>
      <c r="L525" t="s">
        <v>177</v>
      </c>
      <c r="M525" t="s">
        <v>178</v>
      </c>
      <c r="N525" t="s">
        <v>179</v>
      </c>
      <c r="O525">
        <v>10039334</v>
      </c>
      <c r="P525" s="108">
        <v>43018</v>
      </c>
      <c r="Q525" s="108">
        <v>43020</v>
      </c>
      <c r="R525" s="108">
        <v>43055</v>
      </c>
      <c r="S525" t="s">
        <v>153</v>
      </c>
      <c r="T525">
        <v>2</v>
      </c>
      <c r="U525" t="s">
        <v>123</v>
      </c>
      <c r="V525">
        <v>2</v>
      </c>
      <c r="W525">
        <v>2</v>
      </c>
      <c r="X525">
        <v>2</v>
      </c>
      <c r="Y525">
        <f>VLOOKUP(Table_clu7sql1_ssdb_REPORT_vw_IE_External_MI_SON[[#This Row],[URN]],[1]Data!$D$2:$BB$1084,31,)</f>
        <v>2</v>
      </c>
      <c r="Z525" t="s">
        <v>2596</v>
      </c>
      <c r="AA525" t="s">
        <v>2596</v>
      </c>
      <c r="AB525" t="s">
        <v>2598</v>
      </c>
      <c r="AC525" t="s">
        <v>2596</v>
      </c>
      <c r="AD525" t="s">
        <v>2596</v>
      </c>
      <c r="AE525" t="s">
        <v>2596</v>
      </c>
      <c r="AF525" t="s">
        <v>2596</v>
      </c>
      <c r="AG525" t="s">
        <v>2596</v>
      </c>
      <c r="AH525" t="s">
        <v>2596</v>
      </c>
    </row>
    <row r="526" spans="1:34" x14ac:dyDescent="0.25">
      <c r="A526" s="111" t="str">
        <f>HYPERLINK("http://www.ofsted.gov.uk/inspection-reports/find-inspection-report/provider/ELS/134809 ","Ofsted School Webpage")</f>
        <v>Ofsted School Webpage</v>
      </c>
      <c r="B526">
        <v>134809</v>
      </c>
      <c r="C526">
        <v>8566017</v>
      </c>
      <c r="D526" t="s">
        <v>597</v>
      </c>
      <c r="E526" t="s">
        <v>36</v>
      </c>
      <c r="F526" t="s">
        <v>261</v>
      </c>
      <c r="G526" t="s">
        <v>261</v>
      </c>
      <c r="H526" t="s">
        <v>2595</v>
      </c>
      <c r="I526" t="s">
        <v>2596</v>
      </c>
      <c r="J526" t="s">
        <v>143</v>
      </c>
      <c r="K526" t="s">
        <v>171</v>
      </c>
      <c r="L526" t="s">
        <v>171</v>
      </c>
      <c r="M526" t="s">
        <v>287</v>
      </c>
      <c r="N526" t="s">
        <v>598</v>
      </c>
      <c r="O526">
        <v>10039187</v>
      </c>
      <c r="P526" s="108">
        <v>43067</v>
      </c>
      <c r="Q526" s="108">
        <v>43069</v>
      </c>
      <c r="R526" s="108">
        <v>43110</v>
      </c>
      <c r="S526" t="s">
        <v>153</v>
      </c>
      <c r="T526">
        <v>2</v>
      </c>
      <c r="U526" t="s">
        <v>123</v>
      </c>
      <c r="V526">
        <v>2</v>
      </c>
      <c r="W526">
        <v>2</v>
      </c>
      <c r="X526">
        <v>2</v>
      </c>
      <c r="Y526">
        <f>VLOOKUP(Table_clu7sql1_ssdb_REPORT_vw_IE_External_MI_SON[[#This Row],[URN]],[1]Data!$D$2:$BB$1084,31,)</f>
        <v>2</v>
      </c>
      <c r="Z526">
        <v>2</v>
      </c>
      <c r="AA526" t="s">
        <v>2596</v>
      </c>
      <c r="AB526" t="s">
        <v>2598</v>
      </c>
      <c r="AC526" t="s">
        <v>2596</v>
      </c>
      <c r="AD526" t="s">
        <v>2596</v>
      </c>
      <c r="AE526" s="108" t="s">
        <v>2596</v>
      </c>
      <c r="AF526" t="s">
        <v>2596</v>
      </c>
      <c r="AG526" s="108" t="s">
        <v>2596</v>
      </c>
      <c r="AH526" t="s">
        <v>2596</v>
      </c>
    </row>
    <row r="527" spans="1:34" x14ac:dyDescent="0.25">
      <c r="A527" s="111" t="str">
        <f>HYPERLINK("http://www.ofsted.gov.uk/inspection-reports/find-inspection-report/provider/ELS/134810 ","Ofsted School Webpage")</f>
        <v>Ofsted School Webpage</v>
      </c>
      <c r="B527">
        <v>134810</v>
      </c>
      <c r="C527">
        <v>2116394</v>
      </c>
      <c r="D527" t="s">
        <v>2255</v>
      </c>
      <c r="E527" t="s">
        <v>36</v>
      </c>
      <c r="F527" t="s">
        <v>142</v>
      </c>
      <c r="G527" t="s">
        <v>180</v>
      </c>
      <c r="H527" t="s">
        <v>2595</v>
      </c>
      <c r="I527" t="s">
        <v>2596</v>
      </c>
      <c r="J527" t="s">
        <v>143</v>
      </c>
      <c r="K527" t="s">
        <v>189</v>
      </c>
      <c r="L527" t="s">
        <v>189</v>
      </c>
      <c r="M527" t="s">
        <v>494</v>
      </c>
      <c r="N527" t="s">
        <v>1781</v>
      </c>
      <c r="O527">
        <v>10033689</v>
      </c>
      <c r="P527" s="108">
        <v>42927</v>
      </c>
      <c r="Q527" s="108">
        <v>42929</v>
      </c>
      <c r="R527" s="108">
        <v>42992</v>
      </c>
      <c r="S527" t="s">
        <v>153</v>
      </c>
      <c r="T527">
        <v>2</v>
      </c>
      <c r="U527" t="s">
        <v>123</v>
      </c>
      <c r="V527">
        <v>2</v>
      </c>
      <c r="W527">
        <v>2</v>
      </c>
      <c r="X527">
        <v>2</v>
      </c>
      <c r="Y527">
        <f>VLOOKUP(Table_clu7sql1_ssdb_REPORT_vw_IE_External_MI_SON[[#This Row],[URN]],[1]Data!$D$2:$BB$1084,31,)</f>
        <v>2</v>
      </c>
      <c r="Z527" t="s">
        <v>2596</v>
      </c>
      <c r="AA527" t="s">
        <v>2596</v>
      </c>
      <c r="AB527" t="s">
        <v>2598</v>
      </c>
      <c r="AC527" t="s">
        <v>2596</v>
      </c>
      <c r="AD527" t="s">
        <v>2596</v>
      </c>
      <c r="AE527" t="s">
        <v>2596</v>
      </c>
      <c r="AF527" t="s">
        <v>2596</v>
      </c>
      <c r="AG527" t="s">
        <v>2596</v>
      </c>
      <c r="AH527" t="s">
        <v>2596</v>
      </c>
    </row>
    <row r="528" spans="1:34" x14ac:dyDescent="0.25">
      <c r="A528" s="111" t="str">
        <f>HYPERLINK("http://www.ofsted.gov.uk/inspection-reports/find-inspection-report/provider/ELS/134833 ","Ofsted School Webpage")</f>
        <v>Ofsted School Webpage</v>
      </c>
      <c r="B528">
        <v>134833</v>
      </c>
      <c r="C528">
        <v>9366584</v>
      </c>
      <c r="D528" t="s">
        <v>1753</v>
      </c>
      <c r="E528" t="s">
        <v>37</v>
      </c>
      <c r="F528" t="s">
        <v>142</v>
      </c>
      <c r="G528" t="s">
        <v>142</v>
      </c>
      <c r="H528" t="s">
        <v>2595</v>
      </c>
      <c r="I528" t="s">
        <v>2596</v>
      </c>
      <c r="J528" t="s">
        <v>143</v>
      </c>
      <c r="K528" t="s">
        <v>139</v>
      </c>
      <c r="L528" t="s">
        <v>139</v>
      </c>
      <c r="M528" t="s">
        <v>535</v>
      </c>
      <c r="N528" t="s">
        <v>1754</v>
      </c>
      <c r="O528">
        <v>10006326</v>
      </c>
      <c r="P528" s="108">
        <v>42535</v>
      </c>
      <c r="Q528" s="108">
        <v>42537</v>
      </c>
      <c r="R528" s="108">
        <v>42557</v>
      </c>
      <c r="S528" t="s">
        <v>153</v>
      </c>
      <c r="T528">
        <v>2</v>
      </c>
      <c r="U528" t="s">
        <v>123</v>
      </c>
      <c r="V528">
        <v>2</v>
      </c>
      <c r="W528">
        <v>1</v>
      </c>
      <c r="X528">
        <v>2</v>
      </c>
      <c r="Y528">
        <f>VLOOKUP(Table_clu7sql1_ssdb_REPORT_vw_IE_External_MI_SON[[#This Row],[URN]],[1]Data!$D$2:$BB$1084,31,)</f>
        <v>2</v>
      </c>
      <c r="Z528" t="s">
        <v>2596</v>
      </c>
      <c r="AA528" t="s">
        <v>2596</v>
      </c>
      <c r="AB528" t="s">
        <v>2598</v>
      </c>
      <c r="AC528" t="s">
        <v>2596</v>
      </c>
      <c r="AD528" t="s">
        <v>2596</v>
      </c>
      <c r="AE528" t="s">
        <v>2596</v>
      </c>
      <c r="AF528" t="s">
        <v>2596</v>
      </c>
      <c r="AG528" t="s">
        <v>2596</v>
      </c>
      <c r="AH528" t="s">
        <v>2596</v>
      </c>
    </row>
    <row r="529" spans="1:34" x14ac:dyDescent="0.25">
      <c r="A529" s="111" t="str">
        <f>HYPERLINK("http://www.ofsted.gov.uk/inspection-reports/find-inspection-report/provider/ELS/134858 ","Ofsted School Webpage")</f>
        <v>Ofsted School Webpage</v>
      </c>
      <c r="B529">
        <v>134858</v>
      </c>
      <c r="C529">
        <v>8876007</v>
      </c>
      <c r="D529" t="s">
        <v>228</v>
      </c>
      <c r="E529" t="s">
        <v>36</v>
      </c>
      <c r="F529" t="s">
        <v>142</v>
      </c>
      <c r="G529" t="s">
        <v>169</v>
      </c>
      <c r="H529" t="s">
        <v>2595</v>
      </c>
      <c r="I529" t="s">
        <v>2596</v>
      </c>
      <c r="J529" t="s">
        <v>143</v>
      </c>
      <c r="K529" t="s">
        <v>139</v>
      </c>
      <c r="L529" t="s">
        <v>139</v>
      </c>
      <c r="M529" t="s">
        <v>229</v>
      </c>
      <c r="N529" t="s">
        <v>230</v>
      </c>
      <c r="O529">
        <v>10039161</v>
      </c>
      <c r="P529" s="108">
        <v>43046</v>
      </c>
      <c r="Q529" s="108">
        <v>43048</v>
      </c>
      <c r="R529" s="108">
        <v>43069</v>
      </c>
      <c r="S529" t="s">
        <v>153</v>
      </c>
      <c r="T529">
        <v>3</v>
      </c>
      <c r="U529" t="s">
        <v>123</v>
      </c>
      <c r="V529">
        <v>2</v>
      </c>
      <c r="W529">
        <v>2</v>
      </c>
      <c r="X529">
        <v>3</v>
      </c>
      <c r="Y529">
        <f>VLOOKUP(Table_clu7sql1_ssdb_REPORT_vw_IE_External_MI_SON[[#This Row],[URN]],[1]Data!$D$2:$BB$1084,31,)</f>
        <v>2</v>
      </c>
      <c r="Z529">
        <v>2</v>
      </c>
      <c r="AA529" t="s">
        <v>2596</v>
      </c>
      <c r="AB529" t="s">
        <v>2598</v>
      </c>
      <c r="AC529" t="s">
        <v>2596</v>
      </c>
      <c r="AD529" t="s">
        <v>2596</v>
      </c>
      <c r="AE529" t="s">
        <v>2596</v>
      </c>
      <c r="AF529" t="s">
        <v>2596</v>
      </c>
      <c r="AG529" t="s">
        <v>2596</v>
      </c>
      <c r="AH529" t="s">
        <v>2596</v>
      </c>
    </row>
    <row r="530" spans="1:34" x14ac:dyDescent="0.25">
      <c r="A530" s="111" t="str">
        <f>HYPERLINK("http://www.ofsted.gov.uk/inspection-reports/find-inspection-report/provider/ELS/134905 ","Ofsted School Webpage")</f>
        <v>Ofsted School Webpage</v>
      </c>
      <c r="B530">
        <v>134905</v>
      </c>
      <c r="C530">
        <v>8566019</v>
      </c>
      <c r="D530" t="s">
        <v>1954</v>
      </c>
      <c r="E530" t="s">
        <v>36</v>
      </c>
      <c r="F530" t="s">
        <v>142</v>
      </c>
      <c r="G530" t="s">
        <v>180</v>
      </c>
      <c r="H530" t="s">
        <v>2595</v>
      </c>
      <c r="I530" t="s">
        <v>2596</v>
      </c>
      <c r="J530" t="s">
        <v>143</v>
      </c>
      <c r="K530" t="s">
        <v>171</v>
      </c>
      <c r="L530" t="s">
        <v>171</v>
      </c>
      <c r="M530" t="s">
        <v>287</v>
      </c>
      <c r="N530" t="s">
        <v>1955</v>
      </c>
      <c r="O530">
        <v>10020836</v>
      </c>
      <c r="P530" s="108">
        <v>42920</v>
      </c>
      <c r="Q530" s="108">
        <v>42922</v>
      </c>
      <c r="R530" s="108">
        <v>42998</v>
      </c>
      <c r="S530" t="s">
        <v>153</v>
      </c>
      <c r="T530">
        <v>4</v>
      </c>
      <c r="U530" t="s">
        <v>124</v>
      </c>
      <c r="V530">
        <v>4</v>
      </c>
      <c r="W530">
        <v>4</v>
      </c>
      <c r="X530">
        <v>3</v>
      </c>
      <c r="Y530">
        <f>VLOOKUP(Table_clu7sql1_ssdb_REPORT_vw_IE_External_MI_SON[[#This Row],[URN]],[1]Data!$D$2:$BB$1084,31,)</f>
        <v>3</v>
      </c>
      <c r="Z530" t="s">
        <v>2596</v>
      </c>
      <c r="AA530" t="s">
        <v>2596</v>
      </c>
      <c r="AB530" t="s">
        <v>2599</v>
      </c>
      <c r="AC530" t="s">
        <v>2596</v>
      </c>
      <c r="AD530" t="s">
        <v>2596</v>
      </c>
      <c r="AE530" t="s">
        <v>2596</v>
      </c>
      <c r="AF530" t="s">
        <v>2596</v>
      </c>
      <c r="AG530" t="s">
        <v>2596</v>
      </c>
      <c r="AH530" t="s">
        <v>2596</v>
      </c>
    </row>
    <row r="531" spans="1:34" x14ac:dyDescent="0.25">
      <c r="A531" s="111" t="str">
        <f>HYPERLINK("http://www.ofsted.gov.uk/inspection-reports/find-inspection-report/provider/ELS/134909 ","Ofsted School Webpage")</f>
        <v>Ofsted School Webpage</v>
      </c>
      <c r="B531">
        <v>134909</v>
      </c>
      <c r="C531">
        <v>9336207</v>
      </c>
      <c r="D531" t="s">
        <v>860</v>
      </c>
      <c r="E531" t="s">
        <v>37</v>
      </c>
      <c r="F531" t="s">
        <v>142</v>
      </c>
      <c r="G531" t="s">
        <v>142</v>
      </c>
      <c r="H531" t="s">
        <v>2595</v>
      </c>
      <c r="I531" t="s">
        <v>2596</v>
      </c>
      <c r="J531" t="s">
        <v>143</v>
      </c>
      <c r="K531" t="s">
        <v>182</v>
      </c>
      <c r="L531" t="s">
        <v>182</v>
      </c>
      <c r="M531" t="s">
        <v>219</v>
      </c>
      <c r="N531" t="s">
        <v>861</v>
      </c>
      <c r="O531" t="s">
        <v>862</v>
      </c>
      <c r="P531" s="108">
        <v>42122</v>
      </c>
      <c r="Q531" s="108">
        <v>42124</v>
      </c>
      <c r="R531" s="108">
        <v>42164</v>
      </c>
      <c r="S531" t="s">
        <v>153</v>
      </c>
      <c r="T531">
        <v>2</v>
      </c>
      <c r="U531" t="s">
        <v>2596</v>
      </c>
      <c r="V531">
        <v>2</v>
      </c>
      <c r="W531" t="s">
        <v>2596</v>
      </c>
      <c r="X531">
        <v>2</v>
      </c>
      <c r="Y531">
        <f>VLOOKUP(Table_clu7sql1_ssdb_REPORT_vw_IE_External_MI_SON[[#This Row],[URN]],[1]Data!$D$2:$BB$1084,31,)</f>
        <v>2</v>
      </c>
      <c r="Z531">
        <v>9</v>
      </c>
      <c r="AA531">
        <v>2</v>
      </c>
      <c r="AB531" t="s">
        <v>2598</v>
      </c>
      <c r="AC531" t="s">
        <v>2596</v>
      </c>
      <c r="AD531" t="s">
        <v>2596</v>
      </c>
      <c r="AE531" s="108" t="s">
        <v>2596</v>
      </c>
      <c r="AF531" t="s">
        <v>2596</v>
      </c>
      <c r="AG531" s="108" t="s">
        <v>2596</v>
      </c>
      <c r="AH531" t="s">
        <v>2596</v>
      </c>
    </row>
    <row r="532" spans="1:34" x14ac:dyDescent="0.25">
      <c r="A532" s="111" t="str">
        <f>HYPERLINK("http://www.ofsted.gov.uk/inspection-reports/find-inspection-report/provider/ELS/134933 ","Ofsted School Webpage")</f>
        <v>Ofsted School Webpage</v>
      </c>
      <c r="B532">
        <v>134933</v>
      </c>
      <c r="C532">
        <v>9196209</v>
      </c>
      <c r="D532" t="s">
        <v>1642</v>
      </c>
      <c r="E532" t="s">
        <v>36</v>
      </c>
      <c r="F532" t="s">
        <v>142</v>
      </c>
      <c r="G532" t="s">
        <v>644</v>
      </c>
      <c r="H532" t="s">
        <v>2595</v>
      </c>
      <c r="I532" t="s">
        <v>2596</v>
      </c>
      <c r="J532" t="s">
        <v>143</v>
      </c>
      <c r="K532" t="s">
        <v>177</v>
      </c>
      <c r="L532" t="s">
        <v>177</v>
      </c>
      <c r="M532" t="s">
        <v>773</v>
      </c>
      <c r="N532" t="s">
        <v>1643</v>
      </c>
      <c r="O532">
        <v>10038906</v>
      </c>
      <c r="P532" s="108">
        <v>43060</v>
      </c>
      <c r="Q532" s="108">
        <v>43062</v>
      </c>
      <c r="R532" s="108">
        <v>43110</v>
      </c>
      <c r="S532" t="s">
        <v>153</v>
      </c>
      <c r="T532">
        <v>2</v>
      </c>
      <c r="U532" t="s">
        <v>123</v>
      </c>
      <c r="V532">
        <v>2</v>
      </c>
      <c r="W532">
        <v>1</v>
      </c>
      <c r="X532">
        <v>2</v>
      </c>
      <c r="Y532">
        <f>VLOOKUP(Table_clu7sql1_ssdb_REPORT_vw_IE_External_MI_SON[[#This Row],[URN]],[1]Data!$D$2:$BB$1084,31,)</f>
        <v>2</v>
      </c>
      <c r="Z532" t="s">
        <v>2596</v>
      </c>
      <c r="AA532" t="s">
        <v>2596</v>
      </c>
      <c r="AB532" t="s">
        <v>2598</v>
      </c>
      <c r="AC532" t="s">
        <v>2596</v>
      </c>
      <c r="AD532" t="s">
        <v>2596</v>
      </c>
      <c r="AE532" t="s">
        <v>2596</v>
      </c>
      <c r="AF532" t="s">
        <v>2596</v>
      </c>
      <c r="AG532" t="s">
        <v>2596</v>
      </c>
      <c r="AH532" t="s">
        <v>2596</v>
      </c>
    </row>
    <row r="533" spans="1:34" x14ac:dyDescent="0.25">
      <c r="A533" s="111" t="str">
        <f>HYPERLINK("http://www.ofsted.gov.uk/inspection-reports/find-inspection-report/provider/ELS/134938 ","Ofsted School Webpage")</f>
        <v>Ofsted School Webpage</v>
      </c>
      <c r="B533">
        <v>134938</v>
      </c>
      <c r="C533">
        <v>8576005</v>
      </c>
      <c r="D533" t="s">
        <v>1546</v>
      </c>
      <c r="E533" t="s">
        <v>37</v>
      </c>
      <c r="F533" t="s">
        <v>142</v>
      </c>
      <c r="G533" t="s">
        <v>142</v>
      </c>
      <c r="H533" t="s">
        <v>2595</v>
      </c>
      <c r="I533" t="s">
        <v>2596</v>
      </c>
      <c r="J533" t="s">
        <v>143</v>
      </c>
      <c r="K533" t="s">
        <v>171</v>
      </c>
      <c r="L533" t="s">
        <v>171</v>
      </c>
      <c r="M533" t="s">
        <v>581</v>
      </c>
      <c r="N533" t="s">
        <v>1547</v>
      </c>
      <c r="O533">
        <v>10026049</v>
      </c>
      <c r="P533" s="108">
        <v>42752</v>
      </c>
      <c r="Q533" s="108">
        <v>42754</v>
      </c>
      <c r="R533" s="108">
        <v>42794</v>
      </c>
      <c r="S533" t="s">
        <v>224</v>
      </c>
      <c r="T533">
        <v>1</v>
      </c>
      <c r="U533" t="s">
        <v>123</v>
      </c>
      <c r="V533">
        <v>1</v>
      </c>
      <c r="W533">
        <v>1</v>
      </c>
      <c r="X533">
        <v>1</v>
      </c>
      <c r="Y533">
        <f>VLOOKUP(Table_clu7sql1_ssdb_REPORT_vw_IE_External_MI_SON[[#This Row],[URN]],[1]Data!$D$2:$BB$1084,31,)</f>
        <v>1</v>
      </c>
      <c r="Z533" t="s">
        <v>2596</v>
      </c>
      <c r="AA533">
        <v>1</v>
      </c>
      <c r="AB533" t="s">
        <v>2598</v>
      </c>
      <c r="AC533" t="s">
        <v>2596</v>
      </c>
      <c r="AD533" t="s">
        <v>2596</v>
      </c>
      <c r="AE533" s="108" t="s">
        <v>2596</v>
      </c>
      <c r="AF533" t="s">
        <v>2596</v>
      </c>
      <c r="AG533" s="108" t="s">
        <v>2596</v>
      </c>
      <c r="AH533" t="s">
        <v>2596</v>
      </c>
    </row>
    <row r="534" spans="1:34" x14ac:dyDescent="0.25">
      <c r="A534" s="111" t="str">
        <f>HYPERLINK("http://www.ofsted.gov.uk/inspection-reports/find-inspection-report/provider/ELS/134940 ","Ofsted School Webpage")</f>
        <v>Ofsted School Webpage</v>
      </c>
      <c r="B534">
        <v>134940</v>
      </c>
      <c r="C534">
        <v>8826053</v>
      </c>
      <c r="D534" t="s">
        <v>1313</v>
      </c>
      <c r="E534" t="s">
        <v>37</v>
      </c>
      <c r="F534" t="s">
        <v>142</v>
      </c>
      <c r="G534" t="s">
        <v>142</v>
      </c>
      <c r="H534" t="s">
        <v>2595</v>
      </c>
      <c r="I534" t="s">
        <v>2596</v>
      </c>
      <c r="J534" t="s">
        <v>143</v>
      </c>
      <c r="K534" t="s">
        <v>177</v>
      </c>
      <c r="L534" t="s">
        <v>177</v>
      </c>
      <c r="M534" t="s">
        <v>699</v>
      </c>
      <c r="N534" t="s">
        <v>1314</v>
      </c>
      <c r="O534" t="s">
        <v>1315</v>
      </c>
      <c r="P534" s="108">
        <v>42172</v>
      </c>
      <c r="Q534" s="108">
        <v>42174</v>
      </c>
      <c r="R534" s="108">
        <v>42202</v>
      </c>
      <c r="S534" t="s">
        <v>3005</v>
      </c>
      <c r="T534">
        <v>2</v>
      </c>
      <c r="U534" t="s">
        <v>2596</v>
      </c>
      <c r="V534">
        <v>2</v>
      </c>
      <c r="W534" t="s">
        <v>2596</v>
      </c>
      <c r="X534">
        <v>2</v>
      </c>
      <c r="Y534">
        <f>VLOOKUP(Table_clu7sql1_ssdb_REPORT_vw_IE_External_MI_SON[[#This Row],[URN]],[1]Data!$D$2:$BB$1084,31,)</f>
        <v>2</v>
      </c>
      <c r="Z534">
        <v>9</v>
      </c>
      <c r="AA534">
        <v>2</v>
      </c>
      <c r="AB534" t="s">
        <v>2598</v>
      </c>
      <c r="AC534" t="s">
        <v>2596</v>
      </c>
      <c r="AD534" t="s">
        <v>2596</v>
      </c>
      <c r="AE534" t="s">
        <v>2596</v>
      </c>
      <c r="AF534" t="s">
        <v>2596</v>
      </c>
      <c r="AG534" t="s">
        <v>2596</v>
      </c>
      <c r="AH534" t="s">
        <v>2596</v>
      </c>
    </row>
    <row r="535" spans="1:34" x14ac:dyDescent="0.25">
      <c r="A535" s="111" t="str">
        <f>HYPERLINK("http://www.ofsted.gov.uk/inspection-reports/find-inspection-report/provider/ELS/134978 ","Ofsted School Webpage")</f>
        <v>Ofsted School Webpage</v>
      </c>
      <c r="B535">
        <v>134978</v>
      </c>
      <c r="C535">
        <v>9266419</v>
      </c>
      <c r="D535" t="s">
        <v>1348</v>
      </c>
      <c r="E535" t="s">
        <v>37</v>
      </c>
      <c r="F535" t="s">
        <v>142</v>
      </c>
      <c r="G535" t="s">
        <v>142</v>
      </c>
      <c r="H535" t="s">
        <v>2595</v>
      </c>
      <c r="I535" t="s">
        <v>2596</v>
      </c>
      <c r="J535" t="s">
        <v>143</v>
      </c>
      <c r="K535" t="s">
        <v>177</v>
      </c>
      <c r="L535" t="s">
        <v>177</v>
      </c>
      <c r="M535" t="s">
        <v>401</v>
      </c>
      <c r="N535" t="s">
        <v>1349</v>
      </c>
      <c r="O535">
        <v>10008940</v>
      </c>
      <c r="P535" s="108">
        <v>42864</v>
      </c>
      <c r="Q535" s="108">
        <v>42866</v>
      </c>
      <c r="R535" s="108">
        <v>42921</v>
      </c>
      <c r="S535" t="s">
        <v>3005</v>
      </c>
      <c r="T535">
        <v>1</v>
      </c>
      <c r="U535" t="s">
        <v>123</v>
      </c>
      <c r="V535">
        <v>1</v>
      </c>
      <c r="W535">
        <v>1</v>
      </c>
      <c r="X535">
        <v>1</v>
      </c>
      <c r="Y535">
        <f>VLOOKUP(Table_clu7sql1_ssdb_REPORT_vw_IE_External_MI_SON[[#This Row],[URN]],[1]Data!$D$2:$BB$1084,31,)</f>
        <v>1</v>
      </c>
      <c r="Z535" t="s">
        <v>2596</v>
      </c>
      <c r="AA535" t="s">
        <v>2596</v>
      </c>
      <c r="AB535" t="s">
        <v>2598</v>
      </c>
      <c r="AC535" t="s">
        <v>2596</v>
      </c>
      <c r="AD535" t="s">
        <v>2596</v>
      </c>
      <c r="AE535" t="s">
        <v>2596</v>
      </c>
      <c r="AF535" t="s">
        <v>2596</v>
      </c>
      <c r="AG535" t="s">
        <v>2596</v>
      </c>
      <c r="AH535" t="s">
        <v>2596</v>
      </c>
    </row>
    <row r="536" spans="1:34" x14ac:dyDescent="0.25">
      <c r="A536" s="111" t="str">
        <f>HYPERLINK("http://www.ofsted.gov.uk/inspection-reports/find-inspection-report/provider/ELS/134982 ","Ofsted School Webpage")</f>
        <v>Ofsted School Webpage</v>
      </c>
      <c r="B536">
        <v>134982</v>
      </c>
      <c r="C536">
        <v>3306112</v>
      </c>
      <c r="D536" t="s">
        <v>1230</v>
      </c>
      <c r="E536" t="s">
        <v>37</v>
      </c>
      <c r="F536" t="s">
        <v>142</v>
      </c>
      <c r="G536" t="s">
        <v>142</v>
      </c>
      <c r="H536" t="s">
        <v>2595</v>
      </c>
      <c r="I536" t="s">
        <v>2596</v>
      </c>
      <c r="J536" t="s">
        <v>143</v>
      </c>
      <c r="K536" t="s">
        <v>150</v>
      </c>
      <c r="L536" t="s">
        <v>150</v>
      </c>
      <c r="M536" t="s">
        <v>167</v>
      </c>
      <c r="N536" t="s">
        <v>1231</v>
      </c>
      <c r="O536" t="s">
        <v>1232</v>
      </c>
      <c r="P536" s="108">
        <v>42045</v>
      </c>
      <c r="Q536" s="108">
        <v>42047</v>
      </c>
      <c r="R536" s="108">
        <v>42080</v>
      </c>
      <c r="S536" t="s">
        <v>153</v>
      </c>
      <c r="T536">
        <v>2</v>
      </c>
      <c r="U536" t="s">
        <v>2596</v>
      </c>
      <c r="V536">
        <v>2</v>
      </c>
      <c r="W536" t="s">
        <v>2596</v>
      </c>
      <c r="X536">
        <v>2</v>
      </c>
      <c r="Y536">
        <f>VLOOKUP(Table_clu7sql1_ssdb_REPORT_vw_IE_External_MI_SON[[#This Row],[URN]],[1]Data!$D$2:$BB$1084,31,)</f>
        <v>2</v>
      </c>
      <c r="Z536">
        <v>9</v>
      </c>
      <c r="AA536">
        <v>2</v>
      </c>
      <c r="AB536" t="s">
        <v>2598</v>
      </c>
      <c r="AC536" t="s">
        <v>2596</v>
      </c>
      <c r="AD536" t="s">
        <v>2596</v>
      </c>
      <c r="AE536" s="108" t="s">
        <v>2596</v>
      </c>
      <c r="AF536" t="s">
        <v>2596</v>
      </c>
      <c r="AG536" s="108" t="s">
        <v>2596</v>
      </c>
      <c r="AH536" t="s">
        <v>2596</v>
      </c>
    </row>
    <row r="537" spans="1:34" x14ac:dyDescent="0.25">
      <c r="A537" s="111" t="str">
        <f>HYPERLINK("http://www.ofsted.gov.uk/inspection-reports/find-inspection-report/provider/ELS/135001 ","Ofsted School Webpage")</f>
        <v>Ofsted School Webpage</v>
      </c>
      <c r="B537">
        <v>135001</v>
      </c>
      <c r="C537">
        <v>3926011</v>
      </c>
      <c r="D537" t="s">
        <v>1001</v>
      </c>
      <c r="E537" t="s">
        <v>37</v>
      </c>
      <c r="F537" t="s">
        <v>142</v>
      </c>
      <c r="G537" t="s">
        <v>142</v>
      </c>
      <c r="H537" t="s">
        <v>2595</v>
      </c>
      <c r="I537" t="s">
        <v>2596</v>
      </c>
      <c r="J537" t="s">
        <v>143</v>
      </c>
      <c r="K537" t="s">
        <v>202</v>
      </c>
      <c r="L537" t="s">
        <v>234</v>
      </c>
      <c r="M537" t="s">
        <v>789</v>
      </c>
      <c r="N537" t="s">
        <v>1002</v>
      </c>
      <c r="O537" t="s">
        <v>1003</v>
      </c>
      <c r="P537" s="108">
        <v>42122</v>
      </c>
      <c r="Q537" s="108">
        <v>42124</v>
      </c>
      <c r="R537" s="108">
        <v>42151</v>
      </c>
      <c r="S537" t="s">
        <v>153</v>
      </c>
      <c r="T537">
        <v>2</v>
      </c>
      <c r="U537" t="s">
        <v>2596</v>
      </c>
      <c r="V537">
        <v>2</v>
      </c>
      <c r="W537" t="s">
        <v>2596</v>
      </c>
      <c r="X537">
        <v>2</v>
      </c>
      <c r="Y537">
        <f>VLOOKUP(Table_clu7sql1_ssdb_REPORT_vw_IE_External_MI_SON[[#This Row],[URN]],[1]Data!$D$2:$BB$1084,31,)</f>
        <v>2</v>
      </c>
      <c r="Z537">
        <v>9</v>
      </c>
      <c r="AA537">
        <v>2</v>
      </c>
      <c r="AB537" t="s">
        <v>2598</v>
      </c>
      <c r="AC537" t="s">
        <v>2596</v>
      </c>
      <c r="AD537" t="s">
        <v>2596</v>
      </c>
      <c r="AE537" s="108" t="s">
        <v>2596</v>
      </c>
      <c r="AF537" t="s">
        <v>2596</v>
      </c>
      <c r="AG537" s="108" t="s">
        <v>2596</v>
      </c>
      <c r="AH537" t="s">
        <v>2596</v>
      </c>
    </row>
    <row r="538" spans="1:34" x14ac:dyDescent="0.25">
      <c r="A538" s="111" t="str">
        <f>HYPERLINK("http://www.ofsted.gov.uk/inspection-reports/find-inspection-report/provider/ELS/135018 ","Ofsted School Webpage")</f>
        <v>Ofsted School Webpage</v>
      </c>
      <c r="B538">
        <v>135018</v>
      </c>
      <c r="C538">
        <v>8866103</v>
      </c>
      <c r="D538" t="s">
        <v>1797</v>
      </c>
      <c r="E538" t="s">
        <v>37</v>
      </c>
      <c r="F538" t="s">
        <v>142</v>
      </c>
      <c r="G538" t="s">
        <v>169</v>
      </c>
      <c r="H538" t="s">
        <v>2595</v>
      </c>
      <c r="I538" t="s">
        <v>2596</v>
      </c>
      <c r="J538" t="s">
        <v>143</v>
      </c>
      <c r="K538" t="s">
        <v>139</v>
      </c>
      <c r="L538" t="s">
        <v>139</v>
      </c>
      <c r="M538" t="s">
        <v>140</v>
      </c>
      <c r="N538" t="s">
        <v>1798</v>
      </c>
      <c r="O538">
        <v>10008607</v>
      </c>
      <c r="P538" s="108">
        <v>43046</v>
      </c>
      <c r="Q538" s="108">
        <v>43048</v>
      </c>
      <c r="R538" s="108">
        <v>43073</v>
      </c>
      <c r="S538" t="s">
        <v>153</v>
      </c>
      <c r="T538">
        <v>2</v>
      </c>
      <c r="U538" t="s">
        <v>123</v>
      </c>
      <c r="V538">
        <v>2</v>
      </c>
      <c r="W538">
        <v>2</v>
      </c>
      <c r="X538">
        <v>2</v>
      </c>
      <c r="Y538">
        <f>VLOOKUP(Table_clu7sql1_ssdb_REPORT_vw_IE_External_MI_SON[[#This Row],[URN]],[1]Data!$D$2:$BB$1084,31,)</f>
        <v>2</v>
      </c>
      <c r="Z538" t="s">
        <v>2596</v>
      </c>
      <c r="AA538" t="s">
        <v>2596</v>
      </c>
      <c r="AB538" t="s">
        <v>2598</v>
      </c>
      <c r="AC538" t="s">
        <v>2596</v>
      </c>
      <c r="AD538" t="s">
        <v>2596</v>
      </c>
      <c r="AE538" t="s">
        <v>2596</v>
      </c>
      <c r="AF538" t="s">
        <v>2596</v>
      </c>
      <c r="AG538" t="s">
        <v>2596</v>
      </c>
      <c r="AH538" t="s">
        <v>2596</v>
      </c>
    </row>
    <row r="539" spans="1:34" x14ac:dyDescent="0.25">
      <c r="A539" s="111" t="str">
        <f>HYPERLINK("http://www.ofsted.gov.uk/inspection-reports/find-inspection-report/provider/ELS/135027 ","Ofsted School Webpage")</f>
        <v>Ofsted School Webpage</v>
      </c>
      <c r="B539">
        <v>135027</v>
      </c>
      <c r="C539">
        <v>3526062</v>
      </c>
      <c r="D539" t="s">
        <v>1492</v>
      </c>
      <c r="E539" t="s">
        <v>37</v>
      </c>
      <c r="F539" t="s">
        <v>142</v>
      </c>
      <c r="G539" t="s">
        <v>275</v>
      </c>
      <c r="H539" t="s">
        <v>2595</v>
      </c>
      <c r="I539" t="s">
        <v>2596</v>
      </c>
      <c r="J539" t="s">
        <v>143</v>
      </c>
      <c r="K539" t="s">
        <v>162</v>
      </c>
      <c r="L539" t="s">
        <v>162</v>
      </c>
      <c r="M539" t="s">
        <v>263</v>
      </c>
      <c r="N539" t="s">
        <v>1493</v>
      </c>
      <c r="O539">
        <v>10006316</v>
      </c>
      <c r="P539" s="108">
        <v>42682</v>
      </c>
      <c r="Q539" s="108">
        <v>42684</v>
      </c>
      <c r="R539" s="108">
        <v>42725</v>
      </c>
      <c r="S539" t="s">
        <v>153</v>
      </c>
      <c r="T539">
        <v>4</v>
      </c>
      <c r="U539" t="s">
        <v>124</v>
      </c>
      <c r="V539">
        <v>4</v>
      </c>
      <c r="W539">
        <v>3</v>
      </c>
      <c r="X539">
        <v>4</v>
      </c>
      <c r="Y539">
        <f>VLOOKUP(Table_clu7sql1_ssdb_REPORT_vw_IE_External_MI_SON[[#This Row],[URN]],[1]Data!$D$2:$BB$1084,31,)</f>
        <v>4</v>
      </c>
      <c r="Z539" t="s">
        <v>2596</v>
      </c>
      <c r="AA539">
        <v>4</v>
      </c>
      <c r="AB539" t="s">
        <v>2599</v>
      </c>
      <c r="AC539">
        <v>10035525</v>
      </c>
      <c r="AD539" t="s">
        <v>144</v>
      </c>
      <c r="AE539" s="108">
        <v>42908</v>
      </c>
      <c r="AF539" t="s">
        <v>2634</v>
      </c>
      <c r="AG539" s="108">
        <v>42982</v>
      </c>
      <c r="AH539" t="s">
        <v>174</v>
      </c>
    </row>
    <row r="540" spans="1:34" x14ac:dyDescent="0.25">
      <c r="A540" s="111" t="str">
        <f>HYPERLINK("http://www.ofsted.gov.uk/inspection-reports/find-inspection-report/provider/ELS/135065 ","Ofsted School Webpage")</f>
        <v>Ofsted School Webpage</v>
      </c>
      <c r="B540">
        <v>135065</v>
      </c>
      <c r="C540">
        <v>8136003</v>
      </c>
      <c r="D540" t="s">
        <v>2430</v>
      </c>
      <c r="E540" t="s">
        <v>36</v>
      </c>
      <c r="F540" t="s">
        <v>142</v>
      </c>
      <c r="G540" t="s">
        <v>142</v>
      </c>
      <c r="H540" t="s">
        <v>2595</v>
      </c>
      <c r="I540" t="s">
        <v>2596</v>
      </c>
      <c r="J540" t="s">
        <v>143</v>
      </c>
      <c r="K540" t="s">
        <v>202</v>
      </c>
      <c r="L540" t="s">
        <v>203</v>
      </c>
      <c r="M540" t="s">
        <v>962</v>
      </c>
      <c r="N540" t="s">
        <v>2431</v>
      </c>
      <c r="O540" t="s">
        <v>2432</v>
      </c>
      <c r="P540" s="108">
        <v>42143</v>
      </c>
      <c r="Q540" s="108">
        <v>42145</v>
      </c>
      <c r="R540" s="108">
        <v>42181</v>
      </c>
      <c r="S540" t="s">
        <v>153</v>
      </c>
      <c r="T540">
        <v>2</v>
      </c>
      <c r="U540" t="s">
        <v>2596</v>
      </c>
      <c r="V540">
        <v>2</v>
      </c>
      <c r="W540" t="s">
        <v>2596</v>
      </c>
      <c r="X540">
        <v>2</v>
      </c>
      <c r="Y540">
        <f>VLOOKUP(Table_clu7sql1_ssdb_REPORT_vw_IE_External_MI_SON[[#This Row],[URN]],[1]Data!$D$2:$BB$1084,31,)</f>
        <v>2</v>
      </c>
      <c r="Z540">
        <v>9</v>
      </c>
      <c r="AA540">
        <v>9</v>
      </c>
      <c r="AB540" t="s">
        <v>2598</v>
      </c>
      <c r="AC540" t="s">
        <v>2596</v>
      </c>
      <c r="AD540" t="s">
        <v>2596</v>
      </c>
      <c r="AE540" t="s">
        <v>2596</v>
      </c>
      <c r="AF540" t="s">
        <v>2596</v>
      </c>
      <c r="AG540" t="s">
        <v>2596</v>
      </c>
      <c r="AH540" t="s">
        <v>2596</v>
      </c>
    </row>
    <row r="541" spans="1:34" x14ac:dyDescent="0.25">
      <c r="A541" s="111" t="str">
        <f>HYPERLINK("http://www.ofsted.gov.uk/inspection-reports/find-inspection-report/provider/ELS/135066 ","Ofsted School Webpage")</f>
        <v>Ofsted School Webpage</v>
      </c>
      <c r="B541">
        <v>135066</v>
      </c>
      <c r="C541">
        <v>9266152</v>
      </c>
      <c r="D541" t="s">
        <v>867</v>
      </c>
      <c r="E541" t="s">
        <v>37</v>
      </c>
      <c r="F541" t="s">
        <v>142</v>
      </c>
      <c r="G541" t="s">
        <v>142</v>
      </c>
      <c r="H541" t="s">
        <v>2595</v>
      </c>
      <c r="I541" t="s">
        <v>2596</v>
      </c>
      <c r="J541" t="s">
        <v>143</v>
      </c>
      <c r="K541" t="s">
        <v>177</v>
      </c>
      <c r="L541" t="s">
        <v>177</v>
      </c>
      <c r="M541" t="s">
        <v>401</v>
      </c>
      <c r="N541" t="s">
        <v>868</v>
      </c>
      <c r="O541">
        <v>10006086</v>
      </c>
      <c r="P541" s="108">
        <v>42486</v>
      </c>
      <c r="Q541" s="108">
        <v>42488</v>
      </c>
      <c r="R541" s="108">
        <v>42534</v>
      </c>
      <c r="S541" t="s">
        <v>153</v>
      </c>
      <c r="T541">
        <v>3</v>
      </c>
      <c r="U541" t="s">
        <v>123</v>
      </c>
      <c r="V541">
        <v>3</v>
      </c>
      <c r="W541">
        <v>2</v>
      </c>
      <c r="X541">
        <v>3</v>
      </c>
      <c r="Y541">
        <f>VLOOKUP(Table_clu7sql1_ssdb_REPORT_vw_IE_External_MI_SON[[#This Row],[URN]],[1]Data!$D$2:$BB$1084,31,)</f>
        <v>3</v>
      </c>
      <c r="Z541" t="s">
        <v>2596</v>
      </c>
      <c r="AA541">
        <v>3</v>
      </c>
      <c r="AB541" t="s">
        <v>2598</v>
      </c>
      <c r="AC541" t="s">
        <v>2596</v>
      </c>
      <c r="AD541" t="s">
        <v>2596</v>
      </c>
      <c r="AE541" t="s">
        <v>2596</v>
      </c>
      <c r="AF541" t="s">
        <v>2596</v>
      </c>
      <c r="AG541" t="s">
        <v>2596</v>
      </c>
      <c r="AH541" t="s">
        <v>2596</v>
      </c>
    </row>
    <row r="542" spans="1:34" x14ac:dyDescent="0.25">
      <c r="A542" s="111" t="str">
        <f>HYPERLINK("http://www.ofsted.gov.uk/inspection-reports/find-inspection-report/provider/ELS/135072 ","Ofsted School Webpage")</f>
        <v>Ofsted School Webpage</v>
      </c>
      <c r="B542">
        <v>135072</v>
      </c>
      <c r="C542">
        <v>3026118</v>
      </c>
      <c r="D542" t="s">
        <v>1676</v>
      </c>
      <c r="E542" t="s">
        <v>36</v>
      </c>
      <c r="F542" t="s">
        <v>142</v>
      </c>
      <c r="G542" t="s">
        <v>142</v>
      </c>
      <c r="H542" t="s">
        <v>2595</v>
      </c>
      <c r="I542" t="s">
        <v>2596</v>
      </c>
      <c r="J542" t="s">
        <v>143</v>
      </c>
      <c r="K542" t="s">
        <v>189</v>
      </c>
      <c r="L542" t="s">
        <v>189</v>
      </c>
      <c r="M542" t="s">
        <v>268</v>
      </c>
      <c r="N542" t="s">
        <v>1677</v>
      </c>
      <c r="O542">
        <v>10038171</v>
      </c>
      <c r="P542" s="108">
        <v>43123</v>
      </c>
      <c r="Q542" s="108">
        <v>43125</v>
      </c>
      <c r="R542" s="108">
        <v>43164</v>
      </c>
      <c r="S542" t="s">
        <v>153</v>
      </c>
      <c r="T542">
        <v>1</v>
      </c>
      <c r="U542" t="s">
        <v>123</v>
      </c>
      <c r="V542">
        <v>1</v>
      </c>
      <c r="W542">
        <v>1</v>
      </c>
      <c r="X542">
        <v>1</v>
      </c>
      <c r="Y542">
        <f>VLOOKUP(Table_clu7sql1_ssdb_REPORT_vw_IE_External_MI_SON[[#This Row],[URN]],[1]Data!$D$2:$BB$1084,31,)</f>
        <v>1</v>
      </c>
      <c r="Z542" t="s">
        <v>2596</v>
      </c>
      <c r="AA542">
        <v>1</v>
      </c>
      <c r="AB542" t="s">
        <v>2598</v>
      </c>
      <c r="AC542" t="s">
        <v>2596</v>
      </c>
      <c r="AD542" t="s">
        <v>2596</v>
      </c>
      <c r="AE542" t="s">
        <v>2596</v>
      </c>
      <c r="AF542" t="s">
        <v>2596</v>
      </c>
      <c r="AG542" t="s">
        <v>2596</v>
      </c>
      <c r="AH542" t="s">
        <v>2596</v>
      </c>
    </row>
    <row r="543" spans="1:34" x14ac:dyDescent="0.25">
      <c r="A543" s="111" t="str">
        <f>HYPERLINK("http://www.ofsted.gov.uk/inspection-reports/find-inspection-report/provider/ELS/135090 ","Ofsted School Webpage")</f>
        <v>Ofsted School Webpage</v>
      </c>
      <c r="B543">
        <v>135090</v>
      </c>
      <c r="C543">
        <v>3136081</v>
      </c>
      <c r="D543" t="s">
        <v>684</v>
      </c>
      <c r="E543" t="s">
        <v>36</v>
      </c>
      <c r="F543" t="s">
        <v>142</v>
      </c>
      <c r="G543" t="s">
        <v>142</v>
      </c>
      <c r="H543" t="s">
        <v>2595</v>
      </c>
      <c r="I543" t="s">
        <v>2596</v>
      </c>
      <c r="J543" t="s">
        <v>143</v>
      </c>
      <c r="K543" t="s">
        <v>189</v>
      </c>
      <c r="L543" t="s">
        <v>189</v>
      </c>
      <c r="M543" t="s">
        <v>226</v>
      </c>
      <c r="N543" t="s">
        <v>685</v>
      </c>
      <c r="O543">
        <v>10012837</v>
      </c>
      <c r="P543" s="108">
        <v>42507</v>
      </c>
      <c r="Q543" s="108">
        <v>42509</v>
      </c>
      <c r="R543" s="108">
        <v>42544</v>
      </c>
      <c r="S543" t="s">
        <v>153</v>
      </c>
      <c r="T543">
        <v>2</v>
      </c>
      <c r="U543" t="s">
        <v>123</v>
      </c>
      <c r="V543">
        <v>2</v>
      </c>
      <c r="W543">
        <v>2</v>
      </c>
      <c r="X543">
        <v>2</v>
      </c>
      <c r="Y543">
        <f>VLOOKUP(Table_clu7sql1_ssdb_REPORT_vw_IE_External_MI_SON[[#This Row],[URN]],[1]Data!$D$2:$BB$1084,31,)</f>
        <v>2</v>
      </c>
      <c r="Z543" t="s">
        <v>2596</v>
      </c>
      <c r="AA543" t="s">
        <v>2596</v>
      </c>
      <c r="AB543" t="s">
        <v>2598</v>
      </c>
      <c r="AC543" t="s">
        <v>2596</v>
      </c>
      <c r="AD543" t="s">
        <v>2596</v>
      </c>
      <c r="AE543" s="108" t="s">
        <v>2596</v>
      </c>
      <c r="AF543" t="s">
        <v>2596</v>
      </c>
      <c r="AG543" s="108" t="s">
        <v>2596</v>
      </c>
      <c r="AH543" t="s">
        <v>2596</v>
      </c>
    </row>
    <row r="544" spans="1:34" x14ac:dyDescent="0.25">
      <c r="A544" s="111" t="str">
        <f>HYPERLINK("http://www.ofsted.gov.uk/inspection-reports/find-inspection-report/provider/ELS/135091 ","Ofsted School Webpage")</f>
        <v>Ofsted School Webpage</v>
      </c>
      <c r="B544">
        <v>135091</v>
      </c>
      <c r="C544">
        <v>3166067</v>
      </c>
      <c r="D544" t="s">
        <v>2253</v>
      </c>
      <c r="E544" t="s">
        <v>36</v>
      </c>
      <c r="F544" t="s">
        <v>169</v>
      </c>
      <c r="G544" t="s">
        <v>169</v>
      </c>
      <c r="H544" t="s">
        <v>2595</v>
      </c>
      <c r="I544" t="s">
        <v>2596</v>
      </c>
      <c r="J544" t="s">
        <v>143</v>
      </c>
      <c r="K544" t="s">
        <v>189</v>
      </c>
      <c r="L544" t="s">
        <v>189</v>
      </c>
      <c r="M544" t="s">
        <v>460</v>
      </c>
      <c r="N544" t="s">
        <v>2254</v>
      </c>
      <c r="O544">
        <v>10012829</v>
      </c>
      <c r="P544" s="108">
        <v>42661</v>
      </c>
      <c r="Q544" s="108">
        <v>42663</v>
      </c>
      <c r="R544" s="108">
        <v>42723</v>
      </c>
      <c r="S544" t="s">
        <v>153</v>
      </c>
      <c r="T544">
        <v>4</v>
      </c>
      <c r="U544" t="s">
        <v>124</v>
      </c>
      <c r="V544">
        <v>4</v>
      </c>
      <c r="W544">
        <v>4</v>
      </c>
      <c r="X544">
        <v>3</v>
      </c>
      <c r="Y544">
        <f>VLOOKUP(Table_clu7sql1_ssdb_REPORT_vw_IE_External_MI_SON[[#This Row],[URN]],[1]Data!$D$2:$BB$1084,31,)</f>
        <v>3</v>
      </c>
      <c r="Z544">
        <v>4</v>
      </c>
      <c r="AA544" t="s">
        <v>2596</v>
      </c>
      <c r="AB544" t="s">
        <v>2599</v>
      </c>
      <c r="AC544">
        <v>10044654</v>
      </c>
      <c r="AD544" t="s">
        <v>144</v>
      </c>
      <c r="AE544" s="108">
        <v>43133</v>
      </c>
      <c r="AF544" t="s">
        <v>2636</v>
      </c>
      <c r="AG544" s="108">
        <v>43165</v>
      </c>
      <c r="AH544" t="s">
        <v>174</v>
      </c>
    </row>
    <row r="545" spans="1:34" x14ac:dyDescent="0.25">
      <c r="A545" s="111" t="str">
        <f>HYPERLINK("http://www.ofsted.gov.uk/inspection-reports/find-inspection-report/provider/ELS/135092 ","Ofsted School Webpage")</f>
        <v>Ofsted School Webpage</v>
      </c>
      <c r="B545">
        <v>135092</v>
      </c>
      <c r="C545">
        <v>8886095</v>
      </c>
      <c r="D545" t="s">
        <v>1483</v>
      </c>
      <c r="E545" t="s">
        <v>37</v>
      </c>
      <c r="F545" t="s">
        <v>142</v>
      </c>
      <c r="G545" t="s">
        <v>142</v>
      </c>
      <c r="H545" t="s">
        <v>2595</v>
      </c>
      <c r="I545" t="s">
        <v>2596</v>
      </c>
      <c r="J545" t="s">
        <v>143</v>
      </c>
      <c r="K545" t="s">
        <v>162</v>
      </c>
      <c r="L545" t="s">
        <v>162</v>
      </c>
      <c r="M545" t="s">
        <v>163</v>
      </c>
      <c r="N545" t="s">
        <v>1484</v>
      </c>
      <c r="O545">
        <v>10020813</v>
      </c>
      <c r="P545" s="108">
        <v>42710</v>
      </c>
      <c r="Q545" s="108">
        <v>42712</v>
      </c>
      <c r="R545" s="108">
        <v>42746</v>
      </c>
      <c r="S545" t="s">
        <v>153</v>
      </c>
      <c r="T545">
        <v>2</v>
      </c>
      <c r="U545" t="s">
        <v>123</v>
      </c>
      <c r="V545">
        <v>2</v>
      </c>
      <c r="W545">
        <v>1</v>
      </c>
      <c r="X545">
        <v>2</v>
      </c>
      <c r="Y545">
        <f>VLOOKUP(Table_clu7sql1_ssdb_REPORT_vw_IE_External_MI_SON[[#This Row],[URN]],[1]Data!$D$2:$BB$1084,31,)</f>
        <v>2</v>
      </c>
      <c r="Z545" t="s">
        <v>2596</v>
      </c>
      <c r="AA545">
        <v>2</v>
      </c>
      <c r="AB545" t="s">
        <v>2598</v>
      </c>
      <c r="AC545" t="s">
        <v>2596</v>
      </c>
      <c r="AD545" t="s">
        <v>2596</v>
      </c>
      <c r="AE545" t="s">
        <v>2596</v>
      </c>
      <c r="AF545" t="s">
        <v>2596</v>
      </c>
      <c r="AG545" t="s">
        <v>2596</v>
      </c>
      <c r="AH545" t="s">
        <v>2596</v>
      </c>
    </row>
    <row r="546" spans="1:34" x14ac:dyDescent="0.25">
      <c r="A546" s="111" t="str">
        <f>HYPERLINK("http://www.ofsted.gov.uk/inspection-reports/find-inspection-report/provider/ELS/135097 ","Ofsted School Webpage")</f>
        <v>Ofsted School Webpage</v>
      </c>
      <c r="B546">
        <v>135097</v>
      </c>
      <c r="C546">
        <v>9166081</v>
      </c>
      <c r="D546" t="s">
        <v>599</v>
      </c>
      <c r="E546" t="s">
        <v>36</v>
      </c>
      <c r="F546" t="s">
        <v>142</v>
      </c>
      <c r="G546" t="s">
        <v>180</v>
      </c>
      <c r="H546" t="s">
        <v>2595</v>
      </c>
      <c r="I546" t="s">
        <v>2596</v>
      </c>
      <c r="J546" t="s">
        <v>143</v>
      </c>
      <c r="K546" t="s">
        <v>182</v>
      </c>
      <c r="L546" t="s">
        <v>182</v>
      </c>
      <c r="M546" t="s">
        <v>222</v>
      </c>
      <c r="N546" t="s">
        <v>600</v>
      </c>
      <c r="O546">
        <v>10033892</v>
      </c>
      <c r="P546" s="108">
        <v>43053</v>
      </c>
      <c r="Q546" s="108">
        <v>43055</v>
      </c>
      <c r="R546" s="108">
        <v>43109</v>
      </c>
      <c r="S546" t="s">
        <v>153</v>
      </c>
      <c r="T546">
        <v>4</v>
      </c>
      <c r="U546" t="s">
        <v>124</v>
      </c>
      <c r="V546">
        <v>4</v>
      </c>
      <c r="W546">
        <v>3</v>
      </c>
      <c r="X546">
        <v>3</v>
      </c>
      <c r="Y546">
        <f>VLOOKUP(Table_clu7sql1_ssdb_REPORT_vw_IE_External_MI_SON[[#This Row],[URN]],[1]Data!$D$2:$BB$1084,31,)</f>
        <v>3</v>
      </c>
      <c r="Z546">
        <v>4</v>
      </c>
      <c r="AA546" t="s">
        <v>2596</v>
      </c>
      <c r="AB546" t="s">
        <v>2599</v>
      </c>
      <c r="AC546" t="s">
        <v>2596</v>
      </c>
      <c r="AD546" t="s">
        <v>2596</v>
      </c>
      <c r="AE546" t="s">
        <v>2596</v>
      </c>
      <c r="AF546" t="s">
        <v>2596</v>
      </c>
      <c r="AG546" t="s">
        <v>2596</v>
      </c>
      <c r="AH546" t="s">
        <v>2596</v>
      </c>
    </row>
    <row r="547" spans="1:34" x14ac:dyDescent="0.25">
      <c r="A547" s="111" t="str">
        <f>HYPERLINK("http://www.ofsted.gov.uk/inspection-reports/find-inspection-report/provider/ELS/135105 ","Ofsted School Webpage")</f>
        <v>Ofsted School Webpage</v>
      </c>
      <c r="B547">
        <v>135105</v>
      </c>
      <c r="C547">
        <v>8506086</v>
      </c>
      <c r="D547" t="s">
        <v>325</v>
      </c>
      <c r="E547" t="s">
        <v>37</v>
      </c>
      <c r="F547" t="s">
        <v>142</v>
      </c>
      <c r="G547" t="s">
        <v>142</v>
      </c>
      <c r="H547" t="s">
        <v>2595</v>
      </c>
      <c r="I547" t="s">
        <v>2596</v>
      </c>
      <c r="J547" t="s">
        <v>143</v>
      </c>
      <c r="K547" t="s">
        <v>139</v>
      </c>
      <c r="L547" t="s">
        <v>139</v>
      </c>
      <c r="M547" t="s">
        <v>158</v>
      </c>
      <c r="N547" t="s">
        <v>326</v>
      </c>
      <c r="O547">
        <v>10033961</v>
      </c>
      <c r="P547" s="108">
        <v>43004</v>
      </c>
      <c r="Q547" s="108">
        <v>43006</v>
      </c>
      <c r="R547" s="108">
        <v>43052</v>
      </c>
      <c r="S547" t="s">
        <v>153</v>
      </c>
      <c r="T547">
        <v>1</v>
      </c>
      <c r="U547" t="s">
        <v>123</v>
      </c>
      <c r="V547">
        <v>1</v>
      </c>
      <c r="W547">
        <v>1</v>
      </c>
      <c r="X547">
        <v>1</v>
      </c>
      <c r="Y547">
        <f>VLOOKUP(Table_clu7sql1_ssdb_REPORT_vw_IE_External_MI_SON[[#This Row],[URN]],[1]Data!$D$2:$BB$1084,31,)</f>
        <v>1</v>
      </c>
      <c r="Z547" t="s">
        <v>2596</v>
      </c>
      <c r="AA547" t="s">
        <v>2596</v>
      </c>
      <c r="AB547" t="s">
        <v>2598</v>
      </c>
      <c r="AC547" t="s">
        <v>2596</v>
      </c>
      <c r="AD547" t="s">
        <v>2596</v>
      </c>
      <c r="AE547" s="108" t="s">
        <v>2596</v>
      </c>
      <c r="AF547" t="s">
        <v>2596</v>
      </c>
      <c r="AG547" s="108" t="s">
        <v>2596</v>
      </c>
      <c r="AH547" t="s">
        <v>2596</v>
      </c>
    </row>
    <row r="548" spans="1:34" x14ac:dyDescent="0.25">
      <c r="A548" s="111" t="str">
        <f>HYPERLINK("http://www.ofsted.gov.uk/inspection-reports/find-inspection-report/provider/ELS/135111 ","Ofsted School Webpage")</f>
        <v>Ofsted School Webpage</v>
      </c>
      <c r="B548">
        <v>135111</v>
      </c>
      <c r="C548">
        <v>9386272</v>
      </c>
      <c r="D548" t="s">
        <v>350</v>
      </c>
      <c r="E548" t="s">
        <v>37</v>
      </c>
      <c r="F548" t="s">
        <v>142</v>
      </c>
      <c r="G548" t="s">
        <v>142</v>
      </c>
      <c r="H548" t="s">
        <v>2595</v>
      </c>
      <c r="I548" t="s">
        <v>2596</v>
      </c>
      <c r="J548" t="s">
        <v>143</v>
      </c>
      <c r="K548" t="s">
        <v>139</v>
      </c>
      <c r="L548" t="s">
        <v>139</v>
      </c>
      <c r="M548" t="s">
        <v>351</v>
      </c>
      <c r="N548" t="s">
        <v>352</v>
      </c>
      <c r="O548">
        <v>10026024</v>
      </c>
      <c r="P548" s="108">
        <v>42997</v>
      </c>
      <c r="Q548" s="108">
        <v>42999</v>
      </c>
      <c r="R548" s="108">
        <v>43020</v>
      </c>
      <c r="S548" t="s">
        <v>153</v>
      </c>
      <c r="T548">
        <v>2</v>
      </c>
      <c r="U548" t="s">
        <v>123</v>
      </c>
      <c r="V548">
        <v>2</v>
      </c>
      <c r="W548">
        <v>2</v>
      </c>
      <c r="X548">
        <v>2</v>
      </c>
      <c r="Y548">
        <f>VLOOKUP(Table_clu7sql1_ssdb_REPORT_vw_IE_External_MI_SON[[#This Row],[URN]],[1]Data!$D$2:$BB$1084,31,)</f>
        <v>2</v>
      </c>
      <c r="Z548" t="s">
        <v>2596</v>
      </c>
      <c r="AA548" t="s">
        <v>2596</v>
      </c>
      <c r="AB548" t="s">
        <v>2598</v>
      </c>
      <c r="AC548" t="s">
        <v>2596</v>
      </c>
      <c r="AD548" t="s">
        <v>2596</v>
      </c>
      <c r="AE548" t="s">
        <v>2596</v>
      </c>
      <c r="AF548" t="s">
        <v>2596</v>
      </c>
      <c r="AG548" t="s">
        <v>2596</v>
      </c>
      <c r="AH548" t="s">
        <v>2596</v>
      </c>
    </row>
    <row r="549" spans="1:34" x14ac:dyDescent="0.25">
      <c r="A549" s="111" t="str">
        <f>HYPERLINK("http://www.ofsted.gov.uk/inspection-reports/find-inspection-report/provider/ELS/135113 ","Ofsted School Webpage")</f>
        <v>Ofsted School Webpage</v>
      </c>
      <c r="B549">
        <v>135113</v>
      </c>
      <c r="C549">
        <v>8416003</v>
      </c>
      <c r="D549" t="s">
        <v>1006</v>
      </c>
      <c r="E549" t="s">
        <v>37</v>
      </c>
      <c r="F549" t="s">
        <v>142</v>
      </c>
      <c r="G549" t="s">
        <v>142</v>
      </c>
      <c r="H549" t="s">
        <v>2595</v>
      </c>
      <c r="I549" t="s">
        <v>2596</v>
      </c>
      <c r="J549" t="s">
        <v>143</v>
      </c>
      <c r="K549" t="s">
        <v>202</v>
      </c>
      <c r="L549" t="s">
        <v>234</v>
      </c>
      <c r="M549" t="s">
        <v>545</v>
      </c>
      <c r="N549" t="s">
        <v>1007</v>
      </c>
      <c r="O549">
        <v>10025958</v>
      </c>
      <c r="P549" s="108">
        <v>42773</v>
      </c>
      <c r="Q549" s="108">
        <v>42775</v>
      </c>
      <c r="R549" s="108">
        <v>42807</v>
      </c>
      <c r="S549" t="s">
        <v>153</v>
      </c>
      <c r="T549">
        <v>1</v>
      </c>
      <c r="U549" t="s">
        <v>123</v>
      </c>
      <c r="V549">
        <v>1</v>
      </c>
      <c r="W549">
        <v>1</v>
      </c>
      <c r="X549">
        <v>1</v>
      </c>
      <c r="Y549">
        <f>VLOOKUP(Table_clu7sql1_ssdb_REPORT_vw_IE_External_MI_SON[[#This Row],[URN]],[1]Data!$D$2:$BB$1084,31,)</f>
        <v>1</v>
      </c>
      <c r="Z549" t="s">
        <v>2596</v>
      </c>
      <c r="AA549" t="s">
        <v>2596</v>
      </c>
      <c r="AB549" t="s">
        <v>2598</v>
      </c>
      <c r="AC549" t="s">
        <v>2596</v>
      </c>
      <c r="AD549" t="s">
        <v>2596</v>
      </c>
      <c r="AE549" t="s">
        <v>2596</v>
      </c>
      <c r="AF549" t="s">
        <v>2596</v>
      </c>
      <c r="AG549" t="s">
        <v>2596</v>
      </c>
      <c r="AH549" t="s">
        <v>2596</v>
      </c>
    </row>
    <row r="550" spans="1:34" x14ac:dyDescent="0.25">
      <c r="A550" s="111" t="str">
        <f>HYPERLINK("http://www.ofsted.gov.uk/inspection-reports/find-inspection-report/provider/ELS/135150 ","Ofsted School Webpage")</f>
        <v>Ofsted School Webpage</v>
      </c>
      <c r="B550">
        <v>135150</v>
      </c>
      <c r="C550">
        <v>8816056</v>
      </c>
      <c r="D550" t="s">
        <v>1311</v>
      </c>
      <c r="E550" t="s">
        <v>37</v>
      </c>
      <c r="F550" t="s">
        <v>142</v>
      </c>
      <c r="G550" t="s">
        <v>142</v>
      </c>
      <c r="H550" t="s">
        <v>2595</v>
      </c>
      <c r="I550" t="s">
        <v>2596</v>
      </c>
      <c r="J550" t="s">
        <v>143</v>
      </c>
      <c r="K550" t="s">
        <v>177</v>
      </c>
      <c r="L550" t="s">
        <v>177</v>
      </c>
      <c r="M550" t="s">
        <v>280</v>
      </c>
      <c r="N550" t="s">
        <v>1312</v>
      </c>
      <c r="O550">
        <v>10034755</v>
      </c>
      <c r="P550" s="108">
        <v>42892</v>
      </c>
      <c r="Q550" s="108">
        <v>42894</v>
      </c>
      <c r="R550" s="108">
        <v>42933</v>
      </c>
      <c r="S550" t="s">
        <v>153</v>
      </c>
      <c r="T550">
        <v>3</v>
      </c>
      <c r="U550" t="s">
        <v>123</v>
      </c>
      <c r="V550">
        <v>3</v>
      </c>
      <c r="W550">
        <v>3</v>
      </c>
      <c r="X550">
        <v>2</v>
      </c>
      <c r="Y550">
        <f>VLOOKUP(Table_clu7sql1_ssdb_REPORT_vw_IE_External_MI_SON[[#This Row],[URN]],[1]Data!$D$2:$BB$1084,31,)</f>
        <v>2</v>
      </c>
      <c r="Z550" t="s">
        <v>2596</v>
      </c>
      <c r="AA550">
        <v>2</v>
      </c>
      <c r="AB550" t="s">
        <v>2599</v>
      </c>
      <c r="AC550" t="s">
        <v>2596</v>
      </c>
      <c r="AD550" t="s">
        <v>2596</v>
      </c>
      <c r="AE550" t="s">
        <v>2596</v>
      </c>
      <c r="AF550" t="s">
        <v>2596</v>
      </c>
      <c r="AG550" t="s">
        <v>2596</v>
      </c>
      <c r="AH550" t="s">
        <v>2596</v>
      </c>
    </row>
    <row r="551" spans="1:34" x14ac:dyDescent="0.25">
      <c r="A551" s="111" t="str">
        <f>HYPERLINK("http://www.ofsted.gov.uk/inspection-reports/find-inspection-report/provider/ELS/135155 ","Ofsted School Webpage")</f>
        <v>Ofsted School Webpage</v>
      </c>
      <c r="B551">
        <v>135155</v>
      </c>
      <c r="C551">
        <v>3076338</v>
      </c>
      <c r="D551" t="s">
        <v>1271</v>
      </c>
      <c r="E551" t="s">
        <v>36</v>
      </c>
      <c r="F551" t="s">
        <v>142</v>
      </c>
      <c r="G551" t="s">
        <v>180</v>
      </c>
      <c r="H551" t="s">
        <v>2595</v>
      </c>
      <c r="I551" t="s">
        <v>2596</v>
      </c>
      <c r="J551" t="s">
        <v>143</v>
      </c>
      <c r="K551" t="s">
        <v>189</v>
      </c>
      <c r="L551" t="s">
        <v>189</v>
      </c>
      <c r="M551" t="s">
        <v>584</v>
      </c>
      <c r="N551" t="s">
        <v>1272</v>
      </c>
      <c r="O551" t="s">
        <v>1273</v>
      </c>
      <c r="P551" s="108">
        <v>41681</v>
      </c>
      <c r="Q551" s="108">
        <v>41683</v>
      </c>
      <c r="R551" s="108">
        <v>41701</v>
      </c>
      <c r="S551" t="s">
        <v>153</v>
      </c>
      <c r="T551">
        <v>2</v>
      </c>
      <c r="U551" t="s">
        <v>2596</v>
      </c>
      <c r="V551">
        <v>2</v>
      </c>
      <c r="W551" t="s">
        <v>2596</v>
      </c>
      <c r="X551">
        <v>2</v>
      </c>
      <c r="Y551">
        <f>VLOOKUP(Table_clu7sql1_ssdb_REPORT_vw_IE_External_MI_SON[[#This Row],[URN]],[1]Data!$D$2:$BB$1084,31,)</f>
        <v>2</v>
      </c>
      <c r="Z551" t="s">
        <v>2596</v>
      </c>
      <c r="AA551" t="s">
        <v>2596</v>
      </c>
      <c r="AB551" t="s">
        <v>2599</v>
      </c>
      <c r="AC551" t="s">
        <v>2596</v>
      </c>
      <c r="AD551" t="s">
        <v>2596</v>
      </c>
      <c r="AE551" t="s">
        <v>2596</v>
      </c>
      <c r="AF551" t="s">
        <v>2596</v>
      </c>
      <c r="AG551" t="s">
        <v>2596</v>
      </c>
      <c r="AH551" t="s">
        <v>2596</v>
      </c>
    </row>
    <row r="552" spans="1:34" x14ac:dyDescent="0.25">
      <c r="A552" s="111" t="str">
        <f>HYPERLINK("http://www.ofsted.gov.uk/inspection-reports/find-inspection-report/provider/ELS/135167 ","Ofsted School Webpage")</f>
        <v>Ofsted School Webpage</v>
      </c>
      <c r="B552">
        <v>135167</v>
      </c>
      <c r="C552">
        <v>2026401</v>
      </c>
      <c r="D552" t="s">
        <v>970</v>
      </c>
      <c r="E552" t="s">
        <v>37</v>
      </c>
      <c r="F552" t="s">
        <v>142</v>
      </c>
      <c r="G552" t="s">
        <v>142</v>
      </c>
      <c r="H552" t="s">
        <v>2595</v>
      </c>
      <c r="I552" t="s">
        <v>2596</v>
      </c>
      <c r="J552" t="s">
        <v>143</v>
      </c>
      <c r="K552" t="s">
        <v>189</v>
      </c>
      <c r="L552" t="s">
        <v>189</v>
      </c>
      <c r="M552" t="s">
        <v>491</v>
      </c>
      <c r="N552" t="s">
        <v>971</v>
      </c>
      <c r="O552">
        <v>10035804</v>
      </c>
      <c r="P552" s="108">
        <v>43053</v>
      </c>
      <c r="Q552" s="108">
        <v>43055</v>
      </c>
      <c r="R552" s="108">
        <v>43112</v>
      </c>
      <c r="S552" t="s">
        <v>153</v>
      </c>
      <c r="T552">
        <v>2</v>
      </c>
      <c r="U552" t="s">
        <v>123</v>
      </c>
      <c r="V552">
        <v>2</v>
      </c>
      <c r="W552">
        <v>1</v>
      </c>
      <c r="X552">
        <v>2</v>
      </c>
      <c r="Y552">
        <f>VLOOKUP(Table_clu7sql1_ssdb_REPORT_vw_IE_External_MI_SON[[#This Row],[URN]],[1]Data!$D$2:$BB$1084,31,)</f>
        <v>2</v>
      </c>
      <c r="Z552" t="s">
        <v>2596</v>
      </c>
      <c r="AA552" t="s">
        <v>2596</v>
      </c>
      <c r="AB552" t="s">
        <v>2598</v>
      </c>
      <c r="AC552" t="s">
        <v>2596</v>
      </c>
      <c r="AD552" t="s">
        <v>2596</v>
      </c>
      <c r="AE552" t="s">
        <v>2596</v>
      </c>
      <c r="AF552" t="s">
        <v>2596</v>
      </c>
      <c r="AG552" t="s">
        <v>2596</v>
      </c>
      <c r="AH552" t="s">
        <v>2596</v>
      </c>
    </row>
    <row r="553" spans="1:34" x14ac:dyDescent="0.25">
      <c r="A553" s="111" t="str">
        <f>HYPERLINK("http://www.ofsted.gov.uk/inspection-reports/find-inspection-report/provider/ELS/135168 ","Ofsted School Webpage")</f>
        <v>Ofsted School Webpage</v>
      </c>
      <c r="B553">
        <v>135168</v>
      </c>
      <c r="C553">
        <v>3556054</v>
      </c>
      <c r="D553" t="s">
        <v>1783</v>
      </c>
      <c r="E553" t="s">
        <v>36</v>
      </c>
      <c r="F553" t="s">
        <v>142</v>
      </c>
      <c r="G553" t="s">
        <v>776</v>
      </c>
      <c r="H553" t="s">
        <v>2595</v>
      </c>
      <c r="I553" t="s">
        <v>2596</v>
      </c>
      <c r="J553" t="s">
        <v>143</v>
      </c>
      <c r="K553" t="s">
        <v>162</v>
      </c>
      <c r="L553" t="s">
        <v>162</v>
      </c>
      <c r="M553" t="s">
        <v>804</v>
      </c>
      <c r="N553" t="s">
        <v>1784</v>
      </c>
      <c r="O553">
        <v>10034027</v>
      </c>
      <c r="P553" s="108">
        <v>42892</v>
      </c>
      <c r="Q553" s="108">
        <v>42894</v>
      </c>
      <c r="R553" s="108">
        <v>42920</v>
      </c>
      <c r="S553" t="s">
        <v>153</v>
      </c>
      <c r="T553">
        <v>2</v>
      </c>
      <c r="U553" t="s">
        <v>123</v>
      </c>
      <c r="V553">
        <v>2</v>
      </c>
      <c r="W553">
        <v>2</v>
      </c>
      <c r="X553">
        <v>2</v>
      </c>
      <c r="Y553">
        <f>VLOOKUP(Table_clu7sql1_ssdb_REPORT_vw_IE_External_MI_SON[[#This Row],[URN]],[1]Data!$D$2:$BB$1084,31,)</f>
        <v>2</v>
      </c>
      <c r="Z553" t="s">
        <v>2596</v>
      </c>
      <c r="AA553" t="s">
        <v>2596</v>
      </c>
      <c r="AB553" t="s">
        <v>2598</v>
      </c>
      <c r="AC553" t="s">
        <v>2596</v>
      </c>
      <c r="AD553" t="s">
        <v>2596</v>
      </c>
      <c r="AE553" s="108" t="s">
        <v>2596</v>
      </c>
      <c r="AF553" t="s">
        <v>2596</v>
      </c>
      <c r="AG553" s="108" t="s">
        <v>2596</v>
      </c>
      <c r="AH553" t="s">
        <v>2596</v>
      </c>
    </row>
    <row r="554" spans="1:34" x14ac:dyDescent="0.25">
      <c r="A554" s="111" t="str">
        <f>HYPERLINK("http://www.ofsted.gov.uk/inspection-reports/find-inspection-report/provider/ELS/135180 ","Ofsted School Webpage")</f>
        <v>Ofsted School Webpage</v>
      </c>
      <c r="B554">
        <v>135180</v>
      </c>
      <c r="C554">
        <v>9386050</v>
      </c>
      <c r="D554" t="s">
        <v>1125</v>
      </c>
      <c r="E554" t="s">
        <v>37</v>
      </c>
      <c r="F554" t="s">
        <v>142</v>
      </c>
      <c r="G554" t="s">
        <v>142</v>
      </c>
      <c r="H554" t="s">
        <v>2595</v>
      </c>
      <c r="I554" t="s">
        <v>2596</v>
      </c>
      <c r="J554" t="s">
        <v>143</v>
      </c>
      <c r="K554" t="s">
        <v>139</v>
      </c>
      <c r="L554" t="s">
        <v>139</v>
      </c>
      <c r="M554" t="s">
        <v>351</v>
      </c>
      <c r="N554" t="s">
        <v>1126</v>
      </c>
      <c r="O554">
        <v>10020930</v>
      </c>
      <c r="P554" s="108">
        <v>43060</v>
      </c>
      <c r="Q554" s="108">
        <v>43062</v>
      </c>
      <c r="R554" s="108">
        <v>43080</v>
      </c>
      <c r="S554" t="s">
        <v>153</v>
      </c>
      <c r="T554">
        <v>3</v>
      </c>
      <c r="U554" t="s">
        <v>123</v>
      </c>
      <c r="V554">
        <v>3</v>
      </c>
      <c r="W554">
        <v>1</v>
      </c>
      <c r="X554">
        <v>3</v>
      </c>
      <c r="Y554">
        <f>VLOOKUP(Table_clu7sql1_ssdb_REPORT_vw_IE_External_MI_SON[[#This Row],[URN]],[1]Data!$D$2:$BB$1084,31,)</f>
        <v>3</v>
      </c>
      <c r="Z554" t="s">
        <v>2596</v>
      </c>
      <c r="AA554" t="s">
        <v>2596</v>
      </c>
      <c r="AB554" t="s">
        <v>2598</v>
      </c>
      <c r="AC554" t="s">
        <v>2596</v>
      </c>
      <c r="AD554" t="s">
        <v>2596</v>
      </c>
      <c r="AE554" s="108" t="s">
        <v>2596</v>
      </c>
      <c r="AF554" t="s">
        <v>2596</v>
      </c>
      <c r="AG554" s="108" t="s">
        <v>2596</v>
      </c>
      <c r="AH554" t="s">
        <v>2596</v>
      </c>
    </row>
    <row r="555" spans="1:34" x14ac:dyDescent="0.25">
      <c r="A555" s="111" t="str">
        <f>HYPERLINK("http://www.ofsted.gov.uk/inspection-reports/find-inspection-report/provider/ELS/135185 ","Ofsted School Webpage")</f>
        <v>Ofsted School Webpage</v>
      </c>
      <c r="B555">
        <v>135185</v>
      </c>
      <c r="C555">
        <v>8556023</v>
      </c>
      <c r="D555" t="s">
        <v>1441</v>
      </c>
      <c r="E555" t="s">
        <v>36</v>
      </c>
      <c r="F555" t="s">
        <v>142</v>
      </c>
      <c r="G555" t="s">
        <v>142</v>
      </c>
      <c r="H555" t="s">
        <v>2595</v>
      </c>
      <c r="I555" t="s">
        <v>2596</v>
      </c>
      <c r="J555" t="s">
        <v>143</v>
      </c>
      <c r="K555" t="s">
        <v>171</v>
      </c>
      <c r="L555" t="s">
        <v>171</v>
      </c>
      <c r="M555" t="s">
        <v>238</v>
      </c>
      <c r="N555" t="s">
        <v>1442</v>
      </c>
      <c r="O555">
        <v>10008561</v>
      </c>
      <c r="P555" s="108">
        <v>42542</v>
      </c>
      <c r="Q555" s="108">
        <v>42544</v>
      </c>
      <c r="R555" s="108">
        <v>42639</v>
      </c>
      <c r="S555" t="s">
        <v>153</v>
      </c>
      <c r="T555">
        <v>2</v>
      </c>
      <c r="U555" t="s">
        <v>123</v>
      </c>
      <c r="V555">
        <v>2</v>
      </c>
      <c r="W555">
        <v>1</v>
      </c>
      <c r="X555">
        <v>2</v>
      </c>
      <c r="Y555">
        <f>VLOOKUP(Table_clu7sql1_ssdb_REPORT_vw_IE_External_MI_SON[[#This Row],[URN]],[1]Data!$D$2:$BB$1084,31,)</f>
        <v>2</v>
      </c>
      <c r="Z555">
        <v>2</v>
      </c>
      <c r="AA555" t="s">
        <v>2596</v>
      </c>
      <c r="AB555" t="s">
        <v>2598</v>
      </c>
      <c r="AC555" t="s">
        <v>2596</v>
      </c>
      <c r="AD555" t="s">
        <v>2596</v>
      </c>
      <c r="AE555" t="s">
        <v>2596</v>
      </c>
      <c r="AF555" t="s">
        <v>2596</v>
      </c>
      <c r="AG555" t="s">
        <v>2596</v>
      </c>
      <c r="AH555" t="s">
        <v>2596</v>
      </c>
    </row>
    <row r="556" spans="1:34" x14ac:dyDescent="0.25">
      <c r="A556" s="111" t="str">
        <f>HYPERLINK("http://www.ofsted.gov.uk/inspection-reports/find-inspection-report/provider/ELS/135187 ","Ofsted School Webpage")</f>
        <v>Ofsted School Webpage</v>
      </c>
      <c r="B556">
        <v>135187</v>
      </c>
      <c r="C556">
        <v>8306034</v>
      </c>
      <c r="D556" t="s">
        <v>1076</v>
      </c>
      <c r="E556" t="s">
        <v>37</v>
      </c>
      <c r="F556" t="s">
        <v>142</v>
      </c>
      <c r="G556" t="s">
        <v>142</v>
      </c>
      <c r="H556" t="s">
        <v>2595</v>
      </c>
      <c r="I556" t="s">
        <v>2596</v>
      </c>
      <c r="J556" t="s">
        <v>143</v>
      </c>
      <c r="K556" t="s">
        <v>171</v>
      </c>
      <c r="L556" t="s">
        <v>171</v>
      </c>
      <c r="M556" t="s">
        <v>320</v>
      </c>
      <c r="N556" t="s">
        <v>1077</v>
      </c>
      <c r="O556">
        <v>10020753</v>
      </c>
      <c r="P556" s="108">
        <v>42661</v>
      </c>
      <c r="Q556" s="108">
        <v>42663</v>
      </c>
      <c r="R556" s="108">
        <v>42697</v>
      </c>
      <c r="S556" t="s">
        <v>3005</v>
      </c>
      <c r="T556">
        <v>2</v>
      </c>
      <c r="U556" t="s">
        <v>123</v>
      </c>
      <c r="V556">
        <v>2</v>
      </c>
      <c r="W556">
        <v>2</v>
      </c>
      <c r="X556">
        <v>2</v>
      </c>
      <c r="Y556">
        <f>VLOOKUP(Table_clu7sql1_ssdb_REPORT_vw_IE_External_MI_SON[[#This Row],[URN]],[1]Data!$D$2:$BB$1084,31,)</f>
        <v>2</v>
      </c>
      <c r="Z556" t="s">
        <v>2596</v>
      </c>
      <c r="AA556" t="s">
        <v>2596</v>
      </c>
      <c r="AB556" t="s">
        <v>2598</v>
      </c>
      <c r="AC556" t="s">
        <v>2596</v>
      </c>
      <c r="AD556" t="s">
        <v>2596</v>
      </c>
      <c r="AE556" t="s">
        <v>2596</v>
      </c>
      <c r="AF556" t="s">
        <v>2596</v>
      </c>
      <c r="AG556" t="s">
        <v>2596</v>
      </c>
      <c r="AH556" t="s">
        <v>2596</v>
      </c>
    </row>
    <row r="557" spans="1:34" x14ac:dyDescent="0.25">
      <c r="A557" s="111" t="str">
        <f>HYPERLINK("http://www.ofsted.gov.uk/inspection-reports/find-inspection-report/provider/ELS/135198 ","Ofsted School Webpage")</f>
        <v>Ofsted School Webpage</v>
      </c>
      <c r="B557">
        <v>135198</v>
      </c>
      <c r="C557">
        <v>8866122</v>
      </c>
      <c r="D557" t="s">
        <v>1172</v>
      </c>
      <c r="E557" t="s">
        <v>37</v>
      </c>
      <c r="F557" t="s">
        <v>142</v>
      </c>
      <c r="G557" t="s">
        <v>142</v>
      </c>
      <c r="H557" t="s">
        <v>2595</v>
      </c>
      <c r="I557" t="s">
        <v>2596</v>
      </c>
      <c r="J557" t="s">
        <v>143</v>
      </c>
      <c r="K557" t="s">
        <v>139</v>
      </c>
      <c r="L557" t="s">
        <v>139</v>
      </c>
      <c r="M557" t="s">
        <v>140</v>
      </c>
      <c r="N557" t="s">
        <v>1173</v>
      </c>
      <c r="O557">
        <v>10026025</v>
      </c>
      <c r="P557" s="108">
        <v>42907</v>
      </c>
      <c r="Q557" s="108">
        <v>42908</v>
      </c>
      <c r="R557" s="108">
        <v>42928</v>
      </c>
      <c r="S557" t="s">
        <v>153</v>
      </c>
      <c r="T557">
        <v>2</v>
      </c>
      <c r="U557" t="s">
        <v>123</v>
      </c>
      <c r="V557">
        <v>2</v>
      </c>
      <c r="W557">
        <v>2</v>
      </c>
      <c r="X557">
        <v>2</v>
      </c>
      <c r="Y557">
        <f>VLOOKUP(Table_clu7sql1_ssdb_REPORT_vw_IE_External_MI_SON[[#This Row],[URN]],[1]Data!$D$2:$BB$1084,31,)</f>
        <v>2</v>
      </c>
      <c r="Z557" t="s">
        <v>2596</v>
      </c>
      <c r="AA557" t="s">
        <v>2596</v>
      </c>
      <c r="AB557" t="s">
        <v>2598</v>
      </c>
      <c r="AC557" t="s">
        <v>2596</v>
      </c>
      <c r="AD557" t="s">
        <v>2596</v>
      </c>
      <c r="AE557" t="s">
        <v>2596</v>
      </c>
      <c r="AF557" t="s">
        <v>2596</v>
      </c>
      <c r="AG557" t="s">
        <v>2596</v>
      </c>
      <c r="AH557" t="s">
        <v>2596</v>
      </c>
    </row>
    <row r="558" spans="1:34" x14ac:dyDescent="0.25">
      <c r="A558" s="111" t="str">
        <f>HYPERLINK("http://www.ofsted.gov.uk/inspection-reports/find-inspection-report/provider/ELS/135208 ","Ofsted School Webpage")</f>
        <v>Ofsted School Webpage</v>
      </c>
      <c r="B558">
        <v>135208</v>
      </c>
      <c r="C558">
        <v>3306115</v>
      </c>
      <c r="D558" t="s">
        <v>1749</v>
      </c>
      <c r="E558" t="s">
        <v>37</v>
      </c>
      <c r="F558" t="s">
        <v>142</v>
      </c>
      <c r="G558" t="s">
        <v>142</v>
      </c>
      <c r="H558" t="s">
        <v>2595</v>
      </c>
      <c r="I558" t="s">
        <v>2596</v>
      </c>
      <c r="J558" t="s">
        <v>143</v>
      </c>
      <c r="K558" t="s">
        <v>150</v>
      </c>
      <c r="L558" t="s">
        <v>150</v>
      </c>
      <c r="M558" t="s">
        <v>167</v>
      </c>
      <c r="N558" t="s">
        <v>1750</v>
      </c>
      <c r="O558">
        <v>10033570</v>
      </c>
      <c r="P558" s="108">
        <v>42892</v>
      </c>
      <c r="Q558" s="108">
        <v>42894</v>
      </c>
      <c r="R558" s="108">
        <v>42916</v>
      </c>
      <c r="S558" t="s">
        <v>153</v>
      </c>
      <c r="T558">
        <v>3</v>
      </c>
      <c r="U558" t="s">
        <v>123</v>
      </c>
      <c r="V558">
        <v>3</v>
      </c>
      <c r="W558">
        <v>3</v>
      </c>
      <c r="X558">
        <v>3</v>
      </c>
      <c r="Y558">
        <f>VLOOKUP(Table_clu7sql1_ssdb_REPORT_vw_IE_External_MI_SON[[#This Row],[URN]],[1]Data!$D$2:$BB$1084,31,)</f>
        <v>3</v>
      </c>
      <c r="Z558" t="s">
        <v>2596</v>
      </c>
      <c r="AA558" t="s">
        <v>2596</v>
      </c>
      <c r="AB558" t="s">
        <v>2599</v>
      </c>
      <c r="AC558" t="s">
        <v>2596</v>
      </c>
      <c r="AD558" t="s">
        <v>2596</v>
      </c>
      <c r="AE558" t="s">
        <v>2596</v>
      </c>
      <c r="AF558" t="s">
        <v>2596</v>
      </c>
      <c r="AG558" t="s">
        <v>2596</v>
      </c>
      <c r="AH558" t="s">
        <v>2596</v>
      </c>
    </row>
    <row r="559" spans="1:34" x14ac:dyDescent="0.25">
      <c r="A559" s="111" t="str">
        <f>HYPERLINK("http://www.ofsted.gov.uk/inspection-reports/find-inspection-report/provider/ELS/135216 ","Ofsted School Webpage")</f>
        <v>Ofsted School Webpage</v>
      </c>
      <c r="B559">
        <v>135216</v>
      </c>
      <c r="C559">
        <v>3846348</v>
      </c>
      <c r="D559" t="s">
        <v>1042</v>
      </c>
      <c r="E559" t="s">
        <v>37</v>
      </c>
      <c r="F559" t="s">
        <v>142</v>
      </c>
      <c r="G559" t="s">
        <v>142</v>
      </c>
      <c r="H559" t="s">
        <v>2595</v>
      </c>
      <c r="I559" t="s">
        <v>2596</v>
      </c>
      <c r="J559" t="s">
        <v>143</v>
      </c>
      <c r="K559" t="s">
        <v>202</v>
      </c>
      <c r="L559" t="s">
        <v>203</v>
      </c>
      <c r="M559" t="s">
        <v>518</v>
      </c>
      <c r="N559" t="s">
        <v>1043</v>
      </c>
      <c r="O559">
        <v>10025959</v>
      </c>
      <c r="P559" s="108">
        <v>42787</v>
      </c>
      <c r="Q559" s="108">
        <v>42789</v>
      </c>
      <c r="R559" s="108">
        <v>42816</v>
      </c>
      <c r="S559" t="s">
        <v>153</v>
      </c>
      <c r="T559">
        <v>2</v>
      </c>
      <c r="U559" t="s">
        <v>123</v>
      </c>
      <c r="V559">
        <v>2</v>
      </c>
      <c r="W559">
        <v>2</v>
      </c>
      <c r="X559">
        <v>2</v>
      </c>
      <c r="Y559">
        <f>VLOOKUP(Table_clu7sql1_ssdb_REPORT_vw_IE_External_MI_SON[[#This Row],[URN]],[1]Data!$D$2:$BB$1084,31,)</f>
        <v>2</v>
      </c>
      <c r="Z559" t="s">
        <v>2596</v>
      </c>
      <c r="AA559">
        <v>2</v>
      </c>
      <c r="AB559" t="s">
        <v>2598</v>
      </c>
      <c r="AC559" t="s">
        <v>2596</v>
      </c>
      <c r="AD559" t="s">
        <v>2596</v>
      </c>
      <c r="AE559" t="s">
        <v>2596</v>
      </c>
      <c r="AF559" t="s">
        <v>2596</v>
      </c>
      <c r="AG559" t="s">
        <v>2596</v>
      </c>
      <c r="AH559" t="s">
        <v>2596</v>
      </c>
    </row>
    <row r="560" spans="1:34" x14ac:dyDescent="0.25">
      <c r="A560" s="111" t="str">
        <f>HYPERLINK("http://www.ofsted.gov.uk/inspection-reports/find-inspection-report/provider/ELS/135217 ","Ofsted School Webpage")</f>
        <v>Ofsted School Webpage</v>
      </c>
      <c r="B560">
        <v>135217</v>
      </c>
      <c r="C560">
        <v>8556026</v>
      </c>
      <c r="D560" t="s">
        <v>1795</v>
      </c>
      <c r="E560" t="s">
        <v>37</v>
      </c>
      <c r="F560" t="s">
        <v>142</v>
      </c>
      <c r="G560" t="s">
        <v>142</v>
      </c>
      <c r="H560" t="s">
        <v>2595</v>
      </c>
      <c r="I560" t="s">
        <v>2596</v>
      </c>
      <c r="J560" t="s">
        <v>143</v>
      </c>
      <c r="K560" t="s">
        <v>171</v>
      </c>
      <c r="L560" t="s">
        <v>171</v>
      </c>
      <c r="M560" t="s">
        <v>238</v>
      </c>
      <c r="N560" t="s">
        <v>1796</v>
      </c>
      <c r="O560">
        <v>10012936</v>
      </c>
      <c r="P560" s="108">
        <v>42500</v>
      </c>
      <c r="Q560" s="108">
        <v>42502</v>
      </c>
      <c r="R560" s="108">
        <v>42563</v>
      </c>
      <c r="S560" t="s">
        <v>153</v>
      </c>
      <c r="T560">
        <v>1</v>
      </c>
      <c r="U560" t="s">
        <v>123</v>
      </c>
      <c r="V560">
        <v>1</v>
      </c>
      <c r="W560">
        <v>1</v>
      </c>
      <c r="X560">
        <v>1</v>
      </c>
      <c r="Y560">
        <f>VLOOKUP(Table_clu7sql1_ssdb_REPORT_vw_IE_External_MI_SON[[#This Row],[URN]],[1]Data!$D$2:$BB$1084,31,)</f>
        <v>1</v>
      </c>
      <c r="Z560" t="s">
        <v>2596</v>
      </c>
      <c r="AA560">
        <v>1</v>
      </c>
      <c r="AB560" t="s">
        <v>2598</v>
      </c>
      <c r="AC560" t="s">
        <v>2596</v>
      </c>
      <c r="AD560" t="s">
        <v>2596</v>
      </c>
      <c r="AE560" s="108" t="s">
        <v>2596</v>
      </c>
      <c r="AF560" t="s">
        <v>2596</v>
      </c>
      <c r="AG560" s="108" t="s">
        <v>2596</v>
      </c>
      <c r="AH560" t="s">
        <v>2596</v>
      </c>
    </row>
    <row r="561" spans="1:34" x14ac:dyDescent="0.25">
      <c r="A561" s="111" t="str">
        <f>HYPERLINK("http://www.ofsted.gov.uk/inspection-reports/find-inspection-report/provider/ELS/135218 ","Ofsted School Webpage")</f>
        <v>Ofsted School Webpage</v>
      </c>
      <c r="B561">
        <v>135218</v>
      </c>
      <c r="C561">
        <v>8556025</v>
      </c>
      <c r="D561" t="s">
        <v>1768</v>
      </c>
      <c r="E561" t="s">
        <v>37</v>
      </c>
      <c r="F561" t="s">
        <v>142</v>
      </c>
      <c r="G561" t="s">
        <v>142</v>
      </c>
      <c r="H561" t="s">
        <v>2595</v>
      </c>
      <c r="I561" t="s">
        <v>2596</v>
      </c>
      <c r="J561" t="s">
        <v>143</v>
      </c>
      <c r="K561" t="s">
        <v>171</v>
      </c>
      <c r="L561" t="s">
        <v>171</v>
      </c>
      <c r="M561" t="s">
        <v>238</v>
      </c>
      <c r="N561" t="s">
        <v>1769</v>
      </c>
      <c r="O561">
        <v>10026050</v>
      </c>
      <c r="P561" s="108">
        <v>42926</v>
      </c>
      <c r="Q561" s="108">
        <v>42928</v>
      </c>
      <c r="R561" s="108">
        <v>42991</v>
      </c>
      <c r="S561" t="s">
        <v>153</v>
      </c>
      <c r="T561">
        <v>2</v>
      </c>
      <c r="U561" t="s">
        <v>123</v>
      </c>
      <c r="V561">
        <v>2</v>
      </c>
      <c r="W561">
        <v>2</v>
      </c>
      <c r="X561">
        <v>2</v>
      </c>
      <c r="Y561">
        <f>VLOOKUP(Table_clu7sql1_ssdb_REPORT_vw_IE_External_MI_SON[[#This Row],[URN]],[1]Data!$D$2:$BB$1084,31,)</f>
        <v>2</v>
      </c>
      <c r="Z561" t="s">
        <v>2596</v>
      </c>
      <c r="AA561" t="s">
        <v>2596</v>
      </c>
      <c r="AB561" t="s">
        <v>2598</v>
      </c>
      <c r="AC561" t="s">
        <v>2596</v>
      </c>
      <c r="AD561" t="s">
        <v>2596</v>
      </c>
      <c r="AE561" t="s">
        <v>2596</v>
      </c>
      <c r="AF561" t="s">
        <v>2596</v>
      </c>
      <c r="AG561" t="s">
        <v>2596</v>
      </c>
      <c r="AH561" t="s">
        <v>2596</v>
      </c>
    </row>
    <row r="562" spans="1:34" x14ac:dyDescent="0.25">
      <c r="A562" s="111" t="str">
        <f>HYPERLINK("http://www.ofsted.gov.uk/inspection-reports/find-inspection-report/provider/ELS/135219 ","Ofsted School Webpage")</f>
        <v>Ofsted School Webpage</v>
      </c>
      <c r="B562">
        <v>135219</v>
      </c>
      <c r="C562">
        <v>8886097</v>
      </c>
      <c r="D562" t="s">
        <v>1977</v>
      </c>
      <c r="E562" t="s">
        <v>36</v>
      </c>
      <c r="F562" t="s">
        <v>142</v>
      </c>
      <c r="G562" t="s">
        <v>180</v>
      </c>
      <c r="H562" t="s">
        <v>2595</v>
      </c>
      <c r="I562" t="s">
        <v>2596</v>
      </c>
      <c r="J562" t="s">
        <v>143</v>
      </c>
      <c r="K562" t="s">
        <v>162</v>
      </c>
      <c r="L562" t="s">
        <v>162</v>
      </c>
      <c r="M562" t="s">
        <v>163</v>
      </c>
      <c r="N562" t="s">
        <v>1978</v>
      </c>
      <c r="O562" t="s">
        <v>1979</v>
      </c>
      <c r="P562" s="108">
        <v>41723</v>
      </c>
      <c r="Q562" s="108">
        <v>41725</v>
      </c>
      <c r="R562" s="108">
        <v>41760</v>
      </c>
      <c r="S562" t="s">
        <v>153</v>
      </c>
      <c r="T562">
        <v>3</v>
      </c>
      <c r="U562" t="s">
        <v>2596</v>
      </c>
      <c r="V562">
        <v>3</v>
      </c>
      <c r="W562" t="s">
        <v>2596</v>
      </c>
      <c r="X562">
        <v>3</v>
      </c>
      <c r="Y562">
        <f>VLOOKUP(Table_clu7sql1_ssdb_REPORT_vw_IE_External_MI_SON[[#This Row],[URN]],[1]Data!$D$2:$BB$1084,31,)</f>
        <v>3</v>
      </c>
      <c r="Z562" t="s">
        <v>2596</v>
      </c>
      <c r="AA562" t="s">
        <v>2596</v>
      </c>
      <c r="AB562" t="s">
        <v>2886</v>
      </c>
      <c r="AC562" t="s">
        <v>2596</v>
      </c>
      <c r="AD562" t="s">
        <v>2596</v>
      </c>
      <c r="AE562" s="108" t="s">
        <v>2596</v>
      </c>
      <c r="AF562" t="s">
        <v>2596</v>
      </c>
      <c r="AG562" s="108" t="s">
        <v>2596</v>
      </c>
      <c r="AH562" t="s">
        <v>2596</v>
      </c>
    </row>
    <row r="563" spans="1:34" x14ac:dyDescent="0.25">
      <c r="A563" s="111" t="str">
        <f>HYPERLINK("http://www.ofsted.gov.uk/inspection-reports/find-inspection-report/provider/ELS/135238 ","Ofsted School Webpage")</f>
        <v>Ofsted School Webpage</v>
      </c>
      <c r="B563">
        <v>135238</v>
      </c>
      <c r="C563">
        <v>3306116</v>
      </c>
      <c r="D563" t="s">
        <v>2125</v>
      </c>
      <c r="E563" t="s">
        <v>36</v>
      </c>
      <c r="F563" t="s">
        <v>142</v>
      </c>
      <c r="G563" t="s">
        <v>142</v>
      </c>
      <c r="H563" t="s">
        <v>2595</v>
      </c>
      <c r="I563" t="s">
        <v>2596</v>
      </c>
      <c r="J563" t="s">
        <v>143</v>
      </c>
      <c r="K563" t="s">
        <v>150</v>
      </c>
      <c r="L563" t="s">
        <v>150</v>
      </c>
      <c r="M563" t="s">
        <v>167</v>
      </c>
      <c r="N563" t="s">
        <v>2126</v>
      </c>
      <c r="O563" t="s">
        <v>2127</v>
      </c>
      <c r="P563" s="108">
        <v>42067</v>
      </c>
      <c r="Q563" s="108">
        <v>42068</v>
      </c>
      <c r="R563" s="108">
        <v>42088</v>
      </c>
      <c r="S563" t="s">
        <v>153</v>
      </c>
      <c r="T563">
        <v>3</v>
      </c>
      <c r="U563" t="s">
        <v>2596</v>
      </c>
      <c r="V563">
        <v>3</v>
      </c>
      <c r="W563" t="s">
        <v>2596</v>
      </c>
      <c r="X563">
        <v>3</v>
      </c>
      <c r="Y563">
        <f>VLOOKUP(Table_clu7sql1_ssdb_REPORT_vw_IE_External_MI_SON[[#This Row],[URN]],[1]Data!$D$2:$BB$1084,31,)</f>
        <v>3</v>
      </c>
      <c r="Z563">
        <v>9</v>
      </c>
      <c r="AA563">
        <v>3</v>
      </c>
      <c r="AB563" t="s">
        <v>2599</v>
      </c>
      <c r="AC563">
        <v>10021966</v>
      </c>
      <c r="AD563" t="s">
        <v>144</v>
      </c>
      <c r="AE563" s="108">
        <v>42632</v>
      </c>
      <c r="AF563" t="s">
        <v>2634</v>
      </c>
      <c r="AG563" s="108">
        <v>42676</v>
      </c>
      <c r="AH563" t="s">
        <v>174</v>
      </c>
    </row>
    <row r="564" spans="1:34" x14ac:dyDescent="0.25">
      <c r="A564" s="111" t="str">
        <f>HYPERLINK("http://www.ofsted.gov.uk/inspection-reports/find-inspection-report/provider/ELS/135240 ","Ofsted School Webpage")</f>
        <v>Ofsted School Webpage</v>
      </c>
      <c r="B564">
        <v>135240</v>
      </c>
      <c r="C564">
        <v>8506088</v>
      </c>
      <c r="D564" t="s">
        <v>1926</v>
      </c>
      <c r="E564" t="s">
        <v>36</v>
      </c>
      <c r="F564" t="s">
        <v>142</v>
      </c>
      <c r="G564" t="s">
        <v>142</v>
      </c>
      <c r="H564" t="s">
        <v>2595</v>
      </c>
      <c r="I564" t="s">
        <v>2596</v>
      </c>
      <c r="J564" t="s">
        <v>143</v>
      </c>
      <c r="K564" t="s">
        <v>139</v>
      </c>
      <c r="L564" t="s">
        <v>139</v>
      </c>
      <c r="M564" t="s">
        <v>158</v>
      </c>
      <c r="N564" t="s">
        <v>1927</v>
      </c>
      <c r="O564">
        <v>10033952</v>
      </c>
      <c r="P564" s="108">
        <v>43123</v>
      </c>
      <c r="Q564" s="108">
        <v>43125</v>
      </c>
      <c r="R564" s="108">
        <v>43166</v>
      </c>
      <c r="S564" t="s">
        <v>153</v>
      </c>
      <c r="T564">
        <v>1</v>
      </c>
      <c r="U564" t="s">
        <v>123</v>
      </c>
      <c r="V564">
        <v>1</v>
      </c>
      <c r="W564">
        <v>1</v>
      </c>
      <c r="X564">
        <v>1</v>
      </c>
      <c r="Y564">
        <f>VLOOKUP(Table_clu7sql1_ssdb_REPORT_vw_IE_External_MI_SON[[#This Row],[URN]],[1]Data!$D$2:$BB$1084,31,)</f>
        <v>1</v>
      </c>
      <c r="Z564" t="s">
        <v>2596</v>
      </c>
      <c r="AA564">
        <v>1</v>
      </c>
      <c r="AB564" t="s">
        <v>2598</v>
      </c>
      <c r="AC564" t="s">
        <v>2596</v>
      </c>
      <c r="AD564" t="s">
        <v>2596</v>
      </c>
      <c r="AE564" s="108" t="s">
        <v>2596</v>
      </c>
      <c r="AF564" t="s">
        <v>2596</v>
      </c>
      <c r="AG564" s="108" t="s">
        <v>2596</v>
      </c>
      <c r="AH564" t="s">
        <v>2596</v>
      </c>
    </row>
    <row r="565" spans="1:34" x14ac:dyDescent="0.25">
      <c r="A565" s="111" t="str">
        <f>HYPERLINK("http://www.ofsted.gov.uk/inspection-reports/find-inspection-report/provider/ELS/135241 ","Ofsted School Webpage")</f>
        <v>Ofsted School Webpage</v>
      </c>
      <c r="B565">
        <v>135241</v>
      </c>
      <c r="C565">
        <v>8306035</v>
      </c>
      <c r="D565" t="s">
        <v>1503</v>
      </c>
      <c r="E565" t="s">
        <v>37</v>
      </c>
      <c r="F565" t="s">
        <v>142</v>
      </c>
      <c r="G565" t="s">
        <v>142</v>
      </c>
      <c r="H565" t="s">
        <v>2595</v>
      </c>
      <c r="I565" t="s">
        <v>2596</v>
      </c>
      <c r="J565" t="s">
        <v>143</v>
      </c>
      <c r="K565" t="s">
        <v>171</v>
      </c>
      <c r="L565" t="s">
        <v>171</v>
      </c>
      <c r="M565" t="s">
        <v>320</v>
      </c>
      <c r="N565" t="s">
        <v>1504</v>
      </c>
      <c r="O565">
        <v>10006017</v>
      </c>
      <c r="P565" s="108">
        <v>42332</v>
      </c>
      <c r="Q565" s="108">
        <v>42333</v>
      </c>
      <c r="R565" s="108">
        <v>42355</v>
      </c>
      <c r="S565" t="s">
        <v>153</v>
      </c>
      <c r="T565">
        <v>1</v>
      </c>
      <c r="U565" t="s">
        <v>123</v>
      </c>
      <c r="V565">
        <v>1</v>
      </c>
      <c r="W565">
        <v>1</v>
      </c>
      <c r="X565">
        <v>1</v>
      </c>
      <c r="Y565">
        <f>VLOOKUP(Table_clu7sql1_ssdb_REPORT_vw_IE_External_MI_SON[[#This Row],[URN]],[1]Data!$D$2:$BB$1084,31,)</f>
        <v>1</v>
      </c>
      <c r="Z565" t="s">
        <v>2596</v>
      </c>
      <c r="AA565" t="s">
        <v>2596</v>
      </c>
      <c r="AB565" t="s">
        <v>2598</v>
      </c>
      <c r="AC565" t="s">
        <v>2596</v>
      </c>
      <c r="AD565" t="s">
        <v>2596</v>
      </c>
      <c r="AE565" t="s">
        <v>2596</v>
      </c>
      <c r="AF565" t="s">
        <v>2596</v>
      </c>
      <c r="AG565" t="s">
        <v>2596</v>
      </c>
      <c r="AH565" t="s">
        <v>2596</v>
      </c>
    </row>
    <row r="566" spans="1:34" x14ac:dyDescent="0.25">
      <c r="A566" s="111" t="str">
        <f>HYPERLINK("http://www.ofsted.gov.uk/inspection-reports/find-inspection-report/provider/ELS/135247 ","Ofsted School Webpage")</f>
        <v>Ofsted School Webpage</v>
      </c>
      <c r="B566">
        <v>135247</v>
      </c>
      <c r="C566">
        <v>8136005</v>
      </c>
      <c r="D566" t="s">
        <v>961</v>
      </c>
      <c r="E566" t="s">
        <v>37</v>
      </c>
      <c r="F566" t="s">
        <v>142</v>
      </c>
      <c r="G566" t="s">
        <v>142</v>
      </c>
      <c r="H566" t="s">
        <v>2595</v>
      </c>
      <c r="I566" t="s">
        <v>2596</v>
      </c>
      <c r="J566" t="s">
        <v>143</v>
      </c>
      <c r="K566" t="s">
        <v>202</v>
      </c>
      <c r="L566" t="s">
        <v>203</v>
      </c>
      <c r="M566" t="s">
        <v>962</v>
      </c>
      <c r="N566" t="s">
        <v>963</v>
      </c>
      <c r="O566">
        <v>10020916</v>
      </c>
      <c r="P566" s="108">
        <v>42710</v>
      </c>
      <c r="Q566" s="108">
        <v>42712</v>
      </c>
      <c r="R566" s="108">
        <v>42767</v>
      </c>
      <c r="S566" t="s">
        <v>224</v>
      </c>
      <c r="T566">
        <v>2</v>
      </c>
      <c r="U566" t="s">
        <v>123</v>
      </c>
      <c r="V566">
        <v>2</v>
      </c>
      <c r="W566">
        <v>1</v>
      </c>
      <c r="X566">
        <v>2</v>
      </c>
      <c r="Y566">
        <f>VLOOKUP(Table_clu7sql1_ssdb_REPORT_vw_IE_External_MI_SON[[#This Row],[URN]],[1]Data!$D$2:$BB$1084,31,)</f>
        <v>2</v>
      </c>
      <c r="Z566" t="s">
        <v>2596</v>
      </c>
      <c r="AA566">
        <v>2</v>
      </c>
      <c r="AB566" t="s">
        <v>2598</v>
      </c>
      <c r="AC566" t="s">
        <v>2596</v>
      </c>
      <c r="AD566" t="s">
        <v>2596</v>
      </c>
      <c r="AE566" t="s">
        <v>2596</v>
      </c>
      <c r="AF566" t="s">
        <v>2596</v>
      </c>
      <c r="AG566" t="s">
        <v>2596</v>
      </c>
      <c r="AH566" t="s">
        <v>2596</v>
      </c>
    </row>
    <row r="567" spans="1:34" x14ac:dyDescent="0.25">
      <c r="A567" s="111" t="str">
        <f>HYPERLINK("http://www.ofsted.gov.uk/inspection-reports/find-inspection-report/provider/ELS/135252 ","Ofsted School Webpage")</f>
        <v>Ofsted School Webpage</v>
      </c>
      <c r="B567">
        <v>135252</v>
      </c>
      <c r="C567">
        <v>9356086</v>
      </c>
      <c r="D567" t="s">
        <v>1357</v>
      </c>
      <c r="E567" t="s">
        <v>37</v>
      </c>
      <c r="F567" t="s">
        <v>142</v>
      </c>
      <c r="G567" t="s">
        <v>142</v>
      </c>
      <c r="H567" t="s">
        <v>2595</v>
      </c>
      <c r="I567" t="s">
        <v>2596</v>
      </c>
      <c r="J567" t="s">
        <v>143</v>
      </c>
      <c r="K567" t="s">
        <v>177</v>
      </c>
      <c r="L567" t="s">
        <v>177</v>
      </c>
      <c r="M567" t="s">
        <v>254</v>
      </c>
      <c r="N567" t="s">
        <v>1358</v>
      </c>
      <c r="O567">
        <v>10030847</v>
      </c>
      <c r="P567" s="108">
        <v>42864</v>
      </c>
      <c r="Q567" s="108">
        <v>42866</v>
      </c>
      <c r="R567" s="108">
        <v>42907</v>
      </c>
      <c r="S567" t="s">
        <v>3005</v>
      </c>
      <c r="T567">
        <v>2</v>
      </c>
      <c r="U567" t="s">
        <v>123</v>
      </c>
      <c r="V567">
        <v>2</v>
      </c>
      <c r="W567">
        <v>1</v>
      </c>
      <c r="X567">
        <v>2</v>
      </c>
      <c r="Y567">
        <f>VLOOKUP(Table_clu7sql1_ssdb_REPORT_vw_IE_External_MI_SON[[#This Row],[URN]],[1]Data!$D$2:$BB$1084,31,)</f>
        <v>2</v>
      </c>
      <c r="Z567" t="s">
        <v>2596</v>
      </c>
      <c r="AA567">
        <v>2</v>
      </c>
      <c r="AB567" t="s">
        <v>2598</v>
      </c>
      <c r="AC567" t="s">
        <v>2596</v>
      </c>
      <c r="AD567" t="s">
        <v>2596</v>
      </c>
      <c r="AE567" t="s">
        <v>2596</v>
      </c>
      <c r="AF567" t="s">
        <v>2596</v>
      </c>
      <c r="AG567" t="s">
        <v>2596</v>
      </c>
      <c r="AH567" t="s">
        <v>2596</v>
      </c>
    </row>
    <row r="568" spans="1:34" x14ac:dyDescent="0.25">
      <c r="A568" s="111" t="str">
        <f>HYPERLINK("http://www.ofsted.gov.uk/inspection-reports/find-inspection-report/provider/ELS/135259 ","Ofsted School Webpage")</f>
        <v>Ofsted School Webpage</v>
      </c>
      <c r="B568">
        <v>135259</v>
      </c>
      <c r="C568">
        <v>9376105</v>
      </c>
      <c r="D568" t="s">
        <v>332</v>
      </c>
      <c r="E568" t="s">
        <v>37</v>
      </c>
      <c r="F568" t="s">
        <v>142</v>
      </c>
      <c r="G568" t="s">
        <v>142</v>
      </c>
      <c r="H568" t="s">
        <v>2595</v>
      </c>
      <c r="I568" t="s">
        <v>2596</v>
      </c>
      <c r="J568" t="s">
        <v>143</v>
      </c>
      <c r="K568" t="s">
        <v>150</v>
      </c>
      <c r="L568" t="s">
        <v>150</v>
      </c>
      <c r="M568" t="s">
        <v>333</v>
      </c>
      <c r="N568" t="s">
        <v>334</v>
      </c>
      <c r="O568">
        <v>10006087</v>
      </c>
      <c r="P568" s="108">
        <v>43011</v>
      </c>
      <c r="Q568" s="108">
        <v>43013</v>
      </c>
      <c r="R568" s="108">
        <v>43052</v>
      </c>
      <c r="S568" t="s">
        <v>153</v>
      </c>
      <c r="T568">
        <v>2</v>
      </c>
      <c r="U568" t="s">
        <v>123</v>
      </c>
      <c r="V568">
        <v>2</v>
      </c>
      <c r="W568">
        <v>1</v>
      </c>
      <c r="X568">
        <v>2</v>
      </c>
      <c r="Y568">
        <f>VLOOKUP(Table_clu7sql1_ssdb_REPORT_vw_IE_External_MI_SON[[#This Row],[URN]],[1]Data!$D$2:$BB$1084,31,)</f>
        <v>2</v>
      </c>
      <c r="Z568" t="s">
        <v>2596</v>
      </c>
      <c r="AA568">
        <v>2</v>
      </c>
      <c r="AB568" t="s">
        <v>2598</v>
      </c>
      <c r="AC568" t="s">
        <v>2596</v>
      </c>
      <c r="AD568" t="s">
        <v>2596</v>
      </c>
      <c r="AE568" t="s">
        <v>2596</v>
      </c>
      <c r="AF568" t="s">
        <v>2596</v>
      </c>
      <c r="AG568" t="s">
        <v>2596</v>
      </c>
      <c r="AH568" t="s">
        <v>2596</v>
      </c>
    </row>
    <row r="569" spans="1:34" x14ac:dyDescent="0.25">
      <c r="A569" s="111" t="str">
        <f>HYPERLINK("http://www.ofsted.gov.uk/inspection-reports/find-inspection-report/provider/ELS/135277 ","Ofsted School Webpage")</f>
        <v>Ofsted School Webpage</v>
      </c>
      <c r="B569">
        <v>135277</v>
      </c>
      <c r="C569">
        <v>2126411</v>
      </c>
      <c r="D569" t="s">
        <v>1654</v>
      </c>
      <c r="E569" t="s">
        <v>36</v>
      </c>
      <c r="F569" t="s">
        <v>142</v>
      </c>
      <c r="G569" t="s">
        <v>142</v>
      </c>
      <c r="H569" t="s">
        <v>2595</v>
      </c>
      <c r="I569" t="s">
        <v>2596</v>
      </c>
      <c r="J569" t="s">
        <v>143</v>
      </c>
      <c r="K569" t="s">
        <v>189</v>
      </c>
      <c r="L569" t="s">
        <v>189</v>
      </c>
      <c r="M569" t="s">
        <v>391</v>
      </c>
      <c r="N569" t="s">
        <v>1655</v>
      </c>
      <c r="O569" t="s">
        <v>1656</v>
      </c>
      <c r="P569" s="108">
        <v>42130</v>
      </c>
      <c r="Q569" s="108">
        <v>42132</v>
      </c>
      <c r="R569" s="108">
        <v>42185</v>
      </c>
      <c r="S569" t="s">
        <v>153</v>
      </c>
      <c r="T569">
        <v>1</v>
      </c>
      <c r="U569" t="s">
        <v>2596</v>
      </c>
      <c r="V569">
        <v>1</v>
      </c>
      <c r="W569" t="s">
        <v>2596</v>
      </c>
      <c r="X569">
        <v>1</v>
      </c>
      <c r="Y569">
        <f>VLOOKUP(Table_clu7sql1_ssdb_REPORT_vw_IE_External_MI_SON[[#This Row],[URN]],[1]Data!$D$2:$BB$1084,31,)</f>
        <v>1</v>
      </c>
      <c r="Z569">
        <v>1</v>
      </c>
      <c r="AA569">
        <v>9</v>
      </c>
      <c r="AB569" t="s">
        <v>2598</v>
      </c>
      <c r="AC569" t="s">
        <v>2596</v>
      </c>
      <c r="AD569" t="s">
        <v>2596</v>
      </c>
      <c r="AE569" t="s">
        <v>2596</v>
      </c>
      <c r="AF569" t="s">
        <v>2596</v>
      </c>
      <c r="AG569" t="s">
        <v>2596</v>
      </c>
      <c r="AH569" t="s">
        <v>2596</v>
      </c>
    </row>
    <row r="570" spans="1:34" x14ac:dyDescent="0.25">
      <c r="A570" s="111" t="str">
        <f>HYPERLINK("http://www.ofsted.gov.uk/inspection-reports/find-inspection-report/provider/ELS/135278 ","Ofsted School Webpage")</f>
        <v>Ofsted School Webpage</v>
      </c>
      <c r="B570">
        <v>135278</v>
      </c>
      <c r="C570">
        <v>9336215</v>
      </c>
      <c r="D570" t="s">
        <v>1548</v>
      </c>
      <c r="E570" t="s">
        <v>37</v>
      </c>
      <c r="F570" t="s">
        <v>142</v>
      </c>
      <c r="G570" t="s">
        <v>142</v>
      </c>
      <c r="H570" t="s">
        <v>2595</v>
      </c>
      <c r="I570" t="s">
        <v>2596</v>
      </c>
      <c r="J570" t="s">
        <v>143</v>
      </c>
      <c r="K570" t="s">
        <v>182</v>
      </c>
      <c r="L570" t="s">
        <v>182</v>
      </c>
      <c r="M570" t="s">
        <v>219</v>
      </c>
      <c r="N570" t="s">
        <v>1549</v>
      </c>
      <c r="O570">
        <v>10041376</v>
      </c>
      <c r="P570" s="108">
        <v>43116</v>
      </c>
      <c r="Q570" s="108">
        <v>43118</v>
      </c>
      <c r="R570" s="108">
        <v>43171</v>
      </c>
      <c r="S570" t="s">
        <v>3005</v>
      </c>
      <c r="T570">
        <v>4</v>
      </c>
      <c r="U570" t="s">
        <v>123</v>
      </c>
      <c r="V570">
        <v>4</v>
      </c>
      <c r="W570">
        <v>3</v>
      </c>
      <c r="X570">
        <v>4</v>
      </c>
      <c r="Y570">
        <f>VLOOKUP(Table_clu7sql1_ssdb_REPORT_vw_IE_External_MI_SON[[#This Row],[URN]],[1]Data!$D$2:$BB$1084,31,)</f>
        <v>4</v>
      </c>
      <c r="Z570" t="s">
        <v>2596</v>
      </c>
      <c r="AA570" t="s">
        <v>2596</v>
      </c>
      <c r="AB570" t="s">
        <v>2599</v>
      </c>
      <c r="AC570" t="s">
        <v>2596</v>
      </c>
      <c r="AD570" t="s">
        <v>2596</v>
      </c>
      <c r="AE570" t="s">
        <v>2596</v>
      </c>
      <c r="AF570" t="s">
        <v>2596</v>
      </c>
      <c r="AG570" t="s">
        <v>2596</v>
      </c>
      <c r="AH570" t="s">
        <v>2596</v>
      </c>
    </row>
    <row r="571" spans="1:34" x14ac:dyDescent="0.25">
      <c r="A571" s="111" t="str">
        <f>HYPERLINK("http://www.ofsted.gov.uk/inspection-reports/find-inspection-report/provider/ELS/135292 ","Ofsted School Webpage")</f>
        <v>Ofsted School Webpage</v>
      </c>
      <c r="B571">
        <v>135292</v>
      </c>
      <c r="C571">
        <v>8886098</v>
      </c>
      <c r="D571" t="s">
        <v>1233</v>
      </c>
      <c r="E571" t="s">
        <v>37</v>
      </c>
      <c r="F571" t="s">
        <v>142</v>
      </c>
      <c r="G571" t="s">
        <v>1220</v>
      </c>
      <c r="H571" t="s">
        <v>2595</v>
      </c>
      <c r="I571" t="s">
        <v>2596</v>
      </c>
      <c r="J571" t="s">
        <v>143</v>
      </c>
      <c r="K571" t="s">
        <v>162</v>
      </c>
      <c r="L571" t="s">
        <v>162</v>
      </c>
      <c r="M571" t="s">
        <v>163</v>
      </c>
      <c r="N571" t="s">
        <v>1234</v>
      </c>
      <c r="O571">
        <v>10038844</v>
      </c>
      <c r="P571" s="108">
        <v>43109</v>
      </c>
      <c r="Q571" s="108">
        <v>43110</v>
      </c>
      <c r="R571" s="108">
        <v>43130</v>
      </c>
      <c r="S571" t="s">
        <v>153</v>
      </c>
      <c r="T571">
        <v>2</v>
      </c>
      <c r="U571" t="s">
        <v>123</v>
      </c>
      <c r="V571">
        <v>2</v>
      </c>
      <c r="W571">
        <v>1</v>
      </c>
      <c r="X571">
        <v>2</v>
      </c>
      <c r="Y571">
        <f>VLOOKUP(Table_clu7sql1_ssdb_REPORT_vw_IE_External_MI_SON[[#This Row],[URN]],[1]Data!$D$2:$BB$1084,31,)</f>
        <v>2</v>
      </c>
      <c r="Z571" t="s">
        <v>2596</v>
      </c>
      <c r="AA571" t="s">
        <v>2596</v>
      </c>
      <c r="AB571" t="s">
        <v>2598</v>
      </c>
      <c r="AC571" t="s">
        <v>2596</v>
      </c>
      <c r="AD571" t="s">
        <v>2596</v>
      </c>
      <c r="AE571" t="s">
        <v>2596</v>
      </c>
      <c r="AF571" t="s">
        <v>2596</v>
      </c>
      <c r="AG571" t="s">
        <v>2596</v>
      </c>
      <c r="AH571" t="s">
        <v>2596</v>
      </c>
    </row>
    <row r="572" spans="1:34" x14ac:dyDescent="0.25">
      <c r="A572" s="111" t="str">
        <f>HYPERLINK("http://www.ofsted.gov.uk/inspection-reports/find-inspection-report/provider/ELS/135303 ","Ofsted School Webpage")</f>
        <v>Ofsted School Webpage</v>
      </c>
      <c r="B572">
        <v>135303</v>
      </c>
      <c r="C572">
        <v>8886099</v>
      </c>
      <c r="D572" t="s">
        <v>1305</v>
      </c>
      <c r="E572" t="s">
        <v>37</v>
      </c>
      <c r="F572" t="s">
        <v>142</v>
      </c>
      <c r="G572" t="s">
        <v>142</v>
      </c>
      <c r="H572" t="s">
        <v>2595</v>
      </c>
      <c r="I572" t="s">
        <v>2596</v>
      </c>
      <c r="J572" t="s">
        <v>143</v>
      </c>
      <c r="K572" t="s">
        <v>162</v>
      </c>
      <c r="L572" t="s">
        <v>162</v>
      </c>
      <c r="M572" t="s">
        <v>163</v>
      </c>
      <c r="N572" t="s">
        <v>1306</v>
      </c>
      <c r="O572">
        <v>10038928</v>
      </c>
      <c r="P572" s="108">
        <v>43075</v>
      </c>
      <c r="Q572" s="108">
        <v>43076</v>
      </c>
      <c r="R572" s="108">
        <v>43126</v>
      </c>
      <c r="S572" t="s">
        <v>3005</v>
      </c>
      <c r="T572">
        <v>3</v>
      </c>
      <c r="U572" t="s">
        <v>123</v>
      </c>
      <c r="V572">
        <v>3</v>
      </c>
      <c r="W572">
        <v>2</v>
      </c>
      <c r="X572">
        <v>2</v>
      </c>
      <c r="Y572">
        <f>VLOOKUP(Table_clu7sql1_ssdb_REPORT_vw_IE_External_MI_SON[[#This Row],[URN]],[1]Data!$D$2:$BB$1084,31,)</f>
        <v>2</v>
      </c>
      <c r="Z572" t="s">
        <v>2596</v>
      </c>
      <c r="AA572" t="s">
        <v>2596</v>
      </c>
      <c r="AB572" t="s">
        <v>2599</v>
      </c>
      <c r="AC572" t="s">
        <v>2596</v>
      </c>
      <c r="AD572" t="s">
        <v>2596</v>
      </c>
      <c r="AE572" s="108" t="s">
        <v>2596</v>
      </c>
      <c r="AF572" t="s">
        <v>2596</v>
      </c>
      <c r="AG572" s="108" t="s">
        <v>2596</v>
      </c>
      <c r="AH572" t="s">
        <v>2596</v>
      </c>
    </row>
    <row r="573" spans="1:34" x14ac:dyDescent="0.25">
      <c r="A573" s="111" t="str">
        <f>HYPERLINK("http://www.ofsted.gov.uk/inspection-reports/find-inspection-report/provider/ELS/135334 ","Ofsted School Webpage")</f>
        <v>Ofsted School Webpage</v>
      </c>
      <c r="B573">
        <v>135334</v>
      </c>
      <c r="C573">
        <v>3106083</v>
      </c>
      <c r="D573" t="s">
        <v>2240</v>
      </c>
      <c r="E573" t="s">
        <v>36</v>
      </c>
      <c r="F573" t="s">
        <v>142</v>
      </c>
      <c r="G573" t="s">
        <v>142</v>
      </c>
      <c r="H573" t="s">
        <v>2595</v>
      </c>
      <c r="I573" t="s">
        <v>2596</v>
      </c>
      <c r="J573" t="s">
        <v>143</v>
      </c>
      <c r="K573" t="s">
        <v>189</v>
      </c>
      <c r="L573" t="s">
        <v>189</v>
      </c>
      <c r="M573" t="s">
        <v>1582</v>
      </c>
      <c r="N573" t="s">
        <v>2241</v>
      </c>
      <c r="O573" t="s">
        <v>2242</v>
      </c>
      <c r="P573" s="108">
        <v>42081</v>
      </c>
      <c r="Q573" s="108">
        <v>42083</v>
      </c>
      <c r="R573" s="108">
        <v>42121</v>
      </c>
      <c r="S573" t="s">
        <v>153</v>
      </c>
      <c r="T573">
        <v>2</v>
      </c>
      <c r="U573" t="s">
        <v>2596</v>
      </c>
      <c r="V573">
        <v>2</v>
      </c>
      <c r="W573" t="s">
        <v>2596</v>
      </c>
      <c r="X573">
        <v>2</v>
      </c>
      <c r="Y573">
        <f>VLOOKUP(Table_clu7sql1_ssdb_REPORT_vw_IE_External_MI_SON[[#This Row],[URN]],[1]Data!$D$2:$BB$1084,31,)</f>
        <v>2</v>
      </c>
      <c r="Z573">
        <v>9</v>
      </c>
      <c r="AA573">
        <v>2</v>
      </c>
      <c r="AB573" t="s">
        <v>2598</v>
      </c>
      <c r="AC573" t="s">
        <v>2596</v>
      </c>
      <c r="AD573" t="s">
        <v>2596</v>
      </c>
      <c r="AE573" s="108" t="s">
        <v>2596</v>
      </c>
      <c r="AF573" t="s">
        <v>2596</v>
      </c>
      <c r="AG573" s="108" t="s">
        <v>2596</v>
      </c>
      <c r="AH573" t="s">
        <v>2596</v>
      </c>
    </row>
    <row r="574" spans="1:34" x14ac:dyDescent="0.25">
      <c r="A574" s="111" t="str">
        <f>HYPERLINK("http://www.ofsted.gov.uk/inspection-reports/find-inspection-report/provider/ELS/135366 ","Ofsted School Webpage")</f>
        <v>Ofsted School Webpage</v>
      </c>
      <c r="B574">
        <v>135366</v>
      </c>
      <c r="C574">
        <v>8916031</v>
      </c>
      <c r="D574" t="s">
        <v>1844</v>
      </c>
      <c r="E574" t="s">
        <v>36</v>
      </c>
      <c r="F574" t="s">
        <v>142</v>
      </c>
      <c r="G574" t="s">
        <v>142</v>
      </c>
      <c r="H574" t="s">
        <v>2595</v>
      </c>
      <c r="I574" t="s">
        <v>2596</v>
      </c>
      <c r="J574" t="s">
        <v>143</v>
      </c>
      <c r="K574" t="s">
        <v>171</v>
      </c>
      <c r="L574" t="s">
        <v>171</v>
      </c>
      <c r="M574" t="s">
        <v>277</v>
      </c>
      <c r="N574" t="s">
        <v>2872</v>
      </c>
      <c r="O574">
        <v>10020945</v>
      </c>
      <c r="P574" s="108">
        <v>42808</v>
      </c>
      <c r="Q574" s="108">
        <v>42810</v>
      </c>
      <c r="R574" s="108">
        <v>42852</v>
      </c>
      <c r="S574" t="s">
        <v>153</v>
      </c>
      <c r="T574">
        <v>2</v>
      </c>
      <c r="U574" t="s">
        <v>123</v>
      </c>
      <c r="V574">
        <v>2</v>
      </c>
      <c r="W574">
        <v>1</v>
      </c>
      <c r="X574">
        <v>2</v>
      </c>
      <c r="Y574">
        <f>VLOOKUP(Table_clu7sql1_ssdb_REPORT_vw_IE_External_MI_SON[[#This Row],[URN]],[1]Data!$D$2:$BB$1084,31,)</f>
        <v>2</v>
      </c>
      <c r="Z574">
        <v>2</v>
      </c>
      <c r="AA574" t="s">
        <v>2596</v>
      </c>
      <c r="AB574" t="s">
        <v>2598</v>
      </c>
      <c r="AC574" t="s">
        <v>2596</v>
      </c>
      <c r="AD574" t="s">
        <v>2596</v>
      </c>
      <c r="AE574" t="s">
        <v>2596</v>
      </c>
      <c r="AF574" t="s">
        <v>2596</v>
      </c>
      <c r="AG574" t="s">
        <v>2596</v>
      </c>
      <c r="AH574" t="s">
        <v>2596</v>
      </c>
    </row>
    <row r="575" spans="1:34" x14ac:dyDescent="0.25">
      <c r="A575" s="111" t="str">
        <f>HYPERLINK("http://www.ofsted.gov.uk/inspection-reports/find-inspection-report/provider/ELS/135373 ","Ofsted School Webpage")</f>
        <v>Ofsted School Webpage</v>
      </c>
      <c r="B575">
        <v>135373</v>
      </c>
      <c r="C575">
        <v>3046121</v>
      </c>
      <c r="D575" t="s">
        <v>1228</v>
      </c>
      <c r="E575" t="s">
        <v>37</v>
      </c>
      <c r="F575" t="s">
        <v>142</v>
      </c>
      <c r="G575" t="s">
        <v>142</v>
      </c>
      <c r="H575" t="s">
        <v>2595</v>
      </c>
      <c r="I575" t="s">
        <v>2596</v>
      </c>
      <c r="J575" t="s">
        <v>143</v>
      </c>
      <c r="K575" t="s">
        <v>189</v>
      </c>
      <c r="L575" t="s">
        <v>189</v>
      </c>
      <c r="M575" t="s">
        <v>702</v>
      </c>
      <c r="N575" t="s">
        <v>1229</v>
      </c>
      <c r="O575">
        <v>10041399</v>
      </c>
      <c r="P575" s="108">
        <v>43137</v>
      </c>
      <c r="Q575" s="108">
        <v>43139</v>
      </c>
      <c r="R575" s="108">
        <v>43166</v>
      </c>
      <c r="S575" t="s">
        <v>153</v>
      </c>
      <c r="T575">
        <v>2</v>
      </c>
      <c r="U575" t="s">
        <v>123</v>
      </c>
      <c r="V575">
        <v>2</v>
      </c>
      <c r="W575">
        <v>1</v>
      </c>
      <c r="X575">
        <v>1</v>
      </c>
      <c r="Y575">
        <f>VLOOKUP(Table_clu7sql1_ssdb_REPORT_vw_IE_External_MI_SON[[#This Row],[URN]],[1]Data!$D$2:$BB$1084,31,)</f>
        <v>1</v>
      </c>
      <c r="Z575" t="s">
        <v>2596</v>
      </c>
      <c r="AA575" t="s">
        <v>2596</v>
      </c>
      <c r="AB575" t="s">
        <v>2598</v>
      </c>
      <c r="AC575" t="s">
        <v>2596</v>
      </c>
      <c r="AD575" t="s">
        <v>2596</v>
      </c>
      <c r="AE575" t="s">
        <v>2596</v>
      </c>
      <c r="AF575" t="s">
        <v>2596</v>
      </c>
      <c r="AG575" t="s">
        <v>2596</v>
      </c>
      <c r="AH575" t="s">
        <v>2596</v>
      </c>
    </row>
    <row r="576" spans="1:34" x14ac:dyDescent="0.25">
      <c r="A576" s="111" t="str">
        <f>HYPERLINK("http://www.ofsted.gov.uk/inspection-reports/find-inspection-report/provider/ELS/135376 ","Ofsted School Webpage")</f>
        <v>Ofsted School Webpage</v>
      </c>
      <c r="B576">
        <v>135376</v>
      </c>
      <c r="C576">
        <v>3706005</v>
      </c>
      <c r="D576" t="s">
        <v>520</v>
      </c>
      <c r="E576" t="s">
        <v>37</v>
      </c>
      <c r="F576" t="s">
        <v>142</v>
      </c>
      <c r="G576" t="s">
        <v>142</v>
      </c>
      <c r="H576" t="s">
        <v>2595</v>
      </c>
      <c r="I576" t="s">
        <v>2596</v>
      </c>
      <c r="J576" t="s">
        <v>143</v>
      </c>
      <c r="K576" t="s">
        <v>202</v>
      </c>
      <c r="L576" t="s">
        <v>203</v>
      </c>
      <c r="M576" t="s">
        <v>521</v>
      </c>
      <c r="N576" t="s">
        <v>522</v>
      </c>
      <c r="O576">
        <v>10043655</v>
      </c>
      <c r="P576" s="108">
        <v>43137</v>
      </c>
      <c r="Q576" s="108">
        <v>43138</v>
      </c>
      <c r="R576" s="108">
        <v>43168</v>
      </c>
      <c r="S576" t="s">
        <v>153</v>
      </c>
      <c r="T576">
        <v>3</v>
      </c>
      <c r="U576" t="s">
        <v>123</v>
      </c>
      <c r="V576">
        <v>3</v>
      </c>
      <c r="W576">
        <v>3</v>
      </c>
      <c r="X576">
        <v>2</v>
      </c>
      <c r="Y576">
        <f>VLOOKUP(Table_clu7sql1_ssdb_REPORT_vw_IE_External_MI_SON[[#This Row],[URN]],[1]Data!$D$2:$BB$1084,31,)</f>
        <v>2</v>
      </c>
      <c r="Z576" t="s">
        <v>2596</v>
      </c>
      <c r="AA576" t="s">
        <v>2596</v>
      </c>
      <c r="AB576" t="s">
        <v>2599</v>
      </c>
      <c r="AC576" t="s">
        <v>2596</v>
      </c>
      <c r="AD576" t="s">
        <v>2596</v>
      </c>
      <c r="AE576" s="108" t="s">
        <v>2596</v>
      </c>
      <c r="AF576" t="s">
        <v>2596</v>
      </c>
      <c r="AG576" s="108" t="s">
        <v>2596</v>
      </c>
      <c r="AH576" t="s">
        <v>2596</v>
      </c>
    </row>
    <row r="577" spans="1:34" x14ac:dyDescent="0.25">
      <c r="A577" s="111" t="str">
        <f>HYPERLINK("http://www.ofsted.gov.uk/inspection-reports/find-inspection-report/provider/ELS/135380 ","Ofsted School Webpage")</f>
        <v>Ofsted School Webpage</v>
      </c>
      <c r="B577">
        <v>135380</v>
      </c>
      <c r="C577">
        <v>8736044</v>
      </c>
      <c r="D577" t="s">
        <v>1058</v>
      </c>
      <c r="E577" t="s">
        <v>37</v>
      </c>
      <c r="F577" t="s">
        <v>142</v>
      </c>
      <c r="G577" t="s">
        <v>142</v>
      </c>
      <c r="H577" t="s">
        <v>2595</v>
      </c>
      <c r="I577" t="s">
        <v>2596</v>
      </c>
      <c r="J577" t="s">
        <v>143</v>
      </c>
      <c r="K577" t="s">
        <v>177</v>
      </c>
      <c r="L577" t="s">
        <v>177</v>
      </c>
      <c r="M577" t="s">
        <v>241</v>
      </c>
      <c r="N577" t="s">
        <v>1059</v>
      </c>
      <c r="O577" t="s">
        <v>1060</v>
      </c>
      <c r="P577" s="108">
        <v>42115</v>
      </c>
      <c r="Q577" s="108">
        <v>42117</v>
      </c>
      <c r="R577" s="108">
        <v>42158</v>
      </c>
      <c r="S577" t="s">
        <v>153</v>
      </c>
      <c r="T577">
        <v>2</v>
      </c>
      <c r="U577" t="s">
        <v>2596</v>
      </c>
      <c r="V577">
        <v>2</v>
      </c>
      <c r="W577" t="s">
        <v>2596</v>
      </c>
      <c r="X577">
        <v>2</v>
      </c>
      <c r="Y577">
        <f>VLOOKUP(Table_clu7sql1_ssdb_REPORT_vw_IE_External_MI_SON[[#This Row],[URN]],[1]Data!$D$2:$BB$1084,31,)</f>
        <v>2</v>
      </c>
      <c r="Z577">
        <v>9</v>
      </c>
      <c r="AA577">
        <v>9</v>
      </c>
      <c r="AB577" t="s">
        <v>2598</v>
      </c>
      <c r="AC577" t="s">
        <v>2596</v>
      </c>
      <c r="AD577" t="s">
        <v>2596</v>
      </c>
      <c r="AE577" s="108" t="s">
        <v>2596</v>
      </c>
      <c r="AF577" t="s">
        <v>2596</v>
      </c>
      <c r="AG577" s="108" t="s">
        <v>2596</v>
      </c>
      <c r="AH577" t="s">
        <v>2596</v>
      </c>
    </row>
    <row r="578" spans="1:34" x14ac:dyDescent="0.25">
      <c r="A578" s="111" t="str">
        <f>HYPERLINK("http://www.ofsted.gov.uk/inspection-reports/find-inspection-report/provider/ELS/135390 ","Ofsted School Webpage")</f>
        <v>Ofsted School Webpage</v>
      </c>
      <c r="B578">
        <v>135390</v>
      </c>
      <c r="C578">
        <v>8566020</v>
      </c>
      <c r="D578" t="s">
        <v>1554</v>
      </c>
      <c r="E578" t="s">
        <v>36</v>
      </c>
      <c r="F578" t="s">
        <v>142</v>
      </c>
      <c r="G578" t="s">
        <v>180</v>
      </c>
      <c r="H578" t="s">
        <v>2595</v>
      </c>
      <c r="I578" t="s">
        <v>2596</v>
      </c>
      <c r="J578" t="s">
        <v>143</v>
      </c>
      <c r="K578" t="s">
        <v>171</v>
      </c>
      <c r="L578" t="s">
        <v>171</v>
      </c>
      <c r="M578" t="s">
        <v>287</v>
      </c>
      <c r="N578" t="s">
        <v>1555</v>
      </c>
      <c r="O578">
        <v>10007686</v>
      </c>
      <c r="P578" s="108">
        <v>42402</v>
      </c>
      <c r="Q578" s="108">
        <v>42404</v>
      </c>
      <c r="R578" s="108">
        <v>42431</v>
      </c>
      <c r="S578" t="s">
        <v>153</v>
      </c>
      <c r="T578">
        <v>2</v>
      </c>
      <c r="U578" t="s">
        <v>123</v>
      </c>
      <c r="V578">
        <v>2</v>
      </c>
      <c r="W578">
        <v>1</v>
      </c>
      <c r="X578">
        <v>2</v>
      </c>
      <c r="Y578">
        <f>VLOOKUP(Table_clu7sql1_ssdb_REPORT_vw_IE_External_MI_SON[[#This Row],[URN]],[1]Data!$D$2:$BB$1084,31,)</f>
        <v>2</v>
      </c>
      <c r="Z578" t="s">
        <v>2596</v>
      </c>
      <c r="AA578" t="s">
        <v>2596</v>
      </c>
      <c r="AB578" t="s">
        <v>2598</v>
      </c>
      <c r="AC578" t="s">
        <v>2596</v>
      </c>
      <c r="AD578" t="s">
        <v>2596</v>
      </c>
      <c r="AE578" t="s">
        <v>2596</v>
      </c>
      <c r="AF578" t="s">
        <v>2596</v>
      </c>
      <c r="AG578" t="s">
        <v>2596</v>
      </c>
      <c r="AH578" t="s">
        <v>2596</v>
      </c>
    </row>
    <row r="579" spans="1:34" x14ac:dyDescent="0.25">
      <c r="A579" s="111" t="str">
        <f>HYPERLINK("http://www.ofsted.gov.uk/inspection-reports/find-inspection-report/provider/ELS/135393 ","Ofsted School Webpage")</f>
        <v>Ofsted School Webpage</v>
      </c>
      <c r="B579">
        <v>135393</v>
      </c>
      <c r="C579">
        <v>8916032</v>
      </c>
      <c r="D579" t="s">
        <v>479</v>
      </c>
      <c r="E579" t="s">
        <v>37</v>
      </c>
      <c r="F579" t="s">
        <v>142</v>
      </c>
      <c r="G579" t="s">
        <v>142</v>
      </c>
      <c r="H579" t="s">
        <v>2595</v>
      </c>
      <c r="I579" t="s">
        <v>2596</v>
      </c>
      <c r="J579" t="s">
        <v>143</v>
      </c>
      <c r="K579" t="s">
        <v>171</v>
      </c>
      <c r="L579" t="s">
        <v>171</v>
      </c>
      <c r="M579" t="s">
        <v>277</v>
      </c>
      <c r="N579" t="s">
        <v>1037</v>
      </c>
      <c r="O579">
        <v>10026051</v>
      </c>
      <c r="P579" s="108">
        <v>42850</v>
      </c>
      <c r="Q579" s="108">
        <v>42852</v>
      </c>
      <c r="R579" s="108">
        <v>42872</v>
      </c>
      <c r="S579" t="s">
        <v>153</v>
      </c>
      <c r="T579">
        <v>2</v>
      </c>
      <c r="U579" t="s">
        <v>123</v>
      </c>
      <c r="V579">
        <v>2</v>
      </c>
      <c r="W579">
        <v>1</v>
      </c>
      <c r="X579">
        <v>2</v>
      </c>
      <c r="Y579">
        <f>VLOOKUP(Table_clu7sql1_ssdb_REPORT_vw_IE_External_MI_SON[[#This Row],[URN]],[1]Data!$D$2:$BB$1084,31,)</f>
        <v>2</v>
      </c>
      <c r="Z579" t="s">
        <v>2596</v>
      </c>
      <c r="AA579">
        <v>2</v>
      </c>
      <c r="AB579" t="s">
        <v>2598</v>
      </c>
      <c r="AC579" t="s">
        <v>2596</v>
      </c>
      <c r="AD579" t="s">
        <v>2596</v>
      </c>
      <c r="AE579" t="s">
        <v>2596</v>
      </c>
      <c r="AF579" t="s">
        <v>2596</v>
      </c>
      <c r="AG579" t="s">
        <v>2596</v>
      </c>
      <c r="AH579" t="s">
        <v>2596</v>
      </c>
    </row>
    <row r="580" spans="1:34" x14ac:dyDescent="0.25">
      <c r="A580" s="111" t="str">
        <f>HYPERLINK("http://www.ofsted.gov.uk/inspection-reports/find-inspection-report/provider/ELS/135405 ","Ofsted School Webpage")</f>
        <v>Ofsted School Webpage</v>
      </c>
      <c r="B580">
        <v>135405</v>
      </c>
      <c r="C580">
        <v>9086096</v>
      </c>
      <c r="D580" t="s">
        <v>1489</v>
      </c>
      <c r="E580" t="s">
        <v>37</v>
      </c>
      <c r="F580" t="s">
        <v>142</v>
      </c>
      <c r="G580" t="s">
        <v>142</v>
      </c>
      <c r="H580" t="s">
        <v>2595</v>
      </c>
      <c r="I580" t="s">
        <v>2596</v>
      </c>
      <c r="J580" t="s">
        <v>143</v>
      </c>
      <c r="K580" t="s">
        <v>182</v>
      </c>
      <c r="L580" t="s">
        <v>182</v>
      </c>
      <c r="M580" t="s">
        <v>992</v>
      </c>
      <c r="N580" t="s">
        <v>1490</v>
      </c>
      <c r="O580" t="s">
        <v>1491</v>
      </c>
      <c r="P580" s="108">
        <v>42074</v>
      </c>
      <c r="Q580" s="108">
        <v>42076</v>
      </c>
      <c r="R580" s="108">
        <v>42138</v>
      </c>
      <c r="S580" t="s">
        <v>153</v>
      </c>
      <c r="T580">
        <v>2</v>
      </c>
      <c r="U580" t="s">
        <v>2596</v>
      </c>
      <c r="V580">
        <v>2</v>
      </c>
      <c r="W580" t="s">
        <v>2596</v>
      </c>
      <c r="X580">
        <v>2</v>
      </c>
      <c r="Y580">
        <f>VLOOKUP(Table_clu7sql1_ssdb_REPORT_vw_IE_External_MI_SON[[#This Row],[URN]],[1]Data!$D$2:$BB$1084,31,)</f>
        <v>2</v>
      </c>
      <c r="Z580">
        <v>9</v>
      </c>
      <c r="AA580">
        <v>9</v>
      </c>
      <c r="AB580" t="s">
        <v>2599</v>
      </c>
      <c r="AC580" t="s">
        <v>2596</v>
      </c>
      <c r="AD580" t="s">
        <v>2596</v>
      </c>
      <c r="AE580" t="s">
        <v>2596</v>
      </c>
      <c r="AF580" t="s">
        <v>2596</v>
      </c>
      <c r="AG580" t="s">
        <v>2596</v>
      </c>
      <c r="AH580" t="s">
        <v>2596</v>
      </c>
    </row>
    <row r="581" spans="1:34" x14ac:dyDescent="0.25">
      <c r="A581" s="111" t="str">
        <f>HYPERLINK("http://www.ofsted.gov.uk/inspection-reports/find-inspection-report/provider/ELS/135406 ","Ofsted School Webpage")</f>
        <v>Ofsted School Webpage</v>
      </c>
      <c r="B581">
        <v>135406</v>
      </c>
      <c r="C581">
        <v>3306120</v>
      </c>
      <c r="D581" t="s">
        <v>1521</v>
      </c>
      <c r="E581" t="s">
        <v>36</v>
      </c>
      <c r="F581" t="s">
        <v>142</v>
      </c>
      <c r="G581" t="s">
        <v>142</v>
      </c>
      <c r="H581" t="s">
        <v>2595</v>
      </c>
      <c r="I581" t="s">
        <v>2596</v>
      </c>
      <c r="J581" t="s">
        <v>143</v>
      </c>
      <c r="K581" t="s">
        <v>150</v>
      </c>
      <c r="L581" t="s">
        <v>150</v>
      </c>
      <c r="M581" t="s">
        <v>167</v>
      </c>
      <c r="N581" t="s">
        <v>1522</v>
      </c>
      <c r="O581">
        <v>10020748</v>
      </c>
      <c r="P581" s="108">
        <v>43025</v>
      </c>
      <c r="Q581" s="108">
        <v>43027</v>
      </c>
      <c r="R581" s="108">
        <v>43070</v>
      </c>
      <c r="S581" t="s">
        <v>153</v>
      </c>
      <c r="T581">
        <v>4</v>
      </c>
      <c r="U581" t="s">
        <v>124</v>
      </c>
      <c r="V581">
        <v>4</v>
      </c>
      <c r="W581">
        <v>4</v>
      </c>
      <c r="X581">
        <v>4</v>
      </c>
      <c r="Y581">
        <f>VLOOKUP(Table_clu7sql1_ssdb_REPORT_vw_IE_External_MI_SON[[#This Row],[URN]],[1]Data!$D$2:$BB$1084,31,)</f>
        <v>3</v>
      </c>
      <c r="Z581" t="s">
        <v>2596</v>
      </c>
      <c r="AA581" t="s">
        <v>2596</v>
      </c>
      <c r="AB581" t="s">
        <v>2599</v>
      </c>
      <c r="AC581" t="s">
        <v>2596</v>
      </c>
      <c r="AD581" t="s">
        <v>2596</v>
      </c>
      <c r="AE581" s="108" t="s">
        <v>2596</v>
      </c>
      <c r="AF581" t="s">
        <v>2596</v>
      </c>
      <c r="AG581" s="108" t="s">
        <v>2596</v>
      </c>
      <c r="AH581" t="s">
        <v>2596</v>
      </c>
    </row>
    <row r="582" spans="1:34" x14ac:dyDescent="0.25">
      <c r="A582" s="111" t="str">
        <f>HYPERLINK("http://www.ofsted.gov.uk/inspection-reports/find-inspection-report/provider/ELS/135407 ","Ofsted School Webpage")</f>
        <v>Ofsted School Webpage</v>
      </c>
      <c r="B582">
        <v>135407</v>
      </c>
      <c r="C582">
        <v>9366590</v>
      </c>
      <c r="D582" t="s">
        <v>1055</v>
      </c>
      <c r="E582" t="s">
        <v>37</v>
      </c>
      <c r="F582" t="s">
        <v>142</v>
      </c>
      <c r="G582" t="s">
        <v>142</v>
      </c>
      <c r="H582" t="s">
        <v>2595</v>
      </c>
      <c r="I582" t="s">
        <v>2596</v>
      </c>
      <c r="J582" t="s">
        <v>143</v>
      </c>
      <c r="K582" t="s">
        <v>139</v>
      </c>
      <c r="L582" t="s">
        <v>139</v>
      </c>
      <c r="M582" t="s">
        <v>535</v>
      </c>
      <c r="N582" t="s">
        <v>1056</v>
      </c>
      <c r="O582" t="s">
        <v>1057</v>
      </c>
      <c r="P582" s="108">
        <v>42136</v>
      </c>
      <c r="Q582" s="108">
        <v>42138</v>
      </c>
      <c r="R582" s="108">
        <v>42174</v>
      </c>
      <c r="S582" t="s">
        <v>153</v>
      </c>
      <c r="T582">
        <v>2</v>
      </c>
      <c r="U582" t="s">
        <v>2596</v>
      </c>
      <c r="V582">
        <v>2</v>
      </c>
      <c r="W582" t="s">
        <v>2596</v>
      </c>
      <c r="X582">
        <v>2</v>
      </c>
      <c r="Y582">
        <f>VLOOKUP(Table_clu7sql1_ssdb_REPORT_vw_IE_External_MI_SON[[#This Row],[URN]],[1]Data!$D$2:$BB$1084,31,)</f>
        <v>2</v>
      </c>
      <c r="Z582">
        <v>9</v>
      </c>
      <c r="AA582">
        <v>2</v>
      </c>
      <c r="AB582" t="s">
        <v>2598</v>
      </c>
      <c r="AC582" t="s">
        <v>2596</v>
      </c>
      <c r="AD582" t="s">
        <v>2596</v>
      </c>
      <c r="AE582" t="s">
        <v>2596</v>
      </c>
      <c r="AF582" t="s">
        <v>2596</v>
      </c>
      <c r="AG582" t="s">
        <v>2596</v>
      </c>
      <c r="AH582" t="s">
        <v>2596</v>
      </c>
    </row>
    <row r="583" spans="1:34" x14ac:dyDescent="0.25">
      <c r="A583" s="111" t="str">
        <f>HYPERLINK("http://www.ofsted.gov.uk/inspection-reports/find-inspection-report/provider/ELS/135410 ","Ofsted School Webpage")</f>
        <v>Ofsted School Webpage</v>
      </c>
      <c r="B583">
        <v>135410</v>
      </c>
      <c r="C583">
        <v>9096056</v>
      </c>
      <c r="D583" t="s">
        <v>1389</v>
      </c>
      <c r="E583" t="s">
        <v>37</v>
      </c>
      <c r="F583" t="s">
        <v>142</v>
      </c>
      <c r="G583" t="s">
        <v>142</v>
      </c>
      <c r="H583" t="s">
        <v>2595</v>
      </c>
      <c r="I583" t="s">
        <v>2596</v>
      </c>
      <c r="J583" t="s">
        <v>143</v>
      </c>
      <c r="K583" t="s">
        <v>162</v>
      </c>
      <c r="L583" t="s">
        <v>162</v>
      </c>
      <c r="M583" t="s">
        <v>895</v>
      </c>
      <c r="N583" t="s">
        <v>1390</v>
      </c>
      <c r="O583">
        <v>10038929</v>
      </c>
      <c r="P583" s="108">
        <v>43081</v>
      </c>
      <c r="Q583" s="108">
        <v>43083</v>
      </c>
      <c r="R583" s="108">
        <v>43129</v>
      </c>
      <c r="S583" t="s">
        <v>3005</v>
      </c>
      <c r="T583">
        <v>1</v>
      </c>
      <c r="U583" t="s">
        <v>123</v>
      </c>
      <c r="V583">
        <v>1</v>
      </c>
      <c r="W583">
        <v>1</v>
      </c>
      <c r="X583">
        <v>1</v>
      </c>
      <c r="Y583">
        <f>VLOOKUP(Table_clu7sql1_ssdb_REPORT_vw_IE_External_MI_SON[[#This Row],[URN]],[1]Data!$D$2:$BB$1084,31,)</f>
        <v>1</v>
      </c>
      <c r="Z583" t="s">
        <v>2596</v>
      </c>
      <c r="AA583" t="s">
        <v>2596</v>
      </c>
      <c r="AB583" t="s">
        <v>2598</v>
      </c>
      <c r="AC583" t="s">
        <v>2596</v>
      </c>
      <c r="AD583" t="s">
        <v>2596</v>
      </c>
      <c r="AE583" s="108" t="s">
        <v>2596</v>
      </c>
      <c r="AF583" t="s">
        <v>2596</v>
      </c>
      <c r="AG583" s="108" t="s">
        <v>2596</v>
      </c>
      <c r="AH583" t="s">
        <v>2596</v>
      </c>
    </row>
    <row r="584" spans="1:34" x14ac:dyDescent="0.25">
      <c r="A584" s="111" t="str">
        <f>HYPERLINK("http://www.ofsted.gov.uk/inspection-reports/find-inspection-report/provider/ELS/135418 ","Ofsted School Webpage")</f>
        <v>Ofsted School Webpage</v>
      </c>
      <c r="B584">
        <v>135418</v>
      </c>
      <c r="C584">
        <v>9376106</v>
      </c>
      <c r="D584" t="s">
        <v>652</v>
      </c>
      <c r="E584" t="s">
        <v>36</v>
      </c>
      <c r="F584" t="s">
        <v>142</v>
      </c>
      <c r="G584" t="s">
        <v>142</v>
      </c>
      <c r="H584" t="s">
        <v>2595</v>
      </c>
      <c r="I584" t="s">
        <v>2596</v>
      </c>
      <c r="J584" t="s">
        <v>143</v>
      </c>
      <c r="K584" t="s">
        <v>150</v>
      </c>
      <c r="L584" t="s">
        <v>150</v>
      </c>
      <c r="M584" t="s">
        <v>333</v>
      </c>
      <c r="N584" t="s">
        <v>653</v>
      </c>
      <c r="O584">
        <v>10026105</v>
      </c>
      <c r="P584" s="108">
        <v>42920</v>
      </c>
      <c r="Q584" s="108">
        <v>42922</v>
      </c>
      <c r="R584" s="108">
        <v>42989</v>
      </c>
      <c r="S584" t="s">
        <v>153</v>
      </c>
      <c r="T584">
        <v>3</v>
      </c>
      <c r="U584" t="s">
        <v>123</v>
      </c>
      <c r="V584">
        <v>3</v>
      </c>
      <c r="W584">
        <v>2</v>
      </c>
      <c r="X584">
        <v>3</v>
      </c>
      <c r="Y584">
        <f>VLOOKUP(Table_clu7sql1_ssdb_REPORT_vw_IE_External_MI_SON[[#This Row],[URN]],[1]Data!$D$2:$BB$1084,31,)</f>
        <v>3</v>
      </c>
      <c r="Z584">
        <v>3</v>
      </c>
      <c r="AA584" t="s">
        <v>2596</v>
      </c>
      <c r="AB584" t="s">
        <v>2599</v>
      </c>
      <c r="AC584">
        <v>10044609</v>
      </c>
      <c r="AD584" t="s">
        <v>144</v>
      </c>
      <c r="AE584" s="108">
        <v>43111</v>
      </c>
      <c r="AF584" t="s">
        <v>2636</v>
      </c>
      <c r="AG584" s="108">
        <v>43139</v>
      </c>
      <c r="AH584" t="s">
        <v>146</v>
      </c>
    </row>
    <row r="585" spans="1:34" x14ac:dyDescent="0.25">
      <c r="A585" s="111" t="str">
        <f>HYPERLINK("http://www.ofsted.gov.uk/inspection-reports/find-inspection-report/provider/ELS/135419 ","Ofsted School Webpage")</f>
        <v>Ofsted School Webpage</v>
      </c>
      <c r="B585">
        <v>135419</v>
      </c>
      <c r="C585">
        <v>9366592</v>
      </c>
      <c r="D585" t="s">
        <v>1507</v>
      </c>
      <c r="E585" t="s">
        <v>37</v>
      </c>
      <c r="F585" t="s">
        <v>142</v>
      </c>
      <c r="G585" t="s">
        <v>142</v>
      </c>
      <c r="H585" t="s">
        <v>2595</v>
      </c>
      <c r="I585" t="s">
        <v>2596</v>
      </c>
      <c r="J585" t="s">
        <v>143</v>
      </c>
      <c r="K585" t="s">
        <v>139</v>
      </c>
      <c r="L585" t="s">
        <v>139</v>
      </c>
      <c r="M585" t="s">
        <v>535</v>
      </c>
      <c r="N585" t="s">
        <v>1508</v>
      </c>
      <c r="O585">
        <v>10017962</v>
      </c>
      <c r="P585" s="108">
        <v>42500</v>
      </c>
      <c r="Q585" s="108">
        <v>42502</v>
      </c>
      <c r="R585" s="108">
        <v>42534</v>
      </c>
      <c r="S585" t="s">
        <v>224</v>
      </c>
      <c r="T585">
        <v>2</v>
      </c>
      <c r="U585" t="s">
        <v>123</v>
      </c>
      <c r="V585">
        <v>1</v>
      </c>
      <c r="W585">
        <v>2</v>
      </c>
      <c r="X585">
        <v>2</v>
      </c>
      <c r="Y585">
        <f>VLOOKUP(Table_clu7sql1_ssdb_REPORT_vw_IE_External_MI_SON[[#This Row],[URN]],[1]Data!$D$2:$BB$1084,31,)</f>
        <v>2</v>
      </c>
      <c r="Z585" t="s">
        <v>2596</v>
      </c>
      <c r="AA585">
        <v>2</v>
      </c>
      <c r="AB585" t="s">
        <v>2598</v>
      </c>
      <c r="AC585" t="s">
        <v>2596</v>
      </c>
      <c r="AD585" t="s">
        <v>2596</v>
      </c>
      <c r="AE585" t="s">
        <v>2596</v>
      </c>
      <c r="AF585" t="s">
        <v>2596</v>
      </c>
      <c r="AG585" t="s">
        <v>2596</v>
      </c>
      <c r="AH585" t="s">
        <v>2596</v>
      </c>
    </row>
    <row r="586" spans="1:34" x14ac:dyDescent="0.25">
      <c r="A586" s="111" t="str">
        <f>HYPERLINK("http://www.ofsted.gov.uk/inspection-reports/find-inspection-report/provider/ELS/135422 ","Ofsted School Webpage")</f>
        <v>Ofsted School Webpage</v>
      </c>
      <c r="B586">
        <v>135422</v>
      </c>
      <c r="C586">
        <v>3306121</v>
      </c>
      <c r="D586" t="s">
        <v>2220</v>
      </c>
      <c r="E586" t="s">
        <v>36</v>
      </c>
      <c r="F586" t="s">
        <v>142</v>
      </c>
      <c r="G586" t="s">
        <v>142</v>
      </c>
      <c r="H586" t="s">
        <v>2595</v>
      </c>
      <c r="I586" t="s">
        <v>2596</v>
      </c>
      <c r="J586" t="s">
        <v>143</v>
      </c>
      <c r="K586" t="s">
        <v>150</v>
      </c>
      <c r="L586" t="s">
        <v>150</v>
      </c>
      <c r="M586" t="s">
        <v>167</v>
      </c>
      <c r="N586" t="s">
        <v>2221</v>
      </c>
      <c r="O586">
        <v>10020740</v>
      </c>
      <c r="P586" s="108">
        <v>43060</v>
      </c>
      <c r="Q586" s="108">
        <v>43062</v>
      </c>
      <c r="R586" s="108">
        <v>43084</v>
      </c>
      <c r="S586" t="s">
        <v>153</v>
      </c>
      <c r="T586">
        <v>2</v>
      </c>
      <c r="U586" t="s">
        <v>123</v>
      </c>
      <c r="V586">
        <v>2</v>
      </c>
      <c r="W586">
        <v>2</v>
      </c>
      <c r="X586">
        <v>2</v>
      </c>
      <c r="Y586">
        <f>VLOOKUP(Table_clu7sql1_ssdb_REPORT_vw_IE_External_MI_SON[[#This Row],[URN]],[1]Data!$D$2:$BB$1084,31,)</f>
        <v>2</v>
      </c>
      <c r="Z586" t="s">
        <v>2596</v>
      </c>
      <c r="AA586" t="s">
        <v>2596</v>
      </c>
      <c r="AB586" t="s">
        <v>2598</v>
      </c>
      <c r="AC586" t="s">
        <v>2596</v>
      </c>
      <c r="AD586" t="s">
        <v>2596</v>
      </c>
      <c r="AE586" t="s">
        <v>2596</v>
      </c>
      <c r="AF586" t="s">
        <v>2596</v>
      </c>
      <c r="AG586" t="s">
        <v>2596</v>
      </c>
      <c r="AH586" t="s">
        <v>2596</v>
      </c>
    </row>
    <row r="587" spans="1:34" x14ac:dyDescent="0.25">
      <c r="A587" s="111" t="str">
        <f>HYPERLINK("http://www.ofsted.gov.uk/inspection-reports/find-inspection-report/provider/ELS/135424 ","Ofsted School Webpage")</f>
        <v>Ofsted School Webpage</v>
      </c>
      <c r="B587">
        <v>135424</v>
      </c>
      <c r="C587">
        <v>8056002</v>
      </c>
      <c r="D587" t="s">
        <v>897</v>
      </c>
      <c r="E587" t="s">
        <v>37</v>
      </c>
      <c r="F587" t="s">
        <v>142</v>
      </c>
      <c r="G587" t="s">
        <v>142</v>
      </c>
      <c r="H587" t="s">
        <v>2595</v>
      </c>
      <c r="I587" t="s">
        <v>2596</v>
      </c>
      <c r="J587" t="s">
        <v>143</v>
      </c>
      <c r="K587" t="s">
        <v>202</v>
      </c>
      <c r="L587" t="s">
        <v>234</v>
      </c>
      <c r="M587" t="s">
        <v>898</v>
      </c>
      <c r="N587" t="s">
        <v>899</v>
      </c>
      <c r="O587">
        <v>10043656</v>
      </c>
      <c r="P587" s="108">
        <v>43137</v>
      </c>
      <c r="Q587" s="108">
        <v>43139</v>
      </c>
      <c r="R587" s="108">
        <v>43165</v>
      </c>
      <c r="S587" t="s">
        <v>153</v>
      </c>
      <c r="T587">
        <v>2</v>
      </c>
      <c r="U587" t="s">
        <v>123</v>
      </c>
      <c r="V587">
        <v>2</v>
      </c>
      <c r="W587">
        <v>2</v>
      </c>
      <c r="X587">
        <v>2</v>
      </c>
      <c r="Y587">
        <f>VLOOKUP(Table_clu7sql1_ssdb_REPORT_vw_IE_External_MI_SON[[#This Row],[URN]],[1]Data!$D$2:$BB$1084,31,)</f>
        <v>2</v>
      </c>
      <c r="Z587" t="s">
        <v>2596</v>
      </c>
      <c r="AA587" t="s">
        <v>2596</v>
      </c>
      <c r="AB587" t="s">
        <v>2598</v>
      </c>
      <c r="AC587" t="s">
        <v>2596</v>
      </c>
      <c r="AD587" t="s">
        <v>2596</v>
      </c>
      <c r="AE587" t="s">
        <v>2596</v>
      </c>
      <c r="AF587" t="s">
        <v>2596</v>
      </c>
      <c r="AG587" t="s">
        <v>2596</v>
      </c>
      <c r="AH587" t="s">
        <v>2596</v>
      </c>
    </row>
    <row r="588" spans="1:34" x14ac:dyDescent="0.25">
      <c r="A588" s="111" t="str">
        <f>HYPERLINK("http://www.ofsted.gov.uk/inspection-reports/find-inspection-report/provider/ELS/135428 ","Ofsted School Webpage")</f>
        <v>Ofsted School Webpage</v>
      </c>
      <c r="B588">
        <v>135428</v>
      </c>
      <c r="C588">
        <v>8556122</v>
      </c>
      <c r="D588" t="s">
        <v>1135</v>
      </c>
      <c r="E588" t="s">
        <v>37</v>
      </c>
      <c r="F588" t="s">
        <v>142</v>
      </c>
      <c r="G588" t="s">
        <v>142</v>
      </c>
      <c r="H588" t="s">
        <v>2595</v>
      </c>
      <c r="I588" t="s">
        <v>2596</v>
      </c>
      <c r="J588" t="s">
        <v>143</v>
      </c>
      <c r="K588" t="s">
        <v>171</v>
      </c>
      <c r="L588" t="s">
        <v>171</v>
      </c>
      <c r="M588" t="s">
        <v>238</v>
      </c>
      <c r="N588" t="s">
        <v>1136</v>
      </c>
      <c r="O588" t="s">
        <v>1137</v>
      </c>
      <c r="P588" s="108">
        <v>42164</v>
      </c>
      <c r="Q588" s="108">
        <v>42165</v>
      </c>
      <c r="R588" s="108">
        <v>42194</v>
      </c>
      <c r="S588" t="s">
        <v>3005</v>
      </c>
      <c r="T588">
        <v>2</v>
      </c>
      <c r="U588" t="s">
        <v>2596</v>
      </c>
      <c r="V588">
        <v>2</v>
      </c>
      <c r="W588" t="s">
        <v>2596</v>
      </c>
      <c r="X588">
        <v>2</v>
      </c>
      <c r="Y588">
        <f>VLOOKUP(Table_clu7sql1_ssdb_REPORT_vw_IE_External_MI_SON[[#This Row],[URN]],[1]Data!$D$2:$BB$1084,31,)</f>
        <v>2</v>
      </c>
      <c r="Z588">
        <v>9</v>
      </c>
      <c r="AA588">
        <v>9</v>
      </c>
      <c r="AB588" t="s">
        <v>2598</v>
      </c>
      <c r="AC588" t="s">
        <v>2596</v>
      </c>
      <c r="AD588" t="s">
        <v>2596</v>
      </c>
      <c r="AE588" t="s">
        <v>2596</v>
      </c>
      <c r="AF588" t="s">
        <v>2596</v>
      </c>
      <c r="AG588" t="s">
        <v>2596</v>
      </c>
      <c r="AH588" t="s">
        <v>2596</v>
      </c>
    </row>
    <row r="589" spans="1:34" x14ac:dyDescent="0.25">
      <c r="A589" s="111" t="str">
        <f>HYPERLINK("http://www.ofsted.gov.uk/inspection-reports/find-inspection-report/provider/ELS/135438 ","Ofsted School Webpage")</f>
        <v>Ofsted School Webpage</v>
      </c>
      <c r="B589">
        <v>135438</v>
      </c>
      <c r="C589">
        <v>8866123</v>
      </c>
      <c r="D589" t="s">
        <v>1098</v>
      </c>
      <c r="E589" t="s">
        <v>37</v>
      </c>
      <c r="F589" t="s">
        <v>142</v>
      </c>
      <c r="G589" t="s">
        <v>142</v>
      </c>
      <c r="H589" t="s">
        <v>2595</v>
      </c>
      <c r="I589" t="s">
        <v>2596</v>
      </c>
      <c r="J589" t="s">
        <v>143</v>
      </c>
      <c r="K589" t="s">
        <v>139</v>
      </c>
      <c r="L589" t="s">
        <v>139</v>
      </c>
      <c r="M589" t="s">
        <v>140</v>
      </c>
      <c r="N589" t="s">
        <v>1099</v>
      </c>
      <c r="O589">
        <v>10021176</v>
      </c>
      <c r="P589" s="108">
        <v>42626</v>
      </c>
      <c r="Q589" s="108">
        <v>42628</v>
      </c>
      <c r="R589" s="108">
        <v>42654</v>
      </c>
      <c r="S589" t="s">
        <v>153</v>
      </c>
      <c r="T589">
        <v>2</v>
      </c>
      <c r="U589" t="s">
        <v>123</v>
      </c>
      <c r="V589">
        <v>2</v>
      </c>
      <c r="W589">
        <v>2</v>
      </c>
      <c r="X589">
        <v>2</v>
      </c>
      <c r="Y589">
        <f>VLOOKUP(Table_clu7sql1_ssdb_REPORT_vw_IE_External_MI_SON[[#This Row],[URN]],[1]Data!$D$2:$BB$1084,31,)</f>
        <v>2</v>
      </c>
      <c r="Z589" t="s">
        <v>2596</v>
      </c>
      <c r="AA589">
        <v>2</v>
      </c>
      <c r="AB589" t="s">
        <v>2598</v>
      </c>
      <c r="AC589" t="s">
        <v>2596</v>
      </c>
      <c r="AD589" t="s">
        <v>2596</v>
      </c>
      <c r="AE589" t="s">
        <v>2596</v>
      </c>
      <c r="AF589" t="s">
        <v>2596</v>
      </c>
      <c r="AG589" t="s">
        <v>2596</v>
      </c>
      <c r="AH589" t="s">
        <v>2596</v>
      </c>
    </row>
    <row r="590" spans="1:34" x14ac:dyDescent="0.25">
      <c r="A590" s="111" t="str">
        <f>HYPERLINK("http://www.ofsted.gov.uk/inspection-reports/find-inspection-report/provider/ELS/135445 ","Ofsted School Webpage")</f>
        <v>Ofsted School Webpage</v>
      </c>
      <c r="B590">
        <v>135445</v>
      </c>
      <c r="C590">
        <v>8936106</v>
      </c>
      <c r="D590" t="s">
        <v>1381</v>
      </c>
      <c r="E590" t="s">
        <v>37</v>
      </c>
      <c r="F590" t="s">
        <v>142</v>
      </c>
      <c r="G590" t="s">
        <v>142</v>
      </c>
      <c r="H590" t="s">
        <v>2595</v>
      </c>
      <c r="I590" t="s">
        <v>2596</v>
      </c>
      <c r="J590" t="s">
        <v>143</v>
      </c>
      <c r="K590" t="s">
        <v>150</v>
      </c>
      <c r="L590" t="s">
        <v>150</v>
      </c>
      <c r="M590" t="s">
        <v>151</v>
      </c>
      <c r="N590" t="s">
        <v>1382</v>
      </c>
      <c r="O590" t="s">
        <v>1383</v>
      </c>
      <c r="P590" s="108">
        <v>42179</v>
      </c>
      <c r="Q590" s="108">
        <v>42181</v>
      </c>
      <c r="R590" s="108">
        <v>42249</v>
      </c>
      <c r="S590" t="s">
        <v>3005</v>
      </c>
      <c r="T590">
        <v>2</v>
      </c>
      <c r="U590" t="s">
        <v>2596</v>
      </c>
      <c r="V590">
        <v>2</v>
      </c>
      <c r="W590" t="s">
        <v>2596</v>
      </c>
      <c r="X590">
        <v>2</v>
      </c>
      <c r="Y590">
        <f>VLOOKUP(Table_clu7sql1_ssdb_REPORT_vw_IE_External_MI_SON[[#This Row],[URN]],[1]Data!$D$2:$BB$1084,31,)</f>
        <v>2</v>
      </c>
      <c r="Z590">
        <v>9</v>
      </c>
      <c r="AA590">
        <v>2</v>
      </c>
      <c r="AB590" t="s">
        <v>2598</v>
      </c>
      <c r="AC590" t="s">
        <v>2596</v>
      </c>
      <c r="AD590" t="s">
        <v>2596</v>
      </c>
      <c r="AE590" t="s">
        <v>2596</v>
      </c>
      <c r="AF590" t="s">
        <v>2596</v>
      </c>
      <c r="AG590" t="s">
        <v>2596</v>
      </c>
      <c r="AH590" t="s">
        <v>2596</v>
      </c>
    </row>
    <row r="591" spans="1:34" x14ac:dyDescent="0.25">
      <c r="A591" s="111" t="str">
        <f>HYPERLINK("http://www.ofsted.gov.uk/inspection-reports/find-inspection-report/provider/ELS/135453 ","Ofsted School Webpage")</f>
        <v>Ofsted School Webpage</v>
      </c>
      <c r="B591">
        <v>135453</v>
      </c>
      <c r="C591">
        <v>3346010</v>
      </c>
      <c r="D591" t="s">
        <v>1758</v>
      </c>
      <c r="E591" t="s">
        <v>37</v>
      </c>
      <c r="F591" t="s">
        <v>142</v>
      </c>
      <c r="G591" t="s">
        <v>142</v>
      </c>
      <c r="H591" t="s">
        <v>2595</v>
      </c>
      <c r="I591" t="s">
        <v>2596</v>
      </c>
      <c r="J591" t="s">
        <v>143</v>
      </c>
      <c r="K591" t="s">
        <v>150</v>
      </c>
      <c r="L591" t="s">
        <v>150</v>
      </c>
      <c r="M591" t="s">
        <v>1649</v>
      </c>
      <c r="N591" t="s">
        <v>1759</v>
      </c>
      <c r="O591" t="s">
        <v>1760</v>
      </c>
      <c r="P591" s="108">
        <v>42024</v>
      </c>
      <c r="Q591" s="108">
        <v>42026</v>
      </c>
      <c r="R591" s="108">
        <v>42048</v>
      </c>
      <c r="S591" t="s">
        <v>153</v>
      </c>
      <c r="T591">
        <v>2</v>
      </c>
      <c r="U591" t="s">
        <v>2596</v>
      </c>
      <c r="V591">
        <v>2</v>
      </c>
      <c r="W591" t="s">
        <v>2596</v>
      </c>
      <c r="X591">
        <v>2</v>
      </c>
      <c r="Y591">
        <f>VLOOKUP(Table_clu7sql1_ssdb_REPORT_vw_IE_External_MI_SON[[#This Row],[URN]],[1]Data!$D$2:$BB$1084,31,)</f>
        <v>2</v>
      </c>
      <c r="Z591">
        <v>9</v>
      </c>
      <c r="AA591">
        <v>2</v>
      </c>
      <c r="AB591" t="s">
        <v>2598</v>
      </c>
      <c r="AC591" t="s">
        <v>2596</v>
      </c>
      <c r="AD591" t="s">
        <v>2596</v>
      </c>
      <c r="AE591" t="s">
        <v>2596</v>
      </c>
      <c r="AF591" t="s">
        <v>2596</v>
      </c>
      <c r="AG591" t="s">
        <v>2596</v>
      </c>
      <c r="AH591" t="s">
        <v>2596</v>
      </c>
    </row>
    <row r="592" spans="1:34" x14ac:dyDescent="0.25">
      <c r="A592" s="111" t="str">
        <f>HYPERLINK("http://www.ofsted.gov.uk/inspection-reports/find-inspection-report/provider/ELS/135468 ","Ofsted School Webpage")</f>
        <v>Ofsted School Webpage</v>
      </c>
      <c r="B592">
        <v>135468</v>
      </c>
      <c r="C592">
        <v>8656040</v>
      </c>
      <c r="D592" t="s">
        <v>1237</v>
      </c>
      <c r="E592" t="s">
        <v>37</v>
      </c>
      <c r="F592" t="s">
        <v>142</v>
      </c>
      <c r="G592" t="s">
        <v>142</v>
      </c>
      <c r="H592" t="s">
        <v>2595</v>
      </c>
      <c r="I592" t="s">
        <v>2596</v>
      </c>
      <c r="J592" t="s">
        <v>143</v>
      </c>
      <c r="K592" t="s">
        <v>182</v>
      </c>
      <c r="L592" t="s">
        <v>182</v>
      </c>
      <c r="M592" t="s">
        <v>183</v>
      </c>
      <c r="N592" t="s">
        <v>1238</v>
      </c>
      <c r="O592" t="s">
        <v>1239</v>
      </c>
      <c r="P592" s="108">
        <v>41982</v>
      </c>
      <c r="Q592" s="108">
        <v>41984</v>
      </c>
      <c r="R592" s="108">
        <v>42025</v>
      </c>
      <c r="S592" t="s">
        <v>153</v>
      </c>
      <c r="T592">
        <v>2</v>
      </c>
      <c r="U592" t="s">
        <v>2596</v>
      </c>
      <c r="V592">
        <v>2</v>
      </c>
      <c r="W592" t="s">
        <v>2596</v>
      </c>
      <c r="X592">
        <v>2</v>
      </c>
      <c r="Y592">
        <f>VLOOKUP(Table_clu7sql1_ssdb_REPORT_vw_IE_External_MI_SON[[#This Row],[URN]],[1]Data!$D$2:$BB$1084,31,)</f>
        <v>2</v>
      </c>
      <c r="Z592">
        <v>9</v>
      </c>
      <c r="AA592">
        <v>9</v>
      </c>
      <c r="AB592" t="s">
        <v>2598</v>
      </c>
      <c r="AC592" t="s">
        <v>2596</v>
      </c>
      <c r="AD592" t="s">
        <v>2596</v>
      </c>
      <c r="AE592" s="108" t="s">
        <v>2596</v>
      </c>
      <c r="AF592" t="s">
        <v>2596</v>
      </c>
      <c r="AG592" s="108" t="s">
        <v>2596</v>
      </c>
      <c r="AH592" t="s">
        <v>2596</v>
      </c>
    </row>
    <row r="593" spans="1:34" x14ac:dyDescent="0.25">
      <c r="A593" s="111" t="str">
        <f>HYPERLINK("http://www.ofsted.gov.uk/inspection-reports/find-inspection-report/provider/ELS/135472 ","Ofsted School Webpage")</f>
        <v>Ofsted School Webpage</v>
      </c>
      <c r="B593">
        <v>135472</v>
      </c>
      <c r="C593">
        <v>3176078</v>
      </c>
      <c r="D593" t="s">
        <v>1888</v>
      </c>
      <c r="E593" t="s">
        <v>36</v>
      </c>
      <c r="F593" t="s">
        <v>142</v>
      </c>
      <c r="G593" t="s">
        <v>142</v>
      </c>
      <c r="H593" t="s">
        <v>2595</v>
      </c>
      <c r="I593" t="s">
        <v>2596</v>
      </c>
      <c r="J593" t="s">
        <v>143</v>
      </c>
      <c r="K593" t="s">
        <v>189</v>
      </c>
      <c r="L593" t="s">
        <v>189</v>
      </c>
      <c r="M593" t="s">
        <v>756</v>
      </c>
      <c r="N593" t="s">
        <v>1889</v>
      </c>
      <c r="O593" t="s">
        <v>1890</v>
      </c>
      <c r="P593" s="108">
        <v>42123</v>
      </c>
      <c r="Q593" s="108">
        <v>42125</v>
      </c>
      <c r="R593" s="108">
        <v>42164</v>
      </c>
      <c r="S593" t="s">
        <v>153</v>
      </c>
      <c r="T593">
        <v>2</v>
      </c>
      <c r="U593" t="s">
        <v>2596</v>
      </c>
      <c r="V593">
        <v>2</v>
      </c>
      <c r="W593" t="s">
        <v>2596</v>
      </c>
      <c r="X593">
        <v>2</v>
      </c>
      <c r="Y593">
        <f>VLOOKUP(Table_clu7sql1_ssdb_REPORT_vw_IE_External_MI_SON[[#This Row],[URN]],[1]Data!$D$2:$BB$1084,31,)</f>
        <v>2</v>
      </c>
      <c r="Z593">
        <v>2</v>
      </c>
      <c r="AA593">
        <v>9</v>
      </c>
      <c r="AB593" t="s">
        <v>2598</v>
      </c>
      <c r="AC593" t="s">
        <v>2596</v>
      </c>
      <c r="AD593" t="s">
        <v>2596</v>
      </c>
      <c r="AE593" s="108" t="s">
        <v>2596</v>
      </c>
      <c r="AF593" t="s">
        <v>2596</v>
      </c>
      <c r="AG593" s="108" t="s">
        <v>2596</v>
      </c>
      <c r="AH593" t="s">
        <v>2596</v>
      </c>
    </row>
    <row r="594" spans="1:34" x14ac:dyDescent="0.25">
      <c r="A594" s="111" t="str">
        <f>HYPERLINK("http://www.ofsted.gov.uk/inspection-reports/find-inspection-report/provider/ELS/135483 ","Ofsted School Webpage")</f>
        <v>Ofsted School Webpage</v>
      </c>
      <c r="B594">
        <v>135483</v>
      </c>
      <c r="C594">
        <v>3356013</v>
      </c>
      <c r="D594" t="s">
        <v>1516</v>
      </c>
      <c r="E594" t="s">
        <v>36</v>
      </c>
      <c r="F594" t="s">
        <v>142</v>
      </c>
      <c r="G594" t="s">
        <v>180</v>
      </c>
      <c r="H594" t="s">
        <v>2595</v>
      </c>
      <c r="I594" t="s">
        <v>2596</v>
      </c>
      <c r="J594" t="s">
        <v>143</v>
      </c>
      <c r="K594" t="s">
        <v>150</v>
      </c>
      <c r="L594" t="s">
        <v>150</v>
      </c>
      <c r="M594" t="s">
        <v>1452</v>
      </c>
      <c r="N594" t="s">
        <v>1517</v>
      </c>
      <c r="O594" t="s">
        <v>1518</v>
      </c>
      <c r="P594" s="108">
        <v>41947</v>
      </c>
      <c r="Q594" s="108">
        <v>41949</v>
      </c>
      <c r="R594" s="108">
        <v>41978</v>
      </c>
      <c r="S594" t="s">
        <v>153</v>
      </c>
      <c r="T594">
        <v>2</v>
      </c>
      <c r="U594" t="s">
        <v>2596</v>
      </c>
      <c r="V594">
        <v>2</v>
      </c>
      <c r="W594" t="s">
        <v>2596</v>
      </c>
      <c r="X594">
        <v>2</v>
      </c>
      <c r="Y594">
        <f>VLOOKUP(Table_clu7sql1_ssdb_REPORT_vw_IE_External_MI_SON[[#This Row],[URN]],[1]Data!$D$2:$BB$1084,31,)</f>
        <v>2</v>
      </c>
      <c r="Z594">
        <v>9</v>
      </c>
      <c r="AA594">
        <v>9</v>
      </c>
      <c r="AB594" t="s">
        <v>2598</v>
      </c>
      <c r="AC594" t="s">
        <v>2596</v>
      </c>
      <c r="AD594" t="s">
        <v>2596</v>
      </c>
      <c r="AE594" t="s">
        <v>2596</v>
      </c>
      <c r="AF594" t="s">
        <v>2596</v>
      </c>
      <c r="AG594" t="s">
        <v>2596</v>
      </c>
      <c r="AH594" t="s">
        <v>2596</v>
      </c>
    </row>
    <row r="595" spans="1:34" x14ac:dyDescent="0.25">
      <c r="A595" s="111" t="str">
        <f>HYPERLINK("http://www.ofsted.gov.uk/inspection-reports/find-inspection-report/provider/ELS/135493 ","Ofsted School Webpage")</f>
        <v>Ofsted School Webpage</v>
      </c>
      <c r="B595">
        <v>135493</v>
      </c>
      <c r="C595">
        <v>3076339</v>
      </c>
      <c r="D595" t="s">
        <v>911</v>
      </c>
      <c r="E595" t="s">
        <v>37</v>
      </c>
      <c r="F595" t="s">
        <v>142</v>
      </c>
      <c r="G595" t="s">
        <v>142</v>
      </c>
      <c r="H595" t="s">
        <v>2595</v>
      </c>
      <c r="I595" t="s">
        <v>2596</v>
      </c>
      <c r="J595" t="s">
        <v>143</v>
      </c>
      <c r="K595" t="s">
        <v>189</v>
      </c>
      <c r="L595" t="s">
        <v>189</v>
      </c>
      <c r="M595" t="s">
        <v>584</v>
      </c>
      <c r="N595" t="s">
        <v>912</v>
      </c>
      <c r="O595">
        <v>10006315</v>
      </c>
      <c r="P595" s="108">
        <v>42311</v>
      </c>
      <c r="Q595" s="108">
        <v>42313</v>
      </c>
      <c r="R595" s="108">
        <v>42340</v>
      </c>
      <c r="S595" t="s">
        <v>153</v>
      </c>
      <c r="T595">
        <v>1</v>
      </c>
      <c r="U595" t="s">
        <v>123</v>
      </c>
      <c r="V595">
        <v>1</v>
      </c>
      <c r="W595">
        <v>1</v>
      </c>
      <c r="X595">
        <v>1</v>
      </c>
      <c r="Y595">
        <f>VLOOKUP(Table_clu7sql1_ssdb_REPORT_vw_IE_External_MI_SON[[#This Row],[URN]],[1]Data!$D$2:$BB$1084,31,)</f>
        <v>1</v>
      </c>
      <c r="Z595" t="s">
        <v>2596</v>
      </c>
      <c r="AA595">
        <v>1</v>
      </c>
      <c r="AB595" t="s">
        <v>2598</v>
      </c>
      <c r="AC595" t="s">
        <v>2596</v>
      </c>
      <c r="AD595" t="s">
        <v>2596</v>
      </c>
      <c r="AE595" s="108" t="s">
        <v>2596</v>
      </c>
      <c r="AF595" t="s">
        <v>2596</v>
      </c>
      <c r="AG595" s="108" t="s">
        <v>2596</v>
      </c>
      <c r="AH595" t="s">
        <v>2596</v>
      </c>
    </row>
    <row r="596" spans="1:34" x14ac:dyDescent="0.25">
      <c r="A596" s="111" t="str">
        <f>HYPERLINK("http://www.ofsted.gov.uk/inspection-reports/find-inspection-report/provider/ELS/135510 ","Ofsted School Webpage")</f>
        <v>Ofsted School Webpage</v>
      </c>
      <c r="B596">
        <v>135510</v>
      </c>
      <c r="C596">
        <v>8866126</v>
      </c>
      <c r="D596" t="s">
        <v>1379</v>
      </c>
      <c r="E596" t="s">
        <v>37</v>
      </c>
      <c r="F596" t="s">
        <v>142</v>
      </c>
      <c r="G596" t="s">
        <v>142</v>
      </c>
      <c r="H596" t="s">
        <v>2595</v>
      </c>
      <c r="I596" t="s">
        <v>2596</v>
      </c>
      <c r="J596" t="s">
        <v>143</v>
      </c>
      <c r="K596" t="s">
        <v>139</v>
      </c>
      <c r="L596" t="s">
        <v>139</v>
      </c>
      <c r="M596" t="s">
        <v>140</v>
      </c>
      <c r="N596" t="s">
        <v>1380</v>
      </c>
      <c r="O596">
        <v>10008937</v>
      </c>
      <c r="P596" s="108">
        <v>42626</v>
      </c>
      <c r="Q596" s="108">
        <v>42628</v>
      </c>
      <c r="R596" s="108">
        <v>42649</v>
      </c>
      <c r="S596" t="s">
        <v>153</v>
      </c>
      <c r="T596">
        <v>2</v>
      </c>
      <c r="U596" t="s">
        <v>123</v>
      </c>
      <c r="V596">
        <v>2</v>
      </c>
      <c r="W596">
        <v>2</v>
      </c>
      <c r="X596">
        <v>2</v>
      </c>
      <c r="Y596">
        <f>VLOOKUP(Table_clu7sql1_ssdb_REPORT_vw_IE_External_MI_SON[[#This Row],[URN]],[1]Data!$D$2:$BB$1084,31,)</f>
        <v>2</v>
      </c>
      <c r="Z596" t="s">
        <v>2596</v>
      </c>
      <c r="AA596" t="s">
        <v>2596</v>
      </c>
      <c r="AB596" t="s">
        <v>2598</v>
      </c>
      <c r="AC596" t="s">
        <v>2596</v>
      </c>
      <c r="AD596" t="s">
        <v>2596</v>
      </c>
      <c r="AE596" s="108" t="s">
        <v>2596</v>
      </c>
      <c r="AF596" t="s">
        <v>2596</v>
      </c>
      <c r="AG596" s="108" t="s">
        <v>2596</v>
      </c>
      <c r="AH596" t="s">
        <v>2596</v>
      </c>
    </row>
    <row r="597" spans="1:34" x14ac:dyDescent="0.25">
      <c r="A597" s="111" t="str">
        <f>HYPERLINK("http://www.ofsted.gov.uk/inspection-reports/find-inspection-report/provider/ELS/135511 ","Ofsted School Webpage")</f>
        <v>Ofsted School Webpage</v>
      </c>
      <c r="B597">
        <v>135511</v>
      </c>
      <c r="C597">
        <v>8936107</v>
      </c>
      <c r="D597" t="s">
        <v>1235</v>
      </c>
      <c r="E597" t="s">
        <v>37</v>
      </c>
      <c r="F597" t="s">
        <v>142</v>
      </c>
      <c r="G597" t="s">
        <v>142</v>
      </c>
      <c r="H597" t="s">
        <v>2595</v>
      </c>
      <c r="I597" t="s">
        <v>2596</v>
      </c>
      <c r="J597" t="s">
        <v>143</v>
      </c>
      <c r="K597" t="s">
        <v>150</v>
      </c>
      <c r="L597" t="s">
        <v>150</v>
      </c>
      <c r="M597" t="s">
        <v>151</v>
      </c>
      <c r="N597" t="s">
        <v>1236</v>
      </c>
      <c r="O597">
        <v>10006045</v>
      </c>
      <c r="P597" s="108">
        <v>42486</v>
      </c>
      <c r="Q597" s="108">
        <v>42488</v>
      </c>
      <c r="R597" s="108">
        <v>42542</v>
      </c>
      <c r="S597" t="s">
        <v>153</v>
      </c>
      <c r="T597">
        <v>1</v>
      </c>
      <c r="U597" t="s">
        <v>123</v>
      </c>
      <c r="V597">
        <v>1</v>
      </c>
      <c r="W597">
        <v>1</v>
      </c>
      <c r="X597">
        <v>1</v>
      </c>
      <c r="Y597">
        <f>VLOOKUP(Table_clu7sql1_ssdb_REPORT_vw_IE_External_MI_SON[[#This Row],[URN]],[1]Data!$D$2:$BB$1084,31,)</f>
        <v>1</v>
      </c>
      <c r="Z597" t="s">
        <v>2596</v>
      </c>
      <c r="AA597">
        <v>0</v>
      </c>
      <c r="AB597" t="s">
        <v>2598</v>
      </c>
      <c r="AC597" t="s">
        <v>2596</v>
      </c>
      <c r="AD597" t="s">
        <v>2596</v>
      </c>
      <c r="AE597" t="s">
        <v>2596</v>
      </c>
      <c r="AF597" t="s">
        <v>2596</v>
      </c>
      <c r="AG597" t="s">
        <v>2596</v>
      </c>
      <c r="AH597" t="s">
        <v>2596</v>
      </c>
    </row>
    <row r="598" spans="1:34" x14ac:dyDescent="0.25">
      <c r="A598" s="111" t="str">
        <f>HYPERLINK("http://www.ofsted.gov.uk/inspection-reports/find-inspection-report/provider/ELS/135512 ","Ofsted School Webpage")</f>
        <v>Ofsted School Webpage</v>
      </c>
      <c r="B598">
        <v>135512</v>
      </c>
      <c r="C598">
        <v>8766012</v>
      </c>
      <c r="D598" t="s">
        <v>834</v>
      </c>
      <c r="E598" t="s">
        <v>37</v>
      </c>
      <c r="F598" t="s">
        <v>142</v>
      </c>
      <c r="G598" t="s">
        <v>142</v>
      </c>
      <c r="H598" t="s">
        <v>2595</v>
      </c>
      <c r="I598" t="s">
        <v>2596</v>
      </c>
      <c r="J598" t="s">
        <v>143</v>
      </c>
      <c r="K598" t="s">
        <v>162</v>
      </c>
      <c r="L598" t="s">
        <v>162</v>
      </c>
      <c r="M598" t="s">
        <v>590</v>
      </c>
      <c r="N598" t="s">
        <v>835</v>
      </c>
      <c r="O598">
        <v>10006040</v>
      </c>
      <c r="P598" s="108">
        <v>42347</v>
      </c>
      <c r="Q598" s="108">
        <v>42349</v>
      </c>
      <c r="R598" s="108">
        <v>42380</v>
      </c>
      <c r="S598" t="s">
        <v>153</v>
      </c>
      <c r="T598">
        <v>2</v>
      </c>
      <c r="U598" t="s">
        <v>123</v>
      </c>
      <c r="V598">
        <v>2</v>
      </c>
      <c r="W598">
        <v>2</v>
      </c>
      <c r="X598">
        <v>2</v>
      </c>
      <c r="Y598">
        <f>VLOOKUP(Table_clu7sql1_ssdb_REPORT_vw_IE_External_MI_SON[[#This Row],[URN]],[1]Data!$D$2:$BB$1084,31,)</f>
        <v>2</v>
      </c>
      <c r="Z598" t="s">
        <v>2596</v>
      </c>
      <c r="AA598">
        <v>0</v>
      </c>
      <c r="AB598" t="s">
        <v>2598</v>
      </c>
      <c r="AC598" t="s">
        <v>2596</v>
      </c>
      <c r="AD598" t="s">
        <v>2596</v>
      </c>
      <c r="AE598" t="s">
        <v>2596</v>
      </c>
      <c r="AF598" t="s">
        <v>2596</v>
      </c>
      <c r="AG598" t="s">
        <v>2596</v>
      </c>
      <c r="AH598" t="s">
        <v>2596</v>
      </c>
    </row>
    <row r="599" spans="1:34" x14ac:dyDescent="0.25">
      <c r="A599" s="111" t="str">
        <f>HYPERLINK("http://www.ofsted.gov.uk/inspection-reports/find-inspection-report/provider/ELS/135518 ","Ofsted School Webpage")</f>
        <v>Ofsted School Webpage</v>
      </c>
      <c r="B599">
        <v>135518</v>
      </c>
      <c r="C599">
        <v>3336004</v>
      </c>
      <c r="D599" t="s">
        <v>500</v>
      </c>
      <c r="E599" t="s">
        <v>37</v>
      </c>
      <c r="F599" t="s">
        <v>142</v>
      </c>
      <c r="G599" t="s">
        <v>142</v>
      </c>
      <c r="H599" t="s">
        <v>2595</v>
      </c>
      <c r="I599" t="s">
        <v>2596</v>
      </c>
      <c r="J599" t="s">
        <v>143</v>
      </c>
      <c r="K599" t="s">
        <v>150</v>
      </c>
      <c r="L599" t="s">
        <v>150</v>
      </c>
      <c r="M599" t="s">
        <v>310</v>
      </c>
      <c r="N599" t="s">
        <v>501</v>
      </c>
      <c r="O599">
        <v>10008602</v>
      </c>
      <c r="P599" s="108">
        <v>42402</v>
      </c>
      <c r="Q599" s="108">
        <v>42404</v>
      </c>
      <c r="R599" s="108">
        <v>42436</v>
      </c>
      <c r="S599" t="s">
        <v>153</v>
      </c>
      <c r="T599">
        <v>2</v>
      </c>
      <c r="U599" t="s">
        <v>123</v>
      </c>
      <c r="V599">
        <v>2</v>
      </c>
      <c r="W599">
        <v>1</v>
      </c>
      <c r="X599">
        <v>2</v>
      </c>
      <c r="Y599">
        <f>VLOOKUP(Table_clu7sql1_ssdb_REPORT_vw_IE_External_MI_SON[[#This Row],[URN]],[1]Data!$D$2:$BB$1084,31,)</f>
        <v>2</v>
      </c>
      <c r="Z599" t="s">
        <v>2596</v>
      </c>
      <c r="AA599" t="s">
        <v>2596</v>
      </c>
      <c r="AB599" t="s">
        <v>2598</v>
      </c>
      <c r="AC599" t="s">
        <v>2596</v>
      </c>
      <c r="AD599" t="s">
        <v>2596</v>
      </c>
      <c r="AE599" t="s">
        <v>2596</v>
      </c>
      <c r="AF599" t="s">
        <v>2596</v>
      </c>
      <c r="AG599" t="s">
        <v>2596</v>
      </c>
      <c r="AH599" t="s">
        <v>2596</v>
      </c>
    </row>
    <row r="600" spans="1:34" x14ac:dyDescent="0.25">
      <c r="A600" s="111" t="str">
        <f>HYPERLINK("http://www.ofsted.gov.uk/inspection-reports/find-inspection-report/provider/ELS/135526 ","Ofsted School Webpage")</f>
        <v>Ofsted School Webpage</v>
      </c>
      <c r="B600">
        <v>135526</v>
      </c>
      <c r="C600">
        <v>3566031</v>
      </c>
      <c r="D600" t="s">
        <v>421</v>
      </c>
      <c r="E600" t="s">
        <v>36</v>
      </c>
      <c r="F600" t="s">
        <v>142</v>
      </c>
      <c r="G600" t="s">
        <v>142</v>
      </c>
      <c r="H600" t="s">
        <v>2595</v>
      </c>
      <c r="I600" t="s">
        <v>2596</v>
      </c>
      <c r="J600" t="s">
        <v>143</v>
      </c>
      <c r="K600" t="s">
        <v>162</v>
      </c>
      <c r="L600" t="s">
        <v>162</v>
      </c>
      <c r="M600" t="s">
        <v>302</v>
      </c>
      <c r="N600" t="s">
        <v>2880</v>
      </c>
      <c r="O600">
        <v>10040275</v>
      </c>
      <c r="P600" s="108">
        <v>43039</v>
      </c>
      <c r="Q600" s="108">
        <v>43041</v>
      </c>
      <c r="R600" s="108">
        <v>43066</v>
      </c>
      <c r="S600" t="s">
        <v>153</v>
      </c>
      <c r="T600">
        <v>3</v>
      </c>
      <c r="U600" t="s">
        <v>123</v>
      </c>
      <c r="V600">
        <v>3</v>
      </c>
      <c r="W600">
        <v>2</v>
      </c>
      <c r="X600">
        <v>3</v>
      </c>
      <c r="Y600">
        <f>VLOOKUP(Table_clu7sql1_ssdb_REPORT_vw_IE_External_MI_SON[[#This Row],[URN]],[1]Data!$D$2:$BB$1084,31,)</f>
        <v>3</v>
      </c>
      <c r="Z600" t="s">
        <v>2596</v>
      </c>
      <c r="AA600">
        <v>2</v>
      </c>
      <c r="AB600" t="s">
        <v>2598</v>
      </c>
      <c r="AC600" t="s">
        <v>2596</v>
      </c>
      <c r="AD600" t="s">
        <v>2596</v>
      </c>
      <c r="AE600" t="s">
        <v>2596</v>
      </c>
      <c r="AF600" t="s">
        <v>2596</v>
      </c>
      <c r="AG600" t="s">
        <v>2596</v>
      </c>
      <c r="AH600" t="s">
        <v>2596</v>
      </c>
    </row>
    <row r="601" spans="1:34" x14ac:dyDescent="0.25">
      <c r="A601" s="111" t="str">
        <f>HYPERLINK("http://www.ofsted.gov.uk/inspection-reports/find-inspection-report/provider/ELS/135530 ","Ofsted School Webpage")</f>
        <v>Ofsted School Webpage</v>
      </c>
      <c r="B601">
        <v>135530</v>
      </c>
      <c r="C601">
        <v>8556041</v>
      </c>
      <c r="D601" t="s">
        <v>832</v>
      </c>
      <c r="E601" t="s">
        <v>37</v>
      </c>
      <c r="F601" t="s">
        <v>142</v>
      </c>
      <c r="G601" t="s">
        <v>142</v>
      </c>
      <c r="H601" t="s">
        <v>2595</v>
      </c>
      <c r="I601" t="s">
        <v>2596</v>
      </c>
      <c r="J601" t="s">
        <v>143</v>
      </c>
      <c r="K601" t="s">
        <v>171</v>
      </c>
      <c r="L601" t="s">
        <v>171</v>
      </c>
      <c r="M601" t="s">
        <v>238</v>
      </c>
      <c r="N601" t="s">
        <v>833</v>
      </c>
      <c r="O601">
        <v>10006067</v>
      </c>
      <c r="P601" s="108">
        <v>42507</v>
      </c>
      <c r="Q601" s="108">
        <v>42509</v>
      </c>
      <c r="R601" s="108">
        <v>42534</v>
      </c>
      <c r="S601" t="s">
        <v>153</v>
      </c>
      <c r="T601">
        <v>1</v>
      </c>
      <c r="U601" t="s">
        <v>123</v>
      </c>
      <c r="V601">
        <v>1</v>
      </c>
      <c r="W601">
        <v>1</v>
      </c>
      <c r="X601">
        <v>1</v>
      </c>
      <c r="Y601">
        <f>VLOOKUP(Table_clu7sql1_ssdb_REPORT_vw_IE_External_MI_SON[[#This Row],[URN]],[1]Data!$D$2:$BB$1084,31,)</f>
        <v>1</v>
      </c>
      <c r="Z601" t="s">
        <v>2596</v>
      </c>
      <c r="AA601" t="s">
        <v>2596</v>
      </c>
      <c r="AB601" t="s">
        <v>2598</v>
      </c>
      <c r="AC601" t="s">
        <v>2596</v>
      </c>
      <c r="AD601" t="s">
        <v>2596</v>
      </c>
      <c r="AE601" s="108" t="s">
        <v>2596</v>
      </c>
      <c r="AF601" t="s">
        <v>2596</v>
      </c>
      <c r="AG601" s="108" t="s">
        <v>2596</v>
      </c>
      <c r="AH601" t="s">
        <v>2596</v>
      </c>
    </row>
    <row r="602" spans="1:34" x14ac:dyDescent="0.25">
      <c r="A602" s="111" t="str">
        <f>HYPERLINK("http://www.ofsted.gov.uk/inspection-reports/find-inspection-report/provider/ELS/135539 ","Ofsted School Webpage")</f>
        <v>Ofsted School Webpage</v>
      </c>
      <c r="B602">
        <v>135539</v>
      </c>
      <c r="C602">
        <v>8216011</v>
      </c>
      <c r="D602" t="s">
        <v>688</v>
      </c>
      <c r="E602" t="s">
        <v>36</v>
      </c>
      <c r="F602" t="s">
        <v>261</v>
      </c>
      <c r="G602" t="s">
        <v>180</v>
      </c>
      <c r="H602" t="s">
        <v>2595</v>
      </c>
      <c r="I602" t="s">
        <v>2596</v>
      </c>
      <c r="J602" t="s">
        <v>143</v>
      </c>
      <c r="K602" t="s">
        <v>177</v>
      </c>
      <c r="L602" t="s">
        <v>177</v>
      </c>
      <c r="M602" t="s">
        <v>178</v>
      </c>
      <c r="N602" t="s">
        <v>689</v>
      </c>
      <c r="O602">
        <v>10006065</v>
      </c>
      <c r="P602" s="108">
        <v>42486</v>
      </c>
      <c r="Q602" s="108">
        <v>42488</v>
      </c>
      <c r="R602" s="108">
        <v>42510</v>
      </c>
      <c r="S602" t="s">
        <v>153</v>
      </c>
      <c r="T602">
        <v>2</v>
      </c>
      <c r="U602" t="s">
        <v>123</v>
      </c>
      <c r="V602">
        <v>2</v>
      </c>
      <c r="W602">
        <v>1</v>
      </c>
      <c r="X602">
        <v>2</v>
      </c>
      <c r="Y602">
        <f>VLOOKUP(Table_clu7sql1_ssdb_REPORT_vw_IE_External_MI_SON[[#This Row],[URN]],[1]Data!$D$2:$BB$1084,31,)</f>
        <v>2</v>
      </c>
      <c r="Z602">
        <v>2</v>
      </c>
      <c r="AA602" t="s">
        <v>2596</v>
      </c>
      <c r="AB602" t="s">
        <v>2598</v>
      </c>
      <c r="AC602" t="s">
        <v>2596</v>
      </c>
      <c r="AD602" t="s">
        <v>2596</v>
      </c>
      <c r="AE602" t="s">
        <v>2596</v>
      </c>
      <c r="AF602" t="s">
        <v>2596</v>
      </c>
      <c r="AG602" t="s">
        <v>2596</v>
      </c>
      <c r="AH602" t="s">
        <v>2596</v>
      </c>
    </row>
    <row r="603" spans="1:34" x14ac:dyDescent="0.25">
      <c r="A603" s="111" t="str">
        <f>HYPERLINK("http://www.ofsted.gov.uk/inspection-reports/find-inspection-report/provider/ELS/135541 ","Ofsted School Webpage")</f>
        <v>Ofsted School Webpage</v>
      </c>
      <c r="B603">
        <v>135541</v>
      </c>
      <c r="C603">
        <v>8886104</v>
      </c>
      <c r="D603" t="s">
        <v>956</v>
      </c>
      <c r="E603" t="s">
        <v>37</v>
      </c>
      <c r="F603" t="s">
        <v>142</v>
      </c>
      <c r="G603" t="s">
        <v>142</v>
      </c>
      <c r="H603" t="s">
        <v>2595</v>
      </c>
      <c r="I603" t="s">
        <v>2596</v>
      </c>
      <c r="J603" t="s">
        <v>143</v>
      </c>
      <c r="K603" t="s">
        <v>162</v>
      </c>
      <c r="L603" t="s">
        <v>162</v>
      </c>
      <c r="M603" t="s">
        <v>163</v>
      </c>
      <c r="N603" t="s">
        <v>957</v>
      </c>
      <c r="O603" t="s">
        <v>958</v>
      </c>
      <c r="P603" s="108">
        <v>42171</v>
      </c>
      <c r="Q603" s="108">
        <v>42173</v>
      </c>
      <c r="R603" s="108">
        <v>42194</v>
      </c>
      <c r="S603" t="s">
        <v>153</v>
      </c>
      <c r="T603">
        <v>1</v>
      </c>
      <c r="U603" t="s">
        <v>2596</v>
      </c>
      <c r="V603">
        <v>1</v>
      </c>
      <c r="W603" t="s">
        <v>2596</v>
      </c>
      <c r="X603">
        <v>1</v>
      </c>
      <c r="Y603">
        <f>VLOOKUP(Table_clu7sql1_ssdb_REPORT_vw_IE_External_MI_SON[[#This Row],[URN]],[1]Data!$D$2:$BB$1084,31,)</f>
        <v>1</v>
      </c>
      <c r="Z603">
        <v>9</v>
      </c>
      <c r="AA603">
        <v>9</v>
      </c>
      <c r="AB603" t="s">
        <v>2598</v>
      </c>
      <c r="AC603" t="s">
        <v>2596</v>
      </c>
      <c r="AD603" t="s">
        <v>2596</v>
      </c>
      <c r="AE603" s="108" t="s">
        <v>2596</v>
      </c>
      <c r="AF603" t="s">
        <v>2596</v>
      </c>
      <c r="AG603" s="108" t="s">
        <v>2596</v>
      </c>
      <c r="AH603" t="s">
        <v>2596</v>
      </c>
    </row>
    <row r="604" spans="1:34" x14ac:dyDescent="0.25">
      <c r="A604" s="111" t="str">
        <f>HYPERLINK("http://www.ofsted.gov.uk/inspection-reports/find-inspection-report/provider/ELS/135543 ","Ofsted School Webpage")</f>
        <v>Ofsted School Webpage</v>
      </c>
      <c r="B604">
        <v>135543</v>
      </c>
      <c r="C604">
        <v>8886041</v>
      </c>
      <c r="D604" t="s">
        <v>1332</v>
      </c>
      <c r="E604" t="s">
        <v>37</v>
      </c>
      <c r="F604" t="s">
        <v>142</v>
      </c>
      <c r="G604" t="s">
        <v>142</v>
      </c>
      <c r="H604" t="s">
        <v>2595</v>
      </c>
      <c r="I604" t="s">
        <v>2596</v>
      </c>
      <c r="J604" t="s">
        <v>143</v>
      </c>
      <c r="K604" t="s">
        <v>162</v>
      </c>
      <c r="L604" t="s">
        <v>162</v>
      </c>
      <c r="M604" t="s">
        <v>163</v>
      </c>
      <c r="N604" t="s">
        <v>996</v>
      </c>
      <c r="O604">
        <v>10006075</v>
      </c>
      <c r="P604" s="108">
        <v>42409</v>
      </c>
      <c r="Q604" s="108">
        <v>42411</v>
      </c>
      <c r="R604" s="108">
        <v>42436</v>
      </c>
      <c r="S604" t="s">
        <v>153</v>
      </c>
      <c r="T604">
        <v>2</v>
      </c>
      <c r="U604" t="s">
        <v>123</v>
      </c>
      <c r="V604">
        <v>2</v>
      </c>
      <c r="W604">
        <v>1</v>
      </c>
      <c r="X604">
        <v>2</v>
      </c>
      <c r="Y604">
        <f>VLOOKUP(Table_clu7sql1_ssdb_REPORT_vw_IE_External_MI_SON[[#This Row],[URN]],[1]Data!$D$2:$BB$1084,31,)</f>
        <v>2</v>
      </c>
      <c r="Z604" t="s">
        <v>2596</v>
      </c>
      <c r="AA604" t="s">
        <v>2596</v>
      </c>
      <c r="AB604" t="s">
        <v>2598</v>
      </c>
      <c r="AC604" t="s">
        <v>2596</v>
      </c>
      <c r="AD604" t="s">
        <v>2596</v>
      </c>
      <c r="AE604" t="s">
        <v>2596</v>
      </c>
      <c r="AF604" t="s">
        <v>2596</v>
      </c>
      <c r="AG604" t="s">
        <v>2596</v>
      </c>
      <c r="AH604" t="s">
        <v>2596</v>
      </c>
    </row>
    <row r="605" spans="1:34" x14ac:dyDescent="0.25">
      <c r="A605" s="111" t="str">
        <f>HYPERLINK("http://www.ofsted.gov.uk/inspection-reports/find-inspection-report/provider/ELS/135555 ","Ofsted School Webpage")</f>
        <v>Ofsted School Webpage</v>
      </c>
      <c r="B605">
        <v>135555</v>
      </c>
      <c r="C605">
        <v>9096097</v>
      </c>
      <c r="D605" t="s">
        <v>1023</v>
      </c>
      <c r="E605" t="s">
        <v>37</v>
      </c>
      <c r="F605" t="s">
        <v>142</v>
      </c>
      <c r="G605" t="s">
        <v>142</v>
      </c>
      <c r="H605" t="s">
        <v>2595</v>
      </c>
      <c r="I605" t="s">
        <v>2596</v>
      </c>
      <c r="J605" t="s">
        <v>143</v>
      </c>
      <c r="K605" t="s">
        <v>162</v>
      </c>
      <c r="L605" t="s">
        <v>162</v>
      </c>
      <c r="M605" t="s">
        <v>895</v>
      </c>
      <c r="N605" t="s">
        <v>1024</v>
      </c>
      <c r="O605">
        <v>10006022</v>
      </c>
      <c r="P605" s="108">
        <v>42556</v>
      </c>
      <c r="Q605" s="108">
        <v>42558</v>
      </c>
      <c r="R605" s="108">
        <v>42671</v>
      </c>
      <c r="S605" t="s">
        <v>153</v>
      </c>
      <c r="T605">
        <v>2</v>
      </c>
      <c r="U605" t="s">
        <v>123</v>
      </c>
      <c r="V605">
        <v>2</v>
      </c>
      <c r="W605">
        <v>2</v>
      </c>
      <c r="X605">
        <v>2</v>
      </c>
      <c r="Y605">
        <f>VLOOKUP(Table_clu7sql1_ssdb_REPORT_vw_IE_External_MI_SON[[#This Row],[URN]],[1]Data!$D$2:$BB$1084,31,)</f>
        <v>2</v>
      </c>
      <c r="Z605" t="s">
        <v>2596</v>
      </c>
      <c r="AA605" t="s">
        <v>2596</v>
      </c>
      <c r="AB605" t="s">
        <v>2598</v>
      </c>
      <c r="AC605" t="s">
        <v>2596</v>
      </c>
      <c r="AD605" t="s">
        <v>2596</v>
      </c>
      <c r="AE605" s="108" t="s">
        <v>2596</v>
      </c>
      <c r="AF605" t="s">
        <v>2596</v>
      </c>
      <c r="AG605" s="108" t="s">
        <v>2596</v>
      </c>
      <c r="AH605" t="s">
        <v>2596</v>
      </c>
    </row>
    <row r="606" spans="1:34" x14ac:dyDescent="0.25">
      <c r="A606" s="111" t="str">
        <f>HYPERLINK("http://www.ofsted.gov.uk/inspection-reports/find-inspection-report/provider/ELS/135557 ","Ofsted School Webpage")</f>
        <v>Ofsted School Webpage</v>
      </c>
      <c r="B606">
        <v>135557</v>
      </c>
      <c r="C606">
        <v>3596009</v>
      </c>
      <c r="D606" t="s">
        <v>425</v>
      </c>
      <c r="E606" t="s">
        <v>37</v>
      </c>
      <c r="F606" t="s">
        <v>142</v>
      </c>
      <c r="G606" t="s">
        <v>142</v>
      </c>
      <c r="H606" t="s">
        <v>2595</v>
      </c>
      <c r="I606" t="s">
        <v>2596</v>
      </c>
      <c r="J606" t="s">
        <v>143</v>
      </c>
      <c r="K606" t="s">
        <v>162</v>
      </c>
      <c r="L606" t="s">
        <v>162</v>
      </c>
      <c r="M606" t="s">
        <v>426</v>
      </c>
      <c r="N606" t="s">
        <v>427</v>
      </c>
      <c r="O606">
        <v>10020749</v>
      </c>
      <c r="P606" s="108">
        <v>42689</v>
      </c>
      <c r="Q606" s="108">
        <v>42691</v>
      </c>
      <c r="R606" s="108">
        <v>42796</v>
      </c>
      <c r="S606" t="s">
        <v>153</v>
      </c>
      <c r="T606">
        <v>4</v>
      </c>
      <c r="U606" t="s">
        <v>123</v>
      </c>
      <c r="V606">
        <v>4</v>
      </c>
      <c r="W606">
        <v>4</v>
      </c>
      <c r="X606">
        <v>4</v>
      </c>
      <c r="Y606">
        <f>VLOOKUP(Table_clu7sql1_ssdb_REPORT_vw_IE_External_MI_SON[[#This Row],[URN]],[1]Data!$D$2:$BB$1084,31,)</f>
        <v>4</v>
      </c>
      <c r="Z606" t="s">
        <v>2596</v>
      </c>
      <c r="AA606">
        <v>4</v>
      </c>
      <c r="AB606" t="s">
        <v>2599</v>
      </c>
      <c r="AC606">
        <v>10039950</v>
      </c>
      <c r="AD606" t="s">
        <v>144</v>
      </c>
      <c r="AE606" s="108">
        <v>43012</v>
      </c>
      <c r="AF606" t="s">
        <v>2636</v>
      </c>
      <c r="AG606" s="108">
        <v>43047</v>
      </c>
      <c r="AH606" t="s">
        <v>146</v>
      </c>
    </row>
    <row r="607" spans="1:34" x14ac:dyDescent="0.25">
      <c r="A607" s="111" t="str">
        <f>HYPERLINK("http://www.ofsted.gov.uk/inspection-reports/find-inspection-report/provider/ELS/135561 ","Ofsted School Webpage")</f>
        <v>Ofsted School Webpage</v>
      </c>
      <c r="B607">
        <v>135561</v>
      </c>
      <c r="C607">
        <v>3306128</v>
      </c>
      <c r="D607" t="s">
        <v>647</v>
      </c>
      <c r="E607" t="s">
        <v>36</v>
      </c>
      <c r="F607" t="s">
        <v>142</v>
      </c>
      <c r="G607" t="s">
        <v>142</v>
      </c>
      <c r="H607" t="s">
        <v>2595</v>
      </c>
      <c r="I607" t="s">
        <v>2596</v>
      </c>
      <c r="J607" t="s">
        <v>143</v>
      </c>
      <c r="K607" t="s">
        <v>150</v>
      </c>
      <c r="L607" t="s">
        <v>150</v>
      </c>
      <c r="M607" t="s">
        <v>167</v>
      </c>
      <c r="N607" t="s">
        <v>648</v>
      </c>
      <c r="O607">
        <v>10020744</v>
      </c>
      <c r="P607" s="108">
        <v>43067</v>
      </c>
      <c r="Q607" s="108">
        <v>43069</v>
      </c>
      <c r="R607" s="108">
        <v>43125</v>
      </c>
      <c r="S607" t="s">
        <v>153</v>
      </c>
      <c r="T607">
        <v>2</v>
      </c>
      <c r="U607" t="s">
        <v>123</v>
      </c>
      <c r="V607">
        <v>2</v>
      </c>
      <c r="W607">
        <v>1</v>
      </c>
      <c r="X607">
        <v>2</v>
      </c>
      <c r="Y607">
        <f>VLOOKUP(Table_clu7sql1_ssdb_REPORT_vw_IE_External_MI_SON[[#This Row],[URN]],[1]Data!$D$2:$BB$1084,31,)</f>
        <v>2</v>
      </c>
      <c r="Z607" t="s">
        <v>2596</v>
      </c>
      <c r="AA607" t="s">
        <v>2596</v>
      </c>
      <c r="AB607" t="s">
        <v>2598</v>
      </c>
      <c r="AC607" t="s">
        <v>2596</v>
      </c>
      <c r="AD607" t="s">
        <v>2596</v>
      </c>
      <c r="AE607" s="108" t="s">
        <v>2596</v>
      </c>
      <c r="AF607" t="s">
        <v>2596</v>
      </c>
      <c r="AG607" s="108" t="s">
        <v>2596</v>
      </c>
      <c r="AH607" t="s">
        <v>2596</v>
      </c>
    </row>
    <row r="608" spans="1:34" x14ac:dyDescent="0.25">
      <c r="A608" s="111" t="str">
        <f>HYPERLINK("http://www.ofsted.gov.uk/inspection-reports/find-inspection-report/provider/ELS/135576 ","Ofsted School Webpage")</f>
        <v>Ofsted School Webpage</v>
      </c>
      <c r="B608">
        <v>135576</v>
      </c>
      <c r="C608">
        <v>8876130</v>
      </c>
      <c r="D608" t="s">
        <v>871</v>
      </c>
      <c r="E608" t="s">
        <v>37</v>
      </c>
      <c r="F608" t="s">
        <v>142</v>
      </c>
      <c r="G608" t="s">
        <v>142</v>
      </c>
      <c r="H608" t="s">
        <v>2595</v>
      </c>
      <c r="I608" t="s">
        <v>2596</v>
      </c>
      <c r="J608" t="s">
        <v>143</v>
      </c>
      <c r="K608" t="s">
        <v>139</v>
      </c>
      <c r="L608" t="s">
        <v>139</v>
      </c>
      <c r="M608" t="s">
        <v>229</v>
      </c>
      <c r="N608" t="s">
        <v>872</v>
      </c>
      <c r="O608">
        <v>10008610</v>
      </c>
      <c r="P608" s="108">
        <v>42528</v>
      </c>
      <c r="Q608" s="108">
        <v>42530</v>
      </c>
      <c r="R608" s="108">
        <v>42557</v>
      </c>
      <c r="S608" t="s">
        <v>153</v>
      </c>
      <c r="T608">
        <v>2</v>
      </c>
      <c r="U608" t="s">
        <v>123</v>
      </c>
      <c r="V608">
        <v>2</v>
      </c>
      <c r="W608">
        <v>2</v>
      </c>
      <c r="X608">
        <v>2</v>
      </c>
      <c r="Y608">
        <f>VLOOKUP(Table_clu7sql1_ssdb_REPORT_vw_IE_External_MI_SON[[#This Row],[URN]],[1]Data!$D$2:$BB$1084,31,)</f>
        <v>2</v>
      </c>
      <c r="Z608" t="s">
        <v>2596</v>
      </c>
      <c r="AA608">
        <v>2</v>
      </c>
      <c r="AB608" t="s">
        <v>2598</v>
      </c>
      <c r="AC608" t="s">
        <v>2596</v>
      </c>
      <c r="AD608" t="s">
        <v>2596</v>
      </c>
      <c r="AE608" s="108" t="s">
        <v>2596</v>
      </c>
      <c r="AF608" t="s">
        <v>2596</v>
      </c>
      <c r="AG608" s="108" t="s">
        <v>2596</v>
      </c>
      <c r="AH608" t="s">
        <v>2596</v>
      </c>
    </row>
    <row r="609" spans="1:34" x14ac:dyDescent="0.25">
      <c r="A609" s="111" t="str">
        <f>HYPERLINK("http://www.ofsted.gov.uk/inspection-reports/find-inspection-report/provider/ELS/135577 ","Ofsted School Webpage")</f>
        <v>Ofsted School Webpage</v>
      </c>
      <c r="B609">
        <v>135577</v>
      </c>
      <c r="C609">
        <v>9366593</v>
      </c>
      <c r="D609" t="s">
        <v>1394</v>
      </c>
      <c r="E609" t="s">
        <v>37</v>
      </c>
      <c r="F609" t="s">
        <v>142</v>
      </c>
      <c r="G609" t="s">
        <v>142</v>
      </c>
      <c r="H609" t="s">
        <v>2595</v>
      </c>
      <c r="I609" t="s">
        <v>2596</v>
      </c>
      <c r="J609" t="s">
        <v>143</v>
      </c>
      <c r="K609" t="s">
        <v>139</v>
      </c>
      <c r="L609" t="s">
        <v>139</v>
      </c>
      <c r="M609" t="s">
        <v>535</v>
      </c>
      <c r="N609" t="s">
        <v>1396</v>
      </c>
      <c r="O609">
        <v>10006049</v>
      </c>
      <c r="P609" s="108">
        <v>42647</v>
      </c>
      <c r="Q609" s="108">
        <v>42649</v>
      </c>
      <c r="R609" s="108">
        <v>42674</v>
      </c>
      <c r="S609" t="s">
        <v>3005</v>
      </c>
      <c r="T609">
        <v>2</v>
      </c>
      <c r="U609" t="s">
        <v>123</v>
      </c>
      <c r="V609">
        <v>2</v>
      </c>
      <c r="W609">
        <v>2</v>
      </c>
      <c r="X609">
        <v>2</v>
      </c>
      <c r="Y609">
        <f>VLOOKUP(Table_clu7sql1_ssdb_REPORT_vw_IE_External_MI_SON[[#This Row],[URN]],[1]Data!$D$2:$BB$1084,31,)</f>
        <v>2</v>
      </c>
      <c r="Z609" t="s">
        <v>2596</v>
      </c>
      <c r="AA609">
        <v>2</v>
      </c>
      <c r="AB609" t="s">
        <v>2598</v>
      </c>
      <c r="AC609" t="s">
        <v>2596</v>
      </c>
      <c r="AD609" t="s">
        <v>2596</v>
      </c>
      <c r="AE609" t="s">
        <v>2596</v>
      </c>
      <c r="AF609" t="s">
        <v>2596</v>
      </c>
      <c r="AG609" t="s">
        <v>2596</v>
      </c>
      <c r="AH609" t="s">
        <v>2596</v>
      </c>
    </row>
    <row r="610" spans="1:34" x14ac:dyDescent="0.25">
      <c r="A610" s="111" t="str">
        <f>HYPERLINK("http://www.ofsted.gov.uk/inspection-reports/find-inspection-report/provider/ELS/135594 ","Ofsted School Webpage")</f>
        <v>Ofsted School Webpage</v>
      </c>
      <c r="B610">
        <v>135594</v>
      </c>
      <c r="C610">
        <v>8816058</v>
      </c>
      <c r="D610" t="s">
        <v>2426</v>
      </c>
      <c r="E610" t="s">
        <v>36</v>
      </c>
      <c r="F610" t="s">
        <v>142</v>
      </c>
      <c r="G610" t="s">
        <v>142</v>
      </c>
      <c r="H610" t="s">
        <v>2595</v>
      </c>
      <c r="I610" t="s">
        <v>2596</v>
      </c>
      <c r="J610" t="s">
        <v>143</v>
      </c>
      <c r="K610" t="s">
        <v>177</v>
      </c>
      <c r="L610" t="s">
        <v>177</v>
      </c>
      <c r="M610" t="s">
        <v>280</v>
      </c>
      <c r="N610" t="s">
        <v>2427</v>
      </c>
      <c r="O610">
        <v>10026068</v>
      </c>
      <c r="P610" s="108">
        <v>42753</v>
      </c>
      <c r="Q610" s="108">
        <v>42755</v>
      </c>
      <c r="R610" s="108">
        <v>42794</v>
      </c>
      <c r="S610" t="s">
        <v>153</v>
      </c>
      <c r="T610">
        <v>2</v>
      </c>
      <c r="U610" t="s">
        <v>123</v>
      </c>
      <c r="V610">
        <v>2</v>
      </c>
      <c r="W610">
        <v>1</v>
      </c>
      <c r="X610">
        <v>2</v>
      </c>
      <c r="Y610">
        <f>VLOOKUP(Table_clu7sql1_ssdb_REPORT_vw_IE_External_MI_SON[[#This Row],[URN]],[1]Data!$D$2:$BB$1084,31,)</f>
        <v>2</v>
      </c>
      <c r="Z610">
        <v>2</v>
      </c>
      <c r="AA610" t="s">
        <v>2596</v>
      </c>
      <c r="AB610" t="s">
        <v>2598</v>
      </c>
      <c r="AC610" t="s">
        <v>2596</v>
      </c>
      <c r="AD610" t="s">
        <v>2596</v>
      </c>
      <c r="AE610" t="s">
        <v>2596</v>
      </c>
      <c r="AF610" t="s">
        <v>2596</v>
      </c>
      <c r="AG610" t="s">
        <v>2596</v>
      </c>
      <c r="AH610" t="s">
        <v>2596</v>
      </c>
    </row>
    <row r="611" spans="1:34" x14ac:dyDescent="0.25">
      <c r="A611" s="111" t="str">
        <f>HYPERLINK("http://www.ofsted.gov.uk/inspection-reports/find-inspection-report/provider/ELS/135596 ","Ofsted School Webpage")</f>
        <v>Ofsted School Webpage</v>
      </c>
      <c r="B611">
        <v>135596</v>
      </c>
      <c r="C611">
        <v>9196261</v>
      </c>
      <c r="D611" t="s">
        <v>2106</v>
      </c>
      <c r="E611" t="s">
        <v>36</v>
      </c>
      <c r="F611" t="s">
        <v>142</v>
      </c>
      <c r="G611" t="s">
        <v>644</v>
      </c>
      <c r="H611" t="s">
        <v>2595</v>
      </c>
      <c r="I611" t="s">
        <v>2596</v>
      </c>
      <c r="J611" t="s">
        <v>143</v>
      </c>
      <c r="K611" t="s">
        <v>177</v>
      </c>
      <c r="L611" t="s">
        <v>177</v>
      </c>
      <c r="M611" t="s">
        <v>773</v>
      </c>
      <c r="N611" t="s">
        <v>2107</v>
      </c>
      <c r="O611">
        <v>10026071</v>
      </c>
      <c r="P611" s="108">
        <v>42892</v>
      </c>
      <c r="Q611" s="108">
        <v>42894</v>
      </c>
      <c r="R611" s="108">
        <v>43013</v>
      </c>
      <c r="S611" t="s">
        <v>153</v>
      </c>
      <c r="T611">
        <v>3</v>
      </c>
      <c r="U611" t="s">
        <v>123</v>
      </c>
      <c r="V611">
        <v>3</v>
      </c>
      <c r="W611">
        <v>3</v>
      </c>
      <c r="X611">
        <v>3</v>
      </c>
      <c r="Y611">
        <f>VLOOKUP(Table_clu7sql1_ssdb_REPORT_vw_IE_External_MI_SON[[#This Row],[URN]],[1]Data!$D$2:$BB$1084,31,)</f>
        <v>3</v>
      </c>
      <c r="Z611">
        <v>2</v>
      </c>
      <c r="AA611" t="s">
        <v>2596</v>
      </c>
      <c r="AB611" t="s">
        <v>2599</v>
      </c>
      <c r="AC611" t="s">
        <v>2596</v>
      </c>
      <c r="AD611" t="s">
        <v>2596</v>
      </c>
      <c r="AE611" s="108" t="s">
        <v>2596</v>
      </c>
      <c r="AF611" t="s">
        <v>2596</v>
      </c>
      <c r="AG611" s="108" t="s">
        <v>2596</v>
      </c>
      <c r="AH611" t="s">
        <v>2596</v>
      </c>
    </row>
    <row r="612" spans="1:34" x14ac:dyDescent="0.25">
      <c r="A612" s="111" t="str">
        <f>HYPERLINK("http://www.ofsted.gov.uk/inspection-reports/find-inspection-report/provider/ELS/135604 ","Ofsted School Webpage")</f>
        <v>Ofsted School Webpage</v>
      </c>
      <c r="B612">
        <v>135604</v>
      </c>
      <c r="C612">
        <v>8256040</v>
      </c>
      <c r="D612" t="s">
        <v>828</v>
      </c>
      <c r="E612" t="s">
        <v>37</v>
      </c>
      <c r="F612" t="s">
        <v>142</v>
      </c>
      <c r="G612" t="s">
        <v>142</v>
      </c>
      <c r="H612" t="s">
        <v>2595</v>
      </c>
      <c r="I612" t="s">
        <v>2596</v>
      </c>
      <c r="J612" t="s">
        <v>143</v>
      </c>
      <c r="K612" t="s">
        <v>139</v>
      </c>
      <c r="L612" t="s">
        <v>139</v>
      </c>
      <c r="M612" t="s">
        <v>208</v>
      </c>
      <c r="N612" t="s">
        <v>829</v>
      </c>
      <c r="O612">
        <v>10006103</v>
      </c>
      <c r="P612" s="108">
        <v>42864</v>
      </c>
      <c r="Q612" s="108">
        <v>42866</v>
      </c>
      <c r="R612" s="108">
        <v>42887</v>
      </c>
      <c r="S612" t="s">
        <v>153</v>
      </c>
      <c r="T612">
        <v>2</v>
      </c>
      <c r="U612" t="s">
        <v>123</v>
      </c>
      <c r="V612">
        <v>2</v>
      </c>
      <c r="W612">
        <v>2</v>
      </c>
      <c r="X612">
        <v>2</v>
      </c>
      <c r="Y612">
        <f>VLOOKUP(Table_clu7sql1_ssdb_REPORT_vw_IE_External_MI_SON[[#This Row],[URN]],[1]Data!$D$2:$BB$1084,31,)</f>
        <v>2</v>
      </c>
      <c r="Z612" t="s">
        <v>2596</v>
      </c>
      <c r="AA612" t="s">
        <v>2596</v>
      </c>
      <c r="AB612" t="s">
        <v>2598</v>
      </c>
      <c r="AC612" t="s">
        <v>2596</v>
      </c>
      <c r="AD612" t="s">
        <v>2596</v>
      </c>
      <c r="AE612" s="108" t="s">
        <v>2596</v>
      </c>
      <c r="AF612" t="s">
        <v>2596</v>
      </c>
      <c r="AG612" s="108" t="s">
        <v>2596</v>
      </c>
      <c r="AH612" t="s">
        <v>2596</v>
      </c>
    </row>
    <row r="613" spans="1:34" x14ac:dyDescent="0.25">
      <c r="A613" s="111" t="str">
        <f>HYPERLINK("http://www.ofsted.gov.uk/inspection-reports/find-inspection-report/provider/ELS/135608 ","Ofsted School Webpage")</f>
        <v>Ofsted School Webpage</v>
      </c>
      <c r="B613">
        <v>135608</v>
      </c>
      <c r="C613">
        <v>3306129</v>
      </c>
      <c r="D613" t="s">
        <v>165</v>
      </c>
      <c r="E613" t="s">
        <v>36</v>
      </c>
      <c r="F613" t="s">
        <v>142</v>
      </c>
      <c r="G613" t="s">
        <v>169</v>
      </c>
      <c r="H613" t="s">
        <v>2595</v>
      </c>
      <c r="I613" t="s">
        <v>2596</v>
      </c>
      <c r="J613" t="s">
        <v>143</v>
      </c>
      <c r="K613" t="s">
        <v>150</v>
      </c>
      <c r="L613" t="s">
        <v>150</v>
      </c>
      <c r="M613" t="s">
        <v>167</v>
      </c>
      <c r="N613" t="s">
        <v>168</v>
      </c>
      <c r="O613">
        <v>10006093</v>
      </c>
      <c r="P613" s="108">
        <v>43011</v>
      </c>
      <c r="Q613" s="108">
        <v>43013</v>
      </c>
      <c r="R613" s="108">
        <v>43045</v>
      </c>
      <c r="S613" t="s">
        <v>153</v>
      </c>
      <c r="T613">
        <v>2</v>
      </c>
      <c r="U613" t="s">
        <v>123</v>
      </c>
      <c r="V613">
        <v>2</v>
      </c>
      <c r="W613">
        <v>2</v>
      </c>
      <c r="X613">
        <v>2</v>
      </c>
      <c r="Y613">
        <f>VLOOKUP(Table_clu7sql1_ssdb_REPORT_vw_IE_External_MI_SON[[#This Row],[URN]],[1]Data!$D$2:$BB$1084,31,)</f>
        <v>2</v>
      </c>
      <c r="Z613" t="s">
        <v>2596</v>
      </c>
      <c r="AA613" t="s">
        <v>2596</v>
      </c>
      <c r="AB613" t="s">
        <v>2598</v>
      </c>
      <c r="AC613" t="s">
        <v>2596</v>
      </c>
      <c r="AD613" t="s">
        <v>2596</v>
      </c>
      <c r="AE613" t="s">
        <v>2596</v>
      </c>
      <c r="AF613" t="s">
        <v>2596</v>
      </c>
      <c r="AG613" t="s">
        <v>2596</v>
      </c>
      <c r="AH613" t="s">
        <v>2596</v>
      </c>
    </row>
    <row r="614" spans="1:34" x14ac:dyDescent="0.25">
      <c r="A614" s="111" t="str">
        <f>HYPERLINK("http://www.ofsted.gov.uk/inspection-reports/find-inspection-report/provider/ELS/135616 ","Ofsted School Webpage")</f>
        <v>Ofsted School Webpage</v>
      </c>
      <c r="B614">
        <v>135616</v>
      </c>
      <c r="C614">
        <v>2076408</v>
      </c>
      <c r="D614" t="s">
        <v>1801</v>
      </c>
      <c r="E614" t="s">
        <v>37</v>
      </c>
      <c r="F614" t="s">
        <v>142</v>
      </c>
      <c r="G614" t="s">
        <v>142</v>
      </c>
      <c r="H614" t="s">
        <v>2595</v>
      </c>
      <c r="I614" t="s">
        <v>2596</v>
      </c>
      <c r="J614" t="s">
        <v>143</v>
      </c>
      <c r="K614" t="s">
        <v>189</v>
      </c>
      <c r="L614" t="s">
        <v>189</v>
      </c>
      <c r="M614" t="s">
        <v>251</v>
      </c>
      <c r="N614" t="s">
        <v>1802</v>
      </c>
      <c r="O614">
        <v>10008525</v>
      </c>
      <c r="P614" s="108">
        <v>42381</v>
      </c>
      <c r="Q614" s="108">
        <v>42383</v>
      </c>
      <c r="R614" s="108">
        <v>42403</v>
      </c>
      <c r="S614" t="s">
        <v>153</v>
      </c>
      <c r="T614">
        <v>1</v>
      </c>
      <c r="U614" t="s">
        <v>123</v>
      </c>
      <c r="V614">
        <v>1</v>
      </c>
      <c r="W614">
        <v>1</v>
      </c>
      <c r="X614">
        <v>1</v>
      </c>
      <c r="Y614">
        <f>VLOOKUP(Table_clu7sql1_ssdb_REPORT_vw_IE_External_MI_SON[[#This Row],[URN]],[1]Data!$D$2:$BB$1084,31,)</f>
        <v>1</v>
      </c>
      <c r="Z614" t="s">
        <v>2596</v>
      </c>
      <c r="AA614" t="s">
        <v>2596</v>
      </c>
      <c r="AB614" t="s">
        <v>2598</v>
      </c>
      <c r="AC614" t="s">
        <v>2596</v>
      </c>
      <c r="AD614" t="s">
        <v>2596</v>
      </c>
      <c r="AE614" t="s">
        <v>2596</v>
      </c>
      <c r="AF614" t="s">
        <v>2596</v>
      </c>
      <c r="AG614" t="s">
        <v>2596</v>
      </c>
      <c r="AH614" t="s">
        <v>2596</v>
      </c>
    </row>
    <row r="615" spans="1:34" x14ac:dyDescent="0.25">
      <c r="A615" s="111" t="str">
        <f>HYPERLINK("http://www.ofsted.gov.uk/inspection-reports/find-inspection-report/provider/ELS/135623 ","Ofsted School Webpage")</f>
        <v>Ofsted School Webpage</v>
      </c>
      <c r="B615">
        <v>135623</v>
      </c>
      <c r="C615">
        <v>8866132</v>
      </c>
      <c r="D615" t="s">
        <v>1373</v>
      </c>
      <c r="E615" t="s">
        <v>37</v>
      </c>
      <c r="F615" t="s">
        <v>142</v>
      </c>
      <c r="G615" t="s">
        <v>142</v>
      </c>
      <c r="H615" t="s">
        <v>2595</v>
      </c>
      <c r="I615" t="s">
        <v>2596</v>
      </c>
      <c r="J615" t="s">
        <v>143</v>
      </c>
      <c r="K615" t="s">
        <v>139</v>
      </c>
      <c r="L615" t="s">
        <v>139</v>
      </c>
      <c r="M615" t="s">
        <v>140</v>
      </c>
      <c r="N615" t="s">
        <v>1374</v>
      </c>
      <c r="O615">
        <v>10006350</v>
      </c>
      <c r="P615" s="108">
        <v>42633</v>
      </c>
      <c r="Q615" s="108">
        <v>42634</v>
      </c>
      <c r="R615" s="108">
        <v>42661</v>
      </c>
      <c r="S615" t="s">
        <v>3005</v>
      </c>
      <c r="T615">
        <v>3</v>
      </c>
      <c r="U615" t="s">
        <v>123</v>
      </c>
      <c r="V615">
        <v>3</v>
      </c>
      <c r="W615">
        <v>3</v>
      </c>
      <c r="X615">
        <v>2</v>
      </c>
      <c r="Y615">
        <f>VLOOKUP(Table_clu7sql1_ssdb_REPORT_vw_IE_External_MI_SON[[#This Row],[URN]],[1]Data!$D$2:$BB$1084,31,)</f>
        <v>2</v>
      </c>
      <c r="Z615" t="s">
        <v>2596</v>
      </c>
      <c r="AA615" t="s">
        <v>2596</v>
      </c>
      <c r="AB615" t="s">
        <v>2599</v>
      </c>
      <c r="AC615" t="s">
        <v>2596</v>
      </c>
      <c r="AD615" t="s">
        <v>2596</v>
      </c>
      <c r="AE615" s="108" t="s">
        <v>2596</v>
      </c>
      <c r="AF615" t="s">
        <v>2596</v>
      </c>
      <c r="AG615" s="108" t="s">
        <v>2596</v>
      </c>
      <c r="AH615" t="s">
        <v>2596</v>
      </c>
    </row>
    <row r="616" spans="1:34" x14ac:dyDescent="0.25">
      <c r="A616" s="111" t="str">
        <f>HYPERLINK("http://www.ofsted.gov.uk/inspection-reports/find-inspection-report/provider/ELS/135633 ","Ofsted School Webpage")</f>
        <v>Ofsted School Webpage</v>
      </c>
      <c r="B616">
        <v>135633</v>
      </c>
      <c r="C616">
        <v>3556056</v>
      </c>
      <c r="D616" t="s">
        <v>803</v>
      </c>
      <c r="E616" t="s">
        <v>37</v>
      </c>
      <c r="F616" t="s">
        <v>275</v>
      </c>
      <c r="G616" t="s">
        <v>275</v>
      </c>
      <c r="H616" t="s">
        <v>2595</v>
      </c>
      <c r="I616" t="s">
        <v>2596</v>
      </c>
      <c r="J616" t="s">
        <v>143</v>
      </c>
      <c r="K616" t="s">
        <v>162</v>
      </c>
      <c r="L616" t="s">
        <v>162</v>
      </c>
      <c r="M616" t="s">
        <v>804</v>
      </c>
      <c r="N616" t="s">
        <v>805</v>
      </c>
      <c r="O616" t="s">
        <v>806</v>
      </c>
      <c r="P616" s="108">
        <v>42137</v>
      </c>
      <c r="Q616" s="108">
        <v>42139</v>
      </c>
      <c r="R616" s="108">
        <v>42174</v>
      </c>
      <c r="S616" t="s">
        <v>153</v>
      </c>
      <c r="T616">
        <v>2</v>
      </c>
      <c r="U616" t="s">
        <v>2596</v>
      </c>
      <c r="V616">
        <v>2</v>
      </c>
      <c r="W616" t="s">
        <v>2596</v>
      </c>
      <c r="X616">
        <v>2</v>
      </c>
      <c r="Y616">
        <f>VLOOKUP(Table_clu7sql1_ssdb_REPORT_vw_IE_External_MI_SON[[#This Row],[URN]],[1]Data!$D$2:$BB$1084,31,)</f>
        <v>2</v>
      </c>
      <c r="Z616">
        <v>2</v>
      </c>
      <c r="AA616">
        <v>9</v>
      </c>
      <c r="AB616" t="s">
        <v>2598</v>
      </c>
      <c r="AC616" t="s">
        <v>2596</v>
      </c>
      <c r="AD616" t="s">
        <v>2596</v>
      </c>
      <c r="AE616" t="s">
        <v>2596</v>
      </c>
      <c r="AF616" t="s">
        <v>2596</v>
      </c>
      <c r="AG616" t="s">
        <v>2596</v>
      </c>
      <c r="AH616" t="s">
        <v>2596</v>
      </c>
    </row>
    <row r="617" spans="1:34" x14ac:dyDescent="0.25">
      <c r="A617" s="111" t="str">
        <f>HYPERLINK("http://www.ofsted.gov.uk/inspection-reports/find-inspection-report/provider/ELS/135670 ","Ofsted School Webpage")</f>
        <v>Ofsted School Webpage</v>
      </c>
      <c r="B617">
        <v>135670</v>
      </c>
      <c r="C617">
        <v>3056080</v>
      </c>
      <c r="D617" t="s">
        <v>1811</v>
      </c>
      <c r="E617" t="s">
        <v>37</v>
      </c>
      <c r="F617" t="s">
        <v>142</v>
      </c>
      <c r="G617" t="s">
        <v>142</v>
      </c>
      <c r="H617" t="s">
        <v>2595</v>
      </c>
      <c r="I617" t="s">
        <v>2596</v>
      </c>
      <c r="J617" t="s">
        <v>143</v>
      </c>
      <c r="K617" t="s">
        <v>189</v>
      </c>
      <c r="L617" t="s">
        <v>189</v>
      </c>
      <c r="M617" t="s">
        <v>540</v>
      </c>
      <c r="N617" t="s">
        <v>1812</v>
      </c>
      <c r="O617">
        <v>10012823</v>
      </c>
      <c r="P617" s="108">
        <v>43081</v>
      </c>
      <c r="Q617" s="108">
        <v>43083</v>
      </c>
      <c r="R617" s="108">
        <v>43126</v>
      </c>
      <c r="S617" t="s">
        <v>153</v>
      </c>
      <c r="T617">
        <v>2</v>
      </c>
      <c r="U617" t="s">
        <v>123</v>
      </c>
      <c r="V617">
        <v>2</v>
      </c>
      <c r="W617">
        <v>2</v>
      </c>
      <c r="X617">
        <v>2</v>
      </c>
      <c r="Y617">
        <f>VLOOKUP(Table_clu7sql1_ssdb_REPORT_vw_IE_External_MI_SON[[#This Row],[URN]],[1]Data!$D$2:$BB$1084,31,)</f>
        <v>2</v>
      </c>
      <c r="Z617" t="s">
        <v>2596</v>
      </c>
      <c r="AA617" t="s">
        <v>2596</v>
      </c>
      <c r="AB617" t="s">
        <v>2598</v>
      </c>
      <c r="AC617" t="s">
        <v>2596</v>
      </c>
      <c r="AD617" t="s">
        <v>2596</v>
      </c>
      <c r="AE617" t="s">
        <v>2596</v>
      </c>
      <c r="AF617" t="s">
        <v>2596</v>
      </c>
      <c r="AG617" t="s">
        <v>2596</v>
      </c>
      <c r="AH617" t="s">
        <v>2596</v>
      </c>
    </row>
    <row r="618" spans="1:34" x14ac:dyDescent="0.25">
      <c r="A618" s="111" t="str">
        <f>HYPERLINK("http://www.ofsted.gov.uk/inspection-reports/find-inspection-report/provider/ELS/135673 ","Ofsted School Webpage")</f>
        <v>Ofsted School Webpage</v>
      </c>
      <c r="B618">
        <v>135673</v>
      </c>
      <c r="C618">
        <v>9336216</v>
      </c>
      <c r="D618" t="s">
        <v>218</v>
      </c>
      <c r="E618" t="s">
        <v>37</v>
      </c>
      <c r="F618" t="s">
        <v>142</v>
      </c>
      <c r="G618" t="s">
        <v>142</v>
      </c>
      <c r="H618" t="s">
        <v>2595</v>
      </c>
      <c r="I618" t="s">
        <v>2596</v>
      </c>
      <c r="J618" t="s">
        <v>143</v>
      </c>
      <c r="K618" t="s">
        <v>182</v>
      </c>
      <c r="L618" t="s">
        <v>182</v>
      </c>
      <c r="M618" t="s">
        <v>219</v>
      </c>
      <c r="N618" t="s">
        <v>220</v>
      </c>
      <c r="O618">
        <v>10008277</v>
      </c>
      <c r="P618" s="108">
        <v>42325</v>
      </c>
      <c r="Q618" s="108">
        <v>42327</v>
      </c>
      <c r="R618" s="108">
        <v>42405</v>
      </c>
      <c r="S618" t="s">
        <v>153</v>
      </c>
      <c r="T618">
        <v>4</v>
      </c>
      <c r="U618" t="s">
        <v>124</v>
      </c>
      <c r="V618">
        <v>4</v>
      </c>
      <c r="W618">
        <v>4</v>
      </c>
      <c r="X618">
        <v>3</v>
      </c>
      <c r="Y618">
        <f>VLOOKUP(Table_clu7sql1_ssdb_REPORT_vw_IE_External_MI_SON[[#This Row],[URN]],[1]Data!$D$2:$BB$1084,31,)</f>
        <v>3</v>
      </c>
      <c r="Z618" t="s">
        <v>2596</v>
      </c>
      <c r="AA618" t="s">
        <v>2596</v>
      </c>
      <c r="AB618" t="s">
        <v>2599</v>
      </c>
      <c r="AC618">
        <v>10022390</v>
      </c>
      <c r="AD618" t="s">
        <v>144</v>
      </c>
      <c r="AE618" s="108">
        <v>42676</v>
      </c>
      <c r="AF618" t="s">
        <v>2634</v>
      </c>
      <c r="AG618" s="108">
        <v>42713</v>
      </c>
      <c r="AH618" t="s">
        <v>146</v>
      </c>
    </row>
    <row r="619" spans="1:34" x14ac:dyDescent="0.25">
      <c r="A619" s="111" t="str">
        <f>HYPERLINK("http://www.ofsted.gov.uk/inspection-reports/find-inspection-report/provider/ELS/135683 ","Ofsted School Webpage")</f>
        <v>Ofsted School Webpage</v>
      </c>
      <c r="B619">
        <v>135683</v>
      </c>
      <c r="C619">
        <v>3096002</v>
      </c>
      <c r="D619" t="s">
        <v>1330</v>
      </c>
      <c r="E619" t="s">
        <v>37</v>
      </c>
      <c r="F619" t="s">
        <v>142</v>
      </c>
      <c r="G619" t="s">
        <v>142</v>
      </c>
      <c r="H619" t="s">
        <v>2595</v>
      </c>
      <c r="I619" t="s">
        <v>2596</v>
      </c>
      <c r="J619" t="s">
        <v>143</v>
      </c>
      <c r="K619" t="s">
        <v>189</v>
      </c>
      <c r="L619" t="s">
        <v>189</v>
      </c>
      <c r="M619" t="s">
        <v>650</v>
      </c>
      <c r="N619" t="s">
        <v>1331</v>
      </c>
      <c r="O619">
        <v>10008529</v>
      </c>
      <c r="P619" s="108">
        <v>42402</v>
      </c>
      <c r="Q619" s="108">
        <v>42404</v>
      </c>
      <c r="R619" s="108">
        <v>42472</v>
      </c>
      <c r="S619" t="s">
        <v>153</v>
      </c>
      <c r="T619">
        <v>2</v>
      </c>
      <c r="U619" t="s">
        <v>123</v>
      </c>
      <c r="V619">
        <v>2</v>
      </c>
      <c r="W619">
        <v>2</v>
      </c>
      <c r="X619">
        <v>2</v>
      </c>
      <c r="Y619">
        <f>VLOOKUP(Table_clu7sql1_ssdb_REPORT_vw_IE_External_MI_SON[[#This Row],[URN]],[1]Data!$D$2:$BB$1084,31,)</f>
        <v>2</v>
      </c>
      <c r="Z619">
        <v>2</v>
      </c>
      <c r="AA619" t="s">
        <v>2596</v>
      </c>
      <c r="AB619" t="s">
        <v>2598</v>
      </c>
      <c r="AC619" t="s">
        <v>2596</v>
      </c>
      <c r="AD619" t="s">
        <v>2596</v>
      </c>
      <c r="AE619" t="s">
        <v>2596</v>
      </c>
      <c r="AF619" t="s">
        <v>2596</v>
      </c>
      <c r="AG619" t="s">
        <v>2596</v>
      </c>
      <c r="AH619" t="s">
        <v>2596</v>
      </c>
    </row>
    <row r="620" spans="1:34" x14ac:dyDescent="0.25">
      <c r="A620" s="111" t="str">
        <f>HYPERLINK("http://www.ofsted.gov.uk/inspection-reports/find-inspection-report/provider/ELS/135688 ","Ofsted School Webpage")</f>
        <v>Ofsted School Webpage</v>
      </c>
      <c r="B620">
        <v>135688</v>
      </c>
      <c r="C620">
        <v>3306205</v>
      </c>
      <c r="D620" t="s">
        <v>1939</v>
      </c>
      <c r="E620" t="s">
        <v>36</v>
      </c>
      <c r="F620" t="s">
        <v>142</v>
      </c>
      <c r="G620" t="s">
        <v>142</v>
      </c>
      <c r="H620" t="s">
        <v>2595</v>
      </c>
      <c r="I620" t="s">
        <v>2596</v>
      </c>
      <c r="J620" t="s">
        <v>143</v>
      </c>
      <c r="K620" t="s">
        <v>150</v>
      </c>
      <c r="L620" t="s">
        <v>150</v>
      </c>
      <c r="M620" t="s">
        <v>167</v>
      </c>
      <c r="N620" t="s">
        <v>1940</v>
      </c>
      <c r="O620">
        <v>10006060</v>
      </c>
      <c r="P620" s="108">
        <v>42871</v>
      </c>
      <c r="Q620" s="108">
        <v>42873</v>
      </c>
      <c r="R620" s="108">
        <v>42913</v>
      </c>
      <c r="S620" t="s">
        <v>153</v>
      </c>
      <c r="T620">
        <v>2</v>
      </c>
      <c r="U620" t="s">
        <v>123</v>
      </c>
      <c r="V620">
        <v>2</v>
      </c>
      <c r="W620">
        <v>2</v>
      </c>
      <c r="X620">
        <v>2</v>
      </c>
      <c r="Y620">
        <f>VLOOKUP(Table_clu7sql1_ssdb_REPORT_vw_IE_External_MI_SON[[#This Row],[URN]],[1]Data!$D$2:$BB$1084,31,)</f>
        <v>2</v>
      </c>
      <c r="Z620" t="s">
        <v>2596</v>
      </c>
      <c r="AA620" t="s">
        <v>2596</v>
      </c>
      <c r="AB620" t="s">
        <v>2598</v>
      </c>
      <c r="AC620" t="s">
        <v>2596</v>
      </c>
      <c r="AD620" t="s">
        <v>2596</v>
      </c>
      <c r="AE620" s="108" t="s">
        <v>2596</v>
      </c>
      <c r="AF620" t="s">
        <v>2596</v>
      </c>
      <c r="AG620" s="108" t="s">
        <v>2596</v>
      </c>
      <c r="AH620" t="s">
        <v>2596</v>
      </c>
    </row>
    <row r="621" spans="1:34" x14ac:dyDescent="0.25">
      <c r="A621" s="111" t="str">
        <f>HYPERLINK("http://www.ofsted.gov.uk/inspection-reports/find-inspection-report/provider/ELS/135689 ","Ofsted School Webpage")</f>
        <v>Ofsted School Webpage</v>
      </c>
      <c r="B621">
        <v>135689</v>
      </c>
      <c r="C621">
        <v>9356226</v>
      </c>
      <c r="D621" t="s">
        <v>717</v>
      </c>
      <c r="E621" t="s">
        <v>36</v>
      </c>
      <c r="F621" t="s">
        <v>142</v>
      </c>
      <c r="G621" t="s">
        <v>142</v>
      </c>
      <c r="H621" t="s">
        <v>2595</v>
      </c>
      <c r="I621" t="s">
        <v>2596</v>
      </c>
      <c r="J621" t="s">
        <v>143</v>
      </c>
      <c r="K621" t="s">
        <v>177</v>
      </c>
      <c r="L621" t="s">
        <v>177</v>
      </c>
      <c r="M621" t="s">
        <v>254</v>
      </c>
      <c r="N621" t="s">
        <v>718</v>
      </c>
      <c r="O621">
        <v>10008596</v>
      </c>
      <c r="P621" s="108">
        <v>42626</v>
      </c>
      <c r="Q621" s="108">
        <v>42628</v>
      </c>
      <c r="R621" s="108">
        <v>42675</v>
      </c>
      <c r="S621" t="s">
        <v>153</v>
      </c>
      <c r="T621">
        <v>2</v>
      </c>
      <c r="U621" t="s">
        <v>123</v>
      </c>
      <c r="V621">
        <v>2</v>
      </c>
      <c r="W621">
        <v>1</v>
      </c>
      <c r="X621">
        <v>2</v>
      </c>
      <c r="Y621">
        <f>VLOOKUP(Table_clu7sql1_ssdb_REPORT_vw_IE_External_MI_SON[[#This Row],[URN]],[1]Data!$D$2:$BB$1084,31,)</f>
        <v>2</v>
      </c>
      <c r="Z621">
        <v>2</v>
      </c>
      <c r="AA621" t="s">
        <v>2596</v>
      </c>
      <c r="AB621" t="s">
        <v>2598</v>
      </c>
      <c r="AC621" t="s">
        <v>2596</v>
      </c>
      <c r="AD621" t="s">
        <v>2596</v>
      </c>
      <c r="AE621" s="108" t="s">
        <v>2596</v>
      </c>
      <c r="AF621" t="s">
        <v>2596</v>
      </c>
      <c r="AG621" s="108" t="s">
        <v>2596</v>
      </c>
      <c r="AH621" t="s">
        <v>2596</v>
      </c>
    </row>
    <row r="622" spans="1:34" x14ac:dyDescent="0.25">
      <c r="A622" s="111" t="str">
        <f>HYPERLINK("http://www.ofsted.gov.uk/inspection-reports/find-inspection-report/provider/ELS/135691 ","Ofsted School Webpage")</f>
        <v>Ofsted School Webpage</v>
      </c>
      <c r="B622">
        <v>135691</v>
      </c>
      <c r="C622">
        <v>9386228</v>
      </c>
      <c r="D622" t="s">
        <v>1165</v>
      </c>
      <c r="E622" t="s">
        <v>37</v>
      </c>
      <c r="F622" t="s">
        <v>142</v>
      </c>
      <c r="G622" t="s">
        <v>142</v>
      </c>
      <c r="H622" t="s">
        <v>2595</v>
      </c>
      <c r="I622" t="s">
        <v>2596</v>
      </c>
      <c r="J622" t="s">
        <v>143</v>
      </c>
      <c r="K622" t="s">
        <v>139</v>
      </c>
      <c r="L622" t="s">
        <v>139</v>
      </c>
      <c r="M622" t="s">
        <v>351</v>
      </c>
      <c r="N622" t="s">
        <v>1166</v>
      </c>
      <c r="O622">
        <v>10006052</v>
      </c>
      <c r="P622" s="108">
        <v>42654</v>
      </c>
      <c r="Q622" s="108">
        <v>42656</v>
      </c>
      <c r="R622" s="108">
        <v>42690</v>
      </c>
      <c r="S622" t="s">
        <v>153</v>
      </c>
      <c r="T622">
        <v>2</v>
      </c>
      <c r="U622" t="s">
        <v>123</v>
      </c>
      <c r="V622">
        <v>2</v>
      </c>
      <c r="W622">
        <v>2</v>
      </c>
      <c r="X622">
        <v>2</v>
      </c>
      <c r="Y622">
        <f>VLOOKUP(Table_clu7sql1_ssdb_REPORT_vw_IE_External_MI_SON[[#This Row],[URN]],[1]Data!$D$2:$BB$1084,31,)</f>
        <v>2</v>
      </c>
      <c r="Z622" t="s">
        <v>2596</v>
      </c>
      <c r="AA622" t="s">
        <v>2596</v>
      </c>
      <c r="AB622" t="s">
        <v>2598</v>
      </c>
      <c r="AC622" t="s">
        <v>2596</v>
      </c>
      <c r="AD622" t="s">
        <v>2596</v>
      </c>
      <c r="AE622" t="s">
        <v>2596</v>
      </c>
      <c r="AF622" t="s">
        <v>2596</v>
      </c>
      <c r="AG622" t="s">
        <v>2596</v>
      </c>
      <c r="AH622" t="s">
        <v>2596</v>
      </c>
    </row>
    <row r="623" spans="1:34" x14ac:dyDescent="0.25">
      <c r="A623" s="111" t="str">
        <f>HYPERLINK("http://www.ofsted.gov.uk/inspection-reports/find-inspection-report/provider/ELS/135699 ","Ofsted School Webpage")</f>
        <v>Ofsted School Webpage</v>
      </c>
      <c r="B623">
        <v>135699</v>
      </c>
      <c r="C623">
        <v>8216205</v>
      </c>
      <c r="D623" t="s">
        <v>2207</v>
      </c>
      <c r="E623" t="s">
        <v>36</v>
      </c>
      <c r="F623" t="s">
        <v>142</v>
      </c>
      <c r="G623" t="s">
        <v>169</v>
      </c>
      <c r="H623" t="s">
        <v>2595</v>
      </c>
      <c r="I623" t="s">
        <v>2596</v>
      </c>
      <c r="J623" t="s">
        <v>143</v>
      </c>
      <c r="K623" t="s">
        <v>177</v>
      </c>
      <c r="L623" t="s">
        <v>177</v>
      </c>
      <c r="M623" t="s">
        <v>178</v>
      </c>
      <c r="N623" t="s">
        <v>2208</v>
      </c>
      <c r="O623">
        <v>10020921</v>
      </c>
      <c r="P623" s="108">
        <v>42661</v>
      </c>
      <c r="Q623" s="108">
        <v>42663</v>
      </c>
      <c r="R623" s="108">
        <v>42709</v>
      </c>
      <c r="S623" t="s">
        <v>153</v>
      </c>
      <c r="T623">
        <v>4</v>
      </c>
      <c r="U623" t="s">
        <v>124</v>
      </c>
      <c r="V623">
        <v>4</v>
      </c>
      <c r="W623">
        <v>4</v>
      </c>
      <c r="X623">
        <v>4</v>
      </c>
      <c r="Y623">
        <f>VLOOKUP(Table_clu7sql1_ssdb_REPORT_vw_IE_External_MI_SON[[#This Row],[URN]],[1]Data!$D$2:$BB$1084,31,)</f>
        <v>4</v>
      </c>
      <c r="Z623">
        <v>4</v>
      </c>
      <c r="AA623">
        <v>0</v>
      </c>
      <c r="AB623" t="s">
        <v>2599</v>
      </c>
      <c r="AC623">
        <v>10034634</v>
      </c>
      <c r="AD623" t="s">
        <v>144</v>
      </c>
      <c r="AE623" s="108">
        <v>42907</v>
      </c>
      <c r="AF623" t="s">
        <v>2634</v>
      </c>
      <c r="AG623" s="108">
        <v>42930</v>
      </c>
      <c r="AH623" t="s">
        <v>174</v>
      </c>
    </row>
    <row r="624" spans="1:34" x14ac:dyDescent="0.25">
      <c r="A624" s="111" t="str">
        <f>HYPERLINK("http://www.ofsted.gov.uk/inspection-reports/find-inspection-report/provider/ELS/135729 ","Ofsted School Webpage")</f>
        <v>Ofsted School Webpage</v>
      </c>
      <c r="B624">
        <v>135729</v>
      </c>
      <c r="C624">
        <v>2056200</v>
      </c>
      <c r="D624" t="s">
        <v>2466</v>
      </c>
      <c r="E624" t="s">
        <v>36</v>
      </c>
      <c r="F624" t="s">
        <v>142</v>
      </c>
      <c r="G624" t="s">
        <v>142</v>
      </c>
      <c r="H624" t="s">
        <v>2595</v>
      </c>
      <c r="I624" t="s">
        <v>2596</v>
      </c>
      <c r="J624" t="s">
        <v>143</v>
      </c>
      <c r="K624" t="s">
        <v>189</v>
      </c>
      <c r="L624" t="s">
        <v>189</v>
      </c>
      <c r="M624" t="s">
        <v>257</v>
      </c>
      <c r="N624" t="s">
        <v>2467</v>
      </c>
      <c r="O624">
        <v>10012783</v>
      </c>
      <c r="P624" s="108">
        <v>42899</v>
      </c>
      <c r="Q624" s="108">
        <v>42901</v>
      </c>
      <c r="R624" s="108">
        <v>42929</v>
      </c>
      <c r="S624" t="s">
        <v>153</v>
      </c>
      <c r="T624">
        <v>1</v>
      </c>
      <c r="U624" t="s">
        <v>123</v>
      </c>
      <c r="V624">
        <v>1</v>
      </c>
      <c r="W624">
        <v>1</v>
      </c>
      <c r="X624">
        <v>1</v>
      </c>
      <c r="Y624">
        <f>VLOOKUP(Table_clu7sql1_ssdb_REPORT_vw_IE_External_MI_SON[[#This Row],[URN]],[1]Data!$D$2:$BB$1084,31,)</f>
        <v>1</v>
      </c>
      <c r="Z624" t="s">
        <v>2596</v>
      </c>
      <c r="AA624" t="s">
        <v>2596</v>
      </c>
      <c r="AB624" t="s">
        <v>2598</v>
      </c>
      <c r="AC624" t="s">
        <v>2596</v>
      </c>
      <c r="AD624" t="s">
        <v>2596</v>
      </c>
      <c r="AE624" s="108" t="s">
        <v>2596</v>
      </c>
      <c r="AF624" t="s">
        <v>2596</v>
      </c>
      <c r="AG624" s="108" t="s">
        <v>2596</v>
      </c>
      <c r="AH624" t="s">
        <v>2596</v>
      </c>
    </row>
    <row r="625" spans="1:34" x14ac:dyDescent="0.25">
      <c r="A625" s="111" t="str">
        <f>HYPERLINK("http://www.ofsted.gov.uk/inspection-reports/find-inspection-report/provider/ELS/135735 ","Ofsted School Webpage")</f>
        <v>Ofsted School Webpage</v>
      </c>
      <c r="B625">
        <v>135735</v>
      </c>
      <c r="C625">
        <v>9336000</v>
      </c>
      <c r="D625" t="s">
        <v>974</v>
      </c>
      <c r="E625" t="s">
        <v>37</v>
      </c>
      <c r="F625" t="s">
        <v>142</v>
      </c>
      <c r="G625" t="s">
        <v>142</v>
      </c>
      <c r="H625" t="s">
        <v>2595</v>
      </c>
      <c r="I625" t="s">
        <v>2596</v>
      </c>
      <c r="J625" t="s">
        <v>143</v>
      </c>
      <c r="K625" t="s">
        <v>182</v>
      </c>
      <c r="L625" t="s">
        <v>182</v>
      </c>
      <c r="M625" t="s">
        <v>219</v>
      </c>
      <c r="N625" t="s">
        <v>975</v>
      </c>
      <c r="O625">
        <v>10011269</v>
      </c>
      <c r="P625" s="108">
        <v>42395</v>
      </c>
      <c r="Q625" s="108">
        <v>42397</v>
      </c>
      <c r="R625" s="108">
        <v>42436</v>
      </c>
      <c r="S625" t="s">
        <v>153</v>
      </c>
      <c r="T625">
        <v>4</v>
      </c>
      <c r="U625" t="s">
        <v>123</v>
      </c>
      <c r="V625">
        <v>4</v>
      </c>
      <c r="W625">
        <v>3</v>
      </c>
      <c r="X625">
        <v>4</v>
      </c>
      <c r="Y625">
        <f>VLOOKUP(Table_clu7sql1_ssdb_REPORT_vw_IE_External_MI_SON[[#This Row],[URN]],[1]Data!$D$2:$BB$1084,31,)</f>
        <v>4</v>
      </c>
      <c r="Z625" t="s">
        <v>2596</v>
      </c>
      <c r="AA625">
        <v>4</v>
      </c>
      <c r="AB625" t="s">
        <v>2599</v>
      </c>
      <c r="AC625">
        <v>10022242</v>
      </c>
      <c r="AD625" t="s">
        <v>144</v>
      </c>
      <c r="AE625" s="108">
        <v>42648</v>
      </c>
      <c r="AF625" t="s">
        <v>2634</v>
      </c>
      <c r="AG625" s="108">
        <v>42704</v>
      </c>
      <c r="AH625" t="s">
        <v>146</v>
      </c>
    </row>
    <row r="626" spans="1:34" x14ac:dyDescent="0.25">
      <c r="A626" s="111" t="str">
        <f>HYPERLINK("http://www.ofsted.gov.uk/inspection-reports/find-inspection-report/provider/ELS/135749 ","Ofsted School Webpage")</f>
        <v>Ofsted School Webpage</v>
      </c>
      <c r="B626">
        <v>135749</v>
      </c>
      <c r="C626">
        <v>8766013</v>
      </c>
      <c r="D626" t="s">
        <v>589</v>
      </c>
      <c r="E626" t="s">
        <v>37</v>
      </c>
      <c r="F626" t="s">
        <v>142</v>
      </c>
      <c r="G626" t="s">
        <v>142</v>
      </c>
      <c r="H626" t="s">
        <v>2595</v>
      </c>
      <c r="I626" t="s">
        <v>2596</v>
      </c>
      <c r="J626" t="s">
        <v>143</v>
      </c>
      <c r="K626" t="s">
        <v>162</v>
      </c>
      <c r="L626" t="s">
        <v>162</v>
      </c>
      <c r="M626" t="s">
        <v>590</v>
      </c>
      <c r="N626" t="s">
        <v>591</v>
      </c>
      <c r="O626">
        <v>10008531</v>
      </c>
      <c r="P626" s="108">
        <v>42864</v>
      </c>
      <c r="Q626" s="108">
        <v>42866</v>
      </c>
      <c r="R626" s="108">
        <v>42892</v>
      </c>
      <c r="S626" t="s">
        <v>153</v>
      </c>
      <c r="T626">
        <v>2</v>
      </c>
      <c r="U626" t="s">
        <v>123</v>
      </c>
      <c r="V626">
        <v>2</v>
      </c>
      <c r="W626">
        <v>2</v>
      </c>
      <c r="X626">
        <v>2</v>
      </c>
      <c r="Y626">
        <f>VLOOKUP(Table_clu7sql1_ssdb_REPORT_vw_IE_External_MI_SON[[#This Row],[URN]],[1]Data!$D$2:$BB$1084,31,)</f>
        <v>2</v>
      </c>
      <c r="Z626" t="s">
        <v>2596</v>
      </c>
      <c r="AA626" t="s">
        <v>2596</v>
      </c>
      <c r="AB626" t="s">
        <v>2598</v>
      </c>
      <c r="AC626" t="s">
        <v>2596</v>
      </c>
      <c r="AD626" t="s">
        <v>2596</v>
      </c>
      <c r="AE626" s="108" t="s">
        <v>2596</v>
      </c>
      <c r="AF626" t="s">
        <v>2596</v>
      </c>
      <c r="AG626" s="108" t="s">
        <v>2596</v>
      </c>
      <c r="AH626" t="s">
        <v>2596</v>
      </c>
    </row>
    <row r="627" spans="1:34" x14ac:dyDescent="0.25">
      <c r="A627" s="111" t="str">
        <f>HYPERLINK("http://www.ofsted.gov.uk/inspection-reports/find-inspection-report/provider/ELS/135753 ","Ofsted School Webpage")</f>
        <v>Ofsted School Webpage</v>
      </c>
      <c r="B627">
        <v>135753</v>
      </c>
      <c r="C627">
        <v>3546035</v>
      </c>
      <c r="D627" t="s">
        <v>411</v>
      </c>
      <c r="E627" t="s">
        <v>37</v>
      </c>
      <c r="F627" t="s">
        <v>142</v>
      </c>
      <c r="G627" t="s">
        <v>142</v>
      </c>
      <c r="H627" t="s">
        <v>2595</v>
      </c>
      <c r="I627" t="s">
        <v>2596</v>
      </c>
      <c r="J627" t="s">
        <v>143</v>
      </c>
      <c r="K627" t="s">
        <v>162</v>
      </c>
      <c r="L627" t="s">
        <v>162</v>
      </c>
      <c r="M627" t="s">
        <v>412</v>
      </c>
      <c r="N627" t="s">
        <v>413</v>
      </c>
      <c r="O627">
        <v>10006096</v>
      </c>
      <c r="P627" s="108">
        <v>42500</v>
      </c>
      <c r="Q627" s="108">
        <v>42502</v>
      </c>
      <c r="R627" s="108">
        <v>42534</v>
      </c>
      <c r="S627" t="s">
        <v>153</v>
      </c>
      <c r="T627">
        <v>3</v>
      </c>
      <c r="U627" t="s">
        <v>123</v>
      </c>
      <c r="V627">
        <v>3</v>
      </c>
      <c r="W627">
        <v>2</v>
      </c>
      <c r="X627">
        <v>3</v>
      </c>
      <c r="Y627">
        <f>VLOOKUP(Table_clu7sql1_ssdb_REPORT_vw_IE_External_MI_SON[[#This Row],[URN]],[1]Data!$D$2:$BB$1084,31,)</f>
        <v>3</v>
      </c>
      <c r="Z627" t="s">
        <v>2596</v>
      </c>
      <c r="AA627" t="s">
        <v>2596</v>
      </c>
      <c r="AB627" t="s">
        <v>2598</v>
      </c>
      <c r="AC627" t="s">
        <v>2596</v>
      </c>
      <c r="AD627" t="s">
        <v>2596</v>
      </c>
      <c r="AE627" t="s">
        <v>2596</v>
      </c>
      <c r="AF627" t="s">
        <v>2596</v>
      </c>
      <c r="AG627" t="s">
        <v>2596</v>
      </c>
      <c r="AH627" t="s">
        <v>2596</v>
      </c>
    </row>
    <row r="628" spans="1:34" x14ac:dyDescent="0.25">
      <c r="A628" s="111" t="str">
        <f>HYPERLINK("http://www.ofsted.gov.uk/inspection-reports/find-inspection-report/provider/ELS/135754 ","Ofsted School Webpage")</f>
        <v>Ofsted School Webpage</v>
      </c>
      <c r="B628">
        <v>135754</v>
      </c>
      <c r="C628">
        <v>9286070</v>
      </c>
      <c r="D628" t="s">
        <v>824</v>
      </c>
      <c r="E628" t="s">
        <v>37</v>
      </c>
      <c r="F628" t="s">
        <v>142</v>
      </c>
      <c r="G628" t="s">
        <v>142</v>
      </c>
      <c r="H628" t="s">
        <v>2595</v>
      </c>
      <c r="I628" t="s">
        <v>2596</v>
      </c>
      <c r="J628" t="s">
        <v>143</v>
      </c>
      <c r="K628" t="s">
        <v>171</v>
      </c>
      <c r="L628" t="s">
        <v>171</v>
      </c>
      <c r="M628" t="s">
        <v>172</v>
      </c>
      <c r="N628" t="s">
        <v>825</v>
      </c>
      <c r="O628">
        <v>10012953</v>
      </c>
      <c r="P628" s="108">
        <v>42878</v>
      </c>
      <c r="Q628" s="108">
        <v>42880</v>
      </c>
      <c r="R628" s="108">
        <v>42900</v>
      </c>
      <c r="S628" t="s">
        <v>153</v>
      </c>
      <c r="T628">
        <v>2</v>
      </c>
      <c r="U628" t="s">
        <v>123</v>
      </c>
      <c r="V628">
        <v>2</v>
      </c>
      <c r="W628">
        <v>2</v>
      </c>
      <c r="X628">
        <v>2</v>
      </c>
      <c r="Y628">
        <f>VLOOKUP(Table_clu7sql1_ssdb_REPORT_vw_IE_External_MI_SON[[#This Row],[URN]],[1]Data!$D$2:$BB$1084,31,)</f>
        <v>2</v>
      </c>
      <c r="Z628" t="s">
        <v>2596</v>
      </c>
      <c r="AA628" t="s">
        <v>2596</v>
      </c>
      <c r="AB628" t="s">
        <v>2598</v>
      </c>
      <c r="AC628" t="s">
        <v>2596</v>
      </c>
      <c r="AD628" t="s">
        <v>2596</v>
      </c>
      <c r="AE628" t="s">
        <v>2596</v>
      </c>
      <c r="AF628" t="s">
        <v>2596</v>
      </c>
      <c r="AG628" t="s">
        <v>2596</v>
      </c>
      <c r="AH628" t="s">
        <v>2596</v>
      </c>
    </row>
    <row r="629" spans="1:34" x14ac:dyDescent="0.25">
      <c r="A629" s="111" t="str">
        <f>HYPERLINK("http://www.ofsted.gov.uk/inspection-reports/find-inspection-report/provider/ELS/135764 ","Ofsted School Webpage")</f>
        <v>Ofsted School Webpage</v>
      </c>
      <c r="B629">
        <v>135764</v>
      </c>
      <c r="C629">
        <v>2056000</v>
      </c>
      <c r="D629" t="s">
        <v>2901</v>
      </c>
      <c r="E629" t="s">
        <v>36</v>
      </c>
      <c r="F629" t="s">
        <v>142</v>
      </c>
      <c r="G629" t="s">
        <v>142</v>
      </c>
      <c r="H629" t="s">
        <v>2595</v>
      </c>
      <c r="I629" t="s">
        <v>2596</v>
      </c>
      <c r="J629" t="s">
        <v>143</v>
      </c>
      <c r="K629" t="s">
        <v>189</v>
      </c>
      <c r="L629" t="s">
        <v>189</v>
      </c>
      <c r="M629" t="s">
        <v>257</v>
      </c>
      <c r="N629" t="s">
        <v>1967</v>
      </c>
      <c r="O629" t="s">
        <v>1968</v>
      </c>
      <c r="P629" s="108">
        <v>41338</v>
      </c>
      <c r="Q629" s="108">
        <v>41340</v>
      </c>
      <c r="R629" s="108">
        <v>41361</v>
      </c>
      <c r="S629" t="s">
        <v>153</v>
      </c>
      <c r="T629">
        <v>2</v>
      </c>
      <c r="U629" t="s">
        <v>2596</v>
      </c>
      <c r="V629">
        <v>2</v>
      </c>
      <c r="W629" t="s">
        <v>2596</v>
      </c>
      <c r="X629">
        <v>2</v>
      </c>
      <c r="Y629">
        <f>VLOOKUP(Table_clu7sql1_ssdb_REPORT_vw_IE_External_MI_SON[[#This Row],[URN]],[1]Data!$D$2:$BB$1084,31,)</f>
        <v>2</v>
      </c>
      <c r="Z629" t="s">
        <v>2596</v>
      </c>
      <c r="AA629" t="s">
        <v>2596</v>
      </c>
      <c r="AB629" t="s">
        <v>2886</v>
      </c>
      <c r="AC629" t="s">
        <v>2596</v>
      </c>
      <c r="AD629" t="s">
        <v>2596</v>
      </c>
      <c r="AE629" t="s">
        <v>2596</v>
      </c>
      <c r="AF629" t="s">
        <v>2596</v>
      </c>
      <c r="AG629" t="s">
        <v>2596</v>
      </c>
      <c r="AH629" t="s">
        <v>2596</v>
      </c>
    </row>
    <row r="630" spans="1:34" x14ac:dyDescent="0.25">
      <c r="A630" s="111" t="str">
        <f>HYPERLINK("http://www.ofsted.gov.uk/inspection-reports/find-inspection-report/provider/ELS/135766 ","Ofsted School Webpage")</f>
        <v>Ofsted School Webpage</v>
      </c>
      <c r="B630">
        <v>135766</v>
      </c>
      <c r="C630">
        <v>8456057</v>
      </c>
      <c r="D630" t="s">
        <v>857</v>
      </c>
      <c r="E630" t="s">
        <v>37</v>
      </c>
      <c r="F630" t="s">
        <v>142</v>
      </c>
      <c r="G630" t="s">
        <v>142</v>
      </c>
      <c r="H630" t="s">
        <v>2595</v>
      </c>
      <c r="I630" t="s">
        <v>2596</v>
      </c>
      <c r="J630" t="s">
        <v>143</v>
      </c>
      <c r="K630" t="s">
        <v>139</v>
      </c>
      <c r="L630" t="s">
        <v>139</v>
      </c>
      <c r="M630" t="s">
        <v>394</v>
      </c>
      <c r="N630" t="s">
        <v>352</v>
      </c>
      <c r="O630">
        <v>10020899</v>
      </c>
      <c r="P630" s="108">
        <v>42871</v>
      </c>
      <c r="Q630" s="108">
        <v>42873</v>
      </c>
      <c r="R630" s="108">
        <v>42893</v>
      </c>
      <c r="S630" t="s">
        <v>3005</v>
      </c>
      <c r="T630">
        <v>2</v>
      </c>
      <c r="U630" t="s">
        <v>123</v>
      </c>
      <c r="V630">
        <v>2</v>
      </c>
      <c r="W630">
        <v>2</v>
      </c>
      <c r="X630">
        <v>2</v>
      </c>
      <c r="Y630">
        <f>VLOOKUP(Table_clu7sql1_ssdb_REPORT_vw_IE_External_MI_SON[[#This Row],[URN]],[1]Data!$D$2:$BB$1084,31,)</f>
        <v>2</v>
      </c>
      <c r="Z630" t="s">
        <v>2596</v>
      </c>
      <c r="AA630" t="s">
        <v>2596</v>
      </c>
      <c r="AB630" t="s">
        <v>2598</v>
      </c>
      <c r="AC630" t="s">
        <v>2596</v>
      </c>
      <c r="AD630" t="s">
        <v>2596</v>
      </c>
      <c r="AE630" s="108" t="s">
        <v>2596</v>
      </c>
      <c r="AF630" t="s">
        <v>2596</v>
      </c>
      <c r="AG630" s="108" t="s">
        <v>2596</v>
      </c>
      <c r="AH630" t="s">
        <v>2596</v>
      </c>
    </row>
    <row r="631" spans="1:34" x14ac:dyDescent="0.25">
      <c r="A631" s="111" t="str">
        <f>HYPERLINK("http://www.ofsted.gov.uk/inspection-reports/find-inspection-report/provider/ELS/135773 ","Ofsted School Webpage")</f>
        <v>Ofsted School Webpage</v>
      </c>
      <c r="B631">
        <v>135773</v>
      </c>
      <c r="C631">
        <v>8786061</v>
      </c>
      <c r="D631" t="s">
        <v>793</v>
      </c>
      <c r="E631" t="s">
        <v>37</v>
      </c>
      <c r="F631" t="s">
        <v>142</v>
      </c>
      <c r="G631" t="s">
        <v>142</v>
      </c>
      <c r="H631" t="s">
        <v>2595</v>
      </c>
      <c r="I631" t="s">
        <v>2596</v>
      </c>
      <c r="J631" t="s">
        <v>143</v>
      </c>
      <c r="K631" t="s">
        <v>182</v>
      </c>
      <c r="L631" t="s">
        <v>182</v>
      </c>
      <c r="M631" t="s">
        <v>323</v>
      </c>
      <c r="N631" t="s">
        <v>794</v>
      </c>
      <c r="O631">
        <v>10008888</v>
      </c>
      <c r="P631" s="108">
        <v>42647</v>
      </c>
      <c r="Q631" s="108">
        <v>42649</v>
      </c>
      <c r="R631" s="108">
        <v>42692</v>
      </c>
      <c r="S631" t="s">
        <v>153</v>
      </c>
      <c r="T631">
        <v>2</v>
      </c>
      <c r="U631" t="s">
        <v>123</v>
      </c>
      <c r="V631">
        <v>2</v>
      </c>
      <c r="W631">
        <v>2</v>
      </c>
      <c r="X631">
        <v>2</v>
      </c>
      <c r="Y631">
        <f>VLOOKUP(Table_clu7sql1_ssdb_REPORT_vw_IE_External_MI_SON[[#This Row],[URN]],[1]Data!$D$2:$BB$1084,31,)</f>
        <v>2</v>
      </c>
      <c r="Z631" t="s">
        <v>2596</v>
      </c>
      <c r="AA631" t="s">
        <v>2596</v>
      </c>
      <c r="AB631" t="s">
        <v>2598</v>
      </c>
      <c r="AC631" t="s">
        <v>2596</v>
      </c>
      <c r="AD631" t="s">
        <v>2596</v>
      </c>
      <c r="AE631" t="s">
        <v>2596</v>
      </c>
      <c r="AF631" t="s">
        <v>2596</v>
      </c>
      <c r="AG631" t="s">
        <v>2596</v>
      </c>
      <c r="AH631" t="s">
        <v>2596</v>
      </c>
    </row>
    <row r="632" spans="1:34" x14ac:dyDescent="0.25">
      <c r="A632" s="111" t="str">
        <f>HYPERLINK("http://www.ofsted.gov.uk/inspection-reports/find-inspection-report/provider/ELS/135785 ","Ofsted School Webpage")</f>
        <v>Ofsted School Webpage</v>
      </c>
      <c r="B632">
        <v>135785</v>
      </c>
      <c r="C632">
        <v>9286071</v>
      </c>
      <c r="D632" t="s">
        <v>2036</v>
      </c>
      <c r="E632" t="s">
        <v>36</v>
      </c>
      <c r="F632" t="s">
        <v>142</v>
      </c>
      <c r="G632" t="s">
        <v>142</v>
      </c>
      <c r="H632" t="s">
        <v>2595</v>
      </c>
      <c r="I632" t="s">
        <v>2596</v>
      </c>
      <c r="J632" t="s">
        <v>143</v>
      </c>
      <c r="K632" t="s">
        <v>171</v>
      </c>
      <c r="L632" t="s">
        <v>171</v>
      </c>
      <c r="M632" t="s">
        <v>172</v>
      </c>
      <c r="N632" t="s">
        <v>2037</v>
      </c>
      <c r="O632">
        <v>10020808</v>
      </c>
      <c r="P632" s="108">
        <v>42696</v>
      </c>
      <c r="Q632" s="108">
        <v>42698</v>
      </c>
      <c r="R632" s="108">
        <v>42748</v>
      </c>
      <c r="S632" t="s">
        <v>153</v>
      </c>
      <c r="T632">
        <v>1</v>
      </c>
      <c r="U632" t="s">
        <v>123</v>
      </c>
      <c r="V632">
        <v>1</v>
      </c>
      <c r="W632">
        <v>1</v>
      </c>
      <c r="X632">
        <v>1</v>
      </c>
      <c r="Y632">
        <f>VLOOKUP(Table_clu7sql1_ssdb_REPORT_vw_IE_External_MI_SON[[#This Row],[URN]],[1]Data!$D$2:$BB$1084,31,)</f>
        <v>1</v>
      </c>
      <c r="Z632" t="s">
        <v>2596</v>
      </c>
      <c r="AA632">
        <v>1</v>
      </c>
      <c r="AB632" t="s">
        <v>2598</v>
      </c>
      <c r="AC632" t="s">
        <v>2596</v>
      </c>
      <c r="AD632" t="s">
        <v>2596</v>
      </c>
      <c r="AE632" s="108" t="s">
        <v>2596</v>
      </c>
      <c r="AF632" t="s">
        <v>2596</v>
      </c>
      <c r="AG632" s="108" t="s">
        <v>2596</v>
      </c>
      <c r="AH632" t="s">
        <v>2596</v>
      </c>
    </row>
    <row r="633" spans="1:34" x14ac:dyDescent="0.25">
      <c r="A633" s="111" t="str">
        <f>HYPERLINK("http://www.ofsted.gov.uk/inspection-reports/find-inspection-report/provider/ELS/135792 ","Ofsted School Webpage")</f>
        <v>Ofsted School Webpage</v>
      </c>
      <c r="B633">
        <v>135792</v>
      </c>
      <c r="C633">
        <v>3336005</v>
      </c>
      <c r="D633" t="s">
        <v>388</v>
      </c>
      <c r="E633" t="s">
        <v>36</v>
      </c>
      <c r="F633" t="s">
        <v>142</v>
      </c>
      <c r="G633" t="s">
        <v>180</v>
      </c>
      <c r="H633" t="s">
        <v>2595</v>
      </c>
      <c r="I633" t="s">
        <v>2596</v>
      </c>
      <c r="J633" t="s">
        <v>143</v>
      </c>
      <c r="K633" t="s">
        <v>150</v>
      </c>
      <c r="L633" t="s">
        <v>150</v>
      </c>
      <c r="M633" t="s">
        <v>310</v>
      </c>
      <c r="N633" t="s">
        <v>389</v>
      </c>
      <c r="O633">
        <v>10026107</v>
      </c>
      <c r="P633" s="108">
        <v>43018</v>
      </c>
      <c r="Q633" s="108">
        <v>43020</v>
      </c>
      <c r="R633" s="108">
        <v>43056</v>
      </c>
      <c r="S633" t="s">
        <v>153</v>
      </c>
      <c r="T633">
        <v>2</v>
      </c>
      <c r="U633" t="s">
        <v>123</v>
      </c>
      <c r="V633">
        <v>2</v>
      </c>
      <c r="W633">
        <v>2</v>
      </c>
      <c r="X633">
        <v>2</v>
      </c>
      <c r="Y633">
        <f>VLOOKUP(Table_clu7sql1_ssdb_REPORT_vw_IE_External_MI_SON[[#This Row],[URN]],[1]Data!$D$2:$BB$1084,31,)</f>
        <v>2</v>
      </c>
      <c r="Z633" t="s">
        <v>2596</v>
      </c>
      <c r="AA633" t="s">
        <v>2596</v>
      </c>
      <c r="AB633" t="s">
        <v>2598</v>
      </c>
      <c r="AC633" t="s">
        <v>2596</v>
      </c>
      <c r="AD633" t="s">
        <v>2596</v>
      </c>
      <c r="AE633" t="s">
        <v>2596</v>
      </c>
      <c r="AF633" t="s">
        <v>2596</v>
      </c>
      <c r="AG633" t="s">
        <v>2596</v>
      </c>
      <c r="AH633" t="s">
        <v>2596</v>
      </c>
    </row>
    <row r="634" spans="1:34" x14ac:dyDescent="0.25">
      <c r="A634" s="111" t="str">
        <f>HYPERLINK("http://www.ofsted.gov.uk/inspection-reports/find-inspection-report/provider/ELS/135794 ","Ofsted School Webpage")</f>
        <v>Ofsted School Webpage</v>
      </c>
      <c r="B634">
        <v>135794</v>
      </c>
      <c r="C634">
        <v>3076401</v>
      </c>
      <c r="D634" t="s">
        <v>1401</v>
      </c>
      <c r="E634" t="s">
        <v>37</v>
      </c>
      <c r="F634" t="s">
        <v>142</v>
      </c>
      <c r="G634" t="s">
        <v>142</v>
      </c>
      <c r="H634" t="s">
        <v>2595</v>
      </c>
      <c r="I634" t="s">
        <v>2596</v>
      </c>
      <c r="J634" t="s">
        <v>143</v>
      </c>
      <c r="K634" t="s">
        <v>189</v>
      </c>
      <c r="L634" t="s">
        <v>189</v>
      </c>
      <c r="M634" t="s">
        <v>584</v>
      </c>
      <c r="N634" t="s">
        <v>1402</v>
      </c>
      <c r="O634">
        <v>10012833</v>
      </c>
      <c r="P634" s="108">
        <v>42773</v>
      </c>
      <c r="Q634" s="108">
        <v>42775</v>
      </c>
      <c r="R634" s="108">
        <v>42818</v>
      </c>
      <c r="S634" t="s">
        <v>153</v>
      </c>
      <c r="T634">
        <v>1</v>
      </c>
      <c r="U634" t="s">
        <v>123</v>
      </c>
      <c r="V634">
        <v>1</v>
      </c>
      <c r="W634">
        <v>1</v>
      </c>
      <c r="X634">
        <v>1</v>
      </c>
      <c r="Y634">
        <f>VLOOKUP(Table_clu7sql1_ssdb_REPORT_vw_IE_External_MI_SON[[#This Row],[URN]],[1]Data!$D$2:$BB$1084,31,)</f>
        <v>1</v>
      </c>
      <c r="Z634" t="s">
        <v>2596</v>
      </c>
      <c r="AA634" t="s">
        <v>2596</v>
      </c>
      <c r="AB634" t="s">
        <v>2598</v>
      </c>
      <c r="AC634" t="s">
        <v>2596</v>
      </c>
      <c r="AD634" t="s">
        <v>2596</v>
      </c>
      <c r="AE634" t="s">
        <v>2596</v>
      </c>
      <c r="AF634" t="s">
        <v>2596</v>
      </c>
      <c r="AG634" t="s">
        <v>2596</v>
      </c>
      <c r="AH634" t="s">
        <v>2596</v>
      </c>
    </row>
    <row r="635" spans="1:34" x14ac:dyDescent="0.25">
      <c r="A635" s="111" t="str">
        <f>HYPERLINK("http://www.ofsted.gov.uk/inspection-reports/find-inspection-report/provider/ELS/135801 ","Ofsted School Webpage")</f>
        <v>Ofsted School Webpage</v>
      </c>
      <c r="B635">
        <v>135801</v>
      </c>
      <c r="C635">
        <v>3196074</v>
      </c>
      <c r="D635" t="s">
        <v>886</v>
      </c>
      <c r="E635" t="s">
        <v>37</v>
      </c>
      <c r="F635" t="s">
        <v>142</v>
      </c>
      <c r="G635" t="s">
        <v>142</v>
      </c>
      <c r="H635" t="s">
        <v>2595</v>
      </c>
      <c r="I635" t="s">
        <v>2596</v>
      </c>
      <c r="J635" t="s">
        <v>143</v>
      </c>
      <c r="K635" t="s">
        <v>189</v>
      </c>
      <c r="L635" t="s">
        <v>189</v>
      </c>
      <c r="M635" t="s">
        <v>887</v>
      </c>
      <c r="N635" t="s">
        <v>888</v>
      </c>
      <c r="O635" t="s">
        <v>889</v>
      </c>
      <c r="P635" s="108">
        <v>41527</v>
      </c>
      <c r="Q635" s="108">
        <v>41529</v>
      </c>
      <c r="R635" s="108">
        <v>41549</v>
      </c>
      <c r="S635" t="s">
        <v>153</v>
      </c>
      <c r="T635">
        <v>2</v>
      </c>
      <c r="U635" t="s">
        <v>2596</v>
      </c>
      <c r="V635">
        <v>2</v>
      </c>
      <c r="W635" t="s">
        <v>2596</v>
      </c>
      <c r="X635">
        <v>2</v>
      </c>
      <c r="Y635">
        <f>VLOOKUP(Table_clu7sql1_ssdb_REPORT_vw_IE_External_MI_SON[[#This Row],[URN]],[1]Data!$D$2:$BB$1084,31,)</f>
        <v>2</v>
      </c>
      <c r="Z635" t="s">
        <v>2596</v>
      </c>
      <c r="AA635" t="s">
        <v>2596</v>
      </c>
      <c r="AB635" t="s">
        <v>2886</v>
      </c>
      <c r="AC635" t="s">
        <v>2596</v>
      </c>
      <c r="AD635" t="s">
        <v>2596</v>
      </c>
      <c r="AE635" t="s">
        <v>2596</v>
      </c>
      <c r="AF635" t="s">
        <v>2596</v>
      </c>
      <c r="AG635" t="s">
        <v>2596</v>
      </c>
      <c r="AH635" t="s">
        <v>2596</v>
      </c>
    </row>
    <row r="636" spans="1:34" x14ac:dyDescent="0.25">
      <c r="A636" s="111" t="str">
        <f>HYPERLINK("http://www.ofsted.gov.uk/inspection-reports/find-inspection-report/provider/ELS/135803 ","Ofsted School Webpage")</f>
        <v>Ofsted School Webpage</v>
      </c>
      <c r="B636">
        <v>135803</v>
      </c>
      <c r="C636">
        <v>8786213</v>
      </c>
      <c r="D636" t="s">
        <v>1018</v>
      </c>
      <c r="E636" t="s">
        <v>37</v>
      </c>
      <c r="F636" t="s">
        <v>142</v>
      </c>
      <c r="G636" t="s">
        <v>142</v>
      </c>
      <c r="H636" t="s">
        <v>2595</v>
      </c>
      <c r="I636" t="s">
        <v>2596</v>
      </c>
      <c r="J636" t="s">
        <v>143</v>
      </c>
      <c r="K636" t="s">
        <v>182</v>
      </c>
      <c r="L636" t="s">
        <v>182</v>
      </c>
      <c r="M636" t="s">
        <v>323</v>
      </c>
      <c r="N636" t="s">
        <v>1019</v>
      </c>
      <c r="O636">
        <v>10008891</v>
      </c>
      <c r="P636" s="108">
        <v>42500</v>
      </c>
      <c r="Q636" s="108">
        <v>42502</v>
      </c>
      <c r="R636" s="108">
        <v>42543</v>
      </c>
      <c r="S636" t="s">
        <v>153</v>
      </c>
      <c r="T636">
        <v>3</v>
      </c>
      <c r="U636" t="s">
        <v>123</v>
      </c>
      <c r="V636">
        <v>3</v>
      </c>
      <c r="W636">
        <v>3</v>
      </c>
      <c r="X636">
        <v>3</v>
      </c>
      <c r="Y636">
        <f>VLOOKUP(Table_clu7sql1_ssdb_REPORT_vw_IE_External_MI_SON[[#This Row],[URN]],[1]Data!$D$2:$BB$1084,31,)</f>
        <v>3</v>
      </c>
      <c r="Z636" t="s">
        <v>2596</v>
      </c>
      <c r="AA636">
        <v>3</v>
      </c>
      <c r="AB636" t="s">
        <v>2598</v>
      </c>
      <c r="AC636" t="s">
        <v>2596</v>
      </c>
      <c r="AD636" t="s">
        <v>2596</v>
      </c>
      <c r="AE636" s="108" t="s">
        <v>2596</v>
      </c>
      <c r="AF636" t="s">
        <v>2596</v>
      </c>
      <c r="AG636" s="108" t="s">
        <v>2596</v>
      </c>
      <c r="AH636" t="s">
        <v>2596</v>
      </c>
    </row>
    <row r="637" spans="1:34" x14ac:dyDescent="0.25">
      <c r="A637" s="111" t="str">
        <f>HYPERLINK("http://www.ofsted.gov.uk/inspection-reports/find-inspection-report/provider/ELS/135805 ","Ofsted School Webpage")</f>
        <v>Ofsted School Webpage</v>
      </c>
      <c r="B637">
        <v>135805</v>
      </c>
      <c r="C637">
        <v>8256042</v>
      </c>
      <c r="D637" t="s">
        <v>942</v>
      </c>
      <c r="E637" t="s">
        <v>37</v>
      </c>
      <c r="F637" t="s">
        <v>142</v>
      </c>
      <c r="G637" t="s">
        <v>142</v>
      </c>
      <c r="H637" t="s">
        <v>2595</v>
      </c>
      <c r="I637" t="s">
        <v>2596</v>
      </c>
      <c r="J637" t="s">
        <v>143</v>
      </c>
      <c r="K637" t="s">
        <v>139</v>
      </c>
      <c r="L637" t="s">
        <v>139</v>
      </c>
      <c r="M637" t="s">
        <v>208</v>
      </c>
      <c r="N637" t="s">
        <v>943</v>
      </c>
      <c r="O637">
        <v>10025990</v>
      </c>
      <c r="P637" s="108">
        <v>43130</v>
      </c>
      <c r="Q637" s="108">
        <v>43132</v>
      </c>
      <c r="R637" s="108">
        <v>43160</v>
      </c>
      <c r="S637" t="s">
        <v>153</v>
      </c>
      <c r="T637">
        <v>2</v>
      </c>
      <c r="U637" t="s">
        <v>123</v>
      </c>
      <c r="V637">
        <v>2</v>
      </c>
      <c r="W637">
        <v>2</v>
      </c>
      <c r="X637">
        <v>2</v>
      </c>
      <c r="Y637">
        <f>VLOOKUP(Table_clu7sql1_ssdb_REPORT_vw_IE_External_MI_SON[[#This Row],[URN]],[1]Data!$D$2:$BB$1084,31,)</f>
        <v>2</v>
      </c>
      <c r="Z637" t="s">
        <v>2596</v>
      </c>
      <c r="AA637" t="s">
        <v>2596</v>
      </c>
      <c r="AB637" t="s">
        <v>2598</v>
      </c>
      <c r="AC637" t="s">
        <v>2596</v>
      </c>
      <c r="AD637" t="s">
        <v>2596</v>
      </c>
      <c r="AE637" t="s">
        <v>2596</v>
      </c>
      <c r="AF637" t="s">
        <v>2596</v>
      </c>
      <c r="AG637" t="s">
        <v>2596</v>
      </c>
      <c r="AH637" t="s">
        <v>2596</v>
      </c>
    </row>
    <row r="638" spans="1:34" x14ac:dyDescent="0.25">
      <c r="A638" s="111" t="str">
        <f>HYPERLINK("http://www.ofsted.gov.uk/inspection-reports/find-inspection-report/provider/ELS/135819 ","Ofsted School Webpage")</f>
        <v>Ofsted School Webpage</v>
      </c>
      <c r="B638">
        <v>135819</v>
      </c>
      <c r="C638">
        <v>8696016</v>
      </c>
      <c r="D638" t="s">
        <v>1722</v>
      </c>
      <c r="E638" t="s">
        <v>36</v>
      </c>
      <c r="F638" t="s">
        <v>142</v>
      </c>
      <c r="G638" t="s">
        <v>142</v>
      </c>
      <c r="H638" t="s">
        <v>2595</v>
      </c>
      <c r="I638" t="s">
        <v>2596</v>
      </c>
      <c r="J638" t="s">
        <v>143</v>
      </c>
      <c r="K638" t="s">
        <v>139</v>
      </c>
      <c r="L638" t="s">
        <v>139</v>
      </c>
      <c r="M638" t="s">
        <v>552</v>
      </c>
      <c r="N638" t="s">
        <v>1723</v>
      </c>
      <c r="O638">
        <v>10012909</v>
      </c>
      <c r="P638" s="108">
        <v>42507</v>
      </c>
      <c r="Q638" s="108">
        <v>42509</v>
      </c>
      <c r="R638" s="108">
        <v>42549</v>
      </c>
      <c r="S638" t="s">
        <v>224</v>
      </c>
      <c r="T638">
        <v>4</v>
      </c>
      <c r="U638" t="s">
        <v>124</v>
      </c>
      <c r="V638">
        <v>4</v>
      </c>
      <c r="W638">
        <v>4</v>
      </c>
      <c r="X638">
        <v>3</v>
      </c>
      <c r="Y638">
        <f>VLOOKUP(Table_clu7sql1_ssdb_REPORT_vw_IE_External_MI_SON[[#This Row],[URN]],[1]Data!$D$2:$BB$1084,31,)</f>
        <v>3</v>
      </c>
      <c r="Z638" t="s">
        <v>2596</v>
      </c>
      <c r="AA638">
        <v>4</v>
      </c>
      <c r="AB638" t="s">
        <v>2599</v>
      </c>
      <c r="AC638">
        <v>10044097</v>
      </c>
      <c r="AD638" t="s">
        <v>2635</v>
      </c>
      <c r="AE638" s="108">
        <v>43075</v>
      </c>
      <c r="AF638" t="s">
        <v>2636</v>
      </c>
      <c r="AG638" s="108">
        <v>43108</v>
      </c>
      <c r="AH638" t="s">
        <v>174</v>
      </c>
    </row>
    <row r="639" spans="1:34" x14ac:dyDescent="0.25">
      <c r="A639" s="111" t="str">
        <f>HYPERLINK("http://www.ofsted.gov.uk/inspection-reports/find-inspection-report/provider/ELS/135834 ","Ofsted School Webpage")</f>
        <v>Ofsted School Webpage</v>
      </c>
      <c r="B639">
        <v>135834</v>
      </c>
      <c r="C639">
        <v>8406010</v>
      </c>
      <c r="D639" t="s">
        <v>1065</v>
      </c>
      <c r="E639" t="s">
        <v>37</v>
      </c>
      <c r="F639" t="s">
        <v>142</v>
      </c>
      <c r="G639" t="s">
        <v>142</v>
      </c>
      <c r="H639" t="s">
        <v>2595</v>
      </c>
      <c r="I639" t="s">
        <v>2596</v>
      </c>
      <c r="J639" t="s">
        <v>143</v>
      </c>
      <c r="K639" t="s">
        <v>202</v>
      </c>
      <c r="L639" t="s">
        <v>234</v>
      </c>
      <c r="M639" t="s">
        <v>1066</v>
      </c>
      <c r="N639" t="s">
        <v>1067</v>
      </c>
      <c r="O639">
        <v>10020940</v>
      </c>
      <c r="P639" s="108">
        <v>42647</v>
      </c>
      <c r="Q639" s="108">
        <v>42649</v>
      </c>
      <c r="R639" s="108">
        <v>42705</v>
      </c>
      <c r="S639" t="s">
        <v>3005</v>
      </c>
      <c r="T639">
        <v>1</v>
      </c>
      <c r="U639" t="s">
        <v>123</v>
      </c>
      <c r="V639">
        <v>1</v>
      </c>
      <c r="W639">
        <v>1</v>
      </c>
      <c r="X639">
        <v>1</v>
      </c>
      <c r="Y639">
        <f>VLOOKUP(Table_clu7sql1_ssdb_REPORT_vw_IE_External_MI_SON[[#This Row],[URN]],[1]Data!$D$2:$BB$1084,31,)</f>
        <v>1</v>
      </c>
      <c r="Z639" t="s">
        <v>2596</v>
      </c>
      <c r="AA639" t="s">
        <v>2596</v>
      </c>
      <c r="AB639" t="s">
        <v>2598</v>
      </c>
      <c r="AC639" t="s">
        <v>2596</v>
      </c>
      <c r="AD639" t="s">
        <v>2596</v>
      </c>
      <c r="AE639" t="s">
        <v>2596</v>
      </c>
      <c r="AF639" t="s">
        <v>2596</v>
      </c>
      <c r="AG639" t="s">
        <v>2596</v>
      </c>
      <c r="AH639" t="s">
        <v>2596</v>
      </c>
    </row>
    <row r="640" spans="1:34" x14ac:dyDescent="0.25">
      <c r="A640" s="111" t="str">
        <f>HYPERLINK("http://www.ofsted.gov.uk/inspection-reports/find-inspection-report/provider/ELS/135837 ","Ofsted School Webpage")</f>
        <v>Ofsted School Webpage</v>
      </c>
      <c r="B640">
        <v>135837</v>
      </c>
      <c r="C640">
        <v>8816060</v>
      </c>
      <c r="D640" t="s">
        <v>1167</v>
      </c>
      <c r="E640" t="s">
        <v>37</v>
      </c>
      <c r="F640" t="s">
        <v>142</v>
      </c>
      <c r="G640" t="s">
        <v>142</v>
      </c>
      <c r="H640" t="s">
        <v>2595</v>
      </c>
      <c r="I640" t="s">
        <v>2596</v>
      </c>
      <c r="J640" t="s">
        <v>143</v>
      </c>
      <c r="K640" t="s">
        <v>177</v>
      </c>
      <c r="L640" t="s">
        <v>177</v>
      </c>
      <c r="M640" t="s">
        <v>280</v>
      </c>
      <c r="N640" t="s">
        <v>1168</v>
      </c>
      <c r="O640">
        <v>10020918</v>
      </c>
      <c r="P640" s="108">
        <v>42864</v>
      </c>
      <c r="Q640" s="108">
        <v>42866</v>
      </c>
      <c r="R640" s="108">
        <v>42906</v>
      </c>
      <c r="S640" t="s">
        <v>153</v>
      </c>
      <c r="T640">
        <v>2</v>
      </c>
      <c r="U640" t="s">
        <v>123</v>
      </c>
      <c r="V640">
        <v>2</v>
      </c>
      <c r="W640">
        <v>2</v>
      </c>
      <c r="X640">
        <v>2</v>
      </c>
      <c r="Y640">
        <f>VLOOKUP(Table_clu7sql1_ssdb_REPORT_vw_IE_External_MI_SON[[#This Row],[URN]],[1]Data!$D$2:$BB$1084,31,)</f>
        <v>2</v>
      </c>
      <c r="Z640" t="s">
        <v>2596</v>
      </c>
      <c r="AA640" t="s">
        <v>2596</v>
      </c>
      <c r="AB640" t="s">
        <v>2598</v>
      </c>
      <c r="AC640" t="s">
        <v>2596</v>
      </c>
      <c r="AD640" t="s">
        <v>2596</v>
      </c>
      <c r="AE640" t="s">
        <v>2596</v>
      </c>
      <c r="AF640" t="s">
        <v>2596</v>
      </c>
      <c r="AG640" t="s">
        <v>2596</v>
      </c>
      <c r="AH640" t="s">
        <v>2596</v>
      </c>
    </row>
    <row r="641" spans="1:34" x14ac:dyDescent="0.25">
      <c r="A641" s="111" t="str">
        <f>HYPERLINK("http://www.ofsted.gov.uk/inspection-reports/find-inspection-report/provider/ELS/135839 ","Ofsted School Webpage")</f>
        <v>Ofsted School Webpage</v>
      </c>
      <c r="B641">
        <v>135839</v>
      </c>
      <c r="C641">
        <v>3086305</v>
      </c>
      <c r="D641" t="s">
        <v>357</v>
      </c>
      <c r="E641" t="s">
        <v>36</v>
      </c>
      <c r="F641" t="s">
        <v>142</v>
      </c>
      <c r="G641" t="s">
        <v>142</v>
      </c>
      <c r="H641" t="s">
        <v>2595</v>
      </c>
      <c r="I641" t="s">
        <v>2596</v>
      </c>
      <c r="J641" t="s">
        <v>143</v>
      </c>
      <c r="K641" t="s">
        <v>189</v>
      </c>
      <c r="L641" t="s">
        <v>189</v>
      </c>
      <c r="M641" t="s">
        <v>216</v>
      </c>
      <c r="N641" t="s">
        <v>358</v>
      </c>
      <c r="O641">
        <v>10026296</v>
      </c>
      <c r="P641" s="108">
        <v>43039</v>
      </c>
      <c r="Q641" s="108">
        <v>43041</v>
      </c>
      <c r="R641" s="108">
        <v>43066</v>
      </c>
      <c r="S641" t="s">
        <v>153</v>
      </c>
      <c r="T641">
        <v>1</v>
      </c>
      <c r="U641" t="s">
        <v>123</v>
      </c>
      <c r="V641">
        <v>1</v>
      </c>
      <c r="W641">
        <v>1</v>
      </c>
      <c r="X641">
        <v>1</v>
      </c>
      <c r="Y641">
        <f>VLOOKUP(Table_clu7sql1_ssdb_REPORT_vw_IE_External_MI_SON[[#This Row],[URN]],[1]Data!$D$2:$BB$1084,31,)</f>
        <v>1</v>
      </c>
      <c r="Z641" t="s">
        <v>2596</v>
      </c>
      <c r="AA641" t="s">
        <v>2596</v>
      </c>
      <c r="AB641" t="s">
        <v>2598</v>
      </c>
      <c r="AC641" t="s">
        <v>2596</v>
      </c>
      <c r="AD641" t="s">
        <v>2596</v>
      </c>
      <c r="AE641" t="s">
        <v>2596</v>
      </c>
      <c r="AF641" t="s">
        <v>2596</v>
      </c>
      <c r="AG641" t="s">
        <v>2596</v>
      </c>
      <c r="AH641" t="s">
        <v>2596</v>
      </c>
    </row>
    <row r="642" spans="1:34" x14ac:dyDescent="0.25">
      <c r="A642" s="111" t="str">
        <f>HYPERLINK("http://www.ofsted.gov.uk/inspection-reports/find-inspection-report/provider/ELS/135858 ","Ofsted School Webpage")</f>
        <v>Ofsted School Webpage</v>
      </c>
      <c r="B642">
        <v>135858</v>
      </c>
      <c r="C642">
        <v>8566022</v>
      </c>
      <c r="D642" t="s">
        <v>1712</v>
      </c>
      <c r="E642" t="s">
        <v>36</v>
      </c>
      <c r="F642" t="s">
        <v>142</v>
      </c>
      <c r="G642" t="s">
        <v>180</v>
      </c>
      <c r="H642" t="s">
        <v>2595</v>
      </c>
      <c r="I642" t="s">
        <v>2596</v>
      </c>
      <c r="J642" t="s">
        <v>143</v>
      </c>
      <c r="K642" t="s">
        <v>171</v>
      </c>
      <c r="L642" t="s">
        <v>171</v>
      </c>
      <c r="M642" t="s">
        <v>287</v>
      </c>
      <c r="N642" t="s">
        <v>1713</v>
      </c>
      <c r="O642">
        <v>10020934</v>
      </c>
      <c r="P642" s="108">
        <v>42710</v>
      </c>
      <c r="Q642" s="108">
        <v>42712</v>
      </c>
      <c r="R642" s="108">
        <v>42761</v>
      </c>
      <c r="S642" t="s">
        <v>153</v>
      </c>
      <c r="T642">
        <v>3</v>
      </c>
      <c r="U642" t="s">
        <v>123</v>
      </c>
      <c r="V642">
        <v>2</v>
      </c>
      <c r="W642">
        <v>2</v>
      </c>
      <c r="X642">
        <v>3</v>
      </c>
      <c r="Y642">
        <f>VLOOKUP(Table_clu7sql1_ssdb_REPORT_vw_IE_External_MI_SON[[#This Row],[URN]],[1]Data!$D$2:$BB$1084,31,)</f>
        <v>3</v>
      </c>
      <c r="Z642">
        <v>3</v>
      </c>
      <c r="AA642" t="s">
        <v>2596</v>
      </c>
      <c r="AB642" t="s">
        <v>2598</v>
      </c>
      <c r="AC642" t="s">
        <v>2596</v>
      </c>
      <c r="AD642" t="s">
        <v>2596</v>
      </c>
      <c r="AE642" t="s">
        <v>2596</v>
      </c>
      <c r="AF642" t="s">
        <v>2596</v>
      </c>
      <c r="AG642" t="s">
        <v>2596</v>
      </c>
      <c r="AH642" t="s">
        <v>2596</v>
      </c>
    </row>
    <row r="643" spans="1:34" x14ac:dyDescent="0.25">
      <c r="A643" s="111" t="str">
        <f>HYPERLINK("http://www.ofsted.gov.uk/inspection-reports/find-inspection-report/provider/ELS/135859 ","Ofsted School Webpage")</f>
        <v>Ofsted School Webpage</v>
      </c>
      <c r="B643">
        <v>135859</v>
      </c>
      <c r="C643">
        <v>9266160</v>
      </c>
      <c r="D643" t="s">
        <v>964</v>
      </c>
      <c r="E643" t="s">
        <v>37</v>
      </c>
      <c r="F643" t="s">
        <v>142</v>
      </c>
      <c r="G643" t="s">
        <v>142</v>
      </c>
      <c r="H643" t="s">
        <v>2595</v>
      </c>
      <c r="I643" t="s">
        <v>2596</v>
      </c>
      <c r="J643" t="s">
        <v>143</v>
      </c>
      <c r="K643" t="s">
        <v>177</v>
      </c>
      <c r="L643" t="s">
        <v>177</v>
      </c>
      <c r="M643" t="s">
        <v>401</v>
      </c>
      <c r="N643" t="s">
        <v>965</v>
      </c>
      <c r="O643">
        <v>10020821</v>
      </c>
      <c r="P643" s="108">
        <v>42892</v>
      </c>
      <c r="Q643" s="108">
        <v>42894</v>
      </c>
      <c r="R643" s="108">
        <v>42929</v>
      </c>
      <c r="S643" t="s">
        <v>153</v>
      </c>
      <c r="T643">
        <v>3</v>
      </c>
      <c r="U643" t="s">
        <v>123</v>
      </c>
      <c r="V643">
        <v>3</v>
      </c>
      <c r="W643">
        <v>3</v>
      </c>
      <c r="X643">
        <v>3</v>
      </c>
      <c r="Y643">
        <f>VLOOKUP(Table_clu7sql1_ssdb_REPORT_vw_IE_External_MI_SON[[#This Row],[URN]],[1]Data!$D$2:$BB$1084,31,)</f>
        <v>3</v>
      </c>
      <c r="Z643" t="s">
        <v>2596</v>
      </c>
      <c r="AA643" t="s">
        <v>2596</v>
      </c>
      <c r="AB643" t="s">
        <v>2599</v>
      </c>
      <c r="AC643" t="s">
        <v>2596</v>
      </c>
      <c r="AD643" t="s">
        <v>2596</v>
      </c>
      <c r="AE643" t="s">
        <v>2596</v>
      </c>
      <c r="AF643" t="s">
        <v>2596</v>
      </c>
      <c r="AG643" t="s">
        <v>2596</v>
      </c>
      <c r="AH643" t="s">
        <v>2596</v>
      </c>
    </row>
    <row r="644" spans="1:34" x14ac:dyDescent="0.25">
      <c r="A644" s="111" t="str">
        <f>HYPERLINK("http://www.ofsted.gov.uk/inspection-reports/find-inspection-report/provider/ELS/135882 ","Ofsted School Webpage")</f>
        <v>Ofsted School Webpage</v>
      </c>
      <c r="B644">
        <v>135882</v>
      </c>
      <c r="C644">
        <v>3306206</v>
      </c>
      <c r="D644" t="s">
        <v>2455</v>
      </c>
      <c r="E644" t="s">
        <v>36</v>
      </c>
      <c r="F644" t="s">
        <v>142</v>
      </c>
      <c r="G644" t="s">
        <v>180</v>
      </c>
      <c r="H644" t="s">
        <v>2595</v>
      </c>
      <c r="I644" t="s">
        <v>2596</v>
      </c>
      <c r="J644" t="s">
        <v>143</v>
      </c>
      <c r="K644" t="s">
        <v>150</v>
      </c>
      <c r="L644" t="s">
        <v>150</v>
      </c>
      <c r="M644" t="s">
        <v>167</v>
      </c>
      <c r="N644" t="s">
        <v>2456</v>
      </c>
      <c r="O644">
        <v>10020835</v>
      </c>
      <c r="P644" s="108">
        <v>42627</v>
      </c>
      <c r="Q644" s="108">
        <v>42629</v>
      </c>
      <c r="R644" s="108">
        <v>42663</v>
      </c>
      <c r="S644" t="s">
        <v>153</v>
      </c>
      <c r="T644">
        <v>3</v>
      </c>
      <c r="U644" t="s">
        <v>123</v>
      </c>
      <c r="V644">
        <v>3</v>
      </c>
      <c r="W644">
        <v>2</v>
      </c>
      <c r="X644">
        <v>3</v>
      </c>
      <c r="Y644">
        <f>VLOOKUP(Table_clu7sql1_ssdb_REPORT_vw_IE_External_MI_SON[[#This Row],[URN]],[1]Data!$D$2:$BB$1084,31,)</f>
        <v>3</v>
      </c>
      <c r="Z644">
        <v>3</v>
      </c>
      <c r="AA644" t="s">
        <v>2596</v>
      </c>
      <c r="AB644" t="s">
        <v>2599</v>
      </c>
      <c r="AC644" t="s">
        <v>2596</v>
      </c>
      <c r="AD644" t="s">
        <v>2596</v>
      </c>
      <c r="AE644" t="s">
        <v>2596</v>
      </c>
      <c r="AF644" t="s">
        <v>2596</v>
      </c>
      <c r="AG644" t="s">
        <v>2596</v>
      </c>
      <c r="AH644" t="s">
        <v>2596</v>
      </c>
    </row>
    <row r="645" spans="1:34" x14ac:dyDescent="0.25">
      <c r="A645" s="111" t="str">
        <f>HYPERLINK("http://www.ofsted.gov.uk/inspection-reports/find-inspection-report/provider/ELS/135901 ","Ofsted School Webpage")</f>
        <v>Ofsted School Webpage</v>
      </c>
      <c r="B645">
        <v>135901</v>
      </c>
      <c r="C645">
        <v>2096409</v>
      </c>
      <c r="D645" t="s">
        <v>1594</v>
      </c>
      <c r="E645" t="s">
        <v>36</v>
      </c>
      <c r="F645" t="s">
        <v>142</v>
      </c>
      <c r="G645" t="s">
        <v>142</v>
      </c>
      <c r="H645" t="s">
        <v>2595</v>
      </c>
      <c r="I645" t="s">
        <v>2596</v>
      </c>
      <c r="J645" t="s">
        <v>143</v>
      </c>
      <c r="K645" t="s">
        <v>189</v>
      </c>
      <c r="L645" t="s">
        <v>189</v>
      </c>
      <c r="M645" t="s">
        <v>484</v>
      </c>
      <c r="N645" t="s">
        <v>1595</v>
      </c>
      <c r="O645">
        <v>10020714</v>
      </c>
      <c r="P645" s="108">
        <v>42815</v>
      </c>
      <c r="Q645" s="108">
        <v>42817</v>
      </c>
      <c r="R645" s="108">
        <v>42905</v>
      </c>
      <c r="S645" t="s">
        <v>224</v>
      </c>
      <c r="T645">
        <v>3</v>
      </c>
      <c r="U645" t="s">
        <v>123</v>
      </c>
      <c r="V645">
        <v>3</v>
      </c>
      <c r="W645">
        <v>2</v>
      </c>
      <c r="X645">
        <v>3</v>
      </c>
      <c r="Y645">
        <f>VLOOKUP(Table_clu7sql1_ssdb_REPORT_vw_IE_External_MI_SON[[#This Row],[URN]],[1]Data!$D$2:$BB$1084,31,)</f>
        <v>3</v>
      </c>
      <c r="Z645" t="s">
        <v>2596</v>
      </c>
      <c r="AA645" t="s">
        <v>2596</v>
      </c>
      <c r="AB645" t="s">
        <v>2598</v>
      </c>
      <c r="AC645" t="s">
        <v>2596</v>
      </c>
      <c r="AD645" t="s">
        <v>2596</v>
      </c>
      <c r="AE645" s="108" t="s">
        <v>2596</v>
      </c>
      <c r="AF645" t="s">
        <v>2596</v>
      </c>
      <c r="AG645" s="108" t="s">
        <v>2596</v>
      </c>
      <c r="AH645" t="s">
        <v>2596</v>
      </c>
    </row>
    <row r="646" spans="1:34" x14ac:dyDescent="0.25">
      <c r="A646" s="111" t="str">
        <f>HYPERLINK("http://www.ofsted.gov.uk/inspection-reports/find-inspection-report/provider/ELS/135930 ","Ofsted School Webpage")</f>
        <v>Ofsted School Webpage</v>
      </c>
      <c r="B646">
        <v>135930</v>
      </c>
      <c r="C646">
        <v>9386267</v>
      </c>
      <c r="D646" t="s">
        <v>925</v>
      </c>
      <c r="E646" t="s">
        <v>37</v>
      </c>
      <c r="F646" t="s">
        <v>142</v>
      </c>
      <c r="G646" t="s">
        <v>142</v>
      </c>
      <c r="H646" t="s">
        <v>2595</v>
      </c>
      <c r="I646" t="s">
        <v>2596</v>
      </c>
      <c r="J646" t="s">
        <v>143</v>
      </c>
      <c r="K646" t="s">
        <v>139</v>
      </c>
      <c r="L646" t="s">
        <v>139</v>
      </c>
      <c r="M646" t="s">
        <v>351</v>
      </c>
      <c r="N646" t="s">
        <v>926</v>
      </c>
      <c r="O646">
        <v>10020827</v>
      </c>
      <c r="P646" s="108">
        <v>42633</v>
      </c>
      <c r="Q646" s="108">
        <v>42635</v>
      </c>
      <c r="R646" s="108">
        <v>42678</v>
      </c>
      <c r="S646" t="s">
        <v>224</v>
      </c>
      <c r="T646">
        <v>4</v>
      </c>
      <c r="U646" t="s">
        <v>124</v>
      </c>
      <c r="V646">
        <v>4</v>
      </c>
      <c r="W646">
        <v>4</v>
      </c>
      <c r="X646">
        <v>4</v>
      </c>
      <c r="Y646">
        <f>VLOOKUP(Table_clu7sql1_ssdb_REPORT_vw_IE_External_MI_SON[[#This Row],[URN]],[1]Data!$D$2:$BB$1084,31,)</f>
        <v>4</v>
      </c>
      <c r="Z646" t="s">
        <v>2596</v>
      </c>
      <c r="AA646">
        <v>4</v>
      </c>
      <c r="AB646" t="s">
        <v>2599</v>
      </c>
      <c r="AC646">
        <v>10033542</v>
      </c>
      <c r="AD646" t="s">
        <v>2635</v>
      </c>
      <c r="AE646" s="108">
        <v>42865</v>
      </c>
      <c r="AF646" t="s">
        <v>2634</v>
      </c>
      <c r="AG646" s="108">
        <v>42898</v>
      </c>
      <c r="AH646" t="s">
        <v>146</v>
      </c>
    </row>
    <row r="647" spans="1:34" x14ac:dyDescent="0.25">
      <c r="A647" s="111" t="str">
        <f>HYPERLINK("http://www.ofsted.gov.uk/inspection-reports/find-inspection-report/provider/ELS/135948 ","Ofsted School Webpage")</f>
        <v>Ofsted School Webpage</v>
      </c>
      <c r="B647">
        <v>135948</v>
      </c>
      <c r="C647">
        <v>3526067</v>
      </c>
      <c r="D647" t="s">
        <v>2262</v>
      </c>
      <c r="E647" t="s">
        <v>36</v>
      </c>
      <c r="F647" t="s">
        <v>142</v>
      </c>
      <c r="G647" t="s">
        <v>142</v>
      </c>
      <c r="H647" t="s">
        <v>2595</v>
      </c>
      <c r="I647" t="s">
        <v>2596</v>
      </c>
      <c r="J647" t="s">
        <v>143</v>
      </c>
      <c r="K647" t="s">
        <v>162</v>
      </c>
      <c r="L647" t="s">
        <v>162</v>
      </c>
      <c r="M647" t="s">
        <v>263</v>
      </c>
      <c r="N647" t="s">
        <v>2263</v>
      </c>
      <c r="O647">
        <v>10020756</v>
      </c>
      <c r="P647" s="108">
        <v>42689</v>
      </c>
      <c r="Q647" s="108">
        <v>42691</v>
      </c>
      <c r="R647" s="108">
        <v>42751</v>
      </c>
      <c r="S647" t="s">
        <v>153</v>
      </c>
      <c r="T647">
        <v>3</v>
      </c>
      <c r="U647" t="s">
        <v>123</v>
      </c>
      <c r="V647">
        <v>3</v>
      </c>
      <c r="W647">
        <v>3</v>
      </c>
      <c r="X647">
        <v>3</v>
      </c>
      <c r="Y647">
        <f>VLOOKUP(Table_clu7sql1_ssdb_REPORT_vw_IE_External_MI_SON[[#This Row],[URN]],[1]Data!$D$2:$BB$1084,31,)</f>
        <v>3</v>
      </c>
      <c r="Z647" t="s">
        <v>2596</v>
      </c>
      <c r="AA647" t="s">
        <v>2596</v>
      </c>
      <c r="AB647" t="s">
        <v>2598</v>
      </c>
      <c r="AC647" t="s">
        <v>2596</v>
      </c>
      <c r="AD647" t="s">
        <v>2596</v>
      </c>
      <c r="AE647" s="108" t="s">
        <v>2596</v>
      </c>
      <c r="AF647" t="s">
        <v>2596</v>
      </c>
      <c r="AG647" s="108" t="s">
        <v>2596</v>
      </c>
      <c r="AH647" t="s">
        <v>2596</v>
      </c>
    </row>
    <row r="648" spans="1:34" x14ac:dyDescent="0.25">
      <c r="A648" s="111" t="str">
        <f>HYPERLINK("http://www.ofsted.gov.uk/inspection-reports/find-inspection-report/provider/ELS/135975 ","Ofsted School Webpage")</f>
        <v>Ofsted School Webpage</v>
      </c>
      <c r="B648">
        <v>135975</v>
      </c>
      <c r="C648">
        <v>3576003</v>
      </c>
      <c r="D648" t="s">
        <v>1210</v>
      </c>
      <c r="E648" t="s">
        <v>36</v>
      </c>
      <c r="F648" t="s">
        <v>142</v>
      </c>
      <c r="G648" t="s">
        <v>142</v>
      </c>
      <c r="H648" t="s">
        <v>2595</v>
      </c>
      <c r="I648" t="s">
        <v>2596</v>
      </c>
      <c r="J648" t="s">
        <v>143</v>
      </c>
      <c r="K648" t="s">
        <v>162</v>
      </c>
      <c r="L648" t="s">
        <v>162</v>
      </c>
      <c r="M648" t="s">
        <v>808</v>
      </c>
      <c r="N648" t="s">
        <v>1211</v>
      </c>
      <c r="O648">
        <v>10020741</v>
      </c>
      <c r="P648" s="108">
        <v>42626</v>
      </c>
      <c r="Q648" s="108">
        <v>42628</v>
      </c>
      <c r="R648" s="108">
        <v>42661</v>
      </c>
      <c r="S648" t="s">
        <v>3005</v>
      </c>
      <c r="T648">
        <v>1</v>
      </c>
      <c r="U648" t="s">
        <v>123</v>
      </c>
      <c r="V648">
        <v>1</v>
      </c>
      <c r="W648">
        <v>1</v>
      </c>
      <c r="X648">
        <v>1</v>
      </c>
      <c r="Y648">
        <f>VLOOKUP(Table_clu7sql1_ssdb_REPORT_vw_IE_External_MI_SON[[#This Row],[URN]],[1]Data!$D$2:$BB$1084,31,)</f>
        <v>1</v>
      </c>
      <c r="Z648" t="s">
        <v>2596</v>
      </c>
      <c r="AA648" t="s">
        <v>2596</v>
      </c>
      <c r="AB648" t="s">
        <v>2598</v>
      </c>
      <c r="AC648" t="s">
        <v>2596</v>
      </c>
      <c r="AD648" t="s">
        <v>2596</v>
      </c>
      <c r="AE648" t="s">
        <v>2596</v>
      </c>
      <c r="AF648" t="s">
        <v>2596</v>
      </c>
      <c r="AG648" t="s">
        <v>2596</v>
      </c>
      <c r="AH648" t="s">
        <v>2596</v>
      </c>
    </row>
    <row r="649" spans="1:34" x14ac:dyDescent="0.25">
      <c r="A649" s="111" t="str">
        <f>HYPERLINK("http://www.ofsted.gov.uk/inspection-reports/find-inspection-report/provider/ELS/135988 ","Ofsted School Webpage")</f>
        <v>Ofsted School Webpage</v>
      </c>
      <c r="B649">
        <v>135988</v>
      </c>
      <c r="C649">
        <v>3096088</v>
      </c>
      <c r="D649" t="s">
        <v>1214</v>
      </c>
      <c r="E649" t="s">
        <v>36</v>
      </c>
      <c r="F649" t="s">
        <v>142</v>
      </c>
      <c r="G649" t="s">
        <v>142</v>
      </c>
      <c r="H649" t="s">
        <v>2595</v>
      </c>
      <c r="I649" t="s">
        <v>2596</v>
      </c>
      <c r="J649" t="s">
        <v>143</v>
      </c>
      <c r="K649" t="s">
        <v>189</v>
      </c>
      <c r="L649" t="s">
        <v>189</v>
      </c>
      <c r="M649" t="s">
        <v>650</v>
      </c>
      <c r="N649" t="s">
        <v>1215</v>
      </c>
      <c r="O649">
        <v>10012782</v>
      </c>
      <c r="P649" s="108">
        <v>43018</v>
      </c>
      <c r="Q649" s="108">
        <v>43020</v>
      </c>
      <c r="R649" s="108">
        <v>43112</v>
      </c>
      <c r="S649" t="s">
        <v>153</v>
      </c>
      <c r="T649">
        <v>3</v>
      </c>
      <c r="U649" t="s">
        <v>123</v>
      </c>
      <c r="V649">
        <v>3</v>
      </c>
      <c r="W649">
        <v>3</v>
      </c>
      <c r="X649">
        <v>3</v>
      </c>
      <c r="Y649">
        <f>VLOOKUP(Table_clu7sql1_ssdb_REPORT_vw_IE_External_MI_SON[[#This Row],[URN]],[1]Data!$D$2:$BB$1084,31,)</f>
        <v>3</v>
      </c>
      <c r="Z649">
        <v>3</v>
      </c>
      <c r="AA649" t="s">
        <v>2596</v>
      </c>
      <c r="AB649" t="s">
        <v>2599</v>
      </c>
      <c r="AC649" t="s">
        <v>2596</v>
      </c>
      <c r="AD649" t="s">
        <v>2596</v>
      </c>
      <c r="AE649" s="108" t="s">
        <v>2596</v>
      </c>
      <c r="AF649" t="s">
        <v>2596</v>
      </c>
      <c r="AG649" s="108" t="s">
        <v>2596</v>
      </c>
      <c r="AH649" t="s">
        <v>2596</v>
      </c>
    </row>
    <row r="650" spans="1:34" x14ac:dyDescent="0.25">
      <c r="A650" s="111" t="str">
        <f>HYPERLINK("http://www.ofsted.gov.uk/inspection-reports/find-inspection-report/provider/ELS/135990 ","Ofsted School Webpage")</f>
        <v>Ofsted School Webpage</v>
      </c>
      <c r="B650">
        <v>135990</v>
      </c>
      <c r="C650">
        <v>8226014</v>
      </c>
      <c r="D650" t="s">
        <v>442</v>
      </c>
      <c r="E650" t="s">
        <v>37</v>
      </c>
      <c r="F650" t="s">
        <v>142</v>
      </c>
      <c r="G650" t="s">
        <v>142</v>
      </c>
      <c r="H650" t="s">
        <v>2595</v>
      </c>
      <c r="I650" t="s">
        <v>2596</v>
      </c>
      <c r="J650" t="s">
        <v>143</v>
      </c>
      <c r="K650" t="s">
        <v>177</v>
      </c>
      <c r="L650" t="s">
        <v>177</v>
      </c>
      <c r="M650" t="s">
        <v>290</v>
      </c>
      <c r="N650" t="s">
        <v>443</v>
      </c>
      <c r="O650">
        <v>10020928</v>
      </c>
      <c r="P650" s="108">
        <v>42647</v>
      </c>
      <c r="Q650" s="108">
        <v>42649</v>
      </c>
      <c r="R650" s="108">
        <v>42697</v>
      </c>
      <c r="S650" t="s">
        <v>3005</v>
      </c>
      <c r="T650">
        <v>3</v>
      </c>
      <c r="U650" t="s">
        <v>123</v>
      </c>
      <c r="V650">
        <v>3</v>
      </c>
      <c r="W650">
        <v>2</v>
      </c>
      <c r="X650">
        <v>3</v>
      </c>
      <c r="Y650">
        <f>VLOOKUP(Table_clu7sql1_ssdb_REPORT_vw_IE_External_MI_SON[[#This Row],[URN]],[1]Data!$D$2:$BB$1084,31,)</f>
        <v>3</v>
      </c>
      <c r="Z650" t="s">
        <v>2596</v>
      </c>
      <c r="AA650">
        <v>3</v>
      </c>
      <c r="AB650" t="s">
        <v>2599</v>
      </c>
      <c r="AC650">
        <v>10039487</v>
      </c>
      <c r="AD650" t="s">
        <v>144</v>
      </c>
      <c r="AE650" s="108">
        <v>43025</v>
      </c>
      <c r="AF650" t="s">
        <v>2636</v>
      </c>
      <c r="AG650" s="108">
        <v>43066</v>
      </c>
      <c r="AH650" t="s">
        <v>174</v>
      </c>
    </row>
    <row r="651" spans="1:34" x14ac:dyDescent="0.25">
      <c r="A651" s="111" t="str">
        <f>HYPERLINK("http://www.ofsted.gov.uk/inspection-reports/find-inspection-report/provider/ELS/135995 ","Ofsted School Webpage")</f>
        <v>Ofsted School Webpage</v>
      </c>
      <c r="B651">
        <v>135995</v>
      </c>
      <c r="C651">
        <v>8706016</v>
      </c>
      <c r="D651" t="s">
        <v>1881</v>
      </c>
      <c r="E651" t="s">
        <v>36</v>
      </c>
      <c r="F651" t="s">
        <v>142</v>
      </c>
      <c r="G651" t="s">
        <v>142</v>
      </c>
      <c r="H651" t="s">
        <v>2595</v>
      </c>
      <c r="I651" t="s">
        <v>2596</v>
      </c>
      <c r="J651" t="s">
        <v>143</v>
      </c>
      <c r="K651" t="s">
        <v>139</v>
      </c>
      <c r="L651" t="s">
        <v>139</v>
      </c>
      <c r="M651" t="s">
        <v>1882</v>
      </c>
      <c r="N651" t="s">
        <v>1883</v>
      </c>
      <c r="O651">
        <v>10033953</v>
      </c>
      <c r="P651" s="108">
        <v>43130</v>
      </c>
      <c r="Q651" s="108">
        <v>43132</v>
      </c>
      <c r="R651" s="108">
        <v>43164</v>
      </c>
      <c r="S651" t="s">
        <v>153</v>
      </c>
      <c r="T651">
        <v>2</v>
      </c>
      <c r="U651" t="s">
        <v>123</v>
      </c>
      <c r="V651">
        <v>2</v>
      </c>
      <c r="W651">
        <v>1</v>
      </c>
      <c r="X651">
        <v>2</v>
      </c>
      <c r="Y651">
        <f>VLOOKUP(Table_clu7sql1_ssdb_REPORT_vw_IE_External_MI_SON[[#This Row],[URN]],[1]Data!$D$2:$BB$1084,31,)</f>
        <v>2</v>
      </c>
      <c r="Z651">
        <v>2</v>
      </c>
      <c r="AA651" t="s">
        <v>2596</v>
      </c>
      <c r="AB651" t="s">
        <v>2598</v>
      </c>
      <c r="AC651" t="s">
        <v>2596</v>
      </c>
      <c r="AD651" t="s">
        <v>2596</v>
      </c>
      <c r="AE651" s="108" t="s">
        <v>2596</v>
      </c>
      <c r="AF651" t="s">
        <v>2596</v>
      </c>
      <c r="AG651" s="108" t="s">
        <v>2596</v>
      </c>
      <c r="AH651" t="s">
        <v>2596</v>
      </c>
    </row>
    <row r="652" spans="1:34" x14ac:dyDescent="0.25">
      <c r="A652" s="111" t="str">
        <f>HYPERLINK("http://www.ofsted.gov.uk/inspection-reports/find-inspection-report/provider/ELS/135998 ","Ofsted School Webpage")</f>
        <v>Ofsted School Webpage</v>
      </c>
      <c r="B652">
        <v>135998</v>
      </c>
      <c r="C652">
        <v>3596011</v>
      </c>
      <c r="D652" t="s">
        <v>1631</v>
      </c>
      <c r="E652" t="s">
        <v>36</v>
      </c>
      <c r="F652" t="s">
        <v>142</v>
      </c>
      <c r="G652" t="s">
        <v>142</v>
      </c>
      <c r="H652" t="s">
        <v>2595</v>
      </c>
      <c r="I652" t="s">
        <v>2596</v>
      </c>
      <c r="J652" t="s">
        <v>143</v>
      </c>
      <c r="K652" t="s">
        <v>162</v>
      </c>
      <c r="L652" t="s">
        <v>162</v>
      </c>
      <c r="M652" t="s">
        <v>426</v>
      </c>
      <c r="N652" t="s">
        <v>1632</v>
      </c>
      <c r="O652">
        <v>10026013</v>
      </c>
      <c r="P652" s="108">
        <v>42815</v>
      </c>
      <c r="Q652" s="108">
        <v>42817</v>
      </c>
      <c r="R652" s="108">
        <v>42850</v>
      </c>
      <c r="S652" t="s">
        <v>153</v>
      </c>
      <c r="T652">
        <v>2</v>
      </c>
      <c r="U652" t="s">
        <v>123</v>
      </c>
      <c r="V652">
        <v>2</v>
      </c>
      <c r="W652">
        <v>1</v>
      </c>
      <c r="X652">
        <v>2</v>
      </c>
      <c r="Y652">
        <f>VLOOKUP(Table_clu7sql1_ssdb_REPORT_vw_IE_External_MI_SON[[#This Row],[URN]],[1]Data!$D$2:$BB$1084,31,)</f>
        <v>2</v>
      </c>
      <c r="Z652">
        <v>2</v>
      </c>
      <c r="AA652" t="s">
        <v>2596</v>
      </c>
      <c r="AB652" t="s">
        <v>2598</v>
      </c>
      <c r="AC652" t="s">
        <v>2596</v>
      </c>
      <c r="AD652" t="s">
        <v>2596</v>
      </c>
      <c r="AE652" t="s">
        <v>2596</v>
      </c>
      <c r="AF652" t="s">
        <v>2596</v>
      </c>
      <c r="AG652" t="s">
        <v>2596</v>
      </c>
      <c r="AH652" t="s">
        <v>2596</v>
      </c>
    </row>
    <row r="653" spans="1:34" x14ac:dyDescent="0.25">
      <c r="A653" s="111" t="str">
        <f>HYPERLINK("http://www.ofsted.gov.uk/inspection-reports/find-inspection-report/provider/ELS/136000 ","Ofsted School Webpage")</f>
        <v>Ofsted School Webpage</v>
      </c>
      <c r="B653">
        <v>136000</v>
      </c>
      <c r="C653">
        <v>3906008</v>
      </c>
      <c r="D653" t="s">
        <v>2442</v>
      </c>
      <c r="E653" t="s">
        <v>36</v>
      </c>
      <c r="F653" t="s">
        <v>142</v>
      </c>
      <c r="G653" t="s">
        <v>275</v>
      </c>
      <c r="H653" t="s">
        <v>2595</v>
      </c>
      <c r="I653" t="s">
        <v>2596</v>
      </c>
      <c r="J653" t="s">
        <v>143</v>
      </c>
      <c r="K653" t="s">
        <v>202</v>
      </c>
      <c r="L653" t="s">
        <v>234</v>
      </c>
      <c r="M653" t="s">
        <v>604</v>
      </c>
      <c r="N653" t="s">
        <v>2443</v>
      </c>
      <c r="O653">
        <v>10025960</v>
      </c>
      <c r="P653" s="108">
        <v>42808</v>
      </c>
      <c r="Q653" s="108">
        <v>42810</v>
      </c>
      <c r="R653" s="108">
        <v>42829</v>
      </c>
      <c r="S653" t="s">
        <v>153</v>
      </c>
      <c r="T653">
        <v>2</v>
      </c>
      <c r="U653" t="s">
        <v>123</v>
      </c>
      <c r="V653">
        <v>2</v>
      </c>
      <c r="W653">
        <v>2</v>
      </c>
      <c r="X653">
        <v>2</v>
      </c>
      <c r="Y653">
        <f>VLOOKUP(Table_clu7sql1_ssdb_REPORT_vw_IE_External_MI_SON[[#This Row],[URN]],[1]Data!$D$2:$BB$1084,31,)</f>
        <v>2</v>
      </c>
      <c r="Z653">
        <v>2</v>
      </c>
      <c r="AA653" t="s">
        <v>2596</v>
      </c>
      <c r="AB653" t="s">
        <v>2598</v>
      </c>
      <c r="AC653" t="s">
        <v>2596</v>
      </c>
      <c r="AD653" t="s">
        <v>2596</v>
      </c>
      <c r="AE653" t="s">
        <v>2596</v>
      </c>
      <c r="AF653" t="s">
        <v>2596</v>
      </c>
      <c r="AG653" t="s">
        <v>2596</v>
      </c>
      <c r="AH653" t="s">
        <v>2596</v>
      </c>
    </row>
    <row r="654" spans="1:34" x14ac:dyDescent="0.25">
      <c r="A654" s="111" t="str">
        <f>HYPERLINK("http://www.ofsted.gov.uk/inspection-reports/find-inspection-report/provider/ELS/136003 ","Ofsted School Webpage")</f>
        <v>Ofsted School Webpage</v>
      </c>
      <c r="B654">
        <v>136003</v>
      </c>
      <c r="C654">
        <v>8886111</v>
      </c>
      <c r="D654" t="s">
        <v>161</v>
      </c>
      <c r="E654" t="s">
        <v>37</v>
      </c>
      <c r="F654" t="s">
        <v>142</v>
      </c>
      <c r="G654" t="s">
        <v>142</v>
      </c>
      <c r="H654" t="s">
        <v>2595</v>
      </c>
      <c r="I654" t="s">
        <v>2596</v>
      </c>
      <c r="J654" t="s">
        <v>143</v>
      </c>
      <c r="K654" t="s">
        <v>162</v>
      </c>
      <c r="L654" t="s">
        <v>162</v>
      </c>
      <c r="M654" t="s">
        <v>163</v>
      </c>
      <c r="N654" t="s">
        <v>164</v>
      </c>
      <c r="O654">
        <v>10026014</v>
      </c>
      <c r="P654" s="108">
        <v>42990</v>
      </c>
      <c r="Q654" s="108">
        <v>42992</v>
      </c>
      <c r="R654" s="108">
        <v>43027</v>
      </c>
      <c r="S654" t="s">
        <v>153</v>
      </c>
      <c r="T654">
        <v>1</v>
      </c>
      <c r="U654" t="s">
        <v>123</v>
      </c>
      <c r="V654">
        <v>1</v>
      </c>
      <c r="W654">
        <v>1</v>
      </c>
      <c r="X654">
        <v>1</v>
      </c>
      <c r="Y654">
        <f>VLOOKUP(Table_clu7sql1_ssdb_REPORT_vw_IE_External_MI_SON[[#This Row],[URN]],[1]Data!$D$2:$BB$1084,31,)</f>
        <v>1</v>
      </c>
      <c r="Z654" t="s">
        <v>2596</v>
      </c>
      <c r="AA654" t="s">
        <v>2596</v>
      </c>
      <c r="AB654" t="s">
        <v>2598</v>
      </c>
      <c r="AC654" t="s">
        <v>2596</v>
      </c>
      <c r="AD654" t="s">
        <v>2596</v>
      </c>
      <c r="AE654" t="s">
        <v>2596</v>
      </c>
      <c r="AF654" t="s">
        <v>2596</v>
      </c>
      <c r="AG654" t="s">
        <v>2596</v>
      </c>
      <c r="AH654" t="s">
        <v>2596</v>
      </c>
    </row>
    <row r="655" spans="1:34" x14ac:dyDescent="0.25">
      <c r="A655" s="111" t="str">
        <f>HYPERLINK("http://www.ofsted.gov.uk/inspection-reports/find-inspection-report/provider/ELS/136014 ","Ofsted School Webpage")</f>
        <v>Ofsted School Webpage</v>
      </c>
      <c r="B655">
        <v>136014</v>
      </c>
      <c r="C655">
        <v>3026122</v>
      </c>
      <c r="D655" t="s">
        <v>1577</v>
      </c>
      <c r="E655" t="s">
        <v>36</v>
      </c>
      <c r="F655" t="s">
        <v>142</v>
      </c>
      <c r="G655" t="s">
        <v>275</v>
      </c>
      <c r="H655" t="s">
        <v>2595</v>
      </c>
      <c r="I655" t="s">
        <v>2596</v>
      </c>
      <c r="J655" t="s">
        <v>143</v>
      </c>
      <c r="K655" t="s">
        <v>189</v>
      </c>
      <c r="L655" t="s">
        <v>189</v>
      </c>
      <c r="M655" t="s">
        <v>268</v>
      </c>
      <c r="N655" t="s">
        <v>1578</v>
      </c>
      <c r="O655">
        <v>10035805</v>
      </c>
      <c r="P655" s="108">
        <v>43151</v>
      </c>
      <c r="Q655" s="108">
        <v>43153</v>
      </c>
      <c r="R655" s="108">
        <v>43187</v>
      </c>
      <c r="S655" t="s">
        <v>153</v>
      </c>
      <c r="T655">
        <v>2</v>
      </c>
      <c r="U655" t="s">
        <v>123</v>
      </c>
      <c r="V655">
        <v>2</v>
      </c>
      <c r="W655">
        <v>2</v>
      </c>
      <c r="X655">
        <v>2</v>
      </c>
      <c r="Y655">
        <f>VLOOKUP(Table_clu7sql1_ssdb_REPORT_vw_IE_External_MI_SON[[#This Row],[URN]],[1]Data!$D$2:$BB$1084,31,)</f>
        <v>2</v>
      </c>
      <c r="Z655">
        <v>2</v>
      </c>
      <c r="AA655" t="s">
        <v>2596</v>
      </c>
      <c r="AB655" t="s">
        <v>2598</v>
      </c>
      <c r="AC655" t="s">
        <v>2596</v>
      </c>
      <c r="AD655" t="s">
        <v>2596</v>
      </c>
      <c r="AE655" t="s">
        <v>2596</v>
      </c>
      <c r="AF655" t="s">
        <v>2596</v>
      </c>
      <c r="AG655" t="s">
        <v>2596</v>
      </c>
      <c r="AH655" t="s">
        <v>2596</v>
      </c>
    </row>
    <row r="656" spans="1:34" x14ac:dyDescent="0.25">
      <c r="A656" s="111" t="str">
        <f>HYPERLINK("http://www.ofsted.gov.uk/inspection-reports/find-inspection-report/provider/ELS/136015 ","Ofsted School Webpage")</f>
        <v>Ofsted School Webpage</v>
      </c>
      <c r="B656">
        <v>136015</v>
      </c>
      <c r="C656">
        <v>2046073</v>
      </c>
      <c r="D656" t="s">
        <v>1280</v>
      </c>
      <c r="E656" t="s">
        <v>36</v>
      </c>
      <c r="F656" t="s">
        <v>776</v>
      </c>
      <c r="G656" t="s">
        <v>275</v>
      </c>
      <c r="H656" t="s">
        <v>2595</v>
      </c>
      <c r="I656" t="s">
        <v>2596</v>
      </c>
      <c r="J656" t="s">
        <v>143</v>
      </c>
      <c r="K656" t="s">
        <v>189</v>
      </c>
      <c r="L656" t="s">
        <v>189</v>
      </c>
      <c r="M656" t="s">
        <v>434</v>
      </c>
      <c r="N656" t="s">
        <v>1281</v>
      </c>
      <c r="O656">
        <v>10035806</v>
      </c>
      <c r="P656" s="108">
        <v>43109</v>
      </c>
      <c r="Q656" s="108">
        <v>43111</v>
      </c>
      <c r="R656" s="108">
        <v>43153</v>
      </c>
      <c r="S656" t="s">
        <v>153</v>
      </c>
      <c r="T656">
        <v>4</v>
      </c>
      <c r="U656" t="s">
        <v>123</v>
      </c>
      <c r="V656">
        <v>4</v>
      </c>
      <c r="W656">
        <v>3</v>
      </c>
      <c r="X656">
        <v>3</v>
      </c>
      <c r="Y656">
        <f>VLOOKUP(Table_clu7sql1_ssdb_REPORT_vw_IE_External_MI_SON[[#This Row],[URN]],[1]Data!$D$2:$BB$1084,31,)</f>
        <v>3</v>
      </c>
      <c r="Z656">
        <v>3</v>
      </c>
      <c r="AA656" t="s">
        <v>2596</v>
      </c>
      <c r="AB656" t="s">
        <v>2599</v>
      </c>
      <c r="AC656" t="s">
        <v>2596</v>
      </c>
      <c r="AD656" t="s">
        <v>2596</v>
      </c>
      <c r="AE656" t="s">
        <v>2596</v>
      </c>
      <c r="AF656" t="s">
        <v>2596</v>
      </c>
      <c r="AG656" t="s">
        <v>2596</v>
      </c>
      <c r="AH656" t="s">
        <v>2596</v>
      </c>
    </row>
    <row r="657" spans="1:34" x14ac:dyDescent="0.25">
      <c r="A657" s="111" t="str">
        <f>HYPERLINK("http://www.ofsted.gov.uk/inspection-reports/find-inspection-report/provider/ELS/136019 ","Ofsted School Webpage")</f>
        <v>Ofsted School Webpage</v>
      </c>
      <c r="B657">
        <v>136019</v>
      </c>
      <c r="C657">
        <v>8656043</v>
      </c>
      <c r="D657" t="s">
        <v>1730</v>
      </c>
      <c r="E657" t="s">
        <v>37</v>
      </c>
      <c r="F657" t="s">
        <v>142</v>
      </c>
      <c r="G657" t="s">
        <v>142</v>
      </c>
      <c r="H657" t="s">
        <v>2595</v>
      </c>
      <c r="I657" t="s">
        <v>2596</v>
      </c>
      <c r="J657" t="s">
        <v>143</v>
      </c>
      <c r="K657" t="s">
        <v>182</v>
      </c>
      <c r="L657" t="s">
        <v>182</v>
      </c>
      <c r="M657" t="s">
        <v>183</v>
      </c>
      <c r="N657" t="s">
        <v>1731</v>
      </c>
      <c r="O657">
        <v>10033893</v>
      </c>
      <c r="P657" s="108">
        <v>42900</v>
      </c>
      <c r="Q657" s="108">
        <v>42902</v>
      </c>
      <c r="R657" s="108">
        <v>42929</v>
      </c>
      <c r="S657" t="s">
        <v>153</v>
      </c>
      <c r="T657">
        <v>2</v>
      </c>
      <c r="U657" t="s">
        <v>123</v>
      </c>
      <c r="V657">
        <v>2</v>
      </c>
      <c r="W657">
        <v>2</v>
      </c>
      <c r="X657">
        <v>2</v>
      </c>
      <c r="Y657">
        <f>VLOOKUP(Table_clu7sql1_ssdb_REPORT_vw_IE_External_MI_SON[[#This Row],[URN]],[1]Data!$D$2:$BB$1084,31,)</f>
        <v>2</v>
      </c>
      <c r="Z657" t="s">
        <v>2596</v>
      </c>
      <c r="AA657" t="s">
        <v>2596</v>
      </c>
      <c r="AB657" t="s">
        <v>2598</v>
      </c>
      <c r="AC657" t="s">
        <v>2596</v>
      </c>
      <c r="AD657" t="s">
        <v>2596</v>
      </c>
      <c r="AE657" t="s">
        <v>2596</v>
      </c>
      <c r="AF657" t="s">
        <v>2596</v>
      </c>
      <c r="AG657" t="s">
        <v>2596</v>
      </c>
      <c r="AH657" t="s">
        <v>2596</v>
      </c>
    </row>
    <row r="658" spans="1:34" x14ac:dyDescent="0.25">
      <c r="A658" s="111" t="str">
        <f>HYPERLINK("http://www.ofsted.gov.uk/inspection-reports/find-inspection-report/provider/ELS/136023 ","Ofsted School Webpage")</f>
        <v>Ofsted School Webpage</v>
      </c>
      <c r="B658">
        <v>136023</v>
      </c>
      <c r="C658">
        <v>8746003</v>
      </c>
      <c r="D658" t="s">
        <v>1644</v>
      </c>
      <c r="E658" t="s">
        <v>36</v>
      </c>
      <c r="F658" t="s">
        <v>261</v>
      </c>
      <c r="G658" t="s">
        <v>180</v>
      </c>
      <c r="H658" t="s">
        <v>2595</v>
      </c>
      <c r="I658" t="s">
        <v>2596</v>
      </c>
      <c r="J658" t="s">
        <v>143</v>
      </c>
      <c r="K658" t="s">
        <v>177</v>
      </c>
      <c r="L658" t="s">
        <v>177</v>
      </c>
      <c r="M658" t="s">
        <v>570</v>
      </c>
      <c r="N658" t="s">
        <v>1645</v>
      </c>
      <c r="O658">
        <v>10033606</v>
      </c>
      <c r="P658" s="108">
        <v>42899</v>
      </c>
      <c r="Q658" s="108">
        <v>42901</v>
      </c>
      <c r="R658" s="108">
        <v>42986</v>
      </c>
      <c r="S658" t="s">
        <v>153</v>
      </c>
      <c r="T658">
        <v>2</v>
      </c>
      <c r="U658" t="s">
        <v>123</v>
      </c>
      <c r="V658">
        <v>2</v>
      </c>
      <c r="W658">
        <v>2</v>
      </c>
      <c r="X658">
        <v>2</v>
      </c>
      <c r="Y658">
        <f>VLOOKUP(Table_clu7sql1_ssdb_REPORT_vw_IE_External_MI_SON[[#This Row],[URN]],[1]Data!$D$2:$BB$1084,31,)</f>
        <v>2</v>
      </c>
      <c r="Z658" t="s">
        <v>2596</v>
      </c>
      <c r="AA658" t="s">
        <v>2596</v>
      </c>
      <c r="AB658" t="s">
        <v>2598</v>
      </c>
      <c r="AC658" t="s">
        <v>2596</v>
      </c>
      <c r="AD658" t="s">
        <v>2596</v>
      </c>
      <c r="AE658" t="s">
        <v>2596</v>
      </c>
      <c r="AF658" t="s">
        <v>2596</v>
      </c>
      <c r="AG658" t="s">
        <v>2596</v>
      </c>
      <c r="AH658" t="s">
        <v>2596</v>
      </c>
    </row>
    <row r="659" spans="1:34" x14ac:dyDescent="0.25">
      <c r="A659" s="111" t="str">
        <f>HYPERLINK("http://www.ofsted.gov.uk/inspection-reports/find-inspection-report/provider/ELS/136025 ","Ofsted School Webpage")</f>
        <v>Ofsted School Webpage</v>
      </c>
      <c r="B659">
        <v>136025</v>
      </c>
      <c r="C659">
        <v>8856038</v>
      </c>
      <c r="D659" t="s">
        <v>1803</v>
      </c>
      <c r="E659" t="s">
        <v>37</v>
      </c>
      <c r="F659" t="s">
        <v>142</v>
      </c>
      <c r="G659" t="s">
        <v>142</v>
      </c>
      <c r="H659" t="s">
        <v>2595</v>
      </c>
      <c r="I659" t="s">
        <v>2596</v>
      </c>
      <c r="J659" t="s">
        <v>143</v>
      </c>
      <c r="K659" t="s">
        <v>150</v>
      </c>
      <c r="L659" t="s">
        <v>150</v>
      </c>
      <c r="M659" t="s">
        <v>842</v>
      </c>
      <c r="N659" t="s">
        <v>1804</v>
      </c>
      <c r="O659" t="s">
        <v>1805</v>
      </c>
      <c r="P659" s="108">
        <v>41927</v>
      </c>
      <c r="Q659" s="108">
        <v>41928</v>
      </c>
      <c r="R659" s="108">
        <v>41955</v>
      </c>
      <c r="S659" t="s">
        <v>3005</v>
      </c>
      <c r="T659">
        <v>2</v>
      </c>
      <c r="U659" t="s">
        <v>2596</v>
      </c>
      <c r="V659">
        <v>2</v>
      </c>
      <c r="W659" t="s">
        <v>2596</v>
      </c>
      <c r="X659">
        <v>2</v>
      </c>
      <c r="Y659">
        <f>VLOOKUP(Table_clu7sql1_ssdb_REPORT_vw_IE_External_MI_SON[[#This Row],[URN]],[1]Data!$D$2:$BB$1084,31,)</f>
        <v>2</v>
      </c>
      <c r="Z659">
        <v>9</v>
      </c>
      <c r="AA659">
        <v>9</v>
      </c>
      <c r="AB659" t="s">
        <v>2598</v>
      </c>
      <c r="AC659" t="s">
        <v>2596</v>
      </c>
      <c r="AD659" t="s">
        <v>2596</v>
      </c>
      <c r="AE659" t="s">
        <v>2596</v>
      </c>
      <c r="AF659" t="s">
        <v>2596</v>
      </c>
      <c r="AG659" t="s">
        <v>2596</v>
      </c>
      <c r="AH659" t="s">
        <v>2596</v>
      </c>
    </row>
    <row r="660" spans="1:34" x14ac:dyDescent="0.25">
      <c r="A660" s="111" t="str">
        <f>HYPERLINK("http://www.ofsted.gov.uk/inspection-reports/find-inspection-report/provider/ELS/136037 ","Ofsted School Webpage")</f>
        <v>Ofsted School Webpage</v>
      </c>
      <c r="B660">
        <v>136037</v>
      </c>
      <c r="C660">
        <v>3306130</v>
      </c>
      <c r="D660" t="s">
        <v>1826</v>
      </c>
      <c r="E660" t="s">
        <v>36</v>
      </c>
      <c r="F660" t="s">
        <v>142</v>
      </c>
      <c r="G660" t="s">
        <v>180</v>
      </c>
      <c r="H660" t="s">
        <v>2595</v>
      </c>
      <c r="I660" t="s">
        <v>2596</v>
      </c>
      <c r="J660" t="s">
        <v>143</v>
      </c>
      <c r="K660" t="s">
        <v>150</v>
      </c>
      <c r="L660" t="s">
        <v>150</v>
      </c>
      <c r="M660" t="s">
        <v>167</v>
      </c>
      <c r="N660" t="s">
        <v>1827</v>
      </c>
      <c r="O660">
        <v>10033572</v>
      </c>
      <c r="P660" s="108">
        <v>42920</v>
      </c>
      <c r="Q660" s="108">
        <v>42922</v>
      </c>
      <c r="R660" s="108">
        <v>42986</v>
      </c>
      <c r="S660" t="s">
        <v>153</v>
      </c>
      <c r="T660">
        <v>2</v>
      </c>
      <c r="U660" t="s">
        <v>123</v>
      </c>
      <c r="V660">
        <v>2</v>
      </c>
      <c r="W660">
        <v>2</v>
      </c>
      <c r="X660">
        <v>2</v>
      </c>
      <c r="Y660">
        <f>VLOOKUP(Table_clu7sql1_ssdb_REPORT_vw_IE_External_MI_SON[[#This Row],[URN]],[1]Data!$D$2:$BB$1084,31,)</f>
        <v>2</v>
      </c>
      <c r="Z660" t="s">
        <v>2596</v>
      </c>
      <c r="AA660" t="s">
        <v>2596</v>
      </c>
      <c r="AB660" t="s">
        <v>2598</v>
      </c>
      <c r="AC660" t="s">
        <v>2596</v>
      </c>
      <c r="AD660" t="s">
        <v>2596</v>
      </c>
      <c r="AE660" t="s">
        <v>2596</v>
      </c>
      <c r="AF660" t="s">
        <v>2596</v>
      </c>
      <c r="AG660" t="s">
        <v>2596</v>
      </c>
      <c r="AH660" t="s">
        <v>2596</v>
      </c>
    </row>
    <row r="661" spans="1:34" x14ac:dyDescent="0.25">
      <c r="A661" s="111" t="str">
        <f>HYPERLINK("http://www.ofsted.gov.uk/inspection-reports/find-inspection-report/provider/ELS/136039 ","Ofsted School Webpage")</f>
        <v>Ofsted School Webpage</v>
      </c>
      <c r="B661">
        <v>136039</v>
      </c>
      <c r="C661">
        <v>8916036</v>
      </c>
      <c r="D661" t="s">
        <v>1253</v>
      </c>
      <c r="E661" t="s">
        <v>37</v>
      </c>
      <c r="F661" t="s">
        <v>142</v>
      </c>
      <c r="G661" t="s">
        <v>142</v>
      </c>
      <c r="H661" t="s">
        <v>2595</v>
      </c>
      <c r="I661" t="s">
        <v>2596</v>
      </c>
      <c r="J661" t="s">
        <v>143</v>
      </c>
      <c r="K661" t="s">
        <v>171</v>
      </c>
      <c r="L661" t="s">
        <v>171</v>
      </c>
      <c r="M661" t="s">
        <v>277</v>
      </c>
      <c r="N661" t="s">
        <v>1252</v>
      </c>
      <c r="O661">
        <v>10012940</v>
      </c>
      <c r="P661" s="108">
        <v>42689</v>
      </c>
      <c r="Q661" s="108">
        <v>42691</v>
      </c>
      <c r="R661" s="108">
        <v>42748</v>
      </c>
      <c r="S661" t="s">
        <v>3005</v>
      </c>
      <c r="T661">
        <v>2</v>
      </c>
      <c r="U661" t="s">
        <v>123</v>
      </c>
      <c r="V661">
        <v>2</v>
      </c>
      <c r="W661">
        <v>2</v>
      </c>
      <c r="X661">
        <v>2</v>
      </c>
      <c r="Y661">
        <f>VLOOKUP(Table_clu7sql1_ssdb_REPORT_vw_IE_External_MI_SON[[#This Row],[URN]],[1]Data!$D$2:$BB$1084,31,)</f>
        <v>2</v>
      </c>
      <c r="Z661" t="s">
        <v>2596</v>
      </c>
      <c r="AA661" t="s">
        <v>2596</v>
      </c>
      <c r="AB661" t="s">
        <v>2598</v>
      </c>
      <c r="AC661" t="s">
        <v>2596</v>
      </c>
      <c r="AD661" t="s">
        <v>2596</v>
      </c>
      <c r="AE661" t="s">
        <v>2596</v>
      </c>
      <c r="AF661" t="s">
        <v>2596</v>
      </c>
      <c r="AG661" t="s">
        <v>2596</v>
      </c>
      <c r="AH661" t="s">
        <v>2596</v>
      </c>
    </row>
    <row r="662" spans="1:34" x14ac:dyDescent="0.25">
      <c r="A662" s="111" t="str">
        <f>HYPERLINK("http://www.ofsted.gov.uk/inspection-reports/find-inspection-report/provider/ELS/136040 ","Ofsted School Webpage")</f>
        <v>Ofsted School Webpage</v>
      </c>
      <c r="B662">
        <v>136040</v>
      </c>
      <c r="C662">
        <v>3846126</v>
      </c>
      <c r="D662" t="s">
        <v>1068</v>
      </c>
      <c r="E662" t="s">
        <v>37</v>
      </c>
      <c r="F662" t="s">
        <v>142</v>
      </c>
      <c r="G662" t="s">
        <v>142</v>
      </c>
      <c r="H662" t="s">
        <v>2595</v>
      </c>
      <c r="I662" t="s">
        <v>2596</v>
      </c>
      <c r="J662" t="s">
        <v>143</v>
      </c>
      <c r="K662" t="s">
        <v>202</v>
      </c>
      <c r="L662" t="s">
        <v>203</v>
      </c>
      <c r="M662" t="s">
        <v>518</v>
      </c>
      <c r="N662" t="s">
        <v>1069</v>
      </c>
      <c r="O662">
        <v>10033919</v>
      </c>
      <c r="P662" s="108">
        <v>42823</v>
      </c>
      <c r="Q662" s="108">
        <v>42825</v>
      </c>
      <c r="R662" s="108">
        <v>42860</v>
      </c>
      <c r="S662" t="s">
        <v>153</v>
      </c>
      <c r="T662">
        <v>2</v>
      </c>
      <c r="U662" t="s">
        <v>123</v>
      </c>
      <c r="V662">
        <v>2</v>
      </c>
      <c r="W662">
        <v>2</v>
      </c>
      <c r="X662">
        <v>2</v>
      </c>
      <c r="Y662">
        <f>VLOOKUP(Table_clu7sql1_ssdb_REPORT_vw_IE_External_MI_SON[[#This Row],[URN]],[1]Data!$D$2:$BB$1084,31,)</f>
        <v>2</v>
      </c>
      <c r="Z662" t="s">
        <v>2596</v>
      </c>
      <c r="AA662" t="s">
        <v>2596</v>
      </c>
      <c r="AB662" t="s">
        <v>2598</v>
      </c>
      <c r="AC662" t="s">
        <v>2596</v>
      </c>
      <c r="AD662" t="s">
        <v>2596</v>
      </c>
      <c r="AE662" t="s">
        <v>2596</v>
      </c>
      <c r="AF662" t="s">
        <v>2596</v>
      </c>
      <c r="AG662" t="s">
        <v>2596</v>
      </c>
      <c r="AH662" t="s">
        <v>2596</v>
      </c>
    </row>
    <row r="663" spans="1:34" x14ac:dyDescent="0.25">
      <c r="A663" s="111" t="str">
        <f>HYPERLINK("http://www.ofsted.gov.uk/inspection-reports/find-inspection-report/provider/ELS/136043 ","Ofsted School Webpage")</f>
        <v>Ofsted School Webpage</v>
      </c>
      <c r="B663">
        <v>136043</v>
      </c>
      <c r="C663">
        <v>9376107</v>
      </c>
      <c r="D663" t="s">
        <v>2185</v>
      </c>
      <c r="E663" t="s">
        <v>36</v>
      </c>
      <c r="F663" t="s">
        <v>261</v>
      </c>
      <c r="G663" t="s">
        <v>180</v>
      </c>
      <c r="H663" t="s">
        <v>2595</v>
      </c>
      <c r="I663" t="s">
        <v>2596</v>
      </c>
      <c r="J663" t="s">
        <v>143</v>
      </c>
      <c r="K663" t="s">
        <v>150</v>
      </c>
      <c r="L663" t="s">
        <v>150</v>
      </c>
      <c r="M663" t="s">
        <v>333</v>
      </c>
      <c r="N663" t="s">
        <v>2186</v>
      </c>
      <c r="O663" t="s">
        <v>2187</v>
      </c>
      <c r="P663" s="108">
        <v>41716</v>
      </c>
      <c r="Q663" s="108">
        <v>41718</v>
      </c>
      <c r="R663" s="108">
        <v>41738</v>
      </c>
      <c r="S663" t="s">
        <v>153</v>
      </c>
      <c r="T663">
        <v>2</v>
      </c>
      <c r="U663" t="s">
        <v>2596</v>
      </c>
      <c r="V663">
        <v>2</v>
      </c>
      <c r="W663" t="s">
        <v>2596</v>
      </c>
      <c r="X663">
        <v>2</v>
      </c>
      <c r="Y663">
        <f>VLOOKUP(Table_clu7sql1_ssdb_REPORT_vw_IE_External_MI_SON[[#This Row],[URN]],[1]Data!$D$2:$BB$1084,31,)</f>
        <v>2</v>
      </c>
      <c r="Z663" t="s">
        <v>2596</v>
      </c>
      <c r="AA663" t="s">
        <v>2596</v>
      </c>
      <c r="AB663" t="s">
        <v>2599</v>
      </c>
      <c r="AC663" t="s">
        <v>2596</v>
      </c>
      <c r="AD663" t="s">
        <v>2596</v>
      </c>
      <c r="AE663" s="108" t="s">
        <v>2596</v>
      </c>
      <c r="AF663" t="s">
        <v>2596</v>
      </c>
      <c r="AG663" s="108" t="s">
        <v>2596</v>
      </c>
      <c r="AH663" t="s">
        <v>2596</v>
      </c>
    </row>
    <row r="664" spans="1:34" x14ac:dyDescent="0.25">
      <c r="A664" s="111" t="str">
        <f>HYPERLINK("http://www.ofsted.gov.uk/inspection-reports/find-inspection-report/provider/ELS/136046 ","Ofsted School Webpage")</f>
        <v>Ofsted School Webpage</v>
      </c>
      <c r="B664">
        <v>136046</v>
      </c>
      <c r="C664">
        <v>3136082</v>
      </c>
      <c r="D664" t="s">
        <v>378</v>
      </c>
      <c r="E664" t="s">
        <v>36</v>
      </c>
      <c r="F664" t="s">
        <v>261</v>
      </c>
      <c r="G664" t="s">
        <v>180</v>
      </c>
      <c r="H664" t="s">
        <v>2595</v>
      </c>
      <c r="I664" t="s">
        <v>2596</v>
      </c>
      <c r="J664" t="s">
        <v>143</v>
      </c>
      <c r="K664" t="s">
        <v>189</v>
      </c>
      <c r="L664" t="s">
        <v>189</v>
      </c>
      <c r="M664" t="s">
        <v>226</v>
      </c>
      <c r="N664" t="s">
        <v>379</v>
      </c>
      <c r="O664">
        <v>10017799</v>
      </c>
      <c r="P664" s="108">
        <v>42675</v>
      </c>
      <c r="Q664" s="108">
        <v>42677</v>
      </c>
      <c r="R664" s="108">
        <v>42706</v>
      </c>
      <c r="S664" t="s">
        <v>153</v>
      </c>
      <c r="T664">
        <v>2</v>
      </c>
      <c r="U664" t="s">
        <v>123</v>
      </c>
      <c r="V664">
        <v>2</v>
      </c>
      <c r="W664">
        <v>2</v>
      </c>
      <c r="X664">
        <v>2</v>
      </c>
      <c r="Y664">
        <f>VLOOKUP(Table_clu7sql1_ssdb_REPORT_vw_IE_External_MI_SON[[#This Row],[URN]],[1]Data!$D$2:$BB$1084,31,)</f>
        <v>2</v>
      </c>
      <c r="Z664" t="s">
        <v>2596</v>
      </c>
      <c r="AA664" t="s">
        <v>2596</v>
      </c>
      <c r="AB664" t="s">
        <v>2598</v>
      </c>
      <c r="AC664" t="s">
        <v>2596</v>
      </c>
      <c r="AD664" t="s">
        <v>2596</v>
      </c>
      <c r="AE664" t="s">
        <v>2596</v>
      </c>
      <c r="AF664" t="s">
        <v>2596</v>
      </c>
      <c r="AG664" t="s">
        <v>2596</v>
      </c>
      <c r="AH664" t="s">
        <v>2596</v>
      </c>
    </row>
    <row r="665" spans="1:34" x14ac:dyDescent="0.25">
      <c r="A665" s="111" t="str">
        <f>HYPERLINK("http://www.ofsted.gov.uk/inspection-reports/find-inspection-report/provider/ELS/136047 ","Ofsted School Webpage")</f>
        <v>Ofsted School Webpage</v>
      </c>
      <c r="B665">
        <v>136047</v>
      </c>
      <c r="C665">
        <v>8736048</v>
      </c>
      <c r="D665" t="s">
        <v>830</v>
      </c>
      <c r="E665" t="s">
        <v>37</v>
      </c>
      <c r="F665" t="s">
        <v>142</v>
      </c>
      <c r="G665" t="s">
        <v>142</v>
      </c>
      <c r="H665" t="s">
        <v>2595</v>
      </c>
      <c r="I665" t="s">
        <v>2596</v>
      </c>
      <c r="J665" t="s">
        <v>143</v>
      </c>
      <c r="K665" t="s">
        <v>177</v>
      </c>
      <c r="L665" t="s">
        <v>177</v>
      </c>
      <c r="M665" t="s">
        <v>241</v>
      </c>
      <c r="N665" t="s">
        <v>831</v>
      </c>
      <c r="O665">
        <v>10020939</v>
      </c>
      <c r="P665" s="108">
        <v>42788</v>
      </c>
      <c r="Q665" s="108">
        <v>42790</v>
      </c>
      <c r="R665" s="108">
        <v>42850</v>
      </c>
      <c r="S665" t="s">
        <v>224</v>
      </c>
      <c r="T665">
        <v>2</v>
      </c>
      <c r="U665" t="s">
        <v>123</v>
      </c>
      <c r="V665">
        <v>2</v>
      </c>
      <c r="W665">
        <v>2</v>
      </c>
      <c r="X665">
        <v>2</v>
      </c>
      <c r="Y665">
        <f>VLOOKUP(Table_clu7sql1_ssdb_REPORT_vw_IE_External_MI_SON[[#This Row],[URN]],[1]Data!$D$2:$BB$1084,31,)</f>
        <v>2</v>
      </c>
      <c r="Z665" t="s">
        <v>2596</v>
      </c>
      <c r="AA665">
        <v>2</v>
      </c>
      <c r="AB665" t="s">
        <v>2598</v>
      </c>
      <c r="AC665" t="s">
        <v>2596</v>
      </c>
      <c r="AD665" t="s">
        <v>2596</v>
      </c>
      <c r="AE665" s="108" t="s">
        <v>2596</v>
      </c>
      <c r="AF665" t="s">
        <v>2596</v>
      </c>
      <c r="AG665" s="108" t="s">
        <v>2596</v>
      </c>
      <c r="AH665" t="s">
        <v>2596</v>
      </c>
    </row>
    <row r="666" spans="1:34" x14ac:dyDescent="0.25">
      <c r="A666" s="111" t="str">
        <f>HYPERLINK("http://www.ofsted.gov.uk/inspection-reports/find-inspection-report/provider/ELS/136050 ","Ofsted School Webpage")</f>
        <v>Ofsted School Webpage</v>
      </c>
      <c r="B666">
        <v>136050</v>
      </c>
      <c r="C666">
        <v>8886112</v>
      </c>
      <c r="D666" t="s">
        <v>297</v>
      </c>
      <c r="E666" t="s">
        <v>37</v>
      </c>
      <c r="F666" t="s">
        <v>142</v>
      </c>
      <c r="G666" t="s">
        <v>142</v>
      </c>
      <c r="H666" t="s">
        <v>2595</v>
      </c>
      <c r="I666" t="s">
        <v>2596</v>
      </c>
      <c r="J666" t="s">
        <v>143</v>
      </c>
      <c r="K666" t="s">
        <v>162</v>
      </c>
      <c r="L666" t="s">
        <v>162</v>
      </c>
      <c r="M666" t="s">
        <v>163</v>
      </c>
      <c r="N666" t="s">
        <v>298</v>
      </c>
      <c r="O666">
        <v>10026015</v>
      </c>
      <c r="P666" s="108">
        <v>43011</v>
      </c>
      <c r="Q666" s="108">
        <v>43012</v>
      </c>
      <c r="R666" s="108">
        <v>43031</v>
      </c>
      <c r="S666" t="s">
        <v>153</v>
      </c>
      <c r="T666">
        <v>2</v>
      </c>
      <c r="U666" t="s">
        <v>123</v>
      </c>
      <c r="V666">
        <v>2</v>
      </c>
      <c r="W666">
        <v>1</v>
      </c>
      <c r="X666">
        <v>2</v>
      </c>
      <c r="Y666">
        <f>VLOOKUP(Table_clu7sql1_ssdb_REPORT_vw_IE_External_MI_SON[[#This Row],[URN]],[1]Data!$D$2:$BB$1084,31,)</f>
        <v>2</v>
      </c>
      <c r="Z666" t="s">
        <v>2596</v>
      </c>
      <c r="AA666" t="s">
        <v>2596</v>
      </c>
      <c r="AB666" t="s">
        <v>2598</v>
      </c>
      <c r="AC666" t="s">
        <v>2596</v>
      </c>
      <c r="AD666" t="s">
        <v>2596</v>
      </c>
      <c r="AE666" t="s">
        <v>2596</v>
      </c>
      <c r="AF666" t="s">
        <v>2596</v>
      </c>
      <c r="AG666" t="s">
        <v>2596</v>
      </c>
      <c r="AH666" t="s">
        <v>2596</v>
      </c>
    </row>
    <row r="667" spans="1:34" x14ac:dyDescent="0.25">
      <c r="A667" s="111" t="str">
        <f>HYPERLINK("http://www.ofsted.gov.uk/inspection-reports/find-inspection-report/provider/ELS/136052 ","Ofsted School Webpage")</f>
        <v>Ofsted School Webpage</v>
      </c>
      <c r="B667">
        <v>136052</v>
      </c>
      <c r="C667">
        <v>3166072</v>
      </c>
      <c r="D667" t="s">
        <v>890</v>
      </c>
      <c r="E667" t="s">
        <v>37</v>
      </c>
      <c r="F667" t="s">
        <v>142</v>
      </c>
      <c r="G667" t="s">
        <v>142</v>
      </c>
      <c r="H667" t="s">
        <v>2595</v>
      </c>
      <c r="I667" t="s">
        <v>2596</v>
      </c>
      <c r="J667" t="s">
        <v>143</v>
      </c>
      <c r="K667" t="s">
        <v>189</v>
      </c>
      <c r="L667" t="s">
        <v>189</v>
      </c>
      <c r="M667" t="s">
        <v>460</v>
      </c>
      <c r="N667" t="s">
        <v>891</v>
      </c>
      <c r="O667" t="s">
        <v>892</v>
      </c>
      <c r="P667" s="108">
        <v>41723</v>
      </c>
      <c r="Q667" s="108">
        <v>41725</v>
      </c>
      <c r="R667" s="108">
        <v>41757</v>
      </c>
      <c r="S667" t="s">
        <v>153</v>
      </c>
      <c r="T667">
        <v>1</v>
      </c>
      <c r="U667" t="s">
        <v>2596</v>
      </c>
      <c r="V667">
        <v>1</v>
      </c>
      <c r="W667" t="s">
        <v>2596</v>
      </c>
      <c r="X667">
        <v>1</v>
      </c>
      <c r="Y667">
        <f>VLOOKUP(Table_clu7sql1_ssdb_REPORT_vw_IE_External_MI_SON[[#This Row],[URN]],[1]Data!$D$2:$BB$1084,31,)</f>
        <v>1</v>
      </c>
      <c r="Z667" t="s">
        <v>2596</v>
      </c>
      <c r="AA667" t="s">
        <v>2596</v>
      </c>
      <c r="AB667" t="s">
        <v>2886</v>
      </c>
      <c r="AC667" t="s">
        <v>2596</v>
      </c>
      <c r="AD667" t="s">
        <v>2596</v>
      </c>
      <c r="AE667" s="108" t="s">
        <v>2596</v>
      </c>
      <c r="AF667" t="s">
        <v>2596</v>
      </c>
      <c r="AG667" s="108" t="s">
        <v>2596</v>
      </c>
      <c r="AH667" t="s">
        <v>2596</v>
      </c>
    </row>
    <row r="668" spans="1:34" x14ac:dyDescent="0.25">
      <c r="A668" s="111" t="str">
        <f>HYPERLINK("http://www.ofsted.gov.uk/inspection-reports/find-inspection-report/provider/ELS/136057 ","Ofsted School Webpage")</f>
        <v>Ofsted School Webpage</v>
      </c>
      <c r="B668">
        <v>136057</v>
      </c>
      <c r="C668">
        <v>2076005</v>
      </c>
      <c r="D668" t="s">
        <v>1544</v>
      </c>
      <c r="E668" t="s">
        <v>36</v>
      </c>
      <c r="F668" t="s">
        <v>142</v>
      </c>
      <c r="G668" t="s">
        <v>142</v>
      </c>
      <c r="H668" t="s">
        <v>2595</v>
      </c>
      <c r="I668" t="s">
        <v>2596</v>
      </c>
      <c r="J668" t="s">
        <v>143</v>
      </c>
      <c r="K668" t="s">
        <v>189</v>
      </c>
      <c r="L668" t="s">
        <v>189</v>
      </c>
      <c r="M668" t="s">
        <v>251</v>
      </c>
      <c r="N668" t="s">
        <v>1545</v>
      </c>
      <c r="O668">
        <v>10038172</v>
      </c>
      <c r="P668" s="108">
        <v>43109</v>
      </c>
      <c r="Q668" s="108">
        <v>43111</v>
      </c>
      <c r="R668" s="108">
        <v>43140</v>
      </c>
      <c r="S668" t="s">
        <v>153</v>
      </c>
      <c r="T668">
        <v>1</v>
      </c>
      <c r="U668" t="s">
        <v>123</v>
      </c>
      <c r="V668">
        <v>1</v>
      </c>
      <c r="W668">
        <v>1</v>
      </c>
      <c r="X668">
        <v>1</v>
      </c>
      <c r="Y668">
        <f>VLOOKUP(Table_clu7sql1_ssdb_REPORT_vw_IE_External_MI_SON[[#This Row],[URN]],[1]Data!$D$2:$BB$1084,31,)</f>
        <v>1</v>
      </c>
      <c r="Z668">
        <v>1</v>
      </c>
      <c r="AA668" t="s">
        <v>2596</v>
      </c>
      <c r="AB668" t="s">
        <v>2598</v>
      </c>
      <c r="AC668" t="s">
        <v>2596</v>
      </c>
      <c r="AD668" t="s">
        <v>2596</v>
      </c>
      <c r="AE668" s="108" t="s">
        <v>2596</v>
      </c>
      <c r="AF668" t="s">
        <v>2596</v>
      </c>
      <c r="AG668" s="108" t="s">
        <v>2596</v>
      </c>
      <c r="AH668" t="s">
        <v>2596</v>
      </c>
    </row>
    <row r="669" spans="1:34" x14ac:dyDescent="0.25">
      <c r="A669" s="111" t="str">
        <f>HYPERLINK("http://www.ofsted.gov.uk/inspection-reports/find-inspection-report/provider/ELS/136069 ","Ofsted School Webpage")</f>
        <v>Ofsted School Webpage</v>
      </c>
      <c r="B669">
        <v>136069</v>
      </c>
      <c r="C669">
        <v>8886056</v>
      </c>
      <c r="D669" t="s">
        <v>348</v>
      </c>
      <c r="E669" t="s">
        <v>37</v>
      </c>
      <c r="F669" t="s">
        <v>142</v>
      </c>
      <c r="G669" t="s">
        <v>142</v>
      </c>
      <c r="H669" t="s">
        <v>2595</v>
      </c>
      <c r="I669" t="s">
        <v>2596</v>
      </c>
      <c r="J669" t="s">
        <v>143</v>
      </c>
      <c r="K669" t="s">
        <v>162</v>
      </c>
      <c r="L669" t="s">
        <v>162</v>
      </c>
      <c r="M669" t="s">
        <v>163</v>
      </c>
      <c r="N669" t="s">
        <v>349</v>
      </c>
      <c r="O669">
        <v>10038930</v>
      </c>
      <c r="P669" s="108">
        <v>42990</v>
      </c>
      <c r="Q669" s="108">
        <v>42992</v>
      </c>
      <c r="R669" s="108">
        <v>43014</v>
      </c>
      <c r="S669" t="s">
        <v>153</v>
      </c>
      <c r="T669">
        <v>3</v>
      </c>
      <c r="U669" t="s">
        <v>123</v>
      </c>
      <c r="V669">
        <v>3</v>
      </c>
      <c r="W669">
        <v>2</v>
      </c>
      <c r="X669">
        <v>3</v>
      </c>
      <c r="Y669">
        <f>VLOOKUP(Table_clu7sql1_ssdb_REPORT_vw_IE_External_MI_SON[[#This Row],[URN]],[1]Data!$D$2:$BB$1084,31,)</f>
        <v>3</v>
      </c>
      <c r="Z669" t="s">
        <v>2596</v>
      </c>
      <c r="AA669">
        <v>3</v>
      </c>
      <c r="AB669" t="s">
        <v>2598</v>
      </c>
      <c r="AC669" t="s">
        <v>2596</v>
      </c>
      <c r="AD669" t="s">
        <v>2596</v>
      </c>
      <c r="AE669" t="s">
        <v>2596</v>
      </c>
      <c r="AF669" t="s">
        <v>2596</v>
      </c>
      <c r="AG669" t="s">
        <v>2596</v>
      </c>
      <c r="AH669" t="s">
        <v>2596</v>
      </c>
    </row>
    <row r="670" spans="1:34" x14ac:dyDescent="0.25">
      <c r="A670" s="111" t="str">
        <f>HYPERLINK("http://www.ofsted.gov.uk/inspection-reports/find-inspection-report/provider/ELS/136083 ","Ofsted School Webpage")</f>
        <v>Ofsted School Webpage</v>
      </c>
      <c r="B670">
        <v>136083</v>
      </c>
      <c r="C670">
        <v>8736049</v>
      </c>
      <c r="D670" t="s">
        <v>1776</v>
      </c>
      <c r="E670" t="s">
        <v>36</v>
      </c>
      <c r="F670" t="s">
        <v>142</v>
      </c>
      <c r="G670" t="s">
        <v>142</v>
      </c>
      <c r="H670" t="s">
        <v>2595</v>
      </c>
      <c r="I670" t="s">
        <v>2596</v>
      </c>
      <c r="J670" t="s">
        <v>143</v>
      </c>
      <c r="K670" t="s">
        <v>177</v>
      </c>
      <c r="L670" t="s">
        <v>177</v>
      </c>
      <c r="M670" t="s">
        <v>241</v>
      </c>
      <c r="N670" t="s">
        <v>1777</v>
      </c>
      <c r="O670">
        <v>10026072</v>
      </c>
      <c r="P670" s="108">
        <v>42794</v>
      </c>
      <c r="Q670" s="108">
        <v>42796</v>
      </c>
      <c r="R670" s="108">
        <v>42850</v>
      </c>
      <c r="S670" t="s">
        <v>153</v>
      </c>
      <c r="T670">
        <v>2</v>
      </c>
      <c r="U670" t="s">
        <v>123</v>
      </c>
      <c r="V670">
        <v>2</v>
      </c>
      <c r="W670">
        <v>1</v>
      </c>
      <c r="X670">
        <v>2</v>
      </c>
      <c r="Y670">
        <f>VLOOKUP(Table_clu7sql1_ssdb_REPORT_vw_IE_External_MI_SON[[#This Row],[URN]],[1]Data!$D$2:$BB$1084,31,)</f>
        <v>2</v>
      </c>
      <c r="Z670" t="s">
        <v>2596</v>
      </c>
      <c r="AA670">
        <v>2</v>
      </c>
      <c r="AB670" t="s">
        <v>2598</v>
      </c>
      <c r="AC670" t="s">
        <v>2596</v>
      </c>
      <c r="AD670" t="s">
        <v>2596</v>
      </c>
      <c r="AE670" t="s">
        <v>2596</v>
      </c>
      <c r="AF670" t="s">
        <v>2596</v>
      </c>
      <c r="AG670" t="s">
        <v>2596</v>
      </c>
      <c r="AH670" t="s">
        <v>2596</v>
      </c>
    </row>
    <row r="671" spans="1:34" x14ac:dyDescent="0.25">
      <c r="A671" s="111" t="str">
        <f>HYPERLINK("http://www.ofsted.gov.uk/inspection-reports/find-inspection-report/provider/ELS/136086 ","Ofsted School Webpage")</f>
        <v>Ofsted School Webpage</v>
      </c>
      <c r="B671">
        <v>136086</v>
      </c>
      <c r="C671">
        <v>3556057</v>
      </c>
      <c r="D671" t="s">
        <v>1559</v>
      </c>
      <c r="E671" t="s">
        <v>36</v>
      </c>
      <c r="F671" t="s">
        <v>142</v>
      </c>
      <c r="G671" t="s">
        <v>275</v>
      </c>
      <c r="H671" t="s">
        <v>2595</v>
      </c>
      <c r="I671" t="s">
        <v>2596</v>
      </c>
      <c r="J671" t="s">
        <v>143</v>
      </c>
      <c r="K671" t="s">
        <v>162</v>
      </c>
      <c r="L671" t="s">
        <v>162</v>
      </c>
      <c r="M671" t="s">
        <v>804</v>
      </c>
      <c r="N671" t="s">
        <v>1561</v>
      </c>
      <c r="O671" t="s">
        <v>1562</v>
      </c>
      <c r="P671" s="108">
        <v>41968</v>
      </c>
      <c r="Q671" s="108">
        <v>41970</v>
      </c>
      <c r="R671" s="108">
        <v>42013</v>
      </c>
      <c r="S671" t="s">
        <v>206</v>
      </c>
      <c r="T671">
        <v>2</v>
      </c>
      <c r="U671" t="s">
        <v>2596</v>
      </c>
      <c r="V671">
        <v>2</v>
      </c>
      <c r="W671" t="s">
        <v>2596</v>
      </c>
      <c r="X671">
        <v>2</v>
      </c>
      <c r="Y671">
        <f>VLOOKUP(Table_clu7sql1_ssdb_REPORT_vw_IE_External_MI_SON[[#This Row],[URN]],[1]Data!$D$2:$BB$1084,31,)</f>
        <v>2</v>
      </c>
      <c r="Z671">
        <v>9</v>
      </c>
      <c r="AA671">
        <v>9</v>
      </c>
      <c r="AB671" t="s">
        <v>2598</v>
      </c>
      <c r="AC671" t="s">
        <v>2596</v>
      </c>
      <c r="AD671" t="s">
        <v>2596</v>
      </c>
      <c r="AE671" t="s">
        <v>2596</v>
      </c>
      <c r="AF671" t="s">
        <v>2596</v>
      </c>
      <c r="AG671" t="s">
        <v>2596</v>
      </c>
      <c r="AH671" t="s">
        <v>2596</v>
      </c>
    </row>
    <row r="672" spans="1:34" x14ac:dyDescent="0.25">
      <c r="A672" s="111" t="str">
        <f>HYPERLINK("http://www.ofsted.gov.uk/inspection-reports/find-inspection-report/provider/ELS/136088 ","Ofsted School Webpage")</f>
        <v>Ofsted School Webpage</v>
      </c>
      <c r="B672">
        <v>136088</v>
      </c>
      <c r="C672">
        <v>3436134</v>
      </c>
      <c r="D672" t="s">
        <v>934</v>
      </c>
      <c r="E672" t="s">
        <v>37</v>
      </c>
      <c r="F672" t="s">
        <v>142</v>
      </c>
      <c r="G672" t="s">
        <v>142</v>
      </c>
      <c r="H672" t="s">
        <v>2595</v>
      </c>
      <c r="I672" t="s">
        <v>2596</v>
      </c>
      <c r="J672" t="s">
        <v>143</v>
      </c>
      <c r="K672" t="s">
        <v>162</v>
      </c>
      <c r="L672" t="s">
        <v>162</v>
      </c>
      <c r="M672" t="s">
        <v>711</v>
      </c>
      <c r="N672" t="s">
        <v>935</v>
      </c>
      <c r="O672">
        <v>10026016</v>
      </c>
      <c r="P672" s="108">
        <v>42927</v>
      </c>
      <c r="Q672" s="108">
        <v>42929</v>
      </c>
      <c r="R672" s="108">
        <v>42998</v>
      </c>
      <c r="S672" t="s">
        <v>153</v>
      </c>
      <c r="T672">
        <v>2</v>
      </c>
      <c r="U672" t="s">
        <v>123</v>
      </c>
      <c r="V672">
        <v>2</v>
      </c>
      <c r="W672">
        <v>2</v>
      </c>
      <c r="X672">
        <v>2</v>
      </c>
      <c r="Y672">
        <f>VLOOKUP(Table_clu7sql1_ssdb_REPORT_vw_IE_External_MI_SON[[#This Row],[URN]],[1]Data!$D$2:$BB$1084,31,)</f>
        <v>2</v>
      </c>
      <c r="Z672" t="s">
        <v>2596</v>
      </c>
      <c r="AA672" t="s">
        <v>2596</v>
      </c>
      <c r="AB672" t="s">
        <v>2598</v>
      </c>
      <c r="AC672" t="s">
        <v>2596</v>
      </c>
      <c r="AD672" t="s">
        <v>2596</v>
      </c>
      <c r="AE672" t="s">
        <v>2596</v>
      </c>
      <c r="AF672" t="s">
        <v>2596</v>
      </c>
      <c r="AG672" t="s">
        <v>2596</v>
      </c>
      <c r="AH672" t="s">
        <v>2596</v>
      </c>
    </row>
    <row r="673" spans="1:34" x14ac:dyDescent="0.25">
      <c r="A673" s="111" t="str">
        <f>HYPERLINK("http://www.ofsted.gov.uk/inspection-reports/find-inspection-report/provider/ELS/136092 ","Ofsted School Webpage")</f>
        <v>Ofsted School Webpage</v>
      </c>
      <c r="B673">
        <v>136092</v>
      </c>
      <c r="C673">
        <v>2036040</v>
      </c>
      <c r="D673" t="s">
        <v>436</v>
      </c>
      <c r="E673" t="s">
        <v>37</v>
      </c>
      <c r="F673" t="s">
        <v>142</v>
      </c>
      <c r="G673" t="s">
        <v>142</v>
      </c>
      <c r="H673" t="s">
        <v>2595</v>
      </c>
      <c r="I673" t="s">
        <v>2596</v>
      </c>
      <c r="J673" t="s">
        <v>143</v>
      </c>
      <c r="K673" t="s">
        <v>189</v>
      </c>
      <c r="L673" t="s">
        <v>189</v>
      </c>
      <c r="M673" t="s">
        <v>437</v>
      </c>
      <c r="N673" t="s">
        <v>438</v>
      </c>
      <c r="O673">
        <v>10035808</v>
      </c>
      <c r="P673" s="108">
        <v>43025</v>
      </c>
      <c r="Q673" s="108">
        <v>43027</v>
      </c>
      <c r="R673" s="108">
        <v>43063</v>
      </c>
      <c r="S673" t="s">
        <v>153</v>
      </c>
      <c r="T673">
        <v>2</v>
      </c>
      <c r="U673" t="s">
        <v>123</v>
      </c>
      <c r="V673">
        <v>2</v>
      </c>
      <c r="W673">
        <v>2</v>
      </c>
      <c r="X673">
        <v>2</v>
      </c>
      <c r="Y673">
        <f>VLOOKUP(Table_clu7sql1_ssdb_REPORT_vw_IE_External_MI_SON[[#This Row],[URN]],[1]Data!$D$2:$BB$1084,31,)</f>
        <v>2</v>
      </c>
      <c r="Z673" t="s">
        <v>2596</v>
      </c>
      <c r="AA673" t="s">
        <v>2596</v>
      </c>
      <c r="AB673" t="s">
        <v>2598</v>
      </c>
      <c r="AC673" t="s">
        <v>2596</v>
      </c>
      <c r="AD673" t="s">
        <v>2596</v>
      </c>
      <c r="AE673" t="s">
        <v>2596</v>
      </c>
      <c r="AF673" t="s">
        <v>2596</v>
      </c>
      <c r="AG673" t="s">
        <v>2596</v>
      </c>
      <c r="AH673" t="s">
        <v>2596</v>
      </c>
    </row>
    <row r="674" spans="1:34" x14ac:dyDescent="0.25">
      <c r="A674" s="111" t="str">
        <f>HYPERLINK("http://www.ofsted.gov.uk/inspection-reports/find-inspection-report/provider/ELS/136098 ","Ofsted School Webpage")</f>
        <v>Ofsted School Webpage</v>
      </c>
      <c r="B674">
        <v>136098</v>
      </c>
      <c r="C674">
        <v>8886042</v>
      </c>
      <c r="D674" t="s">
        <v>1552</v>
      </c>
      <c r="E674" t="s">
        <v>36</v>
      </c>
      <c r="F674" t="s">
        <v>261</v>
      </c>
      <c r="G674" t="s">
        <v>180</v>
      </c>
      <c r="H674" t="s">
        <v>2595</v>
      </c>
      <c r="I674" t="s">
        <v>2596</v>
      </c>
      <c r="J674" t="s">
        <v>143</v>
      </c>
      <c r="K674" t="s">
        <v>162</v>
      </c>
      <c r="L674" t="s">
        <v>162</v>
      </c>
      <c r="M674" t="s">
        <v>163</v>
      </c>
      <c r="N674" t="s">
        <v>1553</v>
      </c>
      <c r="O674">
        <v>10034030</v>
      </c>
      <c r="P674" s="108">
        <v>42927</v>
      </c>
      <c r="Q674" s="108">
        <v>42929</v>
      </c>
      <c r="R674" s="108">
        <v>43000</v>
      </c>
      <c r="S674" t="s">
        <v>153</v>
      </c>
      <c r="T674">
        <v>1</v>
      </c>
      <c r="U674" t="s">
        <v>123</v>
      </c>
      <c r="V674">
        <v>1</v>
      </c>
      <c r="W674">
        <v>1</v>
      </c>
      <c r="X674">
        <v>1</v>
      </c>
      <c r="Y674">
        <f>VLOOKUP(Table_clu7sql1_ssdb_REPORT_vw_IE_External_MI_SON[[#This Row],[URN]],[1]Data!$D$2:$BB$1084,31,)</f>
        <v>1</v>
      </c>
      <c r="Z674">
        <v>1</v>
      </c>
      <c r="AA674" t="s">
        <v>2596</v>
      </c>
      <c r="AB674" t="s">
        <v>2598</v>
      </c>
      <c r="AC674" t="s">
        <v>2596</v>
      </c>
      <c r="AD674" t="s">
        <v>2596</v>
      </c>
      <c r="AE674" t="s">
        <v>2596</v>
      </c>
      <c r="AF674" t="s">
        <v>2596</v>
      </c>
      <c r="AG674" t="s">
        <v>2596</v>
      </c>
      <c r="AH674" t="s">
        <v>2596</v>
      </c>
    </row>
    <row r="675" spans="1:34" x14ac:dyDescent="0.25">
      <c r="A675" s="111" t="str">
        <f>HYPERLINK("http://www.ofsted.gov.uk/inspection-reports/find-inspection-report/provider/ELS/136100 ","Ofsted School Webpage")</f>
        <v>Ofsted School Webpage</v>
      </c>
      <c r="B675">
        <v>136100</v>
      </c>
      <c r="C675">
        <v>2036041</v>
      </c>
      <c r="D675" t="s">
        <v>713</v>
      </c>
      <c r="E675" t="s">
        <v>36</v>
      </c>
      <c r="F675" t="s">
        <v>142</v>
      </c>
      <c r="G675" t="s">
        <v>142</v>
      </c>
      <c r="H675" t="s">
        <v>2595</v>
      </c>
      <c r="I675" t="s">
        <v>2596</v>
      </c>
      <c r="J675" t="s">
        <v>143</v>
      </c>
      <c r="K675" t="s">
        <v>189</v>
      </c>
      <c r="L675" t="s">
        <v>189</v>
      </c>
      <c r="M675" t="s">
        <v>437</v>
      </c>
      <c r="N675" t="s">
        <v>714</v>
      </c>
      <c r="O675">
        <v>10026806</v>
      </c>
      <c r="P675" s="108">
        <v>42752</v>
      </c>
      <c r="Q675" s="108">
        <v>42754</v>
      </c>
      <c r="R675" s="108">
        <v>42772</v>
      </c>
      <c r="S675" t="s">
        <v>153</v>
      </c>
      <c r="T675">
        <v>2</v>
      </c>
      <c r="U675" t="s">
        <v>123</v>
      </c>
      <c r="V675">
        <v>2</v>
      </c>
      <c r="W675">
        <v>2</v>
      </c>
      <c r="X675">
        <v>2</v>
      </c>
      <c r="Y675">
        <f>VLOOKUP(Table_clu7sql1_ssdb_REPORT_vw_IE_External_MI_SON[[#This Row],[URN]],[1]Data!$D$2:$BB$1084,31,)</f>
        <v>2</v>
      </c>
      <c r="Z675" t="s">
        <v>2596</v>
      </c>
      <c r="AA675">
        <v>2</v>
      </c>
      <c r="AB675" t="s">
        <v>2598</v>
      </c>
      <c r="AC675" t="s">
        <v>2596</v>
      </c>
      <c r="AD675" t="s">
        <v>2596</v>
      </c>
      <c r="AE675" s="108" t="s">
        <v>2596</v>
      </c>
      <c r="AF675" t="s">
        <v>2596</v>
      </c>
      <c r="AG675" s="108" t="s">
        <v>2596</v>
      </c>
      <c r="AH675" t="s">
        <v>2596</v>
      </c>
    </row>
    <row r="676" spans="1:34" x14ac:dyDescent="0.25">
      <c r="A676" s="111" t="str">
        <f>HYPERLINK("http://www.ofsted.gov.uk/inspection-reports/find-inspection-report/provider/ELS/136110 ","Ofsted School Webpage")</f>
        <v>Ofsted School Webpage</v>
      </c>
      <c r="B676">
        <v>136110</v>
      </c>
      <c r="C676">
        <v>2126041</v>
      </c>
      <c r="D676" t="s">
        <v>1180</v>
      </c>
      <c r="E676" t="s">
        <v>37</v>
      </c>
      <c r="F676" t="s">
        <v>142</v>
      </c>
      <c r="G676" t="s">
        <v>142</v>
      </c>
      <c r="H676" t="s">
        <v>2595</v>
      </c>
      <c r="I676" t="s">
        <v>2596</v>
      </c>
      <c r="J676" t="s">
        <v>143</v>
      </c>
      <c r="K676" t="s">
        <v>189</v>
      </c>
      <c r="L676" t="s">
        <v>189</v>
      </c>
      <c r="M676" t="s">
        <v>391</v>
      </c>
      <c r="N676" t="s">
        <v>1181</v>
      </c>
      <c r="O676">
        <v>10026156</v>
      </c>
      <c r="P676" s="108">
        <v>42690</v>
      </c>
      <c r="Q676" s="108">
        <v>42692</v>
      </c>
      <c r="R676" s="108">
        <v>42724</v>
      </c>
      <c r="S676" t="s">
        <v>153</v>
      </c>
      <c r="T676">
        <v>2</v>
      </c>
      <c r="U676" t="s">
        <v>123</v>
      </c>
      <c r="V676">
        <v>2</v>
      </c>
      <c r="W676">
        <v>2</v>
      </c>
      <c r="X676">
        <v>2</v>
      </c>
      <c r="Y676">
        <f>VLOOKUP(Table_clu7sql1_ssdb_REPORT_vw_IE_External_MI_SON[[#This Row],[URN]],[1]Data!$D$2:$BB$1084,31,)</f>
        <v>2</v>
      </c>
      <c r="Z676" t="s">
        <v>2596</v>
      </c>
      <c r="AA676">
        <v>2</v>
      </c>
      <c r="AB676" t="s">
        <v>2598</v>
      </c>
      <c r="AC676" t="s">
        <v>2596</v>
      </c>
      <c r="AD676" t="s">
        <v>2596</v>
      </c>
      <c r="AE676" t="s">
        <v>2596</v>
      </c>
      <c r="AF676" t="s">
        <v>2596</v>
      </c>
      <c r="AG676" t="s">
        <v>2596</v>
      </c>
      <c r="AH676" t="s">
        <v>2596</v>
      </c>
    </row>
    <row r="677" spans="1:34" x14ac:dyDescent="0.25">
      <c r="A677" s="111" t="str">
        <f>HYPERLINK("http://www.ofsted.gov.uk/inspection-reports/find-inspection-report/provider/ELS/136112 ","Ofsted School Webpage")</f>
        <v>Ofsted School Webpage</v>
      </c>
      <c r="B677">
        <v>136112</v>
      </c>
      <c r="C677">
        <v>8506075</v>
      </c>
      <c r="D677" t="s">
        <v>2413</v>
      </c>
      <c r="E677" t="s">
        <v>36</v>
      </c>
      <c r="F677" t="s">
        <v>142</v>
      </c>
      <c r="G677" t="s">
        <v>142</v>
      </c>
      <c r="H677" t="s">
        <v>2595</v>
      </c>
      <c r="I677" t="s">
        <v>2596</v>
      </c>
      <c r="J677" t="s">
        <v>143</v>
      </c>
      <c r="K677" t="s">
        <v>139</v>
      </c>
      <c r="L677" t="s">
        <v>139</v>
      </c>
      <c r="M677" t="s">
        <v>158</v>
      </c>
      <c r="N677" t="s">
        <v>2414</v>
      </c>
      <c r="O677" t="s">
        <v>2415</v>
      </c>
      <c r="P677" s="108">
        <v>41983</v>
      </c>
      <c r="Q677" s="108">
        <v>41985</v>
      </c>
      <c r="R677" s="108">
        <v>42030</v>
      </c>
      <c r="S677" t="s">
        <v>153</v>
      </c>
      <c r="T677">
        <v>3</v>
      </c>
      <c r="U677" t="s">
        <v>2596</v>
      </c>
      <c r="V677">
        <v>3</v>
      </c>
      <c r="W677" t="s">
        <v>2596</v>
      </c>
      <c r="X677">
        <v>2</v>
      </c>
      <c r="Y677">
        <f>VLOOKUP(Table_clu7sql1_ssdb_REPORT_vw_IE_External_MI_SON[[#This Row],[URN]],[1]Data!$D$2:$BB$1084,31,)</f>
        <v>2</v>
      </c>
      <c r="Z677">
        <v>3</v>
      </c>
      <c r="AA677">
        <v>9</v>
      </c>
      <c r="AB677" t="s">
        <v>2599</v>
      </c>
      <c r="AC677" t="s">
        <v>2596</v>
      </c>
      <c r="AD677" t="s">
        <v>2596</v>
      </c>
      <c r="AE677" t="s">
        <v>2596</v>
      </c>
      <c r="AF677" t="s">
        <v>2596</v>
      </c>
      <c r="AG677" t="s">
        <v>2596</v>
      </c>
      <c r="AH677" t="s">
        <v>2596</v>
      </c>
    </row>
    <row r="678" spans="1:34" x14ac:dyDescent="0.25">
      <c r="A678" s="111" t="str">
        <f>HYPERLINK("http://www.ofsted.gov.uk/inspection-reports/find-inspection-report/provider/ELS/136117 ","Ofsted School Webpage")</f>
        <v>Ofsted School Webpage</v>
      </c>
      <c r="B678">
        <v>136117</v>
      </c>
      <c r="C678">
        <v>3556006</v>
      </c>
      <c r="D678" t="s">
        <v>1785</v>
      </c>
      <c r="E678" t="s">
        <v>36</v>
      </c>
      <c r="F678" t="s">
        <v>776</v>
      </c>
      <c r="G678" t="s">
        <v>275</v>
      </c>
      <c r="H678" t="s">
        <v>2595</v>
      </c>
      <c r="I678" t="s">
        <v>2596</v>
      </c>
      <c r="J678" t="s">
        <v>143</v>
      </c>
      <c r="K678" t="s">
        <v>162</v>
      </c>
      <c r="L678" t="s">
        <v>162</v>
      </c>
      <c r="M678" t="s">
        <v>804</v>
      </c>
      <c r="N678" t="s">
        <v>1786</v>
      </c>
      <c r="O678">
        <v>10034031</v>
      </c>
      <c r="P678" s="108">
        <v>43053</v>
      </c>
      <c r="Q678" s="108">
        <v>43055</v>
      </c>
      <c r="R678" s="108">
        <v>43090</v>
      </c>
      <c r="S678" t="s">
        <v>153</v>
      </c>
      <c r="T678">
        <v>2</v>
      </c>
      <c r="U678" t="s">
        <v>123</v>
      </c>
      <c r="V678">
        <v>2</v>
      </c>
      <c r="W678">
        <v>2</v>
      </c>
      <c r="X678">
        <v>2</v>
      </c>
      <c r="Y678">
        <f>VLOOKUP(Table_clu7sql1_ssdb_REPORT_vw_IE_External_MI_SON[[#This Row],[URN]],[1]Data!$D$2:$BB$1084,31,)</f>
        <v>3</v>
      </c>
      <c r="Z678">
        <v>2</v>
      </c>
      <c r="AA678" t="s">
        <v>2596</v>
      </c>
      <c r="AB678" t="s">
        <v>2598</v>
      </c>
      <c r="AC678" t="s">
        <v>2596</v>
      </c>
      <c r="AD678" t="s">
        <v>2596</v>
      </c>
      <c r="AE678" t="s">
        <v>2596</v>
      </c>
      <c r="AF678" t="s">
        <v>2596</v>
      </c>
      <c r="AG678" t="s">
        <v>2596</v>
      </c>
      <c r="AH678" t="s">
        <v>2596</v>
      </c>
    </row>
    <row r="679" spans="1:34" x14ac:dyDescent="0.25">
      <c r="A679" s="111" t="str">
        <f>HYPERLINK("http://www.ofsted.gov.uk/inspection-reports/find-inspection-report/provider/ELS/136122 ","Ofsted School Webpage")</f>
        <v>Ofsted School Webpage</v>
      </c>
      <c r="B679">
        <v>136122</v>
      </c>
      <c r="C679">
        <v>8226015</v>
      </c>
      <c r="D679" t="s">
        <v>289</v>
      </c>
      <c r="E679" t="s">
        <v>36</v>
      </c>
      <c r="F679" t="s">
        <v>142</v>
      </c>
      <c r="G679" t="s">
        <v>142</v>
      </c>
      <c r="H679" t="s">
        <v>2595</v>
      </c>
      <c r="I679" t="s">
        <v>2596</v>
      </c>
      <c r="J679" t="s">
        <v>143</v>
      </c>
      <c r="K679" t="s">
        <v>177</v>
      </c>
      <c r="L679" t="s">
        <v>177</v>
      </c>
      <c r="M679" t="s">
        <v>290</v>
      </c>
      <c r="N679" t="s">
        <v>291</v>
      </c>
      <c r="O679">
        <v>10038907</v>
      </c>
      <c r="P679" s="108">
        <v>43004</v>
      </c>
      <c r="Q679" s="108">
        <v>43006</v>
      </c>
      <c r="R679" s="108">
        <v>43046</v>
      </c>
      <c r="S679" t="s">
        <v>153</v>
      </c>
      <c r="T679">
        <v>3</v>
      </c>
      <c r="U679" t="s">
        <v>123</v>
      </c>
      <c r="V679">
        <v>3</v>
      </c>
      <c r="W679">
        <v>2</v>
      </c>
      <c r="X679">
        <v>3</v>
      </c>
      <c r="Y679">
        <f>VLOOKUP(Table_clu7sql1_ssdb_REPORT_vw_IE_External_MI_SON[[#This Row],[URN]],[1]Data!$D$2:$BB$1084,31,)</f>
        <v>3</v>
      </c>
      <c r="Z679" t="s">
        <v>2596</v>
      </c>
      <c r="AA679" t="s">
        <v>2596</v>
      </c>
      <c r="AB679" t="s">
        <v>2598</v>
      </c>
      <c r="AC679" t="s">
        <v>2596</v>
      </c>
      <c r="AD679" t="s">
        <v>2596</v>
      </c>
      <c r="AE679" t="s">
        <v>2596</v>
      </c>
      <c r="AF679" t="s">
        <v>2596</v>
      </c>
      <c r="AG679" t="s">
        <v>2596</v>
      </c>
      <c r="AH679" t="s">
        <v>2596</v>
      </c>
    </row>
    <row r="680" spans="1:34" x14ac:dyDescent="0.25">
      <c r="A680" s="111" t="str">
        <f>HYPERLINK("http://www.ofsted.gov.uk/inspection-reports/find-inspection-report/provider/ELS/136123 ","Ofsted School Webpage")</f>
        <v>Ofsted School Webpage</v>
      </c>
      <c r="B680">
        <v>136123</v>
      </c>
      <c r="C680">
        <v>3306170</v>
      </c>
      <c r="D680" t="s">
        <v>453</v>
      </c>
      <c r="E680" t="s">
        <v>36</v>
      </c>
      <c r="F680" t="s">
        <v>261</v>
      </c>
      <c r="G680" t="s">
        <v>180</v>
      </c>
      <c r="H680" t="s">
        <v>2595</v>
      </c>
      <c r="I680" t="s">
        <v>2596</v>
      </c>
      <c r="J680" t="s">
        <v>143</v>
      </c>
      <c r="K680" t="s">
        <v>150</v>
      </c>
      <c r="L680" t="s">
        <v>150</v>
      </c>
      <c r="M680" t="s">
        <v>167</v>
      </c>
      <c r="N680" t="s">
        <v>454</v>
      </c>
      <c r="O680">
        <v>10038841</v>
      </c>
      <c r="P680" s="108">
        <v>43039</v>
      </c>
      <c r="Q680" s="108">
        <v>43041</v>
      </c>
      <c r="R680" s="108">
        <v>43067</v>
      </c>
      <c r="S680" t="s">
        <v>153</v>
      </c>
      <c r="T680">
        <v>3</v>
      </c>
      <c r="U680" t="s">
        <v>123</v>
      </c>
      <c r="V680">
        <v>3</v>
      </c>
      <c r="W680">
        <v>2</v>
      </c>
      <c r="X680">
        <v>3</v>
      </c>
      <c r="Y680">
        <f>VLOOKUP(Table_clu7sql1_ssdb_REPORT_vw_IE_External_MI_SON[[#This Row],[URN]],[1]Data!$D$2:$BB$1084,31,)</f>
        <v>3</v>
      </c>
      <c r="Z680" t="s">
        <v>2596</v>
      </c>
      <c r="AA680" t="s">
        <v>2596</v>
      </c>
      <c r="AB680" t="s">
        <v>2599</v>
      </c>
      <c r="AC680" t="s">
        <v>2596</v>
      </c>
      <c r="AD680" t="s">
        <v>2596</v>
      </c>
      <c r="AE680" t="s">
        <v>2596</v>
      </c>
      <c r="AF680" t="s">
        <v>2596</v>
      </c>
      <c r="AG680" t="s">
        <v>2596</v>
      </c>
      <c r="AH680" t="s">
        <v>2596</v>
      </c>
    </row>
    <row r="681" spans="1:34" x14ac:dyDescent="0.25">
      <c r="A681" s="111" t="str">
        <f>HYPERLINK("http://www.ofsted.gov.uk/inspection-reports/find-inspection-report/provider/ELS/136143 ","Ofsted School Webpage")</f>
        <v>Ofsted School Webpage</v>
      </c>
      <c r="B681">
        <v>136143</v>
      </c>
      <c r="C681">
        <v>3556039</v>
      </c>
      <c r="D681" t="s">
        <v>2059</v>
      </c>
      <c r="E681" t="s">
        <v>36</v>
      </c>
      <c r="F681" t="s">
        <v>142</v>
      </c>
      <c r="G681" t="s">
        <v>275</v>
      </c>
      <c r="H681" t="s">
        <v>2595</v>
      </c>
      <c r="I681" t="s">
        <v>2596</v>
      </c>
      <c r="J681" t="s">
        <v>143</v>
      </c>
      <c r="K681" t="s">
        <v>162</v>
      </c>
      <c r="L681" t="s">
        <v>162</v>
      </c>
      <c r="M681" t="s">
        <v>804</v>
      </c>
      <c r="N681" t="s">
        <v>2060</v>
      </c>
      <c r="O681">
        <v>10034032</v>
      </c>
      <c r="P681" s="108">
        <v>43110</v>
      </c>
      <c r="Q681" s="108">
        <v>43112</v>
      </c>
      <c r="R681" s="108">
        <v>43136</v>
      </c>
      <c r="S681" t="s">
        <v>153</v>
      </c>
      <c r="T681">
        <v>2</v>
      </c>
      <c r="U681" t="s">
        <v>123</v>
      </c>
      <c r="V681">
        <v>2</v>
      </c>
      <c r="W681">
        <v>1</v>
      </c>
      <c r="X681">
        <v>2</v>
      </c>
      <c r="Y681">
        <f>VLOOKUP(Table_clu7sql1_ssdb_REPORT_vw_IE_External_MI_SON[[#This Row],[URN]],[1]Data!$D$2:$BB$1084,31,)</f>
        <v>2</v>
      </c>
      <c r="Z681">
        <v>2</v>
      </c>
      <c r="AA681" t="s">
        <v>2596</v>
      </c>
      <c r="AB681" t="s">
        <v>2598</v>
      </c>
      <c r="AC681" t="s">
        <v>2596</v>
      </c>
      <c r="AD681" t="s">
        <v>2596</v>
      </c>
      <c r="AE681" t="s">
        <v>2596</v>
      </c>
      <c r="AF681" t="s">
        <v>2596</v>
      </c>
      <c r="AG681" t="s">
        <v>2596</v>
      </c>
      <c r="AH681" t="s">
        <v>2596</v>
      </c>
    </row>
    <row r="682" spans="1:34" x14ac:dyDescent="0.25">
      <c r="A682" s="111" t="str">
        <f>HYPERLINK("http://www.ofsted.gov.uk/inspection-reports/find-inspection-report/provider/ELS/136167 ","Ofsted School Webpage")</f>
        <v>Ofsted School Webpage</v>
      </c>
      <c r="B682">
        <v>136167</v>
      </c>
      <c r="C682">
        <v>8306037</v>
      </c>
      <c r="D682" t="s">
        <v>873</v>
      </c>
      <c r="E682" t="s">
        <v>37</v>
      </c>
      <c r="F682" t="s">
        <v>142</v>
      </c>
      <c r="G682" t="s">
        <v>142</v>
      </c>
      <c r="H682" t="s">
        <v>2595</v>
      </c>
      <c r="I682" t="s">
        <v>2596</v>
      </c>
      <c r="J682" t="s">
        <v>143</v>
      </c>
      <c r="K682" t="s">
        <v>171</v>
      </c>
      <c r="L682" t="s">
        <v>171</v>
      </c>
      <c r="M682" t="s">
        <v>320</v>
      </c>
      <c r="N682" t="s">
        <v>874</v>
      </c>
      <c r="O682" t="s">
        <v>875</v>
      </c>
      <c r="P682" s="108">
        <v>41913</v>
      </c>
      <c r="Q682" s="108">
        <v>41915</v>
      </c>
      <c r="R682" s="108">
        <v>41962</v>
      </c>
      <c r="S682" t="s">
        <v>3005</v>
      </c>
      <c r="T682">
        <v>2</v>
      </c>
      <c r="U682" t="s">
        <v>2596</v>
      </c>
      <c r="V682">
        <v>2</v>
      </c>
      <c r="W682" t="s">
        <v>2596</v>
      </c>
      <c r="X682">
        <v>2</v>
      </c>
      <c r="Y682">
        <f>VLOOKUP(Table_clu7sql1_ssdb_REPORT_vw_IE_External_MI_SON[[#This Row],[URN]],[1]Data!$D$2:$BB$1084,31,)</f>
        <v>2</v>
      </c>
      <c r="Z682">
        <v>9</v>
      </c>
      <c r="AA682">
        <v>9</v>
      </c>
      <c r="AB682" t="s">
        <v>2598</v>
      </c>
      <c r="AC682" t="s">
        <v>2596</v>
      </c>
      <c r="AD682" t="s">
        <v>2596</v>
      </c>
      <c r="AE682" t="s">
        <v>2596</v>
      </c>
      <c r="AF682" t="s">
        <v>2596</v>
      </c>
      <c r="AG682" t="s">
        <v>2596</v>
      </c>
      <c r="AH682" t="s">
        <v>2596</v>
      </c>
    </row>
    <row r="683" spans="1:34" x14ac:dyDescent="0.25">
      <c r="A683" s="111" t="str">
        <f>HYPERLINK("http://www.ofsted.gov.uk/inspection-reports/find-inspection-report/provider/ELS/136168 ","Ofsted School Webpage")</f>
        <v>Ofsted School Webpage</v>
      </c>
      <c r="B683">
        <v>136168</v>
      </c>
      <c r="C683">
        <v>8306038</v>
      </c>
      <c r="D683" t="s">
        <v>1148</v>
      </c>
      <c r="E683" t="s">
        <v>37</v>
      </c>
      <c r="F683" t="s">
        <v>142</v>
      </c>
      <c r="G683" t="s">
        <v>142</v>
      </c>
      <c r="H683" t="s">
        <v>2595</v>
      </c>
      <c r="I683" t="s">
        <v>2596</v>
      </c>
      <c r="J683" t="s">
        <v>143</v>
      </c>
      <c r="K683" t="s">
        <v>171</v>
      </c>
      <c r="L683" t="s">
        <v>171</v>
      </c>
      <c r="M683" t="s">
        <v>320</v>
      </c>
      <c r="N683" t="s">
        <v>1149</v>
      </c>
      <c r="O683" t="s">
        <v>1150</v>
      </c>
      <c r="P683" s="108">
        <v>41954</v>
      </c>
      <c r="Q683" s="108">
        <v>41955</v>
      </c>
      <c r="R683" s="108">
        <v>41985</v>
      </c>
      <c r="S683" t="s">
        <v>3005</v>
      </c>
      <c r="T683">
        <v>2</v>
      </c>
      <c r="U683" t="s">
        <v>2596</v>
      </c>
      <c r="V683">
        <v>2</v>
      </c>
      <c r="W683" t="s">
        <v>2596</v>
      </c>
      <c r="X683">
        <v>2</v>
      </c>
      <c r="Y683">
        <f>VLOOKUP(Table_clu7sql1_ssdb_REPORT_vw_IE_External_MI_SON[[#This Row],[URN]],[1]Data!$D$2:$BB$1084,31,)</f>
        <v>2</v>
      </c>
      <c r="Z683">
        <v>9</v>
      </c>
      <c r="AA683">
        <v>9</v>
      </c>
      <c r="AB683" t="s">
        <v>2598</v>
      </c>
      <c r="AC683" t="s">
        <v>2596</v>
      </c>
      <c r="AD683" t="s">
        <v>2596</v>
      </c>
      <c r="AE683" t="s">
        <v>2596</v>
      </c>
      <c r="AF683" t="s">
        <v>2596</v>
      </c>
      <c r="AG683" t="s">
        <v>2596</v>
      </c>
      <c r="AH683" t="s">
        <v>2596</v>
      </c>
    </row>
    <row r="684" spans="1:34" x14ac:dyDescent="0.25">
      <c r="A684" s="111" t="str">
        <f>HYPERLINK("http://www.ofsted.gov.uk/inspection-reports/find-inspection-report/provider/ELS/136189 ","Ofsted School Webpage")</f>
        <v>Ofsted School Webpage</v>
      </c>
      <c r="B684">
        <v>136189</v>
      </c>
      <c r="C684">
        <v>3806349</v>
      </c>
      <c r="D684" t="s">
        <v>2170</v>
      </c>
      <c r="E684" t="s">
        <v>36</v>
      </c>
      <c r="F684" t="s">
        <v>142</v>
      </c>
      <c r="G684" t="s">
        <v>261</v>
      </c>
      <c r="H684" t="s">
        <v>2595</v>
      </c>
      <c r="I684" t="s">
        <v>2596</v>
      </c>
      <c r="J684" t="s">
        <v>143</v>
      </c>
      <c r="K684" t="s">
        <v>202</v>
      </c>
      <c r="L684" t="s">
        <v>203</v>
      </c>
      <c r="M684" t="s">
        <v>295</v>
      </c>
      <c r="N684" t="s">
        <v>2171</v>
      </c>
      <c r="O684">
        <v>10025961</v>
      </c>
      <c r="P684" s="108">
        <v>42808</v>
      </c>
      <c r="Q684" s="108">
        <v>42810</v>
      </c>
      <c r="R684" s="108">
        <v>42837</v>
      </c>
      <c r="S684" t="s">
        <v>153</v>
      </c>
      <c r="T684">
        <v>2</v>
      </c>
      <c r="U684" t="s">
        <v>123</v>
      </c>
      <c r="V684">
        <v>2</v>
      </c>
      <c r="W684">
        <v>1</v>
      </c>
      <c r="X684">
        <v>2</v>
      </c>
      <c r="Y684">
        <f>VLOOKUP(Table_clu7sql1_ssdb_REPORT_vw_IE_External_MI_SON[[#This Row],[URN]],[1]Data!$D$2:$BB$1084,31,)</f>
        <v>2</v>
      </c>
      <c r="Z684" t="s">
        <v>2596</v>
      </c>
      <c r="AA684">
        <v>2</v>
      </c>
      <c r="AB684" t="s">
        <v>2598</v>
      </c>
      <c r="AC684" t="s">
        <v>2596</v>
      </c>
      <c r="AD684" t="s">
        <v>2596</v>
      </c>
      <c r="AE684" s="108" t="s">
        <v>2596</v>
      </c>
      <c r="AF684" t="s">
        <v>2596</v>
      </c>
      <c r="AG684" s="108" t="s">
        <v>2596</v>
      </c>
      <c r="AH684" t="s">
        <v>2596</v>
      </c>
    </row>
    <row r="685" spans="1:34" x14ac:dyDescent="0.25">
      <c r="A685" s="111" t="str">
        <f>HYPERLINK("http://www.ofsted.gov.uk/inspection-reports/find-inspection-report/provider/ELS/136210 ","Ofsted School Webpage")</f>
        <v>Ofsted School Webpage</v>
      </c>
      <c r="B685">
        <v>136210</v>
      </c>
      <c r="C685">
        <v>8526011</v>
      </c>
      <c r="D685" t="s">
        <v>430</v>
      </c>
      <c r="E685" t="s">
        <v>36</v>
      </c>
      <c r="F685" t="s">
        <v>261</v>
      </c>
      <c r="G685" t="s">
        <v>180</v>
      </c>
      <c r="H685" t="s">
        <v>2595</v>
      </c>
      <c r="I685" t="s">
        <v>2596</v>
      </c>
      <c r="J685" t="s">
        <v>143</v>
      </c>
      <c r="K685" t="s">
        <v>139</v>
      </c>
      <c r="L685" t="s">
        <v>139</v>
      </c>
      <c r="M685" t="s">
        <v>431</v>
      </c>
      <c r="N685" t="s">
        <v>432</v>
      </c>
      <c r="O685">
        <v>10033954</v>
      </c>
      <c r="P685" s="108">
        <v>43046</v>
      </c>
      <c r="Q685" s="108">
        <v>43048</v>
      </c>
      <c r="R685" s="108">
        <v>43069</v>
      </c>
      <c r="S685" t="s">
        <v>153</v>
      </c>
      <c r="T685">
        <v>3</v>
      </c>
      <c r="U685" t="s">
        <v>123</v>
      </c>
      <c r="V685">
        <v>3</v>
      </c>
      <c r="W685">
        <v>1</v>
      </c>
      <c r="X685">
        <v>3</v>
      </c>
      <c r="Y685">
        <f>VLOOKUP(Table_clu7sql1_ssdb_REPORT_vw_IE_External_MI_SON[[#This Row],[URN]],[1]Data!$D$2:$BB$1084,31,)</f>
        <v>3</v>
      </c>
      <c r="Z685" t="s">
        <v>2596</v>
      </c>
      <c r="AA685" t="s">
        <v>2596</v>
      </c>
      <c r="AB685" t="s">
        <v>2598</v>
      </c>
      <c r="AC685" t="s">
        <v>2596</v>
      </c>
      <c r="AD685" t="s">
        <v>2596</v>
      </c>
      <c r="AE685" t="s">
        <v>2596</v>
      </c>
      <c r="AF685" t="s">
        <v>2596</v>
      </c>
      <c r="AG685" t="s">
        <v>2596</v>
      </c>
      <c r="AH685" t="s">
        <v>2596</v>
      </c>
    </row>
    <row r="686" spans="1:34" x14ac:dyDescent="0.25">
      <c r="A686" s="111" t="str">
        <f>HYPERLINK("http://www.ofsted.gov.uk/inspection-reports/find-inspection-report/provider/ELS/136211 ","Ofsted School Webpage")</f>
        <v>Ofsted School Webpage</v>
      </c>
      <c r="B686">
        <v>136211</v>
      </c>
      <c r="C686">
        <v>8866136</v>
      </c>
      <c r="D686" t="s">
        <v>620</v>
      </c>
      <c r="E686" t="s">
        <v>36</v>
      </c>
      <c r="F686" t="s">
        <v>142</v>
      </c>
      <c r="G686" t="s">
        <v>142</v>
      </c>
      <c r="H686" t="s">
        <v>2595</v>
      </c>
      <c r="I686" t="s">
        <v>2596</v>
      </c>
      <c r="J686" t="s">
        <v>143</v>
      </c>
      <c r="K686" t="s">
        <v>139</v>
      </c>
      <c r="L686" t="s">
        <v>139</v>
      </c>
      <c r="M686" t="s">
        <v>140</v>
      </c>
      <c r="N686" t="s">
        <v>621</v>
      </c>
      <c r="O686" t="s">
        <v>622</v>
      </c>
      <c r="P686" s="108">
        <v>41723</v>
      </c>
      <c r="Q686" s="108">
        <v>41725</v>
      </c>
      <c r="R686" s="108">
        <v>41754</v>
      </c>
      <c r="S686" t="s">
        <v>153</v>
      </c>
      <c r="T686">
        <v>1</v>
      </c>
      <c r="U686" t="s">
        <v>2596</v>
      </c>
      <c r="V686">
        <v>1</v>
      </c>
      <c r="W686" t="s">
        <v>2596</v>
      </c>
      <c r="X686">
        <v>1</v>
      </c>
      <c r="Y686">
        <f>VLOOKUP(Table_clu7sql1_ssdb_REPORT_vw_IE_External_MI_SON[[#This Row],[URN]],[1]Data!$D$2:$BB$1084,31,)</f>
        <v>1</v>
      </c>
      <c r="Z686" t="s">
        <v>2596</v>
      </c>
      <c r="AA686" t="s">
        <v>2596</v>
      </c>
      <c r="AB686" t="s">
        <v>2886</v>
      </c>
      <c r="AC686" t="s">
        <v>2596</v>
      </c>
      <c r="AD686" t="s">
        <v>2596</v>
      </c>
      <c r="AE686" t="s">
        <v>2596</v>
      </c>
      <c r="AF686" t="s">
        <v>2596</v>
      </c>
      <c r="AG686" t="s">
        <v>2596</v>
      </c>
      <c r="AH686" t="s">
        <v>2596</v>
      </c>
    </row>
    <row r="687" spans="1:34" x14ac:dyDescent="0.25">
      <c r="A687" s="111" t="str">
        <f>HYPERLINK("http://www.ofsted.gov.uk/inspection-reports/find-inspection-report/provider/ELS/136220 ","Ofsted School Webpage")</f>
        <v>Ofsted School Webpage</v>
      </c>
      <c r="B687">
        <v>136220</v>
      </c>
      <c r="C687">
        <v>8616004</v>
      </c>
      <c r="D687" t="s">
        <v>1773</v>
      </c>
      <c r="E687" t="s">
        <v>37</v>
      </c>
      <c r="F687" t="s">
        <v>142</v>
      </c>
      <c r="G687" t="s">
        <v>142</v>
      </c>
      <c r="H687" t="s">
        <v>2595</v>
      </c>
      <c r="I687" t="s">
        <v>2596</v>
      </c>
      <c r="J687" t="s">
        <v>143</v>
      </c>
      <c r="K687" t="s">
        <v>150</v>
      </c>
      <c r="L687" t="s">
        <v>150</v>
      </c>
      <c r="M687" t="s">
        <v>447</v>
      </c>
      <c r="N687" t="s">
        <v>1774</v>
      </c>
      <c r="O687" t="s">
        <v>1775</v>
      </c>
      <c r="P687" s="108">
        <v>41975</v>
      </c>
      <c r="Q687" s="108">
        <v>41977</v>
      </c>
      <c r="R687" s="108">
        <v>41996</v>
      </c>
      <c r="S687" t="s">
        <v>153</v>
      </c>
      <c r="T687">
        <v>1</v>
      </c>
      <c r="U687" t="s">
        <v>2596</v>
      </c>
      <c r="V687">
        <v>1</v>
      </c>
      <c r="W687" t="s">
        <v>2596</v>
      </c>
      <c r="X687">
        <v>1</v>
      </c>
      <c r="Y687">
        <f>VLOOKUP(Table_clu7sql1_ssdb_REPORT_vw_IE_External_MI_SON[[#This Row],[URN]],[1]Data!$D$2:$BB$1084,31,)</f>
        <v>1</v>
      </c>
      <c r="Z687">
        <v>9</v>
      </c>
      <c r="AA687">
        <v>1</v>
      </c>
      <c r="AB687" t="s">
        <v>2598</v>
      </c>
      <c r="AC687" t="s">
        <v>2596</v>
      </c>
      <c r="AD687" t="s">
        <v>2596</v>
      </c>
      <c r="AE687" t="s">
        <v>2596</v>
      </c>
      <c r="AF687" t="s">
        <v>2596</v>
      </c>
      <c r="AG687" t="s">
        <v>2596</v>
      </c>
      <c r="AH687" t="s">
        <v>2596</v>
      </c>
    </row>
    <row r="688" spans="1:34" x14ac:dyDescent="0.25">
      <c r="A688" s="111" t="str">
        <f>HYPERLINK("http://www.ofsted.gov.uk/inspection-reports/find-inspection-report/provider/ELS/136227 ","Ofsted School Webpage")</f>
        <v>Ofsted School Webpage</v>
      </c>
      <c r="B688">
        <v>136227</v>
      </c>
      <c r="C688">
        <v>9286073</v>
      </c>
      <c r="D688" t="s">
        <v>938</v>
      </c>
      <c r="E688" t="s">
        <v>37</v>
      </c>
      <c r="F688" t="s">
        <v>142</v>
      </c>
      <c r="G688" t="s">
        <v>142</v>
      </c>
      <c r="H688" t="s">
        <v>2595</v>
      </c>
      <c r="I688" t="s">
        <v>2596</v>
      </c>
      <c r="J688" t="s">
        <v>143</v>
      </c>
      <c r="K688" t="s">
        <v>171</v>
      </c>
      <c r="L688" t="s">
        <v>171</v>
      </c>
      <c r="M688" t="s">
        <v>172</v>
      </c>
      <c r="N688" t="s">
        <v>939</v>
      </c>
      <c r="O688">
        <v>10039190</v>
      </c>
      <c r="P688" s="108">
        <v>43053</v>
      </c>
      <c r="Q688" s="108">
        <v>43055</v>
      </c>
      <c r="R688" s="108">
        <v>43076</v>
      </c>
      <c r="S688" t="s">
        <v>153</v>
      </c>
      <c r="T688">
        <v>2</v>
      </c>
      <c r="U688" t="s">
        <v>123</v>
      </c>
      <c r="V688">
        <v>2</v>
      </c>
      <c r="W688">
        <v>2</v>
      </c>
      <c r="X688">
        <v>2</v>
      </c>
      <c r="Y688">
        <f>VLOOKUP(Table_clu7sql1_ssdb_REPORT_vw_IE_External_MI_SON[[#This Row],[URN]],[1]Data!$D$2:$BB$1084,31,)</f>
        <v>2</v>
      </c>
      <c r="Z688" t="s">
        <v>2596</v>
      </c>
      <c r="AA688">
        <v>2</v>
      </c>
      <c r="AB688" t="s">
        <v>2598</v>
      </c>
      <c r="AC688" t="s">
        <v>2596</v>
      </c>
      <c r="AD688" t="s">
        <v>2596</v>
      </c>
      <c r="AE688" s="108" t="s">
        <v>2596</v>
      </c>
      <c r="AF688" t="s">
        <v>2596</v>
      </c>
      <c r="AG688" s="108" t="s">
        <v>2596</v>
      </c>
      <c r="AH688" t="s">
        <v>2596</v>
      </c>
    </row>
    <row r="689" spans="1:34" x14ac:dyDescent="0.25">
      <c r="A689" s="111" t="str">
        <f>HYPERLINK("http://www.ofsted.gov.uk/inspection-reports/find-inspection-report/provider/ELS/136228 ","Ofsted School Webpage")</f>
        <v>Ofsted School Webpage</v>
      </c>
      <c r="B689">
        <v>136228</v>
      </c>
      <c r="C689">
        <v>3056081</v>
      </c>
      <c r="D689" t="s">
        <v>1246</v>
      </c>
      <c r="E689" t="s">
        <v>37</v>
      </c>
      <c r="F689" t="s">
        <v>142</v>
      </c>
      <c r="G689" t="s">
        <v>142</v>
      </c>
      <c r="H689" t="s">
        <v>2595</v>
      </c>
      <c r="I689" t="s">
        <v>2596</v>
      </c>
      <c r="J689" t="s">
        <v>143</v>
      </c>
      <c r="K689" t="s">
        <v>189</v>
      </c>
      <c r="L689" t="s">
        <v>189</v>
      </c>
      <c r="M689" t="s">
        <v>540</v>
      </c>
      <c r="N689" t="s">
        <v>1247</v>
      </c>
      <c r="O689" t="s">
        <v>1248</v>
      </c>
      <c r="P689" s="108">
        <v>41933</v>
      </c>
      <c r="Q689" s="108">
        <v>41934</v>
      </c>
      <c r="R689" s="108">
        <v>42039</v>
      </c>
      <c r="S689" t="s">
        <v>153</v>
      </c>
      <c r="T689">
        <v>2</v>
      </c>
      <c r="U689" t="s">
        <v>2596</v>
      </c>
      <c r="V689">
        <v>2</v>
      </c>
      <c r="W689" t="s">
        <v>2596</v>
      </c>
      <c r="X689">
        <v>2</v>
      </c>
      <c r="Y689">
        <f>VLOOKUP(Table_clu7sql1_ssdb_REPORT_vw_IE_External_MI_SON[[#This Row],[URN]],[1]Data!$D$2:$BB$1084,31,)</f>
        <v>2</v>
      </c>
      <c r="Z689">
        <v>9</v>
      </c>
      <c r="AA689">
        <v>9</v>
      </c>
      <c r="AB689" t="s">
        <v>2598</v>
      </c>
      <c r="AC689" t="s">
        <v>2596</v>
      </c>
      <c r="AD689" t="s">
        <v>2596</v>
      </c>
      <c r="AE689" s="108" t="s">
        <v>2596</v>
      </c>
      <c r="AF689" t="s">
        <v>2596</v>
      </c>
      <c r="AG689" s="108" t="s">
        <v>2596</v>
      </c>
      <c r="AH689" t="s">
        <v>2596</v>
      </c>
    </row>
    <row r="690" spans="1:34" x14ac:dyDescent="0.25">
      <c r="A690" s="111" t="str">
        <f>HYPERLINK("http://www.ofsted.gov.uk/inspection-reports/find-inspection-report/provider/ELS/136230 ","Ofsted School Webpage")</f>
        <v>Ofsted School Webpage</v>
      </c>
      <c r="B690">
        <v>136230</v>
      </c>
      <c r="C690">
        <v>3566035</v>
      </c>
      <c r="D690" t="s">
        <v>301</v>
      </c>
      <c r="E690" t="s">
        <v>37</v>
      </c>
      <c r="F690" t="s">
        <v>142</v>
      </c>
      <c r="G690" t="s">
        <v>142</v>
      </c>
      <c r="H690" t="s">
        <v>2595</v>
      </c>
      <c r="I690" t="s">
        <v>2596</v>
      </c>
      <c r="J690" t="s">
        <v>143</v>
      </c>
      <c r="K690" t="s">
        <v>162</v>
      </c>
      <c r="L690" t="s">
        <v>162</v>
      </c>
      <c r="M690" t="s">
        <v>302</v>
      </c>
      <c r="N690" t="s">
        <v>303</v>
      </c>
      <c r="O690">
        <v>10038932</v>
      </c>
      <c r="P690" s="108">
        <v>43025</v>
      </c>
      <c r="Q690" s="108">
        <v>43027</v>
      </c>
      <c r="R690" s="108">
        <v>43053</v>
      </c>
      <c r="S690" t="s">
        <v>153</v>
      </c>
      <c r="T690">
        <v>2</v>
      </c>
      <c r="U690" t="s">
        <v>123</v>
      </c>
      <c r="V690">
        <v>2</v>
      </c>
      <c r="W690">
        <v>2</v>
      </c>
      <c r="X690">
        <v>2</v>
      </c>
      <c r="Y690">
        <f>VLOOKUP(Table_clu7sql1_ssdb_REPORT_vw_IE_External_MI_SON[[#This Row],[URN]],[1]Data!$D$2:$BB$1084,31,)</f>
        <v>2</v>
      </c>
      <c r="Z690" t="s">
        <v>2596</v>
      </c>
      <c r="AA690" t="s">
        <v>2596</v>
      </c>
      <c r="AB690" t="s">
        <v>2598</v>
      </c>
      <c r="AC690" t="s">
        <v>2596</v>
      </c>
      <c r="AD690" t="s">
        <v>2596</v>
      </c>
      <c r="AE690" s="108" t="s">
        <v>2596</v>
      </c>
      <c r="AF690" t="s">
        <v>2596</v>
      </c>
      <c r="AG690" s="108" t="s">
        <v>2596</v>
      </c>
      <c r="AH690" t="s">
        <v>2596</v>
      </c>
    </row>
    <row r="691" spans="1:34" x14ac:dyDescent="0.25">
      <c r="A691" s="111" t="str">
        <f>HYPERLINK("http://www.ofsted.gov.uk/inspection-reports/find-inspection-report/provider/ELS/136231 ","Ofsted School Webpage")</f>
        <v>Ofsted School Webpage</v>
      </c>
      <c r="B691">
        <v>136231</v>
      </c>
      <c r="C691">
        <v>3046114</v>
      </c>
      <c r="D691" t="s">
        <v>1839</v>
      </c>
      <c r="E691" t="s">
        <v>36</v>
      </c>
      <c r="F691" t="s">
        <v>142</v>
      </c>
      <c r="G691" t="s">
        <v>275</v>
      </c>
      <c r="H691" t="s">
        <v>2595</v>
      </c>
      <c r="I691" t="s">
        <v>2596</v>
      </c>
      <c r="J691" t="s">
        <v>143</v>
      </c>
      <c r="K691" t="s">
        <v>189</v>
      </c>
      <c r="L691" t="s">
        <v>189</v>
      </c>
      <c r="M691" t="s">
        <v>702</v>
      </c>
      <c r="N691" t="s">
        <v>1840</v>
      </c>
      <c r="O691" t="s">
        <v>1841</v>
      </c>
      <c r="P691" s="108">
        <v>41933</v>
      </c>
      <c r="Q691" s="108">
        <v>41935</v>
      </c>
      <c r="R691" s="108">
        <v>42039</v>
      </c>
      <c r="S691" t="s">
        <v>153</v>
      </c>
      <c r="T691">
        <v>3</v>
      </c>
      <c r="U691" t="s">
        <v>2596</v>
      </c>
      <c r="V691">
        <v>3</v>
      </c>
      <c r="W691" t="s">
        <v>2596</v>
      </c>
      <c r="X691">
        <v>3</v>
      </c>
      <c r="Y691">
        <f>VLOOKUP(Table_clu7sql1_ssdb_REPORT_vw_IE_External_MI_SON[[#This Row],[URN]],[1]Data!$D$2:$BB$1084,31,)</f>
        <v>3</v>
      </c>
      <c r="Z691">
        <v>3</v>
      </c>
      <c r="AA691">
        <v>9</v>
      </c>
      <c r="AB691" t="s">
        <v>2598</v>
      </c>
      <c r="AC691" t="s">
        <v>2596</v>
      </c>
      <c r="AD691" t="s">
        <v>2596</v>
      </c>
      <c r="AE691" s="108" t="s">
        <v>2596</v>
      </c>
      <c r="AF691" t="s">
        <v>2596</v>
      </c>
      <c r="AG691" s="108" t="s">
        <v>2596</v>
      </c>
      <c r="AH691" t="s">
        <v>2596</v>
      </c>
    </row>
    <row r="692" spans="1:34" x14ac:dyDescent="0.25">
      <c r="A692" s="111" t="str">
        <f>HYPERLINK("http://www.ofsted.gov.uk/inspection-reports/find-inspection-report/provider/ELS/136233 ","Ofsted School Webpage")</f>
        <v>Ofsted School Webpage</v>
      </c>
      <c r="B692">
        <v>136233</v>
      </c>
      <c r="C692">
        <v>8746036</v>
      </c>
      <c r="D692" t="s">
        <v>1159</v>
      </c>
      <c r="E692" t="s">
        <v>37</v>
      </c>
      <c r="F692" t="s">
        <v>142</v>
      </c>
      <c r="G692" t="s">
        <v>142</v>
      </c>
      <c r="H692" t="s">
        <v>2595</v>
      </c>
      <c r="I692" t="s">
        <v>2596</v>
      </c>
      <c r="J692" t="s">
        <v>143</v>
      </c>
      <c r="K692" t="s">
        <v>177</v>
      </c>
      <c r="L692" t="s">
        <v>177</v>
      </c>
      <c r="M692" t="s">
        <v>570</v>
      </c>
      <c r="N692" t="s">
        <v>1160</v>
      </c>
      <c r="O692">
        <v>10026073</v>
      </c>
      <c r="P692" s="108">
        <v>43130</v>
      </c>
      <c r="Q692" s="108">
        <v>43132</v>
      </c>
      <c r="R692" s="108">
        <v>43172</v>
      </c>
      <c r="S692" t="s">
        <v>153</v>
      </c>
      <c r="T692">
        <v>3</v>
      </c>
      <c r="U692" t="s">
        <v>123</v>
      </c>
      <c r="V692">
        <v>3</v>
      </c>
      <c r="W692">
        <v>3</v>
      </c>
      <c r="X692">
        <v>3</v>
      </c>
      <c r="Y692">
        <f>VLOOKUP(Table_clu7sql1_ssdb_REPORT_vw_IE_External_MI_SON[[#This Row],[URN]],[1]Data!$D$2:$BB$1084,31,)</f>
        <v>3</v>
      </c>
      <c r="Z692" t="s">
        <v>2596</v>
      </c>
      <c r="AA692" t="s">
        <v>2596</v>
      </c>
      <c r="AB692" t="s">
        <v>2599</v>
      </c>
      <c r="AC692" t="s">
        <v>2596</v>
      </c>
      <c r="AD692" t="s">
        <v>2596</v>
      </c>
      <c r="AE692" t="s">
        <v>2596</v>
      </c>
      <c r="AF692" t="s">
        <v>2596</v>
      </c>
      <c r="AG692" t="s">
        <v>2596</v>
      </c>
      <c r="AH692" t="s">
        <v>2596</v>
      </c>
    </row>
    <row r="693" spans="1:34" x14ac:dyDescent="0.25">
      <c r="A693" s="111" t="str">
        <f>HYPERLINK("http://www.ofsted.gov.uk/inspection-reports/find-inspection-report/provider/ELS/136236 ","Ofsted School Webpage")</f>
        <v>Ofsted School Webpage</v>
      </c>
      <c r="B693">
        <v>136236</v>
      </c>
      <c r="C693">
        <v>8736028</v>
      </c>
      <c r="D693" t="s">
        <v>475</v>
      </c>
      <c r="E693" t="s">
        <v>37</v>
      </c>
      <c r="F693" t="s">
        <v>142</v>
      </c>
      <c r="G693" t="s">
        <v>142</v>
      </c>
      <c r="H693" t="s">
        <v>2595</v>
      </c>
      <c r="I693" t="s">
        <v>2596</v>
      </c>
      <c r="J693" t="s">
        <v>143</v>
      </c>
      <c r="K693" t="s">
        <v>177</v>
      </c>
      <c r="L693" t="s">
        <v>177</v>
      </c>
      <c r="M693" t="s">
        <v>241</v>
      </c>
      <c r="N693" t="s">
        <v>476</v>
      </c>
      <c r="O693">
        <v>10038908</v>
      </c>
      <c r="P693" s="108">
        <v>43004</v>
      </c>
      <c r="Q693" s="108">
        <v>43006</v>
      </c>
      <c r="R693" s="108">
        <v>43049</v>
      </c>
      <c r="S693" t="s">
        <v>3005</v>
      </c>
      <c r="T693">
        <v>3</v>
      </c>
      <c r="U693" t="s">
        <v>123</v>
      </c>
      <c r="V693">
        <v>3</v>
      </c>
      <c r="W693">
        <v>3</v>
      </c>
      <c r="X693">
        <v>3</v>
      </c>
      <c r="Y693">
        <f>VLOOKUP(Table_clu7sql1_ssdb_REPORT_vw_IE_External_MI_SON[[#This Row],[URN]],[1]Data!$D$2:$BB$1084,31,)</f>
        <v>3</v>
      </c>
      <c r="Z693" t="s">
        <v>2596</v>
      </c>
      <c r="AA693" t="s">
        <v>2596</v>
      </c>
      <c r="AB693" t="s">
        <v>2599</v>
      </c>
      <c r="AC693" t="s">
        <v>2596</v>
      </c>
      <c r="AD693" t="s">
        <v>2596</v>
      </c>
      <c r="AE693" t="s">
        <v>2596</v>
      </c>
      <c r="AF693" t="s">
        <v>2596</v>
      </c>
      <c r="AG693" t="s">
        <v>2596</v>
      </c>
      <c r="AH693" t="s">
        <v>2596</v>
      </c>
    </row>
    <row r="694" spans="1:34" x14ac:dyDescent="0.25">
      <c r="A694" s="111" t="str">
        <f>HYPERLINK("http://www.ofsted.gov.uk/inspection-reports/find-inspection-report/provider/ELS/136239 ","Ofsted School Webpage")</f>
        <v>Ofsted School Webpage</v>
      </c>
      <c r="B694">
        <v>136239</v>
      </c>
      <c r="C694">
        <v>3586019</v>
      </c>
      <c r="D694" t="s">
        <v>1318</v>
      </c>
      <c r="E694" t="s">
        <v>37</v>
      </c>
      <c r="F694" t="s">
        <v>169</v>
      </c>
      <c r="G694" t="s">
        <v>142</v>
      </c>
      <c r="H694" t="s">
        <v>2595</v>
      </c>
      <c r="I694" t="s">
        <v>2596</v>
      </c>
      <c r="J694" t="s">
        <v>143</v>
      </c>
      <c r="K694" t="s">
        <v>162</v>
      </c>
      <c r="L694" t="s">
        <v>162</v>
      </c>
      <c r="M694" t="s">
        <v>1319</v>
      </c>
      <c r="N694" t="s">
        <v>1320</v>
      </c>
      <c r="O694">
        <v>10034046</v>
      </c>
      <c r="P694" s="108">
        <v>42871</v>
      </c>
      <c r="Q694" s="108">
        <v>42872</v>
      </c>
      <c r="R694" s="108">
        <v>42898</v>
      </c>
      <c r="S694" t="s">
        <v>3005</v>
      </c>
      <c r="T694">
        <v>2</v>
      </c>
      <c r="U694" t="s">
        <v>123</v>
      </c>
      <c r="V694">
        <v>2</v>
      </c>
      <c r="W694">
        <v>1</v>
      </c>
      <c r="X694">
        <v>2</v>
      </c>
      <c r="Y694">
        <f>VLOOKUP(Table_clu7sql1_ssdb_REPORT_vw_IE_External_MI_SON[[#This Row],[URN]],[1]Data!$D$2:$BB$1084,31,)</f>
        <v>2</v>
      </c>
      <c r="Z694" t="s">
        <v>2596</v>
      </c>
      <c r="AA694">
        <v>2</v>
      </c>
      <c r="AB694" t="s">
        <v>2598</v>
      </c>
      <c r="AC694" t="s">
        <v>2596</v>
      </c>
      <c r="AD694" t="s">
        <v>2596</v>
      </c>
      <c r="AE694" t="s">
        <v>2596</v>
      </c>
      <c r="AF694" t="s">
        <v>2596</v>
      </c>
      <c r="AG694" t="s">
        <v>2596</v>
      </c>
      <c r="AH694" t="s">
        <v>2596</v>
      </c>
    </row>
    <row r="695" spans="1:34" x14ac:dyDescent="0.25">
      <c r="A695" s="111" t="str">
        <f>HYPERLINK("http://www.ofsted.gov.uk/inspection-reports/find-inspection-report/provider/ELS/136242 ","Ofsted School Webpage")</f>
        <v>Ofsted School Webpage</v>
      </c>
      <c r="B695">
        <v>136242</v>
      </c>
      <c r="C695">
        <v>3526070</v>
      </c>
      <c r="D695" t="s">
        <v>2067</v>
      </c>
      <c r="E695" t="s">
        <v>36</v>
      </c>
      <c r="F695" t="s">
        <v>142</v>
      </c>
      <c r="G695" t="s">
        <v>169</v>
      </c>
      <c r="H695" t="s">
        <v>2595</v>
      </c>
      <c r="I695" t="s">
        <v>2596</v>
      </c>
      <c r="J695" t="s">
        <v>143</v>
      </c>
      <c r="K695" t="s">
        <v>162</v>
      </c>
      <c r="L695" t="s">
        <v>162</v>
      </c>
      <c r="M695" t="s">
        <v>263</v>
      </c>
      <c r="N695" t="s">
        <v>2068</v>
      </c>
      <c r="O695" t="s">
        <v>2069</v>
      </c>
      <c r="P695" s="108">
        <v>42073</v>
      </c>
      <c r="Q695" s="108">
        <v>42075</v>
      </c>
      <c r="R695" s="108">
        <v>42118</v>
      </c>
      <c r="S695" t="s">
        <v>153</v>
      </c>
      <c r="T695">
        <v>2</v>
      </c>
      <c r="U695" t="s">
        <v>2596</v>
      </c>
      <c r="V695">
        <v>2</v>
      </c>
      <c r="W695" t="s">
        <v>2596</v>
      </c>
      <c r="X695">
        <v>2</v>
      </c>
      <c r="Y695">
        <f>VLOOKUP(Table_clu7sql1_ssdb_REPORT_vw_IE_External_MI_SON[[#This Row],[URN]],[1]Data!$D$2:$BB$1084,31,)</f>
        <v>2</v>
      </c>
      <c r="Z695">
        <v>9</v>
      </c>
      <c r="AA695">
        <v>9</v>
      </c>
      <c r="AB695" t="s">
        <v>2598</v>
      </c>
      <c r="AC695" t="s">
        <v>2596</v>
      </c>
      <c r="AD695" t="s">
        <v>2596</v>
      </c>
      <c r="AE695" t="s">
        <v>2596</v>
      </c>
      <c r="AF695" t="s">
        <v>2596</v>
      </c>
      <c r="AG695" t="s">
        <v>2596</v>
      </c>
      <c r="AH695" t="s">
        <v>2596</v>
      </c>
    </row>
    <row r="696" spans="1:34" x14ac:dyDescent="0.25">
      <c r="A696" s="111" t="str">
        <f>HYPERLINK("http://www.ofsted.gov.uk/inspection-reports/find-inspection-report/provider/ELS/136244 ","Ofsted School Webpage")</f>
        <v>Ofsted School Webpage</v>
      </c>
      <c r="B696">
        <v>136244</v>
      </c>
      <c r="C696">
        <v>3176080</v>
      </c>
      <c r="D696" t="s">
        <v>1755</v>
      </c>
      <c r="E696" t="s">
        <v>37</v>
      </c>
      <c r="F696" t="s">
        <v>142</v>
      </c>
      <c r="G696" t="s">
        <v>142</v>
      </c>
      <c r="H696" t="s">
        <v>2595</v>
      </c>
      <c r="I696" t="s">
        <v>2596</v>
      </c>
      <c r="J696" t="s">
        <v>143</v>
      </c>
      <c r="K696" t="s">
        <v>189</v>
      </c>
      <c r="L696" t="s">
        <v>189</v>
      </c>
      <c r="M696" t="s">
        <v>756</v>
      </c>
      <c r="N696" t="s">
        <v>1756</v>
      </c>
      <c r="O696" t="s">
        <v>1757</v>
      </c>
      <c r="P696" s="108">
        <v>42185</v>
      </c>
      <c r="Q696" s="108">
        <v>42186</v>
      </c>
      <c r="R696" s="108">
        <v>42257</v>
      </c>
      <c r="S696" t="s">
        <v>3005</v>
      </c>
      <c r="T696">
        <v>2</v>
      </c>
      <c r="U696" t="s">
        <v>2596</v>
      </c>
      <c r="V696">
        <v>2</v>
      </c>
      <c r="W696" t="s">
        <v>2596</v>
      </c>
      <c r="X696">
        <v>2</v>
      </c>
      <c r="Y696">
        <f>VLOOKUP(Table_clu7sql1_ssdb_REPORT_vw_IE_External_MI_SON[[#This Row],[URN]],[1]Data!$D$2:$BB$1084,31,)</f>
        <v>2</v>
      </c>
      <c r="Z696">
        <v>9</v>
      </c>
      <c r="AA696">
        <v>9</v>
      </c>
      <c r="AB696" t="s">
        <v>2598</v>
      </c>
      <c r="AC696" t="s">
        <v>2596</v>
      </c>
      <c r="AD696" t="s">
        <v>2596</v>
      </c>
      <c r="AE696" s="108" t="s">
        <v>2596</v>
      </c>
      <c r="AF696" t="s">
        <v>2596</v>
      </c>
      <c r="AG696" s="108" t="s">
        <v>2596</v>
      </c>
      <c r="AH696" t="s">
        <v>2596</v>
      </c>
    </row>
    <row r="697" spans="1:34" x14ac:dyDescent="0.25">
      <c r="A697" s="111" t="str">
        <f>HYPERLINK("http://www.ofsted.gov.uk/inspection-reports/find-inspection-report/provider/ELS/136245 ","Ofsted School Webpage")</f>
        <v>Ofsted School Webpage</v>
      </c>
      <c r="B697">
        <v>136245</v>
      </c>
      <c r="C697">
        <v>8606443</v>
      </c>
      <c r="D697" t="s">
        <v>1052</v>
      </c>
      <c r="E697" t="s">
        <v>37</v>
      </c>
      <c r="F697" t="s">
        <v>142</v>
      </c>
      <c r="G697" t="s">
        <v>142</v>
      </c>
      <c r="H697" t="s">
        <v>2595</v>
      </c>
      <c r="I697" t="s">
        <v>2596</v>
      </c>
      <c r="J697" t="s">
        <v>143</v>
      </c>
      <c r="K697" t="s">
        <v>150</v>
      </c>
      <c r="L697" t="s">
        <v>150</v>
      </c>
      <c r="M697" t="s">
        <v>271</v>
      </c>
      <c r="N697" t="s">
        <v>1053</v>
      </c>
      <c r="O697" t="s">
        <v>1054</v>
      </c>
      <c r="P697" s="108">
        <v>42066</v>
      </c>
      <c r="Q697" s="108">
        <v>42068</v>
      </c>
      <c r="R697" s="108">
        <v>42090</v>
      </c>
      <c r="S697" t="s">
        <v>153</v>
      </c>
      <c r="T697">
        <v>2</v>
      </c>
      <c r="U697" t="s">
        <v>2596</v>
      </c>
      <c r="V697">
        <v>2</v>
      </c>
      <c r="W697" t="s">
        <v>2596</v>
      </c>
      <c r="X697">
        <v>2</v>
      </c>
      <c r="Y697">
        <f>VLOOKUP(Table_clu7sql1_ssdb_REPORT_vw_IE_External_MI_SON[[#This Row],[URN]],[1]Data!$D$2:$BB$1084,31,)</f>
        <v>2</v>
      </c>
      <c r="Z697">
        <v>9</v>
      </c>
      <c r="AA697">
        <v>9</v>
      </c>
      <c r="AB697" t="s">
        <v>2598</v>
      </c>
      <c r="AC697" t="s">
        <v>2596</v>
      </c>
      <c r="AD697" t="s">
        <v>2596</v>
      </c>
      <c r="AE697" t="s">
        <v>2596</v>
      </c>
      <c r="AF697" t="s">
        <v>2596</v>
      </c>
      <c r="AG697" t="s">
        <v>2596</v>
      </c>
      <c r="AH697" t="s">
        <v>2596</v>
      </c>
    </row>
    <row r="698" spans="1:34" x14ac:dyDescent="0.25">
      <c r="A698" s="111" t="str">
        <f>HYPERLINK("http://www.ofsted.gov.uk/inspection-reports/find-inspection-report/provider/ELS/136250 ","Ofsted School Webpage")</f>
        <v>Ofsted School Webpage</v>
      </c>
      <c r="B698">
        <v>136250</v>
      </c>
      <c r="C698">
        <v>2116399</v>
      </c>
      <c r="D698" t="s">
        <v>2318</v>
      </c>
      <c r="E698" t="s">
        <v>36</v>
      </c>
      <c r="F698" t="s">
        <v>142</v>
      </c>
      <c r="G698" t="s">
        <v>142</v>
      </c>
      <c r="H698" t="s">
        <v>2595</v>
      </c>
      <c r="I698" t="s">
        <v>2596</v>
      </c>
      <c r="J698" t="s">
        <v>143</v>
      </c>
      <c r="K698" t="s">
        <v>189</v>
      </c>
      <c r="L698" t="s">
        <v>189</v>
      </c>
      <c r="M698" t="s">
        <v>494</v>
      </c>
      <c r="N698" t="s">
        <v>2319</v>
      </c>
      <c r="O698">
        <v>10041400</v>
      </c>
      <c r="P698" s="108">
        <v>43109</v>
      </c>
      <c r="Q698" s="108">
        <v>43111</v>
      </c>
      <c r="R698" s="108">
        <v>43140</v>
      </c>
      <c r="S698" t="s">
        <v>153</v>
      </c>
      <c r="T698">
        <v>2</v>
      </c>
      <c r="U698" t="s">
        <v>123</v>
      </c>
      <c r="V698">
        <v>2</v>
      </c>
      <c r="W698">
        <v>1</v>
      </c>
      <c r="X698">
        <v>2</v>
      </c>
      <c r="Y698">
        <f>VLOOKUP(Table_clu7sql1_ssdb_REPORT_vw_IE_External_MI_SON[[#This Row],[URN]],[1]Data!$D$2:$BB$1084,31,)</f>
        <v>2</v>
      </c>
      <c r="Z698" t="s">
        <v>2596</v>
      </c>
      <c r="AA698" t="s">
        <v>2596</v>
      </c>
      <c r="AB698" t="s">
        <v>2598</v>
      </c>
      <c r="AC698" t="s">
        <v>2596</v>
      </c>
      <c r="AD698" t="s">
        <v>2596</v>
      </c>
      <c r="AE698" t="s">
        <v>2596</v>
      </c>
      <c r="AF698" t="s">
        <v>2596</v>
      </c>
      <c r="AG698" t="s">
        <v>2596</v>
      </c>
      <c r="AH698" t="s">
        <v>2596</v>
      </c>
    </row>
    <row r="699" spans="1:34" x14ac:dyDescent="0.25">
      <c r="A699" s="111" t="str">
        <f>HYPERLINK("http://www.ofsted.gov.uk/inspection-reports/find-inspection-report/provider/ELS/136257 ","Ofsted School Webpage")</f>
        <v>Ofsted School Webpage</v>
      </c>
      <c r="B699">
        <v>136257</v>
      </c>
      <c r="C699">
        <v>3546202</v>
      </c>
      <c r="D699" t="s">
        <v>1044</v>
      </c>
      <c r="E699" t="s">
        <v>37</v>
      </c>
      <c r="F699" t="s">
        <v>142</v>
      </c>
      <c r="G699" t="s">
        <v>142</v>
      </c>
      <c r="H699" t="s">
        <v>2595</v>
      </c>
      <c r="I699" t="s">
        <v>2596</v>
      </c>
      <c r="J699" t="s">
        <v>143</v>
      </c>
      <c r="K699" t="s">
        <v>162</v>
      </c>
      <c r="L699" t="s">
        <v>162</v>
      </c>
      <c r="M699" t="s">
        <v>412</v>
      </c>
      <c r="N699" t="s">
        <v>1045</v>
      </c>
      <c r="O699">
        <v>10012779</v>
      </c>
      <c r="P699" s="108">
        <v>42479</v>
      </c>
      <c r="Q699" s="108">
        <v>42481</v>
      </c>
      <c r="R699" s="108">
        <v>42523</v>
      </c>
      <c r="S699" t="s">
        <v>1046</v>
      </c>
      <c r="T699">
        <v>2</v>
      </c>
      <c r="U699" t="s">
        <v>123</v>
      </c>
      <c r="V699">
        <v>2</v>
      </c>
      <c r="W699">
        <v>2</v>
      </c>
      <c r="X699">
        <v>2</v>
      </c>
      <c r="Y699">
        <f>VLOOKUP(Table_clu7sql1_ssdb_REPORT_vw_IE_External_MI_SON[[#This Row],[URN]],[1]Data!$D$2:$BB$1084,31,)</f>
        <v>2</v>
      </c>
      <c r="Z699" t="s">
        <v>2596</v>
      </c>
      <c r="AA699" t="s">
        <v>2596</v>
      </c>
      <c r="AB699" t="s">
        <v>2598</v>
      </c>
      <c r="AC699" t="s">
        <v>2596</v>
      </c>
      <c r="AD699" t="s">
        <v>2596</v>
      </c>
      <c r="AE699" t="s">
        <v>2596</v>
      </c>
      <c r="AF699" t="s">
        <v>2596</v>
      </c>
      <c r="AG699" t="s">
        <v>2596</v>
      </c>
      <c r="AH699" t="s">
        <v>2596</v>
      </c>
    </row>
    <row r="700" spans="1:34" x14ac:dyDescent="0.25">
      <c r="A700" s="111" t="str">
        <f>HYPERLINK("http://www.ofsted.gov.uk/inspection-reports/find-inspection-report/provider/ELS/136258 ","Ofsted School Webpage")</f>
        <v>Ofsted School Webpage</v>
      </c>
      <c r="B700">
        <v>136258</v>
      </c>
      <c r="C700">
        <v>3916040</v>
      </c>
      <c r="D700" t="s">
        <v>1276</v>
      </c>
      <c r="E700" t="s">
        <v>36</v>
      </c>
      <c r="F700" t="s">
        <v>1277</v>
      </c>
      <c r="G700" t="s">
        <v>180</v>
      </c>
      <c r="H700" t="s">
        <v>2595</v>
      </c>
      <c r="I700" t="s">
        <v>2596</v>
      </c>
      <c r="J700" t="s">
        <v>143</v>
      </c>
      <c r="K700" t="s">
        <v>202</v>
      </c>
      <c r="L700" t="s">
        <v>234</v>
      </c>
      <c r="M700" t="s">
        <v>1278</v>
      </c>
      <c r="N700" t="s">
        <v>1279</v>
      </c>
      <c r="O700">
        <v>10025962</v>
      </c>
      <c r="P700" s="108">
        <v>42808</v>
      </c>
      <c r="Q700" s="108">
        <v>42810</v>
      </c>
      <c r="R700" s="108">
        <v>42828</v>
      </c>
      <c r="S700" t="s">
        <v>153</v>
      </c>
      <c r="T700">
        <v>2</v>
      </c>
      <c r="U700" t="s">
        <v>123</v>
      </c>
      <c r="V700">
        <v>2</v>
      </c>
      <c r="W700">
        <v>1</v>
      </c>
      <c r="X700">
        <v>2</v>
      </c>
      <c r="Y700">
        <f>VLOOKUP(Table_clu7sql1_ssdb_REPORT_vw_IE_External_MI_SON[[#This Row],[URN]],[1]Data!$D$2:$BB$1084,31,)</f>
        <v>2</v>
      </c>
      <c r="Z700" t="s">
        <v>2596</v>
      </c>
      <c r="AA700" t="s">
        <v>2596</v>
      </c>
      <c r="AB700" t="s">
        <v>2598</v>
      </c>
      <c r="AC700" t="s">
        <v>2596</v>
      </c>
      <c r="AD700" t="s">
        <v>2596</v>
      </c>
      <c r="AE700" s="108" t="s">
        <v>2596</v>
      </c>
      <c r="AF700" t="s">
        <v>2596</v>
      </c>
      <c r="AG700" s="108" t="s">
        <v>2596</v>
      </c>
      <c r="AH700" t="s">
        <v>2596</v>
      </c>
    </row>
    <row r="701" spans="1:34" x14ac:dyDescent="0.25">
      <c r="A701" s="111" t="str">
        <f>HYPERLINK("http://www.ofsted.gov.uk/inspection-reports/find-inspection-report/provider/ELS/136259 ","Ofsted School Webpage")</f>
        <v>Ofsted School Webpage</v>
      </c>
      <c r="B701">
        <v>136259</v>
      </c>
      <c r="C701">
        <v>8066002</v>
      </c>
      <c r="D701" t="s">
        <v>2902</v>
      </c>
      <c r="E701" t="s">
        <v>36</v>
      </c>
      <c r="F701" t="s">
        <v>142</v>
      </c>
      <c r="G701" t="s">
        <v>142</v>
      </c>
      <c r="H701" t="s">
        <v>2595</v>
      </c>
      <c r="I701" t="s">
        <v>2596</v>
      </c>
      <c r="J701" t="s">
        <v>143</v>
      </c>
      <c r="K701" t="s">
        <v>202</v>
      </c>
      <c r="L701" t="s">
        <v>234</v>
      </c>
      <c r="M701" t="s">
        <v>1033</v>
      </c>
      <c r="N701" t="s">
        <v>2239</v>
      </c>
      <c r="O701">
        <v>10043657</v>
      </c>
      <c r="P701" s="108">
        <v>43116</v>
      </c>
      <c r="Q701" s="108">
        <v>43118</v>
      </c>
      <c r="R701" s="108">
        <v>43157</v>
      </c>
      <c r="S701" t="s">
        <v>153</v>
      </c>
      <c r="T701">
        <v>3</v>
      </c>
      <c r="U701" t="s">
        <v>123</v>
      </c>
      <c r="V701">
        <v>3</v>
      </c>
      <c r="W701">
        <v>3</v>
      </c>
      <c r="X701">
        <v>3</v>
      </c>
      <c r="Y701">
        <f>VLOOKUP(Table_clu7sql1_ssdb_REPORT_vw_IE_External_MI_SON[[#This Row],[URN]],[1]Data!$D$2:$BB$1084,31,)</f>
        <v>3</v>
      </c>
      <c r="Z701" t="s">
        <v>2596</v>
      </c>
      <c r="AA701" t="s">
        <v>2596</v>
      </c>
      <c r="AB701" t="s">
        <v>2599</v>
      </c>
      <c r="AC701" t="s">
        <v>2596</v>
      </c>
      <c r="AD701" t="s">
        <v>2596</v>
      </c>
      <c r="AE701" t="s">
        <v>2596</v>
      </c>
      <c r="AF701" t="s">
        <v>2596</v>
      </c>
      <c r="AG701" t="s">
        <v>2596</v>
      </c>
      <c r="AH701" t="s">
        <v>2596</v>
      </c>
    </row>
    <row r="702" spans="1:34" x14ac:dyDescent="0.25">
      <c r="A702" s="111" t="str">
        <f>HYPERLINK("http://www.ofsted.gov.uk/inspection-reports/find-inspection-report/provider/ELS/136260 ","Ofsted School Webpage")</f>
        <v>Ofsted School Webpage</v>
      </c>
      <c r="B702">
        <v>136260</v>
      </c>
      <c r="C702">
        <v>8856039</v>
      </c>
      <c r="D702" t="s">
        <v>1734</v>
      </c>
      <c r="E702" t="s">
        <v>37</v>
      </c>
      <c r="F702" t="s">
        <v>142</v>
      </c>
      <c r="G702" t="s">
        <v>142</v>
      </c>
      <c r="H702" t="s">
        <v>2595</v>
      </c>
      <c r="I702" t="s">
        <v>2596</v>
      </c>
      <c r="J702" t="s">
        <v>143</v>
      </c>
      <c r="K702" t="s">
        <v>150</v>
      </c>
      <c r="L702" t="s">
        <v>150</v>
      </c>
      <c r="M702" t="s">
        <v>842</v>
      </c>
      <c r="N702" t="s">
        <v>1735</v>
      </c>
      <c r="O702" t="s">
        <v>1736</v>
      </c>
      <c r="P702" s="108">
        <v>41913</v>
      </c>
      <c r="Q702" s="108">
        <v>41915</v>
      </c>
      <c r="R702" s="108">
        <v>41953</v>
      </c>
      <c r="S702" t="s">
        <v>3005</v>
      </c>
      <c r="T702">
        <v>3</v>
      </c>
      <c r="U702" t="s">
        <v>2596</v>
      </c>
      <c r="V702">
        <v>3</v>
      </c>
      <c r="W702" t="s">
        <v>2596</v>
      </c>
      <c r="X702">
        <v>3</v>
      </c>
      <c r="Y702">
        <f>VLOOKUP(Table_clu7sql1_ssdb_REPORT_vw_IE_External_MI_SON[[#This Row],[URN]],[1]Data!$D$2:$BB$1084,31,)</f>
        <v>3</v>
      </c>
      <c r="Z702">
        <v>9</v>
      </c>
      <c r="AA702">
        <v>3</v>
      </c>
      <c r="AB702" t="s">
        <v>2598</v>
      </c>
      <c r="AC702" t="s">
        <v>2596</v>
      </c>
      <c r="AD702" t="s">
        <v>2596</v>
      </c>
      <c r="AE702" t="s">
        <v>2596</v>
      </c>
      <c r="AF702" t="s">
        <v>2596</v>
      </c>
      <c r="AG702" t="s">
        <v>2596</v>
      </c>
      <c r="AH702" t="s">
        <v>2596</v>
      </c>
    </row>
    <row r="703" spans="1:34" x14ac:dyDescent="0.25">
      <c r="A703" s="111" t="str">
        <f>HYPERLINK("http://www.ofsted.gov.uk/inspection-reports/find-inspection-report/provider/ELS/136262 ","Ofsted School Webpage")</f>
        <v>Ofsted School Webpage</v>
      </c>
      <c r="B703">
        <v>136262</v>
      </c>
      <c r="C703">
        <v>8856040</v>
      </c>
      <c r="D703" t="s">
        <v>986</v>
      </c>
      <c r="E703" t="s">
        <v>37</v>
      </c>
      <c r="F703" t="s">
        <v>142</v>
      </c>
      <c r="G703" t="s">
        <v>142</v>
      </c>
      <c r="H703" t="s">
        <v>2595</v>
      </c>
      <c r="I703" t="s">
        <v>2596</v>
      </c>
      <c r="J703" t="s">
        <v>143</v>
      </c>
      <c r="K703" t="s">
        <v>150</v>
      </c>
      <c r="L703" t="s">
        <v>150</v>
      </c>
      <c r="M703" t="s">
        <v>842</v>
      </c>
      <c r="N703" t="s">
        <v>987</v>
      </c>
      <c r="O703" t="s">
        <v>988</v>
      </c>
      <c r="P703" s="108">
        <v>41912</v>
      </c>
      <c r="Q703" s="108">
        <v>41914</v>
      </c>
      <c r="R703" s="108">
        <v>41954</v>
      </c>
      <c r="S703" t="s">
        <v>153</v>
      </c>
      <c r="T703">
        <v>3</v>
      </c>
      <c r="U703" t="s">
        <v>2596</v>
      </c>
      <c r="V703">
        <v>3</v>
      </c>
      <c r="W703" t="s">
        <v>2596</v>
      </c>
      <c r="X703">
        <v>3</v>
      </c>
      <c r="Y703">
        <f>VLOOKUP(Table_clu7sql1_ssdb_REPORT_vw_IE_External_MI_SON[[#This Row],[URN]],[1]Data!$D$2:$BB$1084,31,)</f>
        <v>3</v>
      </c>
      <c r="Z703">
        <v>9</v>
      </c>
      <c r="AA703">
        <v>3</v>
      </c>
      <c r="AB703" t="s">
        <v>2598</v>
      </c>
      <c r="AC703" t="s">
        <v>2596</v>
      </c>
      <c r="AD703" t="s">
        <v>2596</v>
      </c>
      <c r="AE703" s="108" t="s">
        <v>2596</v>
      </c>
      <c r="AF703" t="s">
        <v>2596</v>
      </c>
      <c r="AG703" s="108" t="s">
        <v>2596</v>
      </c>
      <c r="AH703" t="s">
        <v>2596</v>
      </c>
    </row>
    <row r="704" spans="1:34" x14ac:dyDescent="0.25">
      <c r="A704" s="111" t="str">
        <f>HYPERLINK("http://www.ofsted.gov.uk/inspection-reports/find-inspection-report/provider/ELS/136263 ","Ofsted School Webpage")</f>
        <v>Ofsted School Webpage</v>
      </c>
      <c r="B704">
        <v>136263</v>
      </c>
      <c r="C704">
        <v>3026201</v>
      </c>
      <c r="D704" t="s">
        <v>1072</v>
      </c>
      <c r="E704" t="s">
        <v>37</v>
      </c>
      <c r="F704" t="s">
        <v>142</v>
      </c>
      <c r="G704" t="s">
        <v>142</v>
      </c>
      <c r="H704" t="s">
        <v>2595</v>
      </c>
      <c r="I704" t="s">
        <v>2596</v>
      </c>
      <c r="J704" t="s">
        <v>143</v>
      </c>
      <c r="K704" t="s">
        <v>189</v>
      </c>
      <c r="L704" t="s">
        <v>189</v>
      </c>
      <c r="M704" t="s">
        <v>268</v>
      </c>
      <c r="N704" t="s">
        <v>1073</v>
      </c>
      <c r="O704">
        <v>10041401</v>
      </c>
      <c r="P704" s="108">
        <v>43123</v>
      </c>
      <c r="Q704" s="108">
        <v>43125</v>
      </c>
      <c r="R704" s="108">
        <v>43145</v>
      </c>
      <c r="S704" t="s">
        <v>153</v>
      </c>
      <c r="T704">
        <v>2</v>
      </c>
      <c r="U704" t="s">
        <v>123</v>
      </c>
      <c r="V704">
        <v>1</v>
      </c>
      <c r="W704">
        <v>1</v>
      </c>
      <c r="X704">
        <v>2</v>
      </c>
      <c r="Y704">
        <f>VLOOKUP(Table_clu7sql1_ssdb_REPORT_vw_IE_External_MI_SON[[#This Row],[URN]],[1]Data!$D$2:$BB$1084,31,)</f>
        <v>2</v>
      </c>
      <c r="Z704" t="s">
        <v>2596</v>
      </c>
      <c r="AA704">
        <v>1</v>
      </c>
      <c r="AB704" t="s">
        <v>2598</v>
      </c>
      <c r="AC704" t="s">
        <v>2596</v>
      </c>
      <c r="AD704" t="s">
        <v>2596</v>
      </c>
      <c r="AE704" t="s">
        <v>2596</v>
      </c>
      <c r="AF704" t="s">
        <v>2596</v>
      </c>
      <c r="AG704" t="s">
        <v>2596</v>
      </c>
      <c r="AH704" t="s">
        <v>2596</v>
      </c>
    </row>
    <row r="705" spans="1:34" x14ac:dyDescent="0.25">
      <c r="A705" s="111" t="str">
        <f>HYPERLINK("http://www.ofsted.gov.uk/inspection-reports/find-inspection-report/provider/ELS/136264 ","Ofsted School Webpage")</f>
        <v>Ofsted School Webpage</v>
      </c>
      <c r="B705">
        <v>136264</v>
      </c>
      <c r="C705">
        <v>3526071</v>
      </c>
      <c r="D705" t="s">
        <v>1474</v>
      </c>
      <c r="E705" t="s">
        <v>36</v>
      </c>
      <c r="F705" t="s">
        <v>142</v>
      </c>
      <c r="G705" t="s">
        <v>142</v>
      </c>
      <c r="H705" t="s">
        <v>2595</v>
      </c>
      <c r="I705" t="s">
        <v>2596</v>
      </c>
      <c r="J705" t="s">
        <v>143</v>
      </c>
      <c r="K705" t="s">
        <v>162</v>
      </c>
      <c r="L705" t="s">
        <v>162</v>
      </c>
      <c r="M705" t="s">
        <v>263</v>
      </c>
      <c r="N705" t="s">
        <v>1475</v>
      </c>
      <c r="O705" t="s">
        <v>1476</v>
      </c>
      <c r="P705" s="108">
        <v>42080</v>
      </c>
      <c r="Q705" s="108">
        <v>42082</v>
      </c>
      <c r="R705" s="108">
        <v>42116</v>
      </c>
      <c r="S705" t="s">
        <v>153</v>
      </c>
      <c r="T705">
        <v>2</v>
      </c>
      <c r="U705" t="s">
        <v>2596</v>
      </c>
      <c r="V705">
        <v>2</v>
      </c>
      <c r="W705" t="s">
        <v>2596</v>
      </c>
      <c r="X705">
        <v>2</v>
      </c>
      <c r="Y705">
        <f>VLOOKUP(Table_clu7sql1_ssdb_REPORT_vw_IE_External_MI_SON[[#This Row],[URN]],[1]Data!$D$2:$BB$1084,31,)</f>
        <v>2</v>
      </c>
      <c r="Z705">
        <v>9</v>
      </c>
      <c r="AA705">
        <v>9</v>
      </c>
      <c r="AB705" t="s">
        <v>2598</v>
      </c>
      <c r="AC705" t="s">
        <v>2596</v>
      </c>
      <c r="AD705" t="s">
        <v>2596</v>
      </c>
      <c r="AE705" t="s">
        <v>2596</v>
      </c>
      <c r="AF705" t="s">
        <v>2596</v>
      </c>
      <c r="AG705" t="s">
        <v>2596</v>
      </c>
      <c r="AH705" t="s">
        <v>2596</v>
      </c>
    </row>
    <row r="706" spans="1:34" x14ac:dyDescent="0.25">
      <c r="A706" s="111" t="str">
        <f>HYPERLINK("http://www.ofsted.gov.uk/inspection-reports/find-inspection-report/provider/ELS/136265 ","Ofsted School Webpage")</f>
        <v>Ofsted School Webpage</v>
      </c>
      <c r="B706">
        <v>136265</v>
      </c>
      <c r="C706">
        <v>3056082</v>
      </c>
      <c r="D706" t="s">
        <v>1354</v>
      </c>
      <c r="E706" t="s">
        <v>37</v>
      </c>
      <c r="F706" t="s">
        <v>142</v>
      </c>
      <c r="G706" t="s">
        <v>142</v>
      </c>
      <c r="H706" t="s">
        <v>2595</v>
      </c>
      <c r="I706" t="s">
        <v>2596</v>
      </c>
      <c r="J706" t="s">
        <v>143</v>
      </c>
      <c r="K706" t="s">
        <v>189</v>
      </c>
      <c r="L706" t="s">
        <v>189</v>
      </c>
      <c r="M706" t="s">
        <v>540</v>
      </c>
      <c r="N706" t="s">
        <v>1355</v>
      </c>
      <c r="O706" t="s">
        <v>1356</v>
      </c>
      <c r="P706" s="108">
        <v>41926</v>
      </c>
      <c r="Q706" s="108">
        <v>41928</v>
      </c>
      <c r="R706" s="108">
        <v>41965</v>
      </c>
      <c r="S706" t="s">
        <v>153</v>
      </c>
      <c r="T706">
        <v>2</v>
      </c>
      <c r="U706" t="s">
        <v>2596</v>
      </c>
      <c r="V706">
        <v>2</v>
      </c>
      <c r="W706" t="s">
        <v>2596</v>
      </c>
      <c r="X706">
        <v>2</v>
      </c>
      <c r="Y706">
        <f>VLOOKUP(Table_clu7sql1_ssdb_REPORT_vw_IE_External_MI_SON[[#This Row],[URN]],[1]Data!$D$2:$BB$1084,31,)</f>
        <v>2</v>
      </c>
      <c r="Z706">
        <v>9</v>
      </c>
      <c r="AA706">
        <v>9</v>
      </c>
      <c r="AB706" t="s">
        <v>2598</v>
      </c>
      <c r="AC706" t="s">
        <v>2596</v>
      </c>
      <c r="AD706" t="s">
        <v>2596</v>
      </c>
      <c r="AE706" t="s">
        <v>2596</v>
      </c>
      <c r="AF706" t="s">
        <v>2596</v>
      </c>
      <c r="AG706" t="s">
        <v>2596</v>
      </c>
      <c r="AH706" t="s">
        <v>2596</v>
      </c>
    </row>
    <row r="707" spans="1:34" x14ac:dyDescent="0.25">
      <c r="A707" s="111" t="str">
        <f>HYPERLINK("http://www.ofsted.gov.uk/inspection-reports/find-inspection-report/provider/ELS/136373 ","Ofsted School Webpage")</f>
        <v>Ofsted School Webpage</v>
      </c>
      <c r="B707">
        <v>136373</v>
      </c>
      <c r="C707">
        <v>8256043</v>
      </c>
      <c r="D707" t="s">
        <v>207</v>
      </c>
      <c r="E707" t="s">
        <v>37</v>
      </c>
      <c r="F707" t="s">
        <v>142</v>
      </c>
      <c r="G707" t="s">
        <v>142</v>
      </c>
      <c r="H707" t="s">
        <v>2595</v>
      </c>
      <c r="I707" t="s">
        <v>2596</v>
      </c>
      <c r="J707" t="s">
        <v>143</v>
      </c>
      <c r="K707" t="s">
        <v>139</v>
      </c>
      <c r="L707" t="s">
        <v>139</v>
      </c>
      <c r="M707" t="s">
        <v>208</v>
      </c>
      <c r="N707" t="s">
        <v>209</v>
      </c>
      <c r="O707">
        <v>10035875</v>
      </c>
      <c r="P707" s="108">
        <v>43004</v>
      </c>
      <c r="Q707" s="108">
        <v>43006</v>
      </c>
      <c r="R707" s="108">
        <v>43038</v>
      </c>
      <c r="S707" t="s">
        <v>153</v>
      </c>
      <c r="T707">
        <v>2</v>
      </c>
      <c r="U707" t="s">
        <v>123</v>
      </c>
      <c r="V707">
        <v>1</v>
      </c>
      <c r="W707">
        <v>1</v>
      </c>
      <c r="X707">
        <v>2</v>
      </c>
      <c r="Y707">
        <f>VLOOKUP(Table_clu7sql1_ssdb_REPORT_vw_IE_External_MI_SON[[#This Row],[URN]],[1]Data!$D$2:$BB$1084,31,)</f>
        <v>2</v>
      </c>
      <c r="Z707" t="s">
        <v>2596</v>
      </c>
      <c r="AA707" t="s">
        <v>2596</v>
      </c>
      <c r="AB707" t="s">
        <v>2598</v>
      </c>
      <c r="AC707" t="s">
        <v>2596</v>
      </c>
      <c r="AD707" t="s">
        <v>2596</v>
      </c>
      <c r="AE707" s="108" t="s">
        <v>2596</v>
      </c>
      <c r="AF707" t="s">
        <v>2596</v>
      </c>
      <c r="AG707" s="108" t="s">
        <v>2596</v>
      </c>
      <c r="AH707" t="s">
        <v>2596</v>
      </c>
    </row>
    <row r="708" spans="1:34" x14ac:dyDescent="0.25">
      <c r="A708" s="111" t="str">
        <f>HYPERLINK("http://www.ofsted.gov.uk/inspection-reports/find-inspection-report/provider/ELS/136425 ","Ofsted School Webpage")</f>
        <v>Ofsted School Webpage</v>
      </c>
      <c r="B708">
        <v>136425</v>
      </c>
      <c r="C708">
        <v>8926074</v>
      </c>
      <c r="D708" t="s">
        <v>1934</v>
      </c>
      <c r="E708" t="s">
        <v>36</v>
      </c>
      <c r="F708" t="s">
        <v>142</v>
      </c>
      <c r="G708" t="s">
        <v>180</v>
      </c>
      <c r="H708" t="s">
        <v>2595</v>
      </c>
      <c r="I708" t="s">
        <v>2596</v>
      </c>
      <c r="J708" t="s">
        <v>143</v>
      </c>
      <c r="K708" t="s">
        <v>171</v>
      </c>
      <c r="L708" t="s">
        <v>171</v>
      </c>
      <c r="M708" t="s">
        <v>244</v>
      </c>
      <c r="N708" t="s">
        <v>1935</v>
      </c>
      <c r="O708" t="s">
        <v>1936</v>
      </c>
      <c r="P708" s="108">
        <v>42031</v>
      </c>
      <c r="Q708" s="108">
        <v>42033</v>
      </c>
      <c r="R708" s="108">
        <v>42067</v>
      </c>
      <c r="S708" t="s">
        <v>153</v>
      </c>
      <c r="T708">
        <v>2</v>
      </c>
      <c r="U708" t="s">
        <v>2596</v>
      </c>
      <c r="V708">
        <v>2</v>
      </c>
      <c r="W708" t="s">
        <v>2596</v>
      </c>
      <c r="X708">
        <v>2</v>
      </c>
      <c r="Y708">
        <f>VLOOKUP(Table_clu7sql1_ssdb_REPORT_vw_IE_External_MI_SON[[#This Row],[URN]],[1]Data!$D$2:$BB$1084,31,)</f>
        <v>2</v>
      </c>
      <c r="Z708">
        <v>2</v>
      </c>
      <c r="AA708">
        <v>9</v>
      </c>
      <c r="AB708" t="s">
        <v>2598</v>
      </c>
      <c r="AC708" t="s">
        <v>2596</v>
      </c>
      <c r="AD708" t="s">
        <v>2596</v>
      </c>
      <c r="AE708" s="108" t="s">
        <v>2596</v>
      </c>
      <c r="AF708" t="s">
        <v>2596</v>
      </c>
      <c r="AG708" s="108" t="s">
        <v>2596</v>
      </c>
      <c r="AH708" t="s">
        <v>2596</v>
      </c>
    </row>
    <row r="709" spans="1:34" x14ac:dyDescent="0.25">
      <c r="A709" s="111" t="str">
        <f>HYPERLINK("http://www.ofsted.gov.uk/inspection-reports/find-inspection-report/provider/ELS/136434 ","Ofsted School Webpage")</f>
        <v>Ofsted School Webpage</v>
      </c>
      <c r="B709">
        <v>136434</v>
      </c>
      <c r="C709">
        <v>9356229</v>
      </c>
      <c r="D709" t="s">
        <v>314</v>
      </c>
      <c r="E709" t="s">
        <v>37</v>
      </c>
      <c r="F709" t="s">
        <v>142</v>
      </c>
      <c r="G709" t="s">
        <v>142</v>
      </c>
      <c r="H709" t="s">
        <v>2595</v>
      </c>
      <c r="I709" t="s">
        <v>2596</v>
      </c>
      <c r="J709" t="s">
        <v>143</v>
      </c>
      <c r="K709" t="s">
        <v>177</v>
      </c>
      <c r="L709" t="s">
        <v>177</v>
      </c>
      <c r="M709" t="s">
        <v>254</v>
      </c>
      <c r="N709" t="s">
        <v>315</v>
      </c>
      <c r="O709">
        <v>10038909</v>
      </c>
      <c r="P709" s="108">
        <v>42990</v>
      </c>
      <c r="Q709" s="108">
        <v>42991</v>
      </c>
      <c r="R709" s="108">
        <v>43021</v>
      </c>
      <c r="S709" t="s">
        <v>3005</v>
      </c>
      <c r="T709">
        <v>3</v>
      </c>
      <c r="U709" t="s">
        <v>123</v>
      </c>
      <c r="V709">
        <v>3</v>
      </c>
      <c r="W709">
        <v>3</v>
      </c>
      <c r="X709">
        <v>3</v>
      </c>
      <c r="Y709">
        <f>VLOOKUP(Table_clu7sql1_ssdb_REPORT_vw_IE_External_MI_SON[[#This Row],[URN]],[1]Data!$D$2:$BB$1084,31,)</f>
        <v>3</v>
      </c>
      <c r="Z709" t="s">
        <v>2596</v>
      </c>
      <c r="AA709" t="s">
        <v>2596</v>
      </c>
      <c r="AB709" t="s">
        <v>2599</v>
      </c>
      <c r="AC709" t="s">
        <v>2596</v>
      </c>
      <c r="AD709" t="s">
        <v>2596</v>
      </c>
      <c r="AE709" t="s">
        <v>2596</v>
      </c>
      <c r="AF709" t="s">
        <v>2596</v>
      </c>
      <c r="AG709" t="s">
        <v>2596</v>
      </c>
      <c r="AH709" t="s">
        <v>2596</v>
      </c>
    </row>
    <row r="710" spans="1:34" x14ac:dyDescent="0.25">
      <c r="A710" s="111" t="str">
        <f>HYPERLINK("http://www.ofsted.gov.uk/inspection-reports/find-inspection-report/provider/ELS/136503 ","Ofsted School Webpage")</f>
        <v>Ofsted School Webpage</v>
      </c>
      <c r="B710">
        <v>136503</v>
      </c>
      <c r="C710">
        <v>3556058</v>
      </c>
      <c r="D710" t="s">
        <v>1994</v>
      </c>
      <c r="E710" t="s">
        <v>36</v>
      </c>
      <c r="F710" t="s">
        <v>142</v>
      </c>
      <c r="G710" t="s">
        <v>275</v>
      </c>
      <c r="H710" t="s">
        <v>2595</v>
      </c>
      <c r="I710" t="s">
        <v>2596</v>
      </c>
      <c r="J710" t="s">
        <v>143</v>
      </c>
      <c r="K710" t="s">
        <v>162</v>
      </c>
      <c r="L710" t="s">
        <v>162</v>
      </c>
      <c r="M710" t="s">
        <v>804</v>
      </c>
      <c r="N710" t="s">
        <v>1995</v>
      </c>
      <c r="O710">
        <v>10038933</v>
      </c>
      <c r="P710" s="108">
        <v>43109</v>
      </c>
      <c r="Q710" s="108">
        <v>43111</v>
      </c>
      <c r="R710" s="108">
        <v>43146</v>
      </c>
      <c r="S710" t="s">
        <v>153</v>
      </c>
      <c r="T710">
        <v>3</v>
      </c>
      <c r="U710" t="s">
        <v>123</v>
      </c>
      <c r="V710">
        <v>3</v>
      </c>
      <c r="W710">
        <v>3</v>
      </c>
      <c r="X710">
        <v>3</v>
      </c>
      <c r="Y710">
        <f>VLOOKUP(Table_clu7sql1_ssdb_REPORT_vw_IE_External_MI_SON[[#This Row],[URN]],[1]Data!$D$2:$BB$1084,31,)</f>
        <v>3</v>
      </c>
      <c r="Z710">
        <v>3</v>
      </c>
      <c r="AA710" t="s">
        <v>2596</v>
      </c>
      <c r="AB710" t="s">
        <v>2598</v>
      </c>
      <c r="AC710" t="s">
        <v>2596</v>
      </c>
      <c r="AD710" t="s">
        <v>2596</v>
      </c>
      <c r="AE710" s="108" t="s">
        <v>2596</v>
      </c>
      <c r="AF710" t="s">
        <v>2596</v>
      </c>
      <c r="AG710" s="108" t="s">
        <v>2596</v>
      </c>
      <c r="AH710" t="s">
        <v>2596</v>
      </c>
    </row>
    <row r="711" spans="1:34" x14ac:dyDescent="0.25">
      <c r="A711" s="111" t="str">
        <f>HYPERLINK("http://www.ofsted.gov.uk/inspection-reports/find-inspection-report/provider/ELS/136504 ","Ofsted School Webpage")</f>
        <v>Ofsted School Webpage</v>
      </c>
      <c r="B711">
        <v>136504</v>
      </c>
      <c r="C711">
        <v>2056405</v>
      </c>
      <c r="D711" t="s">
        <v>731</v>
      </c>
      <c r="E711" t="s">
        <v>36</v>
      </c>
      <c r="F711" t="s">
        <v>142</v>
      </c>
      <c r="G711" t="s">
        <v>249</v>
      </c>
      <c r="H711" t="s">
        <v>2595</v>
      </c>
      <c r="I711" t="s">
        <v>2596</v>
      </c>
      <c r="J711" t="s">
        <v>143</v>
      </c>
      <c r="K711" t="s">
        <v>189</v>
      </c>
      <c r="L711" t="s">
        <v>189</v>
      </c>
      <c r="M711" t="s">
        <v>257</v>
      </c>
      <c r="N711" t="s">
        <v>732</v>
      </c>
      <c r="O711" t="s">
        <v>733</v>
      </c>
      <c r="P711" s="108">
        <v>42137</v>
      </c>
      <c r="Q711" s="108">
        <v>42139</v>
      </c>
      <c r="R711" s="108">
        <v>42177</v>
      </c>
      <c r="S711" t="s">
        <v>153</v>
      </c>
      <c r="T711">
        <v>2</v>
      </c>
      <c r="U711" t="s">
        <v>2596</v>
      </c>
      <c r="V711">
        <v>2</v>
      </c>
      <c r="W711" t="s">
        <v>2596</v>
      </c>
      <c r="X711">
        <v>2</v>
      </c>
      <c r="Y711">
        <f>VLOOKUP(Table_clu7sql1_ssdb_REPORT_vw_IE_External_MI_SON[[#This Row],[URN]],[1]Data!$D$2:$BB$1084,31,)</f>
        <v>2</v>
      </c>
      <c r="Z711">
        <v>9</v>
      </c>
      <c r="AA711">
        <v>9</v>
      </c>
      <c r="AB711" t="s">
        <v>2598</v>
      </c>
      <c r="AC711" t="s">
        <v>2596</v>
      </c>
      <c r="AD711" t="s">
        <v>2596</v>
      </c>
      <c r="AE711" t="s">
        <v>2596</v>
      </c>
      <c r="AF711" t="s">
        <v>2596</v>
      </c>
      <c r="AG711" t="s">
        <v>2596</v>
      </c>
      <c r="AH711" t="s">
        <v>2596</v>
      </c>
    </row>
    <row r="712" spans="1:34" x14ac:dyDescent="0.25">
      <c r="A712" s="111" t="str">
        <f>HYPERLINK("http://www.ofsted.gov.uk/inspection-reports/find-inspection-report/provider/ELS/136510 ","Ofsted School Webpage")</f>
        <v>Ofsted School Webpage</v>
      </c>
      <c r="B712">
        <v>136510</v>
      </c>
      <c r="C712">
        <v>9376108</v>
      </c>
      <c r="D712" t="s">
        <v>682</v>
      </c>
      <c r="E712" t="s">
        <v>36</v>
      </c>
      <c r="F712" t="s">
        <v>142</v>
      </c>
      <c r="G712" t="s">
        <v>142</v>
      </c>
      <c r="H712" t="s">
        <v>2595</v>
      </c>
      <c r="I712" t="s">
        <v>2596</v>
      </c>
      <c r="J712" t="s">
        <v>143</v>
      </c>
      <c r="K712" t="s">
        <v>150</v>
      </c>
      <c r="L712" t="s">
        <v>150</v>
      </c>
      <c r="M712" t="s">
        <v>333</v>
      </c>
      <c r="N712" t="s">
        <v>683</v>
      </c>
      <c r="O712">
        <v>10006024</v>
      </c>
      <c r="P712" s="108">
        <v>42381</v>
      </c>
      <c r="Q712" s="108">
        <v>42383</v>
      </c>
      <c r="R712" s="108">
        <v>42425</v>
      </c>
      <c r="S712" t="s">
        <v>153</v>
      </c>
      <c r="T712">
        <v>2</v>
      </c>
      <c r="U712" t="s">
        <v>123</v>
      </c>
      <c r="V712">
        <v>2</v>
      </c>
      <c r="W712">
        <v>2</v>
      </c>
      <c r="X712">
        <v>2</v>
      </c>
      <c r="Y712">
        <f>VLOOKUP(Table_clu7sql1_ssdb_REPORT_vw_IE_External_MI_SON[[#This Row],[URN]],[1]Data!$D$2:$BB$1084,31,)</f>
        <v>2</v>
      </c>
      <c r="Z712" t="s">
        <v>2596</v>
      </c>
      <c r="AA712">
        <v>2</v>
      </c>
      <c r="AB712" t="s">
        <v>2598</v>
      </c>
      <c r="AC712" t="s">
        <v>2596</v>
      </c>
      <c r="AD712" t="s">
        <v>2596</v>
      </c>
      <c r="AE712" t="s">
        <v>2596</v>
      </c>
      <c r="AF712" t="s">
        <v>2596</v>
      </c>
      <c r="AG712" t="s">
        <v>2596</v>
      </c>
      <c r="AH712" t="s">
        <v>2596</v>
      </c>
    </row>
    <row r="713" spans="1:34" x14ac:dyDescent="0.25">
      <c r="A713" s="111" t="str">
        <f>HYPERLINK("http://www.ofsted.gov.uk/inspection-reports/find-inspection-report/provider/ELS/136678 ","Ofsted School Webpage")</f>
        <v>Ofsted School Webpage</v>
      </c>
      <c r="B713">
        <v>136678</v>
      </c>
      <c r="C713">
        <v>3156589</v>
      </c>
      <c r="D713" t="s">
        <v>2287</v>
      </c>
      <c r="E713" t="s">
        <v>36</v>
      </c>
      <c r="F713" t="s">
        <v>142</v>
      </c>
      <c r="G713" t="s">
        <v>142</v>
      </c>
      <c r="H713" t="s">
        <v>2595</v>
      </c>
      <c r="I713" t="s">
        <v>2596</v>
      </c>
      <c r="J713" t="s">
        <v>143</v>
      </c>
      <c r="K713" t="s">
        <v>189</v>
      </c>
      <c r="L713" t="s">
        <v>189</v>
      </c>
      <c r="M713" t="s">
        <v>193</v>
      </c>
      <c r="N713" t="s">
        <v>2288</v>
      </c>
      <c r="O713" t="s">
        <v>2289</v>
      </c>
      <c r="P713" s="108">
        <v>42123</v>
      </c>
      <c r="Q713" s="108">
        <v>42125</v>
      </c>
      <c r="R713" s="108">
        <v>42164</v>
      </c>
      <c r="S713" t="s">
        <v>153</v>
      </c>
      <c r="T713">
        <v>2</v>
      </c>
      <c r="U713" t="s">
        <v>2596</v>
      </c>
      <c r="V713">
        <v>2</v>
      </c>
      <c r="W713" t="s">
        <v>2596</v>
      </c>
      <c r="X713">
        <v>2</v>
      </c>
      <c r="Y713">
        <f>VLOOKUP(Table_clu7sql1_ssdb_REPORT_vw_IE_External_MI_SON[[#This Row],[URN]],[1]Data!$D$2:$BB$1084,31,)</f>
        <v>2</v>
      </c>
      <c r="Z713">
        <v>9</v>
      </c>
      <c r="AA713">
        <v>9</v>
      </c>
      <c r="AB713" t="s">
        <v>2598</v>
      </c>
      <c r="AC713" t="s">
        <v>2596</v>
      </c>
      <c r="AD713" t="s">
        <v>2596</v>
      </c>
      <c r="AE713" t="s">
        <v>2596</v>
      </c>
      <c r="AF713" t="s">
        <v>2596</v>
      </c>
      <c r="AG713" t="s">
        <v>2596</v>
      </c>
      <c r="AH713" t="s">
        <v>2596</v>
      </c>
    </row>
    <row r="714" spans="1:34" x14ac:dyDescent="0.25">
      <c r="A714" s="111" t="str">
        <f>HYPERLINK("http://www.ofsted.gov.uk/inspection-reports/find-inspection-report/provider/ELS/136685 ","Ofsted School Webpage")</f>
        <v>Ofsted School Webpage</v>
      </c>
      <c r="B714">
        <v>136685</v>
      </c>
      <c r="C714">
        <v>8606444</v>
      </c>
      <c r="D714" t="s">
        <v>1600</v>
      </c>
      <c r="E714" t="s">
        <v>36</v>
      </c>
      <c r="F714" t="s">
        <v>142</v>
      </c>
      <c r="G714" t="s">
        <v>142</v>
      </c>
      <c r="H714" t="s">
        <v>2595</v>
      </c>
      <c r="I714" t="s">
        <v>2596</v>
      </c>
      <c r="J714" t="s">
        <v>143</v>
      </c>
      <c r="K714" t="s">
        <v>150</v>
      </c>
      <c r="L714" t="s">
        <v>150</v>
      </c>
      <c r="M714" t="s">
        <v>271</v>
      </c>
      <c r="N714" t="s">
        <v>1601</v>
      </c>
      <c r="O714" t="s">
        <v>1602</v>
      </c>
      <c r="P714" s="108">
        <v>40946</v>
      </c>
      <c r="Q714" s="108">
        <v>40947</v>
      </c>
      <c r="R714" s="108">
        <v>40968</v>
      </c>
      <c r="S714" t="s">
        <v>153</v>
      </c>
      <c r="T714">
        <v>2</v>
      </c>
      <c r="U714" t="s">
        <v>2596</v>
      </c>
      <c r="V714" t="s">
        <v>2596</v>
      </c>
      <c r="W714" t="s">
        <v>2596</v>
      </c>
      <c r="X714">
        <v>2</v>
      </c>
      <c r="Y714">
        <f>VLOOKUP(Table_clu7sql1_ssdb_REPORT_vw_IE_External_MI_SON[[#This Row],[URN]],[1]Data!$D$2:$BB$1084,31,)</f>
        <v>2</v>
      </c>
      <c r="Z714">
        <v>8</v>
      </c>
      <c r="AA714" t="s">
        <v>2596</v>
      </c>
      <c r="AB714" t="s">
        <v>2598</v>
      </c>
      <c r="AC714" t="s">
        <v>2596</v>
      </c>
      <c r="AD714" t="s">
        <v>2596</v>
      </c>
      <c r="AE714" s="108" t="s">
        <v>2596</v>
      </c>
      <c r="AF714" t="s">
        <v>2596</v>
      </c>
      <c r="AG714" s="108" t="s">
        <v>2596</v>
      </c>
      <c r="AH714" t="s">
        <v>2596</v>
      </c>
    </row>
    <row r="715" spans="1:34" x14ac:dyDescent="0.25">
      <c r="A715" s="111" t="str">
        <f>HYPERLINK("http://www.ofsted.gov.uk/inspection-reports/find-inspection-report/provider/ELS/136705 ","Ofsted School Webpage")</f>
        <v>Ofsted School Webpage</v>
      </c>
      <c r="B715">
        <v>136705</v>
      </c>
      <c r="C715">
        <v>8306041</v>
      </c>
      <c r="D715" t="s">
        <v>797</v>
      </c>
      <c r="E715" t="s">
        <v>37</v>
      </c>
      <c r="F715" t="s">
        <v>142</v>
      </c>
      <c r="G715" t="s">
        <v>142</v>
      </c>
      <c r="H715" t="s">
        <v>2595</v>
      </c>
      <c r="I715" t="s">
        <v>2596</v>
      </c>
      <c r="J715" t="s">
        <v>143</v>
      </c>
      <c r="K715" t="s">
        <v>171</v>
      </c>
      <c r="L715" t="s">
        <v>171</v>
      </c>
      <c r="M715" t="s">
        <v>320</v>
      </c>
      <c r="N715" t="s">
        <v>798</v>
      </c>
      <c r="O715" t="s">
        <v>799</v>
      </c>
      <c r="P715" s="108">
        <v>42178</v>
      </c>
      <c r="Q715" s="108">
        <v>42179</v>
      </c>
      <c r="R715" s="108">
        <v>42254</v>
      </c>
      <c r="S715" t="s">
        <v>3005</v>
      </c>
      <c r="T715">
        <v>2</v>
      </c>
      <c r="U715" t="s">
        <v>2596</v>
      </c>
      <c r="V715">
        <v>2</v>
      </c>
      <c r="W715" t="s">
        <v>2596</v>
      </c>
      <c r="X715">
        <v>2</v>
      </c>
      <c r="Y715">
        <f>VLOOKUP(Table_clu7sql1_ssdb_REPORT_vw_IE_External_MI_SON[[#This Row],[URN]],[1]Data!$D$2:$BB$1084,31,)</f>
        <v>2</v>
      </c>
      <c r="Z715">
        <v>9</v>
      </c>
      <c r="AA715">
        <v>9</v>
      </c>
      <c r="AB715" t="s">
        <v>2598</v>
      </c>
      <c r="AC715" t="s">
        <v>2596</v>
      </c>
      <c r="AD715" t="s">
        <v>2596</v>
      </c>
      <c r="AE715" t="s">
        <v>2596</v>
      </c>
      <c r="AF715" t="s">
        <v>2596</v>
      </c>
      <c r="AG715" t="s">
        <v>2596</v>
      </c>
      <c r="AH715" t="s">
        <v>2596</v>
      </c>
    </row>
    <row r="716" spans="1:34" x14ac:dyDescent="0.25">
      <c r="A716" s="111" t="str">
        <f>HYPERLINK("http://www.ofsted.gov.uk/inspection-reports/find-inspection-report/provider/ELS/136706 ","Ofsted School Webpage")</f>
        <v>Ofsted School Webpage</v>
      </c>
      <c r="B716">
        <v>136706</v>
      </c>
      <c r="C716">
        <v>8696201</v>
      </c>
      <c r="D716" t="s">
        <v>728</v>
      </c>
      <c r="E716" t="s">
        <v>36</v>
      </c>
      <c r="F716" t="s">
        <v>142</v>
      </c>
      <c r="G716" t="s">
        <v>169</v>
      </c>
      <c r="H716" t="s">
        <v>2595</v>
      </c>
      <c r="I716" t="s">
        <v>2596</v>
      </c>
      <c r="J716" t="s">
        <v>143</v>
      </c>
      <c r="K716" t="s">
        <v>139</v>
      </c>
      <c r="L716" t="s">
        <v>139</v>
      </c>
      <c r="M716" t="s">
        <v>552</v>
      </c>
      <c r="N716" t="s">
        <v>729</v>
      </c>
      <c r="O716" t="s">
        <v>730</v>
      </c>
      <c r="P716" s="108">
        <v>42136</v>
      </c>
      <c r="Q716" s="108">
        <v>42138</v>
      </c>
      <c r="R716" s="108">
        <v>42174</v>
      </c>
      <c r="S716" t="s">
        <v>153</v>
      </c>
      <c r="T716">
        <v>2</v>
      </c>
      <c r="U716" t="s">
        <v>2596</v>
      </c>
      <c r="V716">
        <v>2</v>
      </c>
      <c r="W716" t="s">
        <v>2596</v>
      </c>
      <c r="X716">
        <v>2</v>
      </c>
      <c r="Y716">
        <f>VLOOKUP(Table_clu7sql1_ssdb_REPORT_vw_IE_External_MI_SON[[#This Row],[URN]],[1]Data!$D$2:$BB$1084,31,)</f>
        <v>2</v>
      </c>
      <c r="Z716">
        <v>9</v>
      </c>
      <c r="AA716">
        <v>9</v>
      </c>
      <c r="AB716" t="s">
        <v>2598</v>
      </c>
      <c r="AC716" t="s">
        <v>2596</v>
      </c>
      <c r="AD716" t="s">
        <v>2596</v>
      </c>
      <c r="AE716" t="s">
        <v>2596</v>
      </c>
      <c r="AF716" t="s">
        <v>2596</v>
      </c>
      <c r="AG716" t="s">
        <v>2596</v>
      </c>
      <c r="AH716" t="s">
        <v>2596</v>
      </c>
    </row>
    <row r="717" spans="1:34" x14ac:dyDescent="0.25">
      <c r="A717" s="111" t="str">
        <f>HYPERLINK("http://www.ofsted.gov.uk/inspection-reports/find-inspection-report/provider/ELS/136740 ","Ofsted School Webpage")</f>
        <v>Ofsted School Webpage</v>
      </c>
      <c r="B717">
        <v>136740</v>
      </c>
      <c r="C717">
        <v>3136083</v>
      </c>
      <c r="D717" t="s">
        <v>1123</v>
      </c>
      <c r="E717" t="s">
        <v>37</v>
      </c>
      <c r="F717" t="s">
        <v>142</v>
      </c>
      <c r="G717" t="s">
        <v>142</v>
      </c>
      <c r="H717" t="s">
        <v>2595</v>
      </c>
      <c r="I717" t="s">
        <v>2596</v>
      </c>
      <c r="J717" t="s">
        <v>143</v>
      </c>
      <c r="K717" t="s">
        <v>189</v>
      </c>
      <c r="L717" t="s">
        <v>189</v>
      </c>
      <c r="M717" t="s">
        <v>226</v>
      </c>
      <c r="N717" t="s">
        <v>1124</v>
      </c>
      <c r="O717">
        <v>10006126</v>
      </c>
      <c r="P717" s="108">
        <v>42353</v>
      </c>
      <c r="Q717" s="108">
        <v>42355</v>
      </c>
      <c r="R717" s="108">
        <v>42389</v>
      </c>
      <c r="S717" t="s">
        <v>153</v>
      </c>
      <c r="T717">
        <v>2</v>
      </c>
      <c r="U717" t="s">
        <v>123</v>
      </c>
      <c r="V717">
        <v>2</v>
      </c>
      <c r="W717">
        <v>2</v>
      </c>
      <c r="X717">
        <v>2</v>
      </c>
      <c r="Y717">
        <f>VLOOKUP(Table_clu7sql1_ssdb_REPORT_vw_IE_External_MI_SON[[#This Row],[URN]],[1]Data!$D$2:$BB$1084,31,)</f>
        <v>2</v>
      </c>
      <c r="Z717" t="s">
        <v>2596</v>
      </c>
      <c r="AA717" t="s">
        <v>2596</v>
      </c>
      <c r="AB717" t="s">
        <v>2598</v>
      </c>
      <c r="AC717" t="s">
        <v>2596</v>
      </c>
      <c r="AD717" t="s">
        <v>2596</v>
      </c>
      <c r="AE717" t="s">
        <v>2596</v>
      </c>
      <c r="AF717" t="s">
        <v>2596</v>
      </c>
      <c r="AG717" t="s">
        <v>2596</v>
      </c>
      <c r="AH717" t="s">
        <v>2596</v>
      </c>
    </row>
    <row r="718" spans="1:34" x14ac:dyDescent="0.25">
      <c r="A718" s="111" t="str">
        <f>HYPERLINK("http://www.ofsted.gov.uk/inspection-reports/find-inspection-report/provider/ELS/136746 ","Ofsted School Webpage")</f>
        <v>Ofsted School Webpage</v>
      </c>
      <c r="B718">
        <v>136746</v>
      </c>
      <c r="C718">
        <v>3016003</v>
      </c>
      <c r="D718" t="s">
        <v>1710</v>
      </c>
      <c r="E718" t="s">
        <v>36</v>
      </c>
      <c r="F718" t="s">
        <v>142</v>
      </c>
      <c r="G718" t="s">
        <v>180</v>
      </c>
      <c r="H718" t="s">
        <v>2595</v>
      </c>
      <c r="I718" t="s">
        <v>2596</v>
      </c>
      <c r="J718" t="s">
        <v>143</v>
      </c>
      <c r="K718" t="s">
        <v>189</v>
      </c>
      <c r="L718" t="s">
        <v>189</v>
      </c>
      <c r="M718" t="s">
        <v>1103</v>
      </c>
      <c r="N718" t="s">
        <v>1711</v>
      </c>
      <c r="O718">
        <v>10012827</v>
      </c>
      <c r="P718" s="108">
        <v>42479</v>
      </c>
      <c r="Q718" s="108">
        <v>42481</v>
      </c>
      <c r="R718" s="108">
        <v>42509</v>
      </c>
      <c r="S718" t="s">
        <v>153</v>
      </c>
      <c r="T718">
        <v>2</v>
      </c>
      <c r="U718" t="s">
        <v>123</v>
      </c>
      <c r="V718">
        <v>2</v>
      </c>
      <c r="W718">
        <v>2</v>
      </c>
      <c r="X718">
        <v>2</v>
      </c>
      <c r="Y718">
        <f>VLOOKUP(Table_clu7sql1_ssdb_REPORT_vw_IE_External_MI_SON[[#This Row],[URN]],[1]Data!$D$2:$BB$1084,31,)</f>
        <v>2</v>
      </c>
      <c r="Z718" t="s">
        <v>2596</v>
      </c>
      <c r="AA718" t="s">
        <v>2596</v>
      </c>
      <c r="AB718" t="s">
        <v>2598</v>
      </c>
      <c r="AC718" t="s">
        <v>2596</v>
      </c>
      <c r="AD718" t="s">
        <v>2596</v>
      </c>
      <c r="AE718" s="108" t="s">
        <v>2596</v>
      </c>
      <c r="AF718" t="s">
        <v>2596</v>
      </c>
      <c r="AG718" s="108" t="s">
        <v>2596</v>
      </c>
      <c r="AH718" t="s">
        <v>2596</v>
      </c>
    </row>
    <row r="719" spans="1:34" x14ac:dyDescent="0.25">
      <c r="A719" s="111" t="str">
        <f>HYPERLINK("http://www.ofsted.gov.uk/inspection-reports/find-inspection-report/provider/ELS/136747 ","Ofsted School Webpage")</f>
        <v>Ofsted School Webpage</v>
      </c>
      <c r="B719">
        <v>136747</v>
      </c>
      <c r="C719">
        <v>2076000</v>
      </c>
      <c r="D719" t="s">
        <v>1708</v>
      </c>
      <c r="E719" t="s">
        <v>36</v>
      </c>
      <c r="F719" t="s">
        <v>142</v>
      </c>
      <c r="G719" t="s">
        <v>142</v>
      </c>
      <c r="H719" t="s">
        <v>2595</v>
      </c>
      <c r="I719" t="s">
        <v>2596</v>
      </c>
      <c r="J719" t="s">
        <v>143</v>
      </c>
      <c r="K719" t="s">
        <v>189</v>
      </c>
      <c r="L719" t="s">
        <v>189</v>
      </c>
      <c r="M719" t="s">
        <v>251</v>
      </c>
      <c r="N719" t="s">
        <v>1709</v>
      </c>
      <c r="O719">
        <v>10006122</v>
      </c>
      <c r="P719" s="108">
        <v>42346</v>
      </c>
      <c r="Q719" s="108">
        <v>42348</v>
      </c>
      <c r="R719" s="108">
        <v>42383</v>
      </c>
      <c r="S719" t="s">
        <v>153</v>
      </c>
      <c r="T719">
        <v>2</v>
      </c>
      <c r="U719" t="s">
        <v>123</v>
      </c>
      <c r="V719">
        <v>2</v>
      </c>
      <c r="W719">
        <v>2</v>
      </c>
      <c r="X719">
        <v>2</v>
      </c>
      <c r="Y719">
        <f>VLOOKUP(Table_clu7sql1_ssdb_REPORT_vw_IE_External_MI_SON[[#This Row],[URN]],[1]Data!$D$2:$BB$1084,31,)</f>
        <v>2</v>
      </c>
      <c r="Z719">
        <v>2</v>
      </c>
      <c r="AA719" t="s">
        <v>2596</v>
      </c>
      <c r="AB719" t="s">
        <v>2598</v>
      </c>
      <c r="AC719" t="s">
        <v>2596</v>
      </c>
      <c r="AD719" t="s">
        <v>2596</v>
      </c>
      <c r="AE719" t="s">
        <v>2596</v>
      </c>
      <c r="AF719" t="s">
        <v>2596</v>
      </c>
      <c r="AG719" t="s">
        <v>2596</v>
      </c>
      <c r="AH719" t="s">
        <v>2596</v>
      </c>
    </row>
    <row r="720" spans="1:34" x14ac:dyDescent="0.25">
      <c r="A720" s="111" t="str">
        <f>HYPERLINK("http://www.ofsted.gov.uk/inspection-reports/find-inspection-report/provider/ELS/136748 ","Ofsted School Webpage")</f>
        <v>Ofsted School Webpage</v>
      </c>
      <c r="B720">
        <v>136748</v>
      </c>
      <c r="C720">
        <v>8406012</v>
      </c>
      <c r="D720" t="s">
        <v>1387</v>
      </c>
      <c r="E720" t="s">
        <v>37</v>
      </c>
      <c r="F720" t="s">
        <v>142</v>
      </c>
      <c r="G720" t="s">
        <v>142</v>
      </c>
      <c r="H720" t="s">
        <v>2595</v>
      </c>
      <c r="I720" t="s">
        <v>2596</v>
      </c>
      <c r="J720" t="s">
        <v>143</v>
      </c>
      <c r="K720" t="s">
        <v>202</v>
      </c>
      <c r="L720" t="s">
        <v>234</v>
      </c>
      <c r="M720" t="s">
        <v>1066</v>
      </c>
      <c r="N720" t="s">
        <v>1388</v>
      </c>
      <c r="O720">
        <v>10006328</v>
      </c>
      <c r="P720" s="108">
        <v>42346</v>
      </c>
      <c r="Q720" s="108">
        <v>42348</v>
      </c>
      <c r="R720" s="108">
        <v>42387</v>
      </c>
      <c r="S720" t="s">
        <v>153</v>
      </c>
      <c r="T720">
        <v>2</v>
      </c>
      <c r="U720" t="s">
        <v>123</v>
      </c>
      <c r="V720">
        <v>2</v>
      </c>
      <c r="W720">
        <v>1</v>
      </c>
      <c r="X720">
        <v>2</v>
      </c>
      <c r="Y720">
        <f>VLOOKUP(Table_clu7sql1_ssdb_REPORT_vw_IE_External_MI_SON[[#This Row],[URN]],[1]Data!$D$2:$BB$1084,31,)</f>
        <v>2</v>
      </c>
      <c r="Z720" t="s">
        <v>2596</v>
      </c>
      <c r="AA720">
        <v>2</v>
      </c>
      <c r="AB720" t="s">
        <v>2598</v>
      </c>
      <c r="AC720" t="s">
        <v>2596</v>
      </c>
      <c r="AD720" t="s">
        <v>2596</v>
      </c>
      <c r="AE720" s="108" t="s">
        <v>2596</v>
      </c>
      <c r="AF720" t="s">
        <v>2596</v>
      </c>
      <c r="AG720" s="108" t="s">
        <v>2596</v>
      </c>
      <c r="AH720" t="s">
        <v>2596</v>
      </c>
    </row>
    <row r="721" spans="1:34" x14ac:dyDescent="0.25">
      <c r="A721" s="111" t="str">
        <f>HYPERLINK("http://www.ofsted.gov.uk/inspection-reports/find-inspection-report/provider/ELS/136752 ","Ofsted School Webpage")</f>
        <v>Ofsted School Webpage</v>
      </c>
      <c r="B721">
        <v>136752</v>
      </c>
      <c r="C721">
        <v>3406001</v>
      </c>
      <c r="D721" t="s">
        <v>855</v>
      </c>
      <c r="E721" t="s">
        <v>37</v>
      </c>
      <c r="F721" t="s">
        <v>142</v>
      </c>
      <c r="G721" t="s">
        <v>142</v>
      </c>
      <c r="H721" t="s">
        <v>2595</v>
      </c>
      <c r="I721" t="s">
        <v>2596</v>
      </c>
      <c r="J721" t="s">
        <v>143</v>
      </c>
      <c r="K721" t="s">
        <v>162</v>
      </c>
      <c r="L721" t="s">
        <v>162</v>
      </c>
      <c r="M721" t="s">
        <v>856</v>
      </c>
      <c r="N721" t="s">
        <v>2868</v>
      </c>
      <c r="O721">
        <v>10006081</v>
      </c>
      <c r="P721" s="108">
        <v>42626</v>
      </c>
      <c r="Q721" s="108">
        <v>42628</v>
      </c>
      <c r="R721" s="108">
        <v>42685</v>
      </c>
      <c r="S721" t="s">
        <v>153</v>
      </c>
      <c r="T721">
        <v>4</v>
      </c>
      <c r="U721" t="s">
        <v>124</v>
      </c>
      <c r="V721">
        <v>4</v>
      </c>
      <c r="W721">
        <v>3</v>
      </c>
      <c r="X721">
        <v>2</v>
      </c>
      <c r="Y721">
        <f>VLOOKUP(Table_clu7sql1_ssdb_REPORT_vw_IE_External_MI_SON[[#This Row],[URN]],[1]Data!$D$2:$BB$1084,31,)</f>
        <v>2</v>
      </c>
      <c r="Z721" t="s">
        <v>2596</v>
      </c>
      <c r="AA721">
        <v>0</v>
      </c>
      <c r="AB721" t="s">
        <v>2599</v>
      </c>
      <c r="AC721">
        <v>10034559</v>
      </c>
      <c r="AD721" t="s">
        <v>144</v>
      </c>
      <c r="AE721" s="108">
        <v>42893</v>
      </c>
      <c r="AF721" t="s">
        <v>2634</v>
      </c>
      <c r="AG721" s="108">
        <v>42921</v>
      </c>
      <c r="AH721" t="s">
        <v>146</v>
      </c>
    </row>
    <row r="722" spans="1:34" x14ac:dyDescent="0.25">
      <c r="A722" s="111" t="str">
        <f>HYPERLINK("http://www.ofsted.gov.uk/inspection-reports/find-inspection-report/provider/ELS/136817 ","Ofsted School Webpage")</f>
        <v>Ofsted School Webpage</v>
      </c>
      <c r="B722">
        <v>136817</v>
      </c>
      <c r="C722">
        <v>2046000</v>
      </c>
      <c r="D722" t="s">
        <v>1605</v>
      </c>
      <c r="E722" t="s">
        <v>36</v>
      </c>
      <c r="F722" t="s">
        <v>1606</v>
      </c>
      <c r="G722" t="s">
        <v>275</v>
      </c>
      <c r="H722" t="s">
        <v>2595</v>
      </c>
      <c r="I722" t="s">
        <v>2596</v>
      </c>
      <c r="J722" t="s">
        <v>143</v>
      </c>
      <c r="K722" t="s">
        <v>189</v>
      </c>
      <c r="L722" t="s">
        <v>189</v>
      </c>
      <c r="M722" t="s">
        <v>434</v>
      </c>
      <c r="N722" t="s">
        <v>1607</v>
      </c>
      <c r="O722">
        <v>10012790</v>
      </c>
      <c r="P722" s="108">
        <v>42850</v>
      </c>
      <c r="Q722" s="108">
        <v>42852</v>
      </c>
      <c r="R722" s="108">
        <v>42878</v>
      </c>
      <c r="S722" t="s">
        <v>153</v>
      </c>
      <c r="T722">
        <v>2</v>
      </c>
      <c r="U722" t="s">
        <v>123</v>
      </c>
      <c r="V722">
        <v>2</v>
      </c>
      <c r="W722">
        <v>2</v>
      </c>
      <c r="X722">
        <v>2</v>
      </c>
      <c r="Y722">
        <f>VLOOKUP(Table_clu7sql1_ssdb_REPORT_vw_IE_External_MI_SON[[#This Row],[URN]],[1]Data!$D$2:$BB$1084,31,)</f>
        <v>2</v>
      </c>
      <c r="Z722">
        <v>2</v>
      </c>
      <c r="AA722" t="s">
        <v>2596</v>
      </c>
      <c r="AB722" t="s">
        <v>2598</v>
      </c>
      <c r="AC722" t="s">
        <v>2596</v>
      </c>
      <c r="AD722" t="s">
        <v>2596</v>
      </c>
      <c r="AE722" t="s">
        <v>2596</v>
      </c>
      <c r="AF722" t="s">
        <v>2596</v>
      </c>
      <c r="AG722" t="s">
        <v>2596</v>
      </c>
      <c r="AH722" t="s">
        <v>2596</v>
      </c>
    </row>
    <row r="723" spans="1:34" x14ac:dyDescent="0.25">
      <c r="A723" s="111" t="str">
        <f>HYPERLINK("http://www.ofsted.gov.uk/inspection-reports/find-inspection-report/provider/ELS/136823 ","Ofsted School Webpage")</f>
        <v>Ofsted School Webpage</v>
      </c>
      <c r="B723">
        <v>136823</v>
      </c>
      <c r="C723">
        <v>8566006</v>
      </c>
      <c r="D723" t="s">
        <v>286</v>
      </c>
      <c r="E723" t="s">
        <v>36</v>
      </c>
      <c r="F723" t="s">
        <v>142</v>
      </c>
      <c r="G723" t="s">
        <v>180</v>
      </c>
      <c r="H723" t="s">
        <v>2595</v>
      </c>
      <c r="I723" t="s">
        <v>2596</v>
      </c>
      <c r="J723" t="s">
        <v>143</v>
      </c>
      <c r="K723" t="s">
        <v>171</v>
      </c>
      <c r="L723" t="s">
        <v>171</v>
      </c>
      <c r="M723" t="s">
        <v>287</v>
      </c>
      <c r="N723" t="s">
        <v>288</v>
      </c>
      <c r="O723">
        <v>10012981</v>
      </c>
      <c r="P723" s="108">
        <v>43011</v>
      </c>
      <c r="Q723" s="108">
        <v>43013</v>
      </c>
      <c r="R723" s="108">
        <v>43042</v>
      </c>
      <c r="S723" t="s">
        <v>153</v>
      </c>
      <c r="T723">
        <v>3</v>
      </c>
      <c r="U723" t="s">
        <v>123</v>
      </c>
      <c r="V723">
        <v>3</v>
      </c>
      <c r="W723">
        <v>3</v>
      </c>
      <c r="X723">
        <v>3</v>
      </c>
      <c r="Y723">
        <f>VLOOKUP(Table_clu7sql1_ssdb_REPORT_vw_IE_External_MI_SON[[#This Row],[URN]],[1]Data!$D$2:$BB$1084,31,)</f>
        <v>3</v>
      </c>
      <c r="Z723" t="s">
        <v>2596</v>
      </c>
      <c r="AA723" t="s">
        <v>2596</v>
      </c>
      <c r="AB723" t="s">
        <v>2599</v>
      </c>
      <c r="AC723" t="s">
        <v>2596</v>
      </c>
      <c r="AD723" t="s">
        <v>2596</v>
      </c>
      <c r="AE723" s="108" t="s">
        <v>2596</v>
      </c>
      <c r="AF723" t="s">
        <v>2596</v>
      </c>
      <c r="AG723" s="108" t="s">
        <v>2596</v>
      </c>
      <c r="AH723" t="s">
        <v>2596</v>
      </c>
    </row>
    <row r="724" spans="1:34" x14ac:dyDescent="0.25">
      <c r="A724" s="111" t="str">
        <f>HYPERLINK("http://www.ofsted.gov.uk/inspection-reports/find-inspection-report/provider/ELS/136936 ","Ofsted School Webpage")</f>
        <v>Ofsted School Webpage</v>
      </c>
      <c r="B724">
        <v>136936</v>
      </c>
      <c r="C724">
        <v>3736002</v>
      </c>
      <c r="D724" t="s">
        <v>812</v>
      </c>
      <c r="E724" t="s">
        <v>37</v>
      </c>
      <c r="F724" t="s">
        <v>142</v>
      </c>
      <c r="G724" t="s">
        <v>142</v>
      </c>
      <c r="H724" t="s">
        <v>2595</v>
      </c>
      <c r="I724" t="s">
        <v>2596</v>
      </c>
      <c r="J724" t="s">
        <v>143</v>
      </c>
      <c r="K724" t="s">
        <v>202</v>
      </c>
      <c r="L724" t="s">
        <v>203</v>
      </c>
      <c r="M724" t="s">
        <v>617</v>
      </c>
      <c r="N724" t="s">
        <v>813</v>
      </c>
      <c r="O724">
        <v>10008895</v>
      </c>
      <c r="P724" s="108">
        <v>42402</v>
      </c>
      <c r="Q724" s="108">
        <v>42404</v>
      </c>
      <c r="R724" s="108">
        <v>42432</v>
      </c>
      <c r="S724" t="s">
        <v>153</v>
      </c>
      <c r="T724">
        <v>2</v>
      </c>
      <c r="U724" t="s">
        <v>123</v>
      </c>
      <c r="V724">
        <v>2</v>
      </c>
      <c r="W724">
        <v>2</v>
      </c>
      <c r="X724">
        <v>2</v>
      </c>
      <c r="Y724">
        <f>VLOOKUP(Table_clu7sql1_ssdb_REPORT_vw_IE_External_MI_SON[[#This Row],[URN]],[1]Data!$D$2:$BB$1084,31,)</f>
        <v>2</v>
      </c>
      <c r="Z724" t="s">
        <v>2596</v>
      </c>
      <c r="AA724">
        <v>3</v>
      </c>
      <c r="AB724" t="s">
        <v>2598</v>
      </c>
      <c r="AC724" t="s">
        <v>2596</v>
      </c>
      <c r="AD724" t="s">
        <v>2596</v>
      </c>
      <c r="AE724" t="s">
        <v>2596</v>
      </c>
      <c r="AF724" t="s">
        <v>2596</v>
      </c>
      <c r="AG724" t="s">
        <v>2596</v>
      </c>
      <c r="AH724" t="s">
        <v>2596</v>
      </c>
    </row>
    <row r="725" spans="1:34" x14ac:dyDescent="0.25">
      <c r="A725" s="111" t="str">
        <f>HYPERLINK("http://www.ofsted.gov.uk/inspection-reports/find-inspection-report/provider/ELS/136947 ","Ofsted School Webpage")</f>
        <v>Ofsted School Webpage</v>
      </c>
      <c r="B725">
        <v>136947</v>
      </c>
      <c r="C725">
        <v>8466018</v>
      </c>
      <c r="D725" t="s">
        <v>364</v>
      </c>
      <c r="E725" t="s">
        <v>36</v>
      </c>
      <c r="F725" t="s">
        <v>142</v>
      </c>
      <c r="G725" t="s">
        <v>142</v>
      </c>
      <c r="H725" t="s">
        <v>2595</v>
      </c>
      <c r="I725" t="s">
        <v>2596</v>
      </c>
      <c r="J725" t="s">
        <v>143</v>
      </c>
      <c r="K725" t="s">
        <v>139</v>
      </c>
      <c r="L725" t="s">
        <v>139</v>
      </c>
      <c r="M725" t="s">
        <v>365</v>
      </c>
      <c r="N725" t="s">
        <v>366</v>
      </c>
      <c r="O725">
        <v>10012927</v>
      </c>
      <c r="P725" s="108">
        <v>42997</v>
      </c>
      <c r="Q725" s="108">
        <v>42999</v>
      </c>
      <c r="R725" s="108">
        <v>43042</v>
      </c>
      <c r="S725" t="s">
        <v>153</v>
      </c>
      <c r="T725">
        <v>1</v>
      </c>
      <c r="U725" t="s">
        <v>123</v>
      </c>
      <c r="V725">
        <v>1</v>
      </c>
      <c r="W725">
        <v>1</v>
      </c>
      <c r="X725">
        <v>1</v>
      </c>
      <c r="Y725">
        <f>VLOOKUP(Table_clu7sql1_ssdb_REPORT_vw_IE_External_MI_SON[[#This Row],[URN]],[1]Data!$D$2:$BB$1084,31,)</f>
        <v>1</v>
      </c>
      <c r="Z725">
        <v>1</v>
      </c>
      <c r="AA725" t="s">
        <v>2596</v>
      </c>
      <c r="AB725" t="s">
        <v>2598</v>
      </c>
      <c r="AC725" t="s">
        <v>2596</v>
      </c>
      <c r="AD725" t="s">
        <v>2596</v>
      </c>
      <c r="AE725" s="108" t="s">
        <v>2596</v>
      </c>
      <c r="AF725" t="s">
        <v>2596</v>
      </c>
      <c r="AG725" s="108" t="s">
        <v>2596</v>
      </c>
      <c r="AH725" t="s">
        <v>2596</v>
      </c>
    </row>
    <row r="726" spans="1:34" x14ac:dyDescent="0.25">
      <c r="A726" s="111" t="str">
        <f>HYPERLINK("http://www.ofsted.gov.uk/inspection-reports/find-inspection-report/provider/ELS/136949 ","Ofsted School Webpage")</f>
        <v>Ofsted School Webpage</v>
      </c>
      <c r="B726">
        <v>136949</v>
      </c>
      <c r="C726">
        <v>8556019</v>
      </c>
      <c r="D726" t="s">
        <v>1038</v>
      </c>
      <c r="E726" t="s">
        <v>37</v>
      </c>
      <c r="F726" t="s">
        <v>142</v>
      </c>
      <c r="G726" t="s">
        <v>142</v>
      </c>
      <c r="H726" t="s">
        <v>2595</v>
      </c>
      <c r="I726" t="s">
        <v>2596</v>
      </c>
      <c r="J726" t="s">
        <v>143</v>
      </c>
      <c r="K726" t="s">
        <v>171</v>
      </c>
      <c r="L726" t="s">
        <v>171</v>
      </c>
      <c r="M726" t="s">
        <v>238</v>
      </c>
      <c r="N726" t="s">
        <v>1039</v>
      </c>
      <c r="O726">
        <v>10006317</v>
      </c>
      <c r="P726" s="108">
        <v>42353</v>
      </c>
      <c r="Q726" s="108">
        <v>42355</v>
      </c>
      <c r="R726" s="108">
        <v>42390</v>
      </c>
      <c r="S726" t="s">
        <v>153</v>
      </c>
      <c r="T726">
        <v>1</v>
      </c>
      <c r="U726" t="s">
        <v>123</v>
      </c>
      <c r="V726">
        <v>1</v>
      </c>
      <c r="W726">
        <v>2</v>
      </c>
      <c r="X726">
        <v>1</v>
      </c>
      <c r="Y726">
        <f>VLOOKUP(Table_clu7sql1_ssdb_REPORT_vw_IE_External_MI_SON[[#This Row],[URN]],[1]Data!$D$2:$BB$1084,31,)</f>
        <v>1</v>
      </c>
      <c r="Z726" t="s">
        <v>2596</v>
      </c>
      <c r="AA726" t="s">
        <v>2596</v>
      </c>
      <c r="AB726" t="s">
        <v>2598</v>
      </c>
      <c r="AC726" t="s">
        <v>2596</v>
      </c>
      <c r="AD726" t="s">
        <v>2596</v>
      </c>
      <c r="AE726" t="s">
        <v>2596</v>
      </c>
      <c r="AF726" t="s">
        <v>2596</v>
      </c>
      <c r="AG726" t="s">
        <v>2596</v>
      </c>
      <c r="AH726" t="s">
        <v>2596</v>
      </c>
    </row>
    <row r="727" spans="1:34" x14ac:dyDescent="0.25">
      <c r="A727" s="111" t="str">
        <f>HYPERLINK("http://www.ofsted.gov.uk/inspection-reports/find-inspection-report/provider/ELS/136954 ","Ofsted School Webpage")</f>
        <v>Ofsted School Webpage</v>
      </c>
      <c r="B727">
        <v>136954</v>
      </c>
      <c r="C727">
        <v>8306003</v>
      </c>
      <c r="D727" t="s">
        <v>1384</v>
      </c>
      <c r="E727" t="s">
        <v>37</v>
      </c>
      <c r="F727" t="s">
        <v>142</v>
      </c>
      <c r="G727" t="s">
        <v>142</v>
      </c>
      <c r="H727" t="s">
        <v>2595</v>
      </c>
      <c r="I727" t="s">
        <v>2596</v>
      </c>
      <c r="J727" t="s">
        <v>143</v>
      </c>
      <c r="K727" t="s">
        <v>171</v>
      </c>
      <c r="L727" t="s">
        <v>171</v>
      </c>
      <c r="M727" t="s">
        <v>320</v>
      </c>
      <c r="N727" t="s">
        <v>1385</v>
      </c>
      <c r="O727">
        <v>10006549</v>
      </c>
      <c r="P727" s="108">
        <v>42276</v>
      </c>
      <c r="Q727" s="108">
        <v>42278</v>
      </c>
      <c r="R727" s="108">
        <v>42314</v>
      </c>
      <c r="S727" t="s">
        <v>153</v>
      </c>
      <c r="T727">
        <v>2</v>
      </c>
      <c r="U727" t="s">
        <v>123</v>
      </c>
      <c r="V727">
        <v>2</v>
      </c>
      <c r="W727">
        <v>2</v>
      </c>
      <c r="X727">
        <v>2</v>
      </c>
      <c r="Y727">
        <f>VLOOKUP(Table_clu7sql1_ssdb_REPORT_vw_IE_External_MI_SON[[#This Row],[URN]],[1]Data!$D$2:$BB$1084,31,)</f>
        <v>2</v>
      </c>
      <c r="Z727" t="s">
        <v>2596</v>
      </c>
      <c r="AA727">
        <v>2</v>
      </c>
      <c r="AB727" t="s">
        <v>2598</v>
      </c>
      <c r="AC727" t="s">
        <v>2596</v>
      </c>
      <c r="AD727" t="s">
        <v>2596</v>
      </c>
      <c r="AE727" t="s">
        <v>2596</v>
      </c>
      <c r="AF727" t="s">
        <v>2596</v>
      </c>
      <c r="AG727" t="s">
        <v>2596</v>
      </c>
      <c r="AH727" t="s">
        <v>2596</v>
      </c>
    </row>
    <row r="728" spans="1:34" x14ac:dyDescent="0.25">
      <c r="A728" s="111" t="str">
        <f>HYPERLINK("http://www.ofsted.gov.uk/inspection-reports/find-inspection-report/provider/ELS/136955 ","Ofsted School Webpage")</f>
        <v>Ofsted School Webpage</v>
      </c>
      <c r="B728">
        <v>136955</v>
      </c>
      <c r="C728">
        <v>8716002</v>
      </c>
      <c r="D728" t="s">
        <v>398</v>
      </c>
      <c r="E728" t="s">
        <v>36</v>
      </c>
      <c r="F728" t="s">
        <v>180</v>
      </c>
      <c r="G728" t="s">
        <v>261</v>
      </c>
      <c r="H728" t="s">
        <v>2595</v>
      </c>
      <c r="I728" t="s">
        <v>2596</v>
      </c>
      <c r="J728" t="s">
        <v>143</v>
      </c>
      <c r="K728" t="s">
        <v>139</v>
      </c>
      <c r="L728" t="s">
        <v>139</v>
      </c>
      <c r="M728" t="s">
        <v>186</v>
      </c>
      <c r="N728" t="s">
        <v>399</v>
      </c>
      <c r="O728">
        <v>10039165</v>
      </c>
      <c r="P728" s="108">
        <v>43039</v>
      </c>
      <c r="Q728" s="108">
        <v>43041</v>
      </c>
      <c r="R728" s="108">
        <v>43068</v>
      </c>
      <c r="S728" t="s">
        <v>153</v>
      </c>
      <c r="T728">
        <v>2</v>
      </c>
      <c r="U728" t="s">
        <v>123</v>
      </c>
      <c r="V728">
        <v>2</v>
      </c>
      <c r="W728">
        <v>2</v>
      </c>
      <c r="X728">
        <v>2</v>
      </c>
      <c r="Y728">
        <f>VLOOKUP(Table_clu7sql1_ssdb_REPORT_vw_IE_External_MI_SON[[#This Row],[URN]],[1]Data!$D$2:$BB$1084,31,)</f>
        <v>2</v>
      </c>
      <c r="Z728" t="s">
        <v>2596</v>
      </c>
      <c r="AA728" t="s">
        <v>2596</v>
      </c>
      <c r="AB728" t="s">
        <v>2598</v>
      </c>
      <c r="AC728" t="s">
        <v>2596</v>
      </c>
      <c r="AD728" t="s">
        <v>2596</v>
      </c>
      <c r="AE728" s="108" t="s">
        <v>2596</v>
      </c>
      <c r="AF728" t="s">
        <v>2596</v>
      </c>
      <c r="AG728" s="108" t="s">
        <v>2596</v>
      </c>
      <c r="AH728" t="s">
        <v>2596</v>
      </c>
    </row>
    <row r="729" spans="1:34" x14ac:dyDescent="0.25">
      <c r="A729" s="111" t="str">
        <f>HYPERLINK("http://www.ofsted.gov.uk/inspection-reports/find-inspection-report/provider/ELS/137098 ","Ofsted School Webpage")</f>
        <v>Ofsted School Webpage</v>
      </c>
      <c r="B729">
        <v>137098</v>
      </c>
      <c r="C729">
        <v>8606037</v>
      </c>
      <c r="D729" t="s">
        <v>920</v>
      </c>
      <c r="E729" t="s">
        <v>37</v>
      </c>
      <c r="F729" t="s">
        <v>142</v>
      </c>
      <c r="G729" t="s">
        <v>142</v>
      </c>
      <c r="H729" t="s">
        <v>2595</v>
      </c>
      <c r="I729" t="s">
        <v>2596</v>
      </c>
      <c r="J729" t="s">
        <v>143</v>
      </c>
      <c r="K729" t="s">
        <v>150</v>
      </c>
      <c r="L729" t="s">
        <v>150</v>
      </c>
      <c r="M729" t="s">
        <v>271</v>
      </c>
      <c r="N729" t="s">
        <v>921</v>
      </c>
      <c r="O729" t="s">
        <v>922</v>
      </c>
      <c r="P729" s="108">
        <v>41044</v>
      </c>
      <c r="Q729" s="108">
        <v>41045</v>
      </c>
      <c r="R729" s="108">
        <v>41075</v>
      </c>
      <c r="S729" t="s">
        <v>206</v>
      </c>
      <c r="T729">
        <v>1</v>
      </c>
      <c r="U729" t="s">
        <v>2596</v>
      </c>
      <c r="V729" t="s">
        <v>2596</v>
      </c>
      <c r="W729" t="s">
        <v>2596</v>
      </c>
      <c r="X729">
        <v>1</v>
      </c>
      <c r="Y729">
        <f>VLOOKUP(Table_clu7sql1_ssdb_REPORT_vw_IE_External_MI_SON[[#This Row],[URN]],[1]Data!$D$2:$BB$1084,31,)</f>
        <v>1</v>
      </c>
      <c r="Z729">
        <v>8</v>
      </c>
      <c r="AA729" t="s">
        <v>2596</v>
      </c>
      <c r="AB729" t="s">
        <v>2598</v>
      </c>
      <c r="AC729" t="s">
        <v>2596</v>
      </c>
      <c r="AD729" t="s">
        <v>2596</v>
      </c>
      <c r="AE729" s="108" t="s">
        <v>2596</v>
      </c>
      <c r="AF729" t="s">
        <v>2596</v>
      </c>
      <c r="AG729" s="108" t="s">
        <v>2596</v>
      </c>
      <c r="AH729" t="s">
        <v>2596</v>
      </c>
    </row>
    <row r="730" spans="1:34" x14ac:dyDescent="0.25">
      <c r="A730" s="111" t="str">
        <f>HYPERLINK("http://www.ofsted.gov.uk/inspection-reports/find-inspection-report/provider/ELS/137273 ","Ofsted School Webpage")</f>
        <v>Ofsted School Webpage</v>
      </c>
      <c r="B730">
        <v>137273</v>
      </c>
      <c r="C730">
        <v>3126003</v>
      </c>
      <c r="D730" t="s">
        <v>1985</v>
      </c>
      <c r="E730" t="s">
        <v>36</v>
      </c>
      <c r="F730" t="s">
        <v>142</v>
      </c>
      <c r="G730" t="s">
        <v>180</v>
      </c>
      <c r="H730" t="s">
        <v>2595</v>
      </c>
      <c r="I730" t="s">
        <v>2596</v>
      </c>
      <c r="J730" t="s">
        <v>143</v>
      </c>
      <c r="K730" t="s">
        <v>189</v>
      </c>
      <c r="L730" t="s">
        <v>189</v>
      </c>
      <c r="M730" t="s">
        <v>404</v>
      </c>
      <c r="N730" t="s">
        <v>1986</v>
      </c>
      <c r="O730">
        <v>10020783</v>
      </c>
      <c r="P730" s="108">
        <v>42717</v>
      </c>
      <c r="Q730" s="108">
        <v>42719</v>
      </c>
      <c r="R730" s="108">
        <v>42752</v>
      </c>
      <c r="S730" t="s">
        <v>153</v>
      </c>
      <c r="T730">
        <v>3</v>
      </c>
      <c r="U730" t="s">
        <v>123</v>
      </c>
      <c r="V730">
        <v>3</v>
      </c>
      <c r="W730">
        <v>3</v>
      </c>
      <c r="X730">
        <v>3</v>
      </c>
      <c r="Y730">
        <f>VLOOKUP(Table_clu7sql1_ssdb_REPORT_vw_IE_External_MI_SON[[#This Row],[URN]],[1]Data!$D$2:$BB$1084,31,)</f>
        <v>3</v>
      </c>
      <c r="Z730">
        <v>3</v>
      </c>
      <c r="AA730" t="s">
        <v>2596</v>
      </c>
      <c r="AB730" t="s">
        <v>2599</v>
      </c>
      <c r="AC730">
        <v>10043525</v>
      </c>
      <c r="AD730" t="s">
        <v>144</v>
      </c>
      <c r="AE730" s="108">
        <v>43076</v>
      </c>
      <c r="AF730" t="s">
        <v>2636</v>
      </c>
      <c r="AG730" s="108">
        <v>43115</v>
      </c>
      <c r="AH730" t="s">
        <v>174</v>
      </c>
    </row>
    <row r="731" spans="1:34" x14ac:dyDescent="0.25">
      <c r="A731" s="111" t="str">
        <f>HYPERLINK("http://www.ofsted.gov.uk/inspection-reports/find-inspection-report/provider/ELS/137275 ","Ofsted School Webpage")</f>
        <v>Ofsted School Webpage</v>
      </c>
      <c r="B731">
        <v>137275</v>
      </c>
      <c r="C731">
        <v>3556059</v>
      </c>
      <c r="D731" t="s">
        <v>1674</v>
      </c>
      <c r="E731" t="s">
        <v>36</v>
      </c>
      <c r="F731" t="s">
        <v>142</v>
      </c>
      <c r="G731" t="s">
        <v>142</v>
      </c>
      <c r="H731" t="s">
        <v>2595</v>
      </c>
      <c r="I731" t="s">
        <v>2596</v>
      </c>
      <c r="J731" t="s">
        <v>143</v>
      </c>
      <c r="K731" t="s">
        <v>162</v>
      </c>
      <c r="L731" t="s">
        <v>162</v>
      </c>
      <c r="M731" t="s">
        <v>804</v>
      </c>
      <c r="N731" t="s">
        <v>1675</v>
      </c>
      <c r="O731">
        <v>10006128</v>
      </c>
      <c r="P731" s="108">
        <v>42437</v>
      </c>
      <c r="Q731" s="108">
        <v>42438</v>
      </c>
      <c r="R731" s="108">
        <v>42461</v>
      </c>
      <c r="S731" t="s">
        <v>153</v>
      </c>
      <c r="T731">
        <v>2</v>
      </c>
      <c r="U731" t="s">
        <v>123</v>
      </c>
      <c r="V731">
        <v>2</v>
      </c>
      <c r="W731">
        <v>2</v>
      </c>
      <c r="X731">
        <v>2</v>
      </c>
      <c r="Y731">
        <f>VLOOKUP(Table_clu7sql1_ssdb_REPORT_vw_IE_External_MI_SON[[#This Row],[URN]],[1]Data!$D$2:$BB$1084,31,)</f>
        <v>2</v>
      </c>
      <c r="Z731" t="s">
        <v>2596</v>
      </c>
      <c r="AA731" t="s">
        <v>2596</v>
      </c>
      <c r="AB731" t="s">
        <v>2598</v>
      </c>
      <c r="AC731" t="s">
        <v>2596</v>
      </c>
      <c r="AD731" t="s">
        <v>2596</v>
      </c>
      <c r="AE731" s="108" t="s">
        <v>2596</v>
      </c>
      <c r="AF731" t="s">
        <v>2596</v>
      </c>
      <c r="AG731" s="108" t="s">
        <v>2596</v>
      </c>
      <c r="AH731" t="s">
        <v>2596</v>
      </c>
    </row>
    <row r="732" spans="1:34" x14ac:dyDescent="0.25">
      <c r="A732" s="111" t="str">
        <f>HYPERLINK("http://www.ofsted.gov.uk/inspection-reports/find-inspection-report/provider/ELS/137279 ","Ofsted School Webpage")</f>
        <v>Ofsted School Webpage</v>
      </c>
      <c r="B732">
        <v>137279</v>
      </c>
      <c r="C732">
        <v>8506089</v>
      </c>
      <c r="D732" t="s">
        <v>157</v>
      </c>
      <c r="E732" t="s">
        <v>37</v>
      </c>
      <c r="F732" t="s">
        <v>142</v>
      </c>
      <c r="G732" t="s">
        <v>142</v>
      </c>
      <c r="H732" t="s">
        <v>2595</v>
      </c>
      <c r="I732" t="s">
        <v>2596</v>
      </c>
      <c r="J732" t="s">
        <v>143</v>
      </c>
      <c r="K732" t="s">
        <v>139</v>
      </c>
      <c r="L732" t="s">
        <v>139</v>
      </c>
      <c r="M732" t="s">
        <v>158</v>
      </c>
      <c r="N732" t="s">
        <v>159</v>
      </c>
      <c r="O732">
        <v>10008605</v>
      </c>
      <c r="P732" s="108">
        <v>43004</v>
      </c>
      <c r="Q732" s="108">
        <v>43006</v>
      </c>
      <c r="R732" s="108">
        <v>43045</v>
      </c>
      <c r="S732" t="s">
        <v>153</v>
      </c>
      <c r="T732">
        <v>1</v>
      </c>
      <c r="U732" t="s">
        <v>123</v>
      </c>
      <c r="V732">
        <v>1</v>
      </c>
      <c r="W732">
        <v>1</v>
      </c>
      <c r="X732">
        <v>1</v>
      </c>
      <c r="Y732">
        <f>VLOOKUP(Table_clu7sql1_ssdb_REPORT_vw_IE_External_MI_SON[[#This Row],[URN]],[1]Data!$D$2:$BB$1084,31,)</f>
        <v>1</v>
      </c>
      <c r="Z732" t="s">
        <v>2596</v>
      </c>
      <c r="AA732" t="s">
        <v>2596</v>
      </c>
      <c r="AB732" t="s">
        <v>2598</v>
      </c>
      <c r="AC732" t="s">
        <v>2596</v>
      </c>
      <c r="AD732" t="s">
        <v>2596</v>
      </c>
      <c r="AE732" t="s">
        <v>2596</v>
      </c>
      <c r="AF732" t="s">
        <v>2596</v>
      </c>
      <c r="AG732" t="s">
        <v>2596</v>
      </c>
      <c r="AH732" t="s">
        <v>2596</v>
      </c>
    </row>
    <row r="733" spans="1:34" x14ac:dyDescent="0.25">
      <c r="A733" s="111" t="str">
        <f>HYPERLINK("http://www.ofsted.gov.uk/inspection-reports/find-inspection-report/provider/ELS/137318 ","Ofsted School Webpage")</f>
        <v>Ofsted School Webpage</v>
      </c>
      <c r="B733">
        <v>137318</v>
      </c>
      <c r="C733">
        <v>2046001</v>
      </c>
      <c r="D733" t="s">
        <v>1836</v>
      </c>
      <c r="E733" t="s">
        <v>36</v>
      </c>
      <c r="F733" t="s">
        <v>142</v>
      </c>
      <c r="G733" t="s">
        <v>275</v>
      </c>
      <c r="H733" t="s">
        <v>2595</v>
      </c>
      <c r="I733" t="s">
        <v>2596</v>
      </c>
      <c r="J733" t="s">
        <v>143</v>
      </c>
      <c r="K733" t="s">
        <v>189</v>
      </c>
      <c r="L733" t="s">
        <v>189</v>
      </c>
      <c r="M733" t="s">
        <v>434</v>
      </c>
      <c r="N733" t="s">
        <v>1281</v>
      </c>
      <c r="O733">
        <v>10012792</v>
      </c>
      <c r="P733" s="108">
        <v>42710</v>
      </c>
      <c r="Q733" s="108">
        <v>42712</v>
      </c>
      <c r="R733" s="108">
        <v>42809</v>
      </c>
      <c r="S733" t="s">
        <v>153</v>
      </c>
      <c r="T733">
        <v>4</v>
      </c>
      <c r="U733" t="s">
        <v>123</v>
      </c>
      <c r="V733">
        <v>4</v>
      </c>
      <c r="W733">
        <v>4</v>
      </c>
      <c r="X733">
        <v>4</v>
      </c>
      <c r="Y733">
        <f>VLOOKUP(Table_clu7sql1_ssdb_REPORT_vw_IE_External_MI_SON[[#This Row],[URN]],[1]Data!$D$2:$BB$1084,31,)</f>
        <v>4</v>
      </c>
      <c r="Z733">
        <v>4</v>
      </c>
      <c r="AA733" t="s">
        <v>2596</v>
      </c>
      <c r="AB733" t="s">
        <v>2599</v>
      </c>
      <c r="AC733">
        <v>10045010</v>
      </c>
      <c r="AD733" t="s">
        <v>144</v>
      </c>
      <c r="AE733" s="108">
        <v>43130</v>
      </c>
      <c r="AF733" t="s">
        <v>2636</v>
      </c>
      <c r="AG733" s="108">
        <v>43186</v>
      </c>
      <c r="AH733" t="s">
        <v>174</v>
      </c>
    </row>
    <row r="734" spans="1:34" x14ac:dyDescent="0.25">
      <c r="A734" s="111" t="str">
        <f>HYPERLINK("http://www.ofsted.gov.uk/inspection-reports/find-inspection-report/provider/ELS/137327 ","Ofsted School Webpage")</f>
        <v>Ofsted School Webpage</v>
      </c>
      <c r="B734">
        <v>137327</v>
      </c>
      <c r="C734">
        <v>9256000</v>
      </c>
      <c r="D734" t="s">
        <v>1865</v>
      </c>
      <c r="E734" t="s">
        <v>36</v>
      </c>
      <c r="F734" t="s">
        <v>142</v>
      </c>
      <c r="G734" t="s">
        <v>142</v>
      </c>
      <c r="H734" t="s">
        <v>2595</v>
      </c>
      <c r="I734" t="s">
        <v>2596</v>
      </c>
      <c r="J734" t="s">
        <v>143</v>
      </c>
      <c r="K734" t="s">
        <v>171</v>
      </c>
      <c r="L734" t="s">
        <v>171</v>
      </c>
      <c r="M734" t="s">
        <v>637</v>
      </c>
      <c r="N734" t="s">
        <v>1866</v>
      </c>
      <c r="O734">
        <v>10006080</v>
      </c>
      <c r="P734" s="108">
        <v>42388</v>
      </c>
      <c r="Q734" s="108">
        <v>42390</v>
      </c>
      <c r="R734" s="108">
        <v>42426</v>
      </c>
      <c r="S734" t="s">
        <v>153</v>
      </c>
      <c r="T734">
        <v>1</v>
      </c>
      <c r="U734" t="s">
        <v>123</v>
      </c>
      <c r="V734">
        <v>1</v>
      </c>
      <c r="W734">
        <v>1</v>
      </c>
      <c r="X734">
        <v>1</v>
      </c>
      <c r="Y734">
        <f>VLOOKUP(Table_clu7sql1_ssdb_REPORT_vw_IE_External_MI_SON[[#This Row],[URN]],[1]Data!$D$2:$BB$1084,31,)</f>
        <v>1</v>
      </c>
      <c r="Z734">
        <v>1</v>
      </c>
      <c r="AA734" t="s">
        <v>2596</v>
      </c>
      <c r="AB734" t="s">
        <v>2598</v>
      </c>
      <c r="AC734" t="s">
        <v>2596</v>
      </c>
      <c r="AD734" t="s">
        <v>2596</v>
      </c>
      <c r="AE734" t="s">
        <v>2596</v>
      </c>
      <c r="AF734" t="s">
        <v>2596</v>
      </c>
      <c r="AG734" t="s">
        <v>2596</v>
      </c>
      <c r="AH734" t="s">
        <v>2596</v>
      </c>
    </row>
    <row r="735" spans="1:34" x14ac:dyDescent="0.25">
      <c r="A735" s="111" t="str">
        <f>HYPERLINK("http://www.ofsted.gov.uk/inspection-reports/find-inspection-report/provider/ELS/137334 ","Ofsted School Webpage")</f>
        <v>Ofsted School Webpage</v>
      </c>
      <c r="B735">
        <v>137334</v>
      </c>
      <c r="C735">
        <v>9316000</v>
      </c>
      <c r="D735" t="s">
        <v>814</v>
      </c>
      <c r="E735" t="s">
        <v>37</v>
      </c>
      <c r="F735" t="s">
        <v>142</v>
      </c>
      <c r="G735" t="s">
        <v>142</v>
      </c>
      <c r="H735" t="s">
        <v>2595</v>
      </c>
      <c r="I735" t="s">
        <v>2596</v>
      </c>
      <c r="J735" t="s">
        <v>143</v>
      </c>
      <c r="K735" t="s">
        <v>139</v>
      </c>
      <c r="L735" t="s">
        <v>139</v>
      </c>
      <c r="M735" t="s">
        <v>199</v>
      </c>
      <c r="N735" t="s">
        <v>815</v>
      </c>
      <c r="O735">
        <v>10008614</v>
      </c>
      <c r="P735" s="108">
        <v>42640</v>
      </c>
      <c r="Q735" s="108">
        <v>42642</v>
      </c>
      <c r="R735" s="108">
        <v>42675</v>
      </c>
      <c r="S735" t="s">
        <v>153</v>
      </c>
      <c r="T735">
        <v>2</v>
      </c>
      <c r="U735" t="s">
        <v>123</v>
      </c>
      <c r="V735">
        <v>2</v>
      </c>
      <c r="W735">
        <v>2</v>
      </c>
      <c r="X735">
        <v>2</v>
      </c>
      <c r="Y735">
        <f>VLOOKUP(Table_clu7sql1_ssdb_REPORT_vw_IE_External_MI_SON[[#This Row],[URN]],[1]Data!$D$2:$BB$1084,31,)</f>
        <v>2</v>
      </c>
      <c r="Z735" t="s">
        <v>2596</v>
      </c>
      <c r="AA735">
        <v>2</v>
      </c>
      <c r="AB735" t="s">
        <v>2598</v>
      </c>
      <c r="AC735" t="s">
        <v>2596</v>
      </c>
      <c r="AD735" t="s">
        <v>2596</v>
      </c>
      <c r="AE735" s="108" t="s">
        <v>2596</v>
      </c>
      <c r="AF735" t="s">
        <v>2596</v>
      </c>
      <c r="AG735" s="108" t="s">
        <v>2596</v>
      </c>
      <c r="AH735" t="s">
        <v>2596</v>
      </c>
    </row>
    <row r="736" spans="1:34" x14ac:dyDescent="0.25">
      <c r="A736" s="111" t="str">
        <f>HYPERLINK("http://www.ofsted.gov.uk/inspection-reports/find-inspection-report/provider/ELS/137385 ","Ofsted School Webpage")</f>
        <v>Ofsted School Webpage</v>
      </c>
      <c r="B736">
        <v>137385</v>
      </c>
      <c r="C736">
        <v>9296002</v>
      </c>
      <c r="D736" t="s">
        <v>968</v>
      </c>
      <c r="E736" t="s">
        <v>37</v>
      </c>
      <c r="F736" t="s">
        <v>142</v>
      </c>
      <c r="G736" t="s">
        <v>142</v>
      </c>
      <c r="H736" t="s">
        <v>2595</v>
      </c>
      <c r="I736" t="s">
        <v>2596</v>
      </c>
      <c r="J736" t="s">
        <v>143</v>
      </c>
      <c r="K736" t="s">
        <v>202</v>
      </c>
      <c r="L736" t="s">
        <v>234</v>
      </c>
      <c r="M736" t="s">
        <v>839</v>
      </c>
      <c r="N736" t="s">
        <v>969</v>
      </c>
      <c r="O736">
        <v>10008612</v>
      </c>
      <c r="P736" s="108">
        <v>42388</v>
      </c>
      <c r="Q736" s="108">
        <v>42390</v>
      </c>
      <c r="R736" s="108">
        <v>42415</v>
      </c>
      <c r="S736" t="s">
        <v>153</v>
      </c>
      <c r="T736">
        <v>2</v>
      </c>
      <c r="U736" t="s">
        <v>123</v>
      </c>
      <c r="V736">
        <v>2</v>
      </c>
      <c r="W736">
        <v>2</v>
      </c>
      <c r="X736">
        <v>2</v>
      </c>
      <c r="Y736">
        <f>VLOOKUP(Table_clu7sql1_ssdb_REPORT_vw_IE_External_MI_SON[[#This Row],[URN]],[1]Data!$D$2:$BB$1084,31,)</f>
        <v>2</v>
      </c>
      <c r="Z736" t="s">
        <v>2596</v>
      </c>
      <c r="AA736" t="s">
        <v>2596</v>
      </c>
      <c r="AB736" t="s">
        <v>2598</v>
      </c>
      <c r="AC736" t="s">
        <v>2596</v>
      </c>
      <c r="AD736" t="s">
        <v>2596</v>
      </c>
      <c r="AE736" t="s">
        <v>2596</v>
      </c>
      <c r="AF736" t="s">
        <v>2596</v>
      </c>
      <c r="AG736" t="s">
        <v>2596</v>
      </c>
      <c r="AH736" t="s">
        <v>2596</v>
      </c>
    </row>
    <row r="737" spans="1:34" x14ac:dyDescent="0.25">
      <c r="A737" s="111" t="str">
        <f>HYPERLINK("http://www.ofsted.gov.uk/inspection-reports/find-inspection-report/provider/ELS/137502 ","Ofsted School Webpage")</f>
        <v>Ofsted School Webpage</v>
      </c>
      <c r="B737">
        <v>137502</v>
      </c>
      <c r="C737">
        <v>3026001</v>
      </c>
      <c r="D737" t="s">
        <v>2421</v>
      </c>
      <c r="E737" t="s">
        <v>36</v>
      </c>
      <c r="F737" t="s">
        <v>142</v>
      </c>
      <c r="G737" t="s">
        <v>275</v>
      </c>
      <c r="H737" t="s">
        <v>2595</v>
      </c>
      <c r="I737" t="s">
        <v>2596</v>
      </c>
      <c r="J737" t="s">
        <v>143</v>
      </c>
      <c r="K737" t="s">
        <v>189</v>
      </c>
      <c r="L737" t="s">
        <v>189</v>
      </c>
      <c r="M737" t="s">
        <v>268</v>
      </c>
      <c r="N737" t="s">
        <v>2422</v>
      </c>
      <c r="O737">
        <v>10006124</v>
      </c>
      <c r="P737" s="108">
        <v>42934</v>
      </c>
      <c r="Q737" s="108">
        <v>42936</v>
      </c>
      <c r="R737" s="108">
        <v>42998</v>
      </c>
      <c r="S737" t="s">
        <v>153</v>
      </c>
      <c r="T737">
        <v>3</v>
      </c>
      <c r="U737" t="s">
        <v>123</v>
      </c>
      <c r="V737">
        <v>3</v>
      </c>
      <c r="W737">
        <v>2</v>
      </c>
      <c r="X737">
        <v>3</v>
      </c>
      <c r="Y737">
        <f>VLOOKUP(Table_clu7sql1_ssdb_REPORT_vw_IE_External_MI_SON[[#This Row],[URN]],[1]Data!$D$2:$BB$1084,31,)</f>
        <v>3</v>
      </c>
      <c r="Z737">
        <v>2</v>
      </c>
      <c r="AA737" t="s">
        <v>2596</v>
      </c>
      <c r="AB737" t="s">
        <v>2598</v>
      </c>
      <c r="AC737" t="s">
        <v>2596</v>
      </c>
      <c r="AD737" t="s">
        <v>2596</v>
      </c>
      <c r="AE737" s="108" t="s">
        <v>2596</v>
      </c>
      <c r="AF737" t="s">
        <v>2596</v>
      </c>
      <c r="AG737" s="108" t="s">
        <v>2596</v>
      </c>
      <c r="AH737" t="s">
        <v>2596</v>
      </c>
    </row>
    <row r="738" spans="1:34" x14ac:dyDescent="0.25">
      <c r="A738" s="111" t="str">
        <f>HYPERLINK("http://www.ofsted.gov.uk/inspection-reports/find-inspection-report/provider/ELS/137505 ","Ofsted School Webpage")</f>
        <v>Ofsted School Webpage</v>
      </c>
      <c r="B738">
        <v>137505</v>
      </c>
      <c r="C738">
        <v>2046002</v>
      </c>
      <c r="D738" t="s">
        <v>2903</v>
      </c>
      <c r="E738" t="s">
        <v>36</v>
      </c>
      <c r="F738" t="s">
        <v>776</v>
      </c>
      <c r="G738" t="s">
        <v>275</v>
      </c>
      <c r="H738" t="s">
        <v>2595</v>
      </c>
      <c r="I738" t="s">
        <v>2596</v>
      </c>
      <c r="J738" t="s">
        <v>143</v>
      </c>
      <c r="K738" t="s">
        <v>189</v>
      </c>
      <c r="L738" t="s">
        <v>189</v>
      </c>
      <c r="M738" t="s">
        <v>434</v>
      </c>
      <c r="N738" t="s">
        <v>1558</v>
      </c>
      <c r="O738">
        <v>10012789</v>
      </c>
      <c r="P738" s="108">
        <v>42549</v>
      </c>
      <c r="Q738" s="108">
        <v>42551</v>
      </c>
      <c r="R738" s="108">
        <v>42681</v>
      </c>
      <c r="S738" t="s">
        <v>153</v>
      </c>
      <c r="T738">
        <v>4</v>
      </c>
      <c r="U738" t="s">
        <v>124</v>
      </c>
      <c r="V738">
        <v>4</v>
      </c>
      <c r="W738">
        <v>3</v>
      </c>
      <c r="X738">
        <v>3</v>
      </c>
      <c r="Y738">
        <f>VLOOKUP(Table_clu7sql1_ssdb_REPORT_vw_IE_External_MI_SON[[#This Row],[URN]],[1]Data!$D$2:$BB$1084,31,)</f>
        <v>3</v>
      </c>
      <c r="Z738">
        <v>4</v>
      </c>
      <c r="AA738" t="s">
        <v>2596</v>
      </c>
      <c r="AB738" t="s">
        <v>2599</v>
      </c>
      <c r="AC738">
        <v>10034272</v>
      </c>
      <c r="AD738" t="s">
        <v>144</v>
      </c>
      <c r="AE738" s="108">
        <v>42877</v>
      </c>
      <c r="AF738" t="s">
        <v>2634</v>
      </c>
      <c r="AG738" s="108">
        <v>42898</v>
      </c>
      <c r="AH738" t="s">
        <v>174</v>
      </c>
    </row>
    <row r="739" spans="1:34" x14ac:dyDescent="0.25">
      <c r="A739" s="111" t="str">
        <f>HYPERLINK("http://www.ofsted.gov.uk/inspection-reports/find-inspection-report/provider/ELS/137511 ","Ofsted School Webpage")</f>
        <v>Ofsted School Webpage</v>
      </c>
      <c r="B739">
        <v>137511</v>
      </c>
      <c r="C739">
        <v>8416006</v>
      </c>
      <c r="D739" t="s">
        <v>554</v>
      </c>
      <c r="E739" t="s">
        <v>37</v>
      </c>
      <c r="F739" t="s">
        <v>142</v>
      </c>
      <c r="G739" t="s">
        <v>142</v>
      </c>
      <c r="H739" t="s">
        <v>2595</v>
      </c>
      <c r="I739" t="s">
        <v>2596</v>
      </c>
      <c r="J739" t="s">
        <v>143</v>
      </c>
      <c r="K739" t="s">
        <v>202</v>
      </c>
      <c r="L739" t="s">
        <v>234</v>
      </c>
      <c r="M739" t="s">
        <v>545</v>
      </c>
      <c r="N739" t="s">
        <v>555</v>
      </c>
      <c r="O739">
        <v>10006132</v>
      </c>
      <c r="P739" s="108">
        <v>42311</v>
      </c>
      <c r="Q739" s="108">
        <v>42313</v>
      </c>
      <c r="R739" s="108">
        <v>42345</v>
      </c>
      <c r="S739" t="s">
        <v>153</v>
      </c>
      <c r="T739">
        <v>2</v>
      </c>
      <c r="U739" t="s">
        <v>123</v>
      </c>
      <c r="V739">
        <v>2</v>
      </c>
      <c r="W739">
        <v>2</v>
      </c>
      <c r="X739">
        <v>2</v>
      </c>
      <c r="Y739">
        <f>VLOOKUP(Table_clu7sql1_ssdb_REPORT_vw_IE_External_MI_SON[[#This Row],[URN]],[1]Data!$D$2:$BB$1084,31,)</f>
        <v>2</v>
      </c>
      <c r="Z739" t="s">
        <v>2596</v>
      </c>
      <c r="AA739">
        <v>2</v>
      </c>
      <c r="AB739" t="s">
        <v>2598</v>
      </c>
      <c r="AC739" t="s">
        <v>2596</v>
      </c>
      <c r="AD739" t="s">
        <v>2596</v>
      </c>
      <c r="AE739" t="s">
        <v>2596</v>
      </c>
      <c r="AF739" t="s">
        <v>2596</v>
      </c>
      <c r="AG739" t="s">
        <v>2596</v>
      </c>
      <c r="AH739" t="s">
        <v>2596</v>
      </c>
    </row>
    <row r="740" spans="1:34" x14ac:dyDescent="0.25">
      <c r="A740" s="111" t="str">
        <f>HYPERLINK("http://www.ofsted.gov.uk/inspection-reports/find-inspection-report/provider/ELS/137560 ","Ofsted School Webpage")</f>
        <v>Ofsted School Webpage</v>
      </c>
      <c r="B740">
        <v>137560</v>
      </c>
      <c r="C740">
        <v>3306009</v>
      </c>
      <c r="D740" t="s">
        <v>2275</v>
      </c>
      <c r="E740" t="s">
        <v>36</v>
      </c>
      <c r="F740" t="s">
        <v>142</v>
      </c>
      <c r="G740" t="s">
        <v>180</v>
      </c>
      <c r="H740" t="s">
        <v>2595</v>
      </c>
      <c r="I740" t="s">
        <v>2596</v>
      </c>
      <c r="J740" t="s">
        <v>143</v>
      </c>
      <c r="K740" t="s">
        <v>150</v>
      </c>
      <c r="L740" t="s">
        <v>150</v>
      </c>
      <c r="M740" t="s">
        <v>167</v>
      </c>
      <c r="N740" t="s">
        <v>2276</v>
      </c>
      <c r="O740">
        <v>10034669</v>
      </c>
      <c r="P740" s="108">
        <v>42865</v>
      </c>
      <c r="Q740" s="108">
        <v>42867</v>
      </c>
      <c r="R740" s="108">
        <v>42990</v>
      </c>
      <c r="S740" t="s">
        <v>153</v>
      </c>
      <c r="T740">
        <v>4</v>
      </c>
      <c r="U740" t="s">
        <v>124</v>
      </c>
      <c r="V740">
        <v>4</v>
      </c>
      <c r="W740">
        <v>3</v>
      </c>
      <c r="X740">
        <v>2</v>
      </c>
      <c r="Y740">
        <f>VLOOKUP(Table_clu7sql1_ssdb_REPORT_vw_IE_External_MI_SON[[#This Row],[URN]],[1]Data!$D$2:$BB$1084,31,)</f>
        <v>2</v>
      </c>
      <c r="Z740" t="s">
        <v>2596</v>
      </c>
      <c r="AA740" t="s">
        <v>2596</v>
      </c>
      <c r="AB740" t="s">
        <v>2599</v>
      </c>
      <c r="AC740" t="s">
        <v>2596</v>
      </c>
      <c r="AD740" t="s">
        <v>2596</v>
      </c>
      <c r="AE740" s="108" t="s">
        <v>2596</v>
      </c>
      <c r="AF740" t="s">
        <v>2596</v>
      </c>
      <c r="AG740" s="108" t="s">
        <v>2596</v>
      </c>
      <c r="AH740" t="s">
        <v>2596</v>
      </c>
    </row>
    <row r="741" spans="1:34" x14ac:dyDescent="0.25">
      <c r="A741" s="111" t="str">
        <f>HYPERLINK("http://www.ofsted.gov.uk/inspection-reports/find-inspection-report/provider/ELS/137561 ","Ofsted School Webpage")</f>
        <v>Ofsted School Webpage</v>
      </c>
      <c r="B741">
        <v>137561</v>
      </c>
      <c r="C741">
        <v>8566011</v>
      </c>
      <c r="D741" t="s">
        <v>2489</v>
      </c>
      <c r="E741" t="s">
        <v>36</v>
      </c>
      <c r="F741" t="s">
        <v>142</v>
      </c>
      <c r="G741" t="s">
        <v>180</v>
      </c>
      <c r="H741" t="s">
        <v>2595</v>
      </c>
      <c r="I741" t="s">
        <v>2596</v>
      </c>
      <c r="J741" t="s">
        <v>143</v>
      </c>
      <c r="K741" t="s">
        <v>171</v>
      </c>
      <c r="L741" t="s">
        <v>171</v>
      </c>
      <c r="M741" t="s">
        <v>287</v>
      </c>
      <c r="N741" t="s">
        <v>2490</v>
      </c>
      <c r="O741">
        <v>10006106</v>
      </c>
      <c r="P741" s="108">
        <v>42395</v>
      </c>
      <c r="Q741" s="108">
        <v>42397</v>
      </c>
      <c r="R741" s="108">
        <v>42439</v>
      </c>
      <c r="S741" t="s">
        <v>153</v>
      </c>
      <c r="T741">
        <v>2</v>
      </c>
      <c r="U741" t="s">
        <v>123</v>
      </c>
      <c r="V741">
        <v>2</v>
      </c>
      <c r="W741">
        <v>1</v>
      </c>
      <c r="X741">
        <v>2</v>
      </c>
      <c r="Y741">
        <f>VLOOKUP(Table_clu7sql1_ssdb_REPORT_vw_IE_External_MI_SON[[#This Row],[URN]],[1]Data!$D$2:$BB$1084,31,)</f>
        <v>2</v>
      </c>
      <c r="Z741" t="s">
        <v>2596</v>
      </c>
      <c r="AA741" t="s">
        <v>2596</v>
      </c>
      <c r="AB741" t="s">
        <v>2598</v>
      </c>
      <c r="AC741" t="s">
        <v>2596</v>
      </c>
      <c r="AD741" t="s">
        <v>2596</v>
      </c>
      <c r="AE741" t="s">
        <v>2596</v>
      </c>
      <c r="AF741" t="s">
        <v>2596</v>
      </c>
      <c r="AG741" t="s">
        <v>2596</v>
      </c>
      <c r="AH741" t="s">
        <v>2596</v>
      </c>
    </row>
    <row r="742" spans="1:34" x14ac:dyDescent="0.25">
      <c r="A742" s="111" t="str">
        <f>HYPERLINK("http://www.ofsted.gov.uk/inspection-reports/find-inspection-report/provider/ELS/137562 ","Ofsted School Webpage")</f>
        <v>Ofsted School Webpage</v>
      </c>
      <c r="B742">
        <v>137562</v>
      </c>
      <c r="C742">
        <v>8826010</v>
      </c>
      <c r="D742" t="s">
        <v>1142</v>
      </c>
      <c r="E742" t="s">
        <v>37</v>
      </c>
      <c r="F742" t="s">
        <v>142</v>
      </c>
      <c r="G742" t="s">
        <v>142</v>
      </c>
      <c r="H742" t="s">
        <v>2595</v>
      </c>
      <c r="I742" t="s">
        <v>2596</v>
      </c>
      <c r="J742" t="s">
        <v>143</v>
      </c>
      <c r="K742" t="s">
        <v>177</v>
      </c>
      <c r="L742" t="s">
        <v>177</v>
      </c>
      <c r="M742" t="s">
        <v>699</v>
      </c>
      <c r="N742" t="s">
        <v>1143</v>
      </c>
      <c r="O742">
        <v>10043122</v>
      </c>
      <c r="P742" s="108">
        <v>43053</v>
      </c>
      <c r="Q742" s="108">
        <v>43055</v>
      </c>
      <c r="R742" s="108">
        <v>43081</v>
      </c>
      <c r="S742" t="s">
        <v>153</v>
      </c>
      <c r="T742">
        <v>3</v>
      </c>
      <c r="U742" t="s">
        <v>123</v>
      </c>
      <c r="V742">
        <v>3</v>
      </c>
      <c r="W742">
        <v>3</v>
      </c>
      <c r="X742">
        <v>3</v>
      </c>
      <c r="Y742">
        <f>VLOOKUP(Table_clu7sql1_ssdb_REPORT_vw_IE_External_MI_SON[[#This Row],[URN]],[1]Data!$D$2:$BB$1084,31,)</f>
        <v>3</v>
      </c>
      <c r="Z742" t="s">
        <v>2596</v>
      </c>
      <c r="AA742" t="s">
        <v>2596</v>
      </c>
      <c r="AB742" t="s">
        <v>2599</v>
      </c>
      <c r="AC742" t="s">
        <v>2596</v>
      </c>
      <c r="AD742" t="s">
        <v>2596</v>
      </c>
      <c r="AE742" t="s">
        <v>2596</v>
      </c>
      <c r="AF742" t="s">
        <v>2596</v>
      </c>
      <c r="AG742" t="s">
        <v>2596</v>
      </c>
      <c r="AH742" t="s">
        <v>2596</v>
      </c>
    </row>
    <row r="743" spans="1:34" x14ac:dyDescent="0.25">
      <c r="A743" s="111" t="str">
        <f>HYPERLINK("http://www.ofsted.gov.uk/inspection-reports/find-inspection-report/provider/ELS/137567 ","Ofsted School Webpage")</f>
        <v>Ofsted School Webpage</v>
      </c>
      <c r="B743">
        <v>137567</v>
      </c>
      <c r="C743">
        <v>3066000</v>
      </c>
      <c r="D743" t="s">
        <v>1670</v>
      </c>
      <c r="E743" t="s">
        <v>36</v>
      </c>
      <c r="F743" t="s">
        <v>142</v>
      </c>
      <c r="G743" t="s">
        <v>142</v>
      </c>
      <c r="H743" t="s">
        <v>2595</v>
      </c>
      <c r="I743" t="s">
        <v>2596</v>
      </c>
      <c r="J743" t="s">
        <v>143</v>
      </c>
      <c r="K743" t="s">
        <v>189</v>
      </c>
      <c r="L743" t="s">
        <v>189</v>
      </c>
      <c r="M743" t="s">
        <v>676</v>
      </c>
      <c r="N743" t="s">
        <v>1671</v>
      </c>
      <c r="O743">
        <v>10006056</v>
      </c>
      <c r="P743" s="108">
        <v>42319</v>
      </c>
      <c r="Q743" s="108">
        <v>42321</v>
      </c>
      <c r="R743" s="108">
        <v>42340</v>
      </c>
      <c r="S743" t="s">
        <v>153</v>
      </c>
      <c r="T743">
        <v>2</v>
      </c>
      <c r="U743" t="s">
        <v>123</v>
      </c>
      <c r="V743">
        <v>2</v>
      </c>
      <c r="W743">
        <v>2</v>
      </c>
      <c r="X743">
        <v>2</v>
      </c>
      <c r="Y743">
        <f>VLOOKUP(Table_clu7sql1_ssdb_REPORT_vw_IE_External_MI_SON[[#This Row],[URN]],[1]Data!$D$2:$BB$1084,31,)</f>
        <v>2</v>
      </c>
      <c r="Z743" t="s">
        <v>2596</v>
      </c>
      <c r="AA743">
        <v>2</v>
      </c>
      <c r="AB743" t="s">
        <v>2598</v>
      </c>
      <c r="AC743" t="s">
        <v>2596</v>
      </c>
      <c r="AD743" t="s">
        <v>2596</v>
      </c>
      <c r="AE743" s="108" t="s">
        <v>2596</v>
      </c>
      <c r="AF743" t="s">
        <v>2596</v>
      </c>
      <c r="AG743" s="108" t="s">
        <v>2596</v>
      </c>
      <c r="AH743" t="s">
        <v>2596</v>
      </c>
    </row>
    <row r="744" spans="1:34" x14ac:dyDescent="0.25">
      <c r="A744" s="111" t="str">
        <f>HYPERLINK("http://www.ofsted.gov.uk/inspection-reports/find-inspection-report/provider/ELS/137568 ","Ofsted School Webpage")</f>
        <v>Ofsted School Webpage</v>
      </c>
      <c r="B744">
        <v>137568</v>
      </c>
      <c r="C744">
        <v>3736003</v>
      </c>
      <c r="D744" t="s">
        <v>686</v>
      </c>
      <c r="E744" t="s">
        <v>36</v>
      </c>
      <c r="F744" t="s">
        <v>142</v>
      </c>
      <c r="G744" t="s">
        <v>180</v>
      </c>
      <c r="H744" t="s">
        <v>2595</v>
      </c>
      <c r="I744" t="s">
        <v>2596</v>
      </c>
      <c r="J744" t="s">
        <v>143</v>
      </c>
      <c r="K744" t="s">
        <v>202</v>
      </c>
      <c r="L744" t="s">
        <v>203</v>
      </c>
      <c r="M744" t="s">
        <v>617</v>
      </c>
      <c r="N744" t="s">
        <v>687</v>
      </c>
      <c r="O744">
        <v>10012834</v>
      </c>
      <c r="P744" s="108">
        <v>42689</v>
      </c>
      <c r="Q744" s="108">
        <v>42691</v>
      </c>
      <c r="R744" s="108">
        <v>42754</v>
      </c>
      <c r="S744" t="s">
        <v>153</v>
      </c>
      <c r="T744">
        <v>4</v>
      </c>
      <c r="U744" t="s">
        <v>124</v>
      </c>
      <c r="V744">
        <v>4</v>
      </c>
      <c r="W744">
        <v>3</v>
      </c>
      <c r="X744">
        <v>2</v>
      </c>
      <c r="Y744">
        <f>VLOOKUP(Table_clu7sql1_ssdb_REPORT_vw_IE_External_MI_SON[[#This Row],[URN]],[1]Data!$D$2:$BB$1084,31,)</f>
        <v>2</v>
      </c>
      <c r="Z744" t="s">
        <v>2596</v>
      </c>
      <c r="AA744" t="s">
        <v>2596</v>
      </c>
      <c r="AB744" t="s">
        <v>2599</v>
      </c>
      <c r="AC744">
        <v>10040368</v>
      </c>
      <c r="AD744" t="s">
        <v>144</v>
      </c>
      <c r="AE744" s="108">
        <v>43060</v>
      </c>
      <c r="AF744" t="s">
        <v>2636</v>
      </c>
      <c r="AG744" s="108">
        <v>43108</v>
      </c>
      <c r="AH744" t="s">
        <v>174</v>
      </c>
    </row>
    <row r="745" spans="1:34" x14ac:dyDescent="0.25">
      <c r="A745" s="111" t="str">
        <f>HYPERLINK("http://www.ofsted.gov.uk/inspection-reports/find-inspection-report/provider/ELS/137571 ","Ofsted School Webpage")</f>
        <v>Ofsted School Webpage</v>
      </c>
      <c r="B745">
        <v>137571</v>
      </c>
      <c r="C745">
        <v>3326007</v>
      </c>
      <c r="D745" t="s">
        <v>304</v>
      </c>
      <c r="E745" t="s">
        <v>36</v>
      </c>
      <c r="F745" t="s">
        <v>142</v>
      </c>
      <c r="G745" t="s">
        <v>142</v>
      </c>
      <c r="H745" t="s">
        <v>2595</v>
      </c>
      <c r="I745" t="s">
        <v>2596</v>
      </c>
      <c r="J745" t="s">
        <v>143</v>
      </c>
      <c r="K745" t="s">
        <v>150</v>
      </c>
      <c r="L745" t="s">
        <v>150</v>
      </c>
      <c r="M745" t="s">
        <v>305</v>
      </c>
      <c r="N745" t="s">
        <v>306</v>
      </c>
      <c r="O745">
        <v>10006094</v>
      </c>
      <c r="P745" s="108">
        <v>43046</v>
      </c>
      <c r="Q745" s="108">
        <v>43048</v>
      </c>
      <c r="R745" s="108">
        <v>43069</v>
      </c>
      <c r="S745" t="s">
        <v>153</v>
      </c>
      <c r="T745">
        <v>2</v>
      </c>
      <c r="U745" t="s">
        <v>123</v>
      </c>
      <c r="V745">
        <v>2</v>
      </c>
      <c r="W745">
        <v>2</v>
      </c>
      <c r="X745">
        <v>2</v>
      </c>
      <c r="Y745">
        <f>VLOOKUP(Table_clu7sql1_ssdb_REPORT_vw_IE_External_MI_SON[[#This Row],[URN]],[1]Data!$D$2:$BB$1084,31,)</f>
        <v>1</v>
      </c>
      <c r="Z745" t="s">
        <v>2596</v>
      </c>
      <c r="AA745" t="s">
        <v>2596</v>
      </c>
      <c r="AB745" t="s">
        <v>2598</v>
      </c>
      <c r="AC745" t="s">
        <v>2596</v>
      </c>
      <c r="AD745" t="s">
        <v>2596</v>
      </c>
      <c r="AE745" s="108" t="s">
        <v>2596</v>
      </c>
      <c r="AF745" t="s">
        <v>2596</v>
      </c>
      <c r="AG745" s="108" t="s">
        <v>2596</v>
      </c>
      <c r="AH745" t="s">
        <v>2596</v>
      </c>
    </row>
    <row r="746" spans="1:34" x14ac:dyDescent="0.25">
      <c r="A746" s="111" t="str">
        <f>HYPERLINK("http://www.ofsted.gov.uk/inspection-reports/find-inspection-report/provider/ELS/137574 ","Ofsted School Webpage")</f>
        <v>Ofsted School Webpage</v>
      </c>
      <c r="B746">
        <v>137574</v>
      </c>
      <c r="C746">
        <v>8616006</v>
      </c>
      <c r="D746" t="s">
        <v>481</v>
      </c>
      <c r="E746" t="s">
        <v>36</v>
      </c>
      <c r="F746" t="s">
        <v>142</v>
      </c>
      <c r="G746" t="s">
        <v>142</v>
      </c>
      <c r="H746" t="s">
        <v>2595</v>
      </c>
      <c r="I746" t="s">
        <v>2596</v>
      </c>
      <c r="J746" t="s">
        <v>143</v>
      </c>
      <c r="K746" t="s">
        <v>150</v>
      </c>
      <c r="L746" t="s">
        <v>150</v>
      </c>
      <c r="M746" t="s">
        <v>447</v>
      </c>
      <c r="N746" t="s">
        <v>482</v>
      </c>
      <c r="O746">
        <v>10006068</v>
      </c>
      <c r="P746" s="108">
        <v>43018</v>
      </c>
      <c r="Q746" s="108">
        <v>43020</v>
      </c>
      <c r="R746" s="108">
        <v>43047</v>
      </c>
      <c r="S746" t="s">
        <v>153</v>
      </c>
      <c r="T746">
        <v>2</v>
      </c>
      <c r="U746" t="s">
        <v>123</v>
      </c>
      <c r="V746">
        <v>2</v>
      </c>
      <c r="W746">
        <v>2</v>
      </c>
      <c r="X746">
        <v>2</v>
      </c>
      <c r="Y746">
        <f>VLOOKUP(Table_clu7sql1_ssdb_REPORT_vw_IE_External_MI_SON[[#This Row],[URN]],[1]Data!$D$2:$BB$1084,31,)</f>
        <v>2</v>
      </c>
      <c r="Z746" t="s">
        <v>2596</v>
      </c>
      <c r="AA746" t="s">
        <v>2596</v>
      </c>
      <c r="AB746" t="s">
        <v>2598</v>
      </c>
      <c r="AC746" t="s">
        <v>2596</v>
      </c>
      <c r="AD746" t="s">
        <v>2596</v>
      </c>
      <c r="AE746" t="s">
        <v>2596</v>
      </c>
      <c r="AF746" t="s">
        <v>2596</v>
      </c>
      <c r="AG746" t="s">
        <v>2596</v>
      </c>
      <c r="AH746" t="s">
        <v>2596</v>
      </c>
    </row>
    <row r="747" spans="1:34" x14ac:dyDescent="0.25">
      <c r="A747" s="111" t="str">
        <f>HYPERLINK("http://www.ofsted.gov.uk/inspection-reports/find-inspection-report/provider/ELS/137583 ","Ofsted School Webpage")</f>
        <v>Ofsted School Webpage</v>
      </c>
      <c r="B747">
        <v>137583</v>
      </c>
      <c r="C747">
        <v>8016029</v>
      </c>
      <c r="D747" t="s">
        <v>1666</v>
      </c>
      <c r="E747" t="s">
        <v>36</v>
      </c>
      <c r="F747" t="s">
        <v>142</v>
      </c>
      <c r="G747" t="s">
        <v>142</v>
      </c>
      <c r="H747" t="s">
        <v>2595</v>
      </c>
      <c r="I747" t="s">
        <v>2596</v>
      </c>
      <c r="J747" t="s">
        <v>143</v>
      </c>
      <c r="K747" t="s">
        <v>182</v>
      </c>
      <c r="L747" t="s">
        <v>182</v>
      </c>
      <c r="M747" t="s">
        <v>317</v>
      </c>
      <c r="N747" t="s">
        <v>1667</v>
      </c>
      <c r="O747">
        <v>10006100</v>
      </c>
      <c r="P747" s="108">
        <v>42430</v>
      </c>
      <c r="Q747" s="108">
        <v>42432</v>
      </c>
      <c r="R747" s="108">
        <v>42478</v>
      </c>
      <c r="S747" t="s">
        <v>153</v>
      </c>
      <c r="T747">
        <v>3</v>
      </c>
      <c r="U747" t="s">
        <v>123</v>
      </c>
      <c r="V747">
        <v>3</v>
      </c>
      <c r="W747">
        <v>3</v>
      </c>
      <c r="X747">
        <v>3</v>
      </c>
      <c r="Y747">
        <f>VLOOKUP(Table_clu7sql1_ssdb_REPORT_vw_IE_External_MI_SON[[#This Row],[URN]],[1]Data!$D$2:$BB$1084,31,)</f>
        <v>3</v>
      </c>
      <c r="Z747" t="s">
        <v>2596</v>
      </c>
      <c r="AA747" t="s">
        <v>2596</v>
      </c>
      <c r="AB747" t="s">
        <v>2598</v>
      </c>
      <c r="AC747" t="s">
        <v>2596</v>
      </c>
      <c r="AD747" t="s">
        <v>2596</v>
      </c>
      <c r="AE747" t="s">
        <v>2596</v>
      </c>
      <c r="AF747" t="s">
        <v>2596</v>
      </c>
      <c r="AG747" t="s">
        <v>2596</v>
      </c>
      <c r="AH747" t="s">
        <v>2596</v>
      </c>
    </row>
    <row r="748" spans="1:34" x14ac:dyDescent="0.25">
      <c r="A748" s="111" t="str">
        <f>HYPERLINK("http://www.ofsted.gov.uk/inspection-reports/find-inspection-report/provider/ELS/137597 ","Ofsted School Webpage")</f>
        <v>Ofsted School Webpage</v>
      </c>
      <c r="B748">
        <v>137597</v>
      </c>
      <c r="C748">
        <v>9376000</v>
      </c>
      <c r="D748" t="s">
        <v>1509</v>
      </c>
      <c r="E748" t="s">
        <v>37</v>
      </c>
      <c r="F748" t="s">
        <v>142</v>
      </c>
      <c r="G748" t="s">
        <v>142</v>
      </c>
      <c r="H748" t="s">
        <v>2595</v>
      </c>
      <c r="I748" t="s">
        <v>2596</v>
      </c>
      <c r="J748" t="s">
        <v>143</v>
      </c>
      <c r="K748" t="s">
        <v>150</v>
      </c>
      <c r="L748" t="s">
        <v>150</v>
      </c>
      <c r="M748" t="s">
        <v>333</v>
      </c>
      <c r="N748" t="s">
        <v>1511</v>
      </c>
      <c r="O748">
        <v>10006118</v>
      </c>
      <c r="P748" s="108">
        <v>42326</v>
      </c>
      <c r="Q748" s="108">
        <v>42328</v>
      </c>
      <c r="R748" s="108">
        <v>42383</v>
      </c>
      <c r="S748" t="s">
        <v>153</v>
      </c>
      <c r="T748">
        <v>3</v>
      </c>
      <c r="U748" t="s">
        <v>123</v>
      </c>
      <c r="V748">
        <v>3</v>
      </c>
      <c r="W748">
        <v>2</v>
      </c>
      <c r="X748">
        <v>3</v>
      </c>
      <c r="Y748">
        <f>VLOOKUP(Table_clu7sql1_ssdb_REPORT_vw_IE_External_MI_SON[[#This Row],[URN]],[1]Data!$D$2:$BB$1084,31,)</f>
        <v>3</v>
      </c>
      <c r="Z748" t="s">
        <v>2596</v>
      </c>
      <c r="AA748">
        <v>3</v>
      </c>
      <c r="AB748" t="s">
        <v>2599</v>
      </c>
      <c r="AC748" t="s">
        <v>2596</v>
      </c>
      <c r="AD748" t="s">
        <v>2596</v>
      </c>
      <c r="AE748" t="s">
        <v>2596</v>
      </c>
      <c r="AF748" t="s">
        <v>2596</v>
      </c>
      <c r="AG748" t="s">
        <v>2596</v>
      </c>
      <c r="AH748" t="s">
        <v>2596</v>
      </c>
    </row>
    <row r="749" spans="1:34" x14ac:dyDescent="0.25">
      <c r="A749" s="111" t="str">
        <f>HYPERLINK("http://www.ofsted.gov.uk/inspection-reports/find-inspection-report/provider/ELS/137784 ","Ofsted School Webpage")</f>
        <v>Ofsted School Webpage</v>
      </c>
      <c r="B749">
        <v>137784</v>
      </c>
      <c r="C749">
        <v>3026015</v>
      </c>
      <c r="D749" t="s">
        <v>2325</v>
      </c>
      <c r="E749" t="s">
        <v>36</v>
      </c>
      <c r="F749" t="s">
        <v>142</v>
      </c>
      <c r="G749" t="s">
        <v>261</v>
      </c>
      <c r="H749" t="s">
        <v>2595</v>
      </c>
      <c r="I749" t="s">
        <v>2596</v>
      </c>
      <c r="J749" t="s">
        <v>143</v>
      </c>
      <c r="K749" t="s">
        <v>189</v>
      </c>
      <c r="L749" t="s">
        <v>189</v>
      </c>
      <c r="M749" t="s">
        <v>268</v>
      </c>
      <c r="N749" t="s">
        <v>2326</v>
      </c>
      <c r="O749" t="s">
        <v>2327</v>
      </c>
      <c r="P749" s="108">
        <v>41234</v>
      </c>
      <c r="Q749" s="108">
        <v>41235</v>
      </c>
      <c r="R749" s="108">
        <v>41256</v>
      </c>
      <c r="S749" t="s">
        <v>206</v>
      </c>
      <c r="T749">
        <v>1</v>
      </c>
      <c r="U749" t="s">
        <v>2596</v>
      </c>
      <c r="V749" t="s">
        <v>2596</v>
      </c>
      <c r="W749" t="s">
        <v>2596</v>
      </c>
      <c r="X749">
        <v>1</v>
      </c>
      <c r="Y749">
        <f>VLOOKUP(Table_clu7sql1_ssdb_REPORT_vw_IE_External_MI_SON[[#This Row],[URN]],[1]Data!$D$2:$BB$1084,31,)</f>
        <v>1</v>
      </c>
      <c r="Z749">
        <v>8</v>
      </c>
      <c r="AA749" t="s">
        <v>2596</v>
      </c>
      <c r="AB749" t="s">
        <v>2598</v>
      </c>
      <c r="AC749" t="s">
        <v>2596</v>
      </c>
      <c r="AD749" t="s">
        <v>2596</v>
      </c>
      <c r="AE749" s="108" t="s">
        <v>2596</v>
      </c>
      <c r="AF749" t="s">
        <v>2596</v>
      </c>
      <c r="AG749" s="108" t="s">
        <v>2596</v>
      </c>
      <c r="AH749" t="s">
        <v>2596</v>
      </c>
    </row>
    <row r="750" spans="1:34" x14ac:dyDescent="0.25">
      <c r="A750" s="111" t="str">
        <f>HYPERLINK("http://www.ofsted.gov.uk/inspection-reports/find-inspection-report/provider/ELS/137785 ","Ofsted School Webpage")</f>
        <v>Ofsted School Webpage</v>
      </c>
      <c r="B750">
        <v>137785</v>
      </c>
      <c r="C750">
        <v>3806001</v>
      </c>
      <c r="D750" t="s">
        <v>556</v>
      </c>
      <c r="E750" t="s">
        <v>37</v>
      </c>
      <c r="F750" t="s">
        <v>142</v>
      </c>
      <c r="G750" t="s">
        <v>142</v>
      </c>
      <c r="H750" t="s">
        <v>2595</v>
      </c>
      <c r="I750" t="s">
        <v>2596</v>
      </c>
      <c r="J750" t="s">
        <v>143</v>
      </c>
      <c r="K750" t="s">
        <v>202</v>
      </c>
      <c r="L750" t="s">
        <v>203</v>
      </c>
      <c r="M750" t="s">
        <v>295</v>
      </c>
      <c r="N750" t="s">
        <v>557</v>
      </c>
      <c r="O750">
        <v>10006098</v>
      </c>
      <c r="P750" s="108">
        <v>42444</v>
      </c>
      <c r="Q750" s="108">
        <v>42446</v>
      </c>
      <c r="R750" s="108">
        <v>42473</v>
      </c>
      <c r="S750" t="s">
        <v>153</v>
      </c>
      <c r="T750">
        <v>2</v>
      </c>
      <c r="U750" t="s">
        <v>123</v>
      </c>
      <c r="V750">
        <v>2</v>
      </c>
      <c r="W750">
        <v>2</v>
      </c>
      <c r="X750">
        <v>2</v>
      </c>
      <c r="Y750">
        <f>VLOOKUP(Table_clu7sql1_ssdb_REPORT_vw_IE_External_MI_SON[[#This Row],[URN]],[1]Data!$D$2:$BB$1084,31,)</f>
        <v>2</v>
      </c>
      <c r="Z750" t="s">
        <v>2596</v>
      </c>
      <c r="AA750" t="s">
        <v>2596</v>
      </c>
      <c r="AB750" t="s">
        <v>2598</v>
      </c>
      <c r="AC750" t="s">
        <v>2596</v>
      </c>
      <c r="AD750" t="s">
        <v>2596</v>
      </c>
      <c r="AE750" t="s">
        <v>2596</v>
      </c>
      <c r="AF750" t="s">
        <v>2596</v>
      </c>
      <c r="AG750" t="s">
        <v>2596</v>
      </c>
      <c r="AH750" t="s">
        <v>2596</v>
      </c>
    </row>
    <row r="751" spans="1:34" x14ac:dyDescent="0.25">
      <c r="A751" s="111" t="str">
        <f>HYPERLINK("http://www.ofsted.gov.uk/inspection-reports/find-inspection-report/provider/ELS/137795 ","Ofsted School Webpage")</f>
        <v>Ofsted School Webpage</v>
      </c>
      <c r="B751">
        <v>137795</v>
      </c>
      <c r="C751">
        <v>8866137</v>
      </c>
      <c r="D751" t="s">
        <v>1161</v>
      </c>
      <c r="E751" t="s">
        <v>37</v>
      </c>
      <c r="F751" t="s">
        <v>142</v>
      </c>
      <c r="G751" t="s">
        <v>142</v>
      </c>
      <c r="H751" t="s">
        <v>2595</v>
      </c>
      <c r="I751" t="s">
        <v>2596</v>
      </c>
      <c r="J751" t="s">
        <v>143</v>
      </c>
      <c r="K751" t="s">
        <v>139</v>
      </c>
      <c r="L751" t="s">
        <v>139</v>
      </c>
      <c r="M751" t="s">
        <v>140</v>
      </c>
      <c r="N751" t="s">
        <v>1162</v>
      </c>
      <c r="O751">
        <v>10008591</v>
      </c>
      <c r="P751" s="108">
        <v>43074</v>
      </c>
      <c r="Q751" s="108">
        <v>43076</v>
      </c>
      <c r="R751" s="108">
        <v>43111</v>
      </c>
      <c r="S751" t="s">
        <v>153</v>
      </c>
      <c r="T751">
        <v>2</v>
      </c>
      <c r="U751" t="s">
        <v>123</v>
      </c>
      <c r="V751">
        <v>2</v>
      </c>
      <c r="W751">
        <v>1</v>
      </c>
      <c r="X751">
        <v>2</v>
      </c>
      <c r="Y751">
        <f>VLOOKUP(Table_clu7sql1_ssdb_REPORT_vw_IE_External_MI_SON[[#This Row],[URN]],[1]Data!$D$2:$BB$1084,31,)</f>
        <v>2</v>
      </c>
      <c r="Z751" t="s">
        <v>2596</v>
      </c>
      <c r="AA751" t="s">
        <v>2596</v>
      </c>
      <c r="AB751" t="s">
        <v>2598</v>
      </c>
      <c r="AC751" t="s">
        <v>2596</v>
      </c>
      <c r="AD751" t="s">
        <v>2596</v>
      </c>
      <c r="AE751" t="s">
        <v>2596</v>
      </c>
      <c r="AF751" t="s">
        <v>2596</v>
      </c>
      <c r="AG751" t="s">
        <v>2596</v>
      </c>
      <c r="AH751" t="s">
        <v>2596</v>
      </c>
    </row>
    <row r="752" spans="1:34" x14ac:dyDescent="0.25">
      <c r="A752" s="111" t="str">
        <f>HYPERLINK("http://www.ofsted.gov.uk/inspection-reports/find-inspection-report/provider/ELS/137802 ","Ofsted School Webpage")</f>
        <v>Ofsted School Webpage</v>
      </c>
      <c r="B752">
        <v>137802</v>
      </c>
      <c r="C752">
        <v>3076004</v>
      </c>
      <c r="D752" t="s">
        <v>2198</v>
      </c>
      <c r="E752" t="s">
        <v>36</v>
      </c>
      <c r="F752" t="s">
        <v>142</v>
      </c>
      <c r="G752" t="s">
        <v>142</v>
      </c>
      <c r="H752" t="s">
        <v>2595</v>
      </c>
      <c r="I752" t="s">
        <v>2596</v>
      </c>
      <c r="J752" t="s">
        <v>143</v>
      </c>
      <c r="K752" t="s">
        <v>189</v>
      </c>
      <c r="L752" t="s">
        <v>189</v>
      </c>
      <c r="M752" t="s">
        <v>584</v>
      </c>
      <c r="N752" t="s">
        <v>2199</v>
      </c>
      <c r="O752" t="s">
        <v>2200</v>
      </c>
      <c r="P752" s="108">
        <v>41253</v>
      </c>
      <c r="Q752" s="108">
        <v>41254</v>
      </c>
      <c r="R752" s="108">
        <v>41306</v>
      </c>
      <c r="S752" t="s">
        <v>206</v>
      </c>
      <c r="T752">
        <v>2</v>
      </c>
      <c r="U752" t="s">
        <v>2596</v>
      </c>
      <c r="V752" t="s">
        <v>2596</v>
      </c>
      <c r="W752" t="s">
        <v>2596</v>
      </c>
      <c r="X752">
        <v>2</v>
      </c>
      <c r="Y752">
        <f>VLOOKUP(Table_clu7sql1_ssdb_REPORT_vw_IE_External_MI_SON[[#This Row],[URN]],[1]Data!$D$2:$BB$1084,31,)</f>
        <v>2</v>
      </c>
      <c r="Z752">
        <v>2</v>
      </c>
      <c r="AA752" t="s">
        <v>2596</v>
      </c>
      <c r="AB752" t="s">
        <v>2598</v>
      </c>
      <c r="AC752" t="s">
        <v>2596</v>
      </c>
      <c r="AD752" t="s">
        <v>2596</v>
      </c>
      <c r="AE752" t="s">
        <v>2596</v>
      </c>
      <c r="AF752" t="s">
        <v>2596</v>
      </c>
      <c r="AG752" t="s">
        <v>2596</v>
      </c>
      <c r="AH752" t="s">
        <v>2596</v>
      </c>
    </row>
    <row r="753" spans="1:34" x14ac:dyDescent="0.25">
      <c r="A753" s="111" t="str">
        <f>HYPERLINK("http://www.ofsted.gov.uk/inspection-reports/find-inspection-report/provider/ELS/137808 ","Ofsted School Webpage")</f>
        <v>Ofsted School Webpage</v>
      </c>
      <c r="B753">
        <v>137808</v>
      </c>
      <c r="C753">
        <v>2046003</v>
      </c>
      <c r="D753" t="s">
        <v>1338</v>
      </c>
      <c r="E753" t="s">
        <v>37</v>
      </c>
      <c r="F753" t="s">
        <v>142</v>
      </c>
      <c r="G753" t="s">
        <v>142</v>
      </c>
      <c r="H753" t="s">
        <v>2595</v>
      </c>
      <c r="I753" t="s">
        <v>2596</v>
      </c>
      <c r="J753" t="s">
        <v>143</v>
      </c>
      <c r="K753" t="s">
        <v>189</v>
      </c>
      <c r="L753" t="s">
        <v>189</v>
      </c>
      <c r="M753" t="s">
        <v>434</v>
      </c>
      <c r="N753" t="s">
        <v>1339</v>
      </c>
      <c r="O753">
        <v>10006055</v>
      </c>
      <c r="P753" s="108">
        <v>42339</v>
      </c>
      <c r="Q753" s="108">
        <v>42341</v>
      </c>
      <c r="R753" s="108">
        <v>42380</v>
      </c>
      <c r="S753" t="s">
        <v>153</v>
      </c>
      <c r="T753">
        <v>1</v>
      </c>
      <c r="U753" t="s">
        <v>123</v>
      </c>
      <c r="V753">
        <v>1</v>
      </c>
      <c r="W753">
        <v>1</v>
      </c>
      <c r="X753">
        <v>1</v>
      </c>
      <c r="Y753">
        <f>VLOOKUP(Table_clu7sql1_ssdb_REPORT_vw_IE_External_MI_SON[[#This Row],[URN]],[1]Data!$D$2:$BB$1084,31,)</f>
        <v>1</v>
      </c>
      <c r="Z753" t="s">
        <v>2596</v>
      </c>
      <c r="AA753" t="s">
        <v>2596</v>
      </c>
      <c r="AB753" t="s">
        <v>2598</v>
      </c>
      <c r="AC753" t="s">
        <v>2596</v>
      </c>
      <c r="AD753" t="s">
        <v>2596</v>
      </c>
      <c r="AE753" t="s">
        <v>2596</v>
      </c>
      <c r="AF753" t="s">
        <v>2596</v>
      </c>
      <c r="AG753" t="s">
        <v>2596</v>
      </c>
      <c r="AH753" t="s">
        <v>2596</v>
      </c>
    </row>
    <row r="754" spans="1:34" x14ac:dyDescent="0.25">
      <c r="A754" s="111" t="str">
        <f>HYPERLINK("http://www.ofsted.gov.uk/inspection-reports/find-inspection-report/provider/ELS/137809 ","Ofsted School Webpage")</f>
        <v>Ofsted School Webpage</v>
      </c>
      <c r="B754">
        <v>137809</v>
      </c>
      <c r="C754">
        <v>2046004</v>
      </c>
      <c r="D754" t="s">
        <v>1891</v>
      </c>
      <c r="E754" t="s">
        <v>36</v>
      </c>
      <c r="F754" t="s">
        <v>142</v>
      </c>
      <c r="G754" t="s">
        <v>275</v>
      </c>
      <c r="H754" t="s">
        <v>2595</v>
      </c>
      <c r="I754" t="s">
        <v>2596</v>
      </c>
      <c r="J754" t="s">
        <v>143</v>
      </c>
      <c r="K754" t="s">
        <v>189</v>
      </c>
      <c r="L754" t="s">
        <v>189</v>
      </c>
      <c r="M754" t="s">
        <v>434</v>
      </c>
      <c r="N754" t="s">
        <v>1892</v>
      </c>
      <c r="O754" t="s">
        <v>1893</v>
      </c>
      <c r="P754" s="108">
        <v>41248</v>
      </c>
      <c r="Q754" s="108">
        <v>41249</v>
      </c>
      <c r="R754" s="108">
        <v>41281</v>
      </c>
      <c r="S754" t="s">
        <v>206</v>
      </c>
      <c r="T754">
        <v>2</v>
      </c>
      <c r="U754" t="s">
        <v>2596</v>
      </c>
      <c r="V754" t="s">
        <v>2596</v>
      </c>
      <c r="W754" t="s">
        <v>2596</v>
      </c>
      <c r="X754">
        <v>2</v>
      </c>
      <c r="Y754">
        <f>VLOOKUP(Table_clu7sql1_ssdb_REPORT_vw_IE_External_MI_SON[[#This Row],[URN]],[1]Data!$D$2:$BB$1084,31,)</f>
        <v>2</v>
      </c>
      <c r="Z754">
        <v>8</v>
      </c>
      <c r="AA754" t="s">
        <v>2596</v>
      </c>
      <c r="AB754" t="s">
        <v>2598</v>
      </c>
      <c r="AC754" t="s">
        <v>2596</v>
      </c>
      <c r="AD754" t="s">
        <v>2596</v>
      </c>
      <c r="AE754" t="s">
        <v>2596</v>
      </c>
      <c r="AF754" t="s">
        <v>2596</v>
      </c>
      <c r="AG754" t="s">
        <v>2596</v>
      </c>
      <c r="AH754" t="s">
        <v>2596</v>
      </c>
    </row>
    <row r="755" spans="1:34" x14ac:dyDescent="0.25">
      <c r="A755" s="111" t="str">
        <f>HYPERLINK("http://www.ofsted.gov.uk/inspection-reports/find-inspection-report/provider/ELS/137819 ","Ofsted School Webpage")</f>
        <v>Ofsted School Webpage</v>
      </c>
      <c r="B755">
        <v>137819</v>
      </c>
      <c r="C755">
        <v>3306010</v>
      </c>
      <c r="D755" t="s">
        <v>2163</v>
      </c>
      <c r="E755" t="s">
        <v>36</v>
      </c>
      <c r="F755" t="s">
        <v>142</v>
      </c>
      <c r="G755" t="s">
        <v>142</v>
      </c>
      <c r="H755" t="s">
        <v>2595</v>
      </c>
      <c r="I755" t="s">
        <v>2596</v>
      </c>
      <c r="J755" t="s">
        <v>143</v>
      </c>
      <c r="K755" t="s">
        <v>150</v>
      </c>
      <c r="L755" t="s">
        <v>150</v>
      </c>
      <c r="M755" t="s">
        <v>167</v>
      </c>
      <c r="N755" t="s">
        <v>2904</v>
      </c>
      <c r="O755" t="s">
        <v>2164</v>
      </c>
      <c r="P755" s="108">
        <v>41254</v>
      </c>
      <c r="Q755" s="108">
        <v>41255</v>
      </c>
      <c r="R755" s="108">
        <v>41289</v>
      </c>
      <c r="S755" t="s">
        <v>206</v>
      </c>
      <c r="T755">
        <v>2</v>
      </c>
      <c r="U755" t="s">
        <v>2596</v>
      </c>
      <c r="V755" t="s">
        <v>2596</v>
      </c>
      <c r="W755" t="s">
        <v>2596</v>
      </c>
      <c r="X755">
        <v>2</v>
      </c>
      <c r="Y755">
        <f>VLOOKUP(Table_clu7sql1_ssdb_REPORT_vw_IE_External_MI_SON[[#This Row],[URN]],[1]Data!$D$2:$BB$1084,31,)</f>
        <v>2</v>
      </c>
      <c r="Z755">
        <v>8</v>
      </c>
      <c r="AA755" t="s">
        <v>2596</v>
      </c>
      <c r="AB755" t="s">
        <v>2599</v>
      </c>
      <c r="AC755" t="s">
        <v>2596</v>
      </c>
      <c r="AD755" t="s">
        <v>2596</v>
      </c>
      <c r="AE755" t="s">
        <v>2596</v>
      </c>
      <c r="AF755" t="s">
        <v>2596</v>
      </c>
      <c r="AG755" t="s">
        <v>2596</v>
      </c>
      <c r="AH755" t="s">
        <v>2596</v>
      </c>
    </row>
    <row r="756" spans="1:34" x14ac:dyDescent="0.25">
      <c r="A756" s="111" t="str">
        <f>HYPERLINK("http://www.ofsted.gov.uk/inspection-reports/find-inspection-report/provider/ELS/137821 ","Ofsted School Webpage")</f>
        <v>Ofsted School Webpage</v>
      </c>
      <c r="B756">
        <v>137821</v>
      </c>
      <c r="C756">
        <v>3596000</v>
      </c>
      <c r="D756" t="s">
        <v>1178</v>
      </c>
      <c r="E756" t="s">
        <v>37</v>
      </c>
      <c r="F756" t="s">
        <v>142</v>
      </c>
      <c r="G756" t="s">
        <v>142</v>
      </c>
      <c r="H756" t="s">
        <v>2595</v>
      </c>
      <c r="I756" t="s">
        <v>2596</v>
      </c>
      <c r="J756" t="s">
        <v>143</v>
      </c>
      <c r="K756" t="s">
        <v>162</v>
      </c>
      <c r="L756" t="s">
        <v>162</v>
      </c>
      <c r="M756" t="s">
        <v>426</v>
      </c>
      <c r="N756" t="s">
        <v>1179</v>
      </c>
      <c r="O756">
        <v>10008886</v>
      </c>
      <c r="P756" s="108">
        <v>42563</v>
      </c>
      <c r="Q756" s="108">
        <v>42565</v>
      </c>
      <c r="R756" s="108">
        <v>42633</v>
      </c>
      <c r="S756" t="s">
        <v>153</v>
      </c>
      <c r="T756">
        <v>2</v>
      </c>
      <c r="U756" t="s">
        <v>123</v>
      </c>
      <c r="V756">
        <v>2</v>
      </c>
      <c r="W756">
        <v>2</v>
      </c>
      <c r="X756">
        <v>2</v>
      </c>
      <c r="Y756">
        <f>VLOOKUP(Table_clu7sql1_ssdb_REPORT_vw_IE_External_MI_SON[[#This Row],[URN]],[1]Data!$D$2:$BB$1084,31,)</f>
        <v>2</v>
      </c>
      <c r="Z756" t="s">
        <v>2596</v>
      </c>
      <c r="AA756" t="s">
        <v>2596</v>
      </c>
      <c r="AB756" t="s">
        <v>2598</v>
      </c>
      <c r="AC756" t="s">
        <v>2596</v>
      </c>
      <c r="AD756" t="s">
        <v>2596</v>
      </c>
      <c r="AE756" t="s">
        <v>2596</v>
      </c>
      <c r="AF756" t="s">
        <v>2596</v>
      </c>
      <c r="AG756" t="s">
        <v>2596</v>
      </c>
      <c r="AH756" t="s">
        <v>2596</v>
      </c>
    </row>
    <row r="757" spans="1:34" x14ac:dyDescent="0.25">
      <c r="A757" s="111" t="str">
        <f>HYPERLINK("http://www.ofsted.gov.uk/inspection-reports/find-inspection-report/provider/ELS/137822 ","Ofsted School Webpage")</f>
        <v>Ofsted School Webpage</v>
      </c>
      <c r="B757">
        <v>137822</v>
      </c>
      <c r="C757">
        <v>3536000</v>
      </c>
      <c r="D757" t="s">
        <v>2134</v>
      </c>
      <c r="E757" t="s">
        <v>36</v>
      </c>
      <c r="F757" t="s">
        <v>261</v>
      </c>
      <c r="G757" t="s">
        <v>180</v>
      </c>
      <c r="H757" t="s">
        <v>2595</v>
      </c>
      <c r="I757" t="s">
        <v>2596</v>
      </c>
      <c r="J757" t="s">
        <v>143</v>
      </c>
      <c r="K757" t="s">
        <v>162</v>
      </c>
      <c r="L757" t="s">
        <v>162</v>
      </c>
      <c r="M757" t="s">
        <v>423</v>
      </c>
      <c r="N757" t="s">
        <v>2135</v>
      </c>
      <c r="O757">
        <v>10006095</v>
      </c>
      <c r="P757" s="108">
        <v>42494</v>
      </c>
      <c r="Q757" s="108">
        <v>42496</v>
      </c>
      <c r="R757" s="108">
        <v>42524</v>
      </c>
      <c r="S757" t="s">
        <v>153</v>
      </c>
      <c r="T757">
        <v>2</v>
      </c>
      <c r="U757" t="s">
        <v>123</v>
      </c>
      <c r="V757">
        <v>1</v>
      </c>
      <c r="W757">
        <v>1</v>
      </c>
      <c r="X757">
        <v>2</v>
      </c>
      <c r="Y757">
        <f>VLOOKUP(Table_clu7sql1_ssdb_REPORT_vw_IE_External_MI_SON[[#This Row],[URN]],[1]Data!$D$2:$BB$1084,31,)</f>
        <v>2</v>
      </c>
      <c r="Z757">
        <v>2</v>
      </c>
      <c r="AA757" t="s">
        <v>2596</v>
      </c>
      <c r="AB757" t="s">
        <v>2598</v>
      </c>
      <c r="AC757" t="s">
        <v>2596</v>
      </c>
      <c r="AD757" t="s">
        <v>2596</v>
      </c>
      <c r="AE757" t="s">
        <v>2596</v>
      </c>
      <c r="AF757" t="s">
        <v>2596</v>
      </c>
      <c r="AG757" t="s">
        <v>2596</v>
      </c>
      <c r="AH757" t="s">
        <v>2596</v>
      </c>
    </row>
    <row r="758" spans="1:34" x14ac:dyDescent="0.25">
      <c r="A758" s="111" t="str">
        <f>HYPERLINK("http://www.ofsted.gov.uk/inspection-reports/find-inspection-report/provider/ELS/137887 ","Ofsted School Webpage")</f>
        <v>Ofsted School Webpage</v>
      </c>
      <c r="B758">
        <v>137887</v>
      </c>
      <c r="C758">
        <v>3526006</v>
      </c>
      <c r="D758" t="s">
        <v>262</v>
      </c>
      <c r="E758" t="s">
        <v>36</v>
      </c>
      <c r="F758" t="s">
        <v>142</v>
      </c>
      <c r="G758" t="s">
        <v>142</v>
      </c>
      <c r="H758" t="s">
        <v>2595</v>
      </c>
      <c r="I758" t="s">
        <v>2596</v>
      </c>
      <c r="J758" t="s">
        <v>143</v>
      </c>
      <c r="K758" t="s">
        <v>162</v>
      </c>
      <c r="L758" t="s">
        <v>162</v>
      </c>
      <c r="M758" t="s">
        <v>263</v>
      </c>
      <c r="N758" t="s">
        <v>264</v>
      </c>
      <c r="O758">
        <v>10020720</v>
      </c>
      <c r="P758" s="108">
        <v>42661</v>
      </c>
      <c r="Q758" s="108">
        <v>42663</v>
      </c>
      <c r="R758" s="108">
        <v>42754</v>
      </c>
      <c r="S758" t="s">
        <v>153</v>
      </c>
      <c r="T758">
        <v>4</v>
      </c>
      <c r="U758" t="s">
        <v>124</v>
      </c>
      <c r="V758">
        <v>4</v>
      </c>
      <c r="W758">
        <v>4</v>
      </c>
      <c r="X758">
        <v>3</v>
      </c>
      <c r="Y758">
        <f>VLOOKUP(Table_clu7sql1_ssdb_REPORT_vw_IE_External_MI_SON[[#This Row],[URN]],[1]Data!$D$2:$BB$1084,31,)</f>
        <v>3</v>
      </c>
      <c r="Z758" t="s">
        <v>2596</v>
      </c>
      <c r="AA758" t="s">
        <v>2596</v>
      </c>
      <c r="AB758" t="s">
        <v>2599</v>
      </c>
      <c r="AC758">
        <v>10040204</v>
      </c>
      <c r="AD758" t="s">
        <v>144</v>
      </c>
      <c r="AE758" s="108">
        <v>43012</v>
      </c>
      <c r="AF758" t="s">
        <v>2636</v>
      </c>
      <c r="AG758" s="108">
        <v>43048</v>
      </c>
      <c r="AH758" t="s">
        <v>146</v>
      </c>
    </row>
    <row r="759" spans="1:34" x14ac:dyDescent="0.25">
      <c r="A759" s="111" t="str">
        <f>HYPERLINK("http://www.ofsted.gov.uk/inspection-reports/find-inspection-report/provider/ELS/137890 ","Ofsted School Webpage")</f>
        <v>Ofsted School Webpage</v>
      </c>
      <c r="B759">
        <v>137890</v>
      </c>
      <c r="C759">
        <v>3026003</v>
      </c>
      <c r="D759" t="s">
        <v>267</v>
      </c>
      <c r="E759" t="s">
        <v>37</v>
      </c>
      <c r="F759" t="s">
        <v>142</v>
      </c>
      <c r="G759" t="s">
        <v>142</v>
      </c>
      <c r="H759" t="s">
        <v>2595</v>
      </c>
      <c r="I759" t="s">
        <v>2596</v>
      </c>
      <c r="J759" t="s">
        <v>143</v>
      </c>
      <c r="K759" t="s">
        <v>189</v>
      </c>
      <c r="L759" t="s">
        <v>189</v>
      </c>
      <c r="M759" t="s">
        <v>268</v>
      </c>
      <c r="N759" t="s">
        <v>269</v>
      </c>
      <c r="O759">
        <v>10008526</v>
      </c>
      <c r="P759" s="108">
        <v>42998</v>
      </c>
      <c r="Q759" s="108">
        <v>43000</v>
      </c>
      <c r="R759" s="108">
        <v>43052</v>
      </c>
      <c r="S759" t="s">
        <v>153</v>
      </c>
      <c r="T759">
        <v>3</v>
      </c>
      <c r="U759" t="s">
        <v>123</v>
      </c>
      <c r="V759">
        <v>3</v>
      </c>
      <c r="W759">
        <v>1</v>
      </c>
      <c r="X759">
        <v>3</v>
      </c>
      <c r="Y759">
        <f>VLOOKUP(Table_clu7sql1_ssdb_REPORT_vw_IE_External_MI_SON[[#This Row],[URN]],[1]Data!$D$2:$BB$1084,31,)</f>
        <v>3</v>
      </c>
      <c r="Z759" t="s">
        <v>2596</v>
      </c>
      <c r="AA759" t="s">
        <v>2596</v>
      </c>
      <c r="AB759" t="s">
        <v>2598</v>
      </c>
      <c r="AC759" t="s">
        <v>2596</v>
      </c>
      <c r="AD759" t="s">
        <v>2596</v>
      </c>
      <c r="AE759" t="s">
        <v>2596</v>
      </c>
      <c r="AF759" t="s">
        <v>2596</v>
      </c>
      <c r="AG759" t="s">
        <v>2596</v>
      </c>
      <c r="AH759" t="s">
        <v>2596</v>
      </c>
    </row>
    <row r="760" spans="1:34" x14ac:dyDescent="0.25">
      <c r="A760" s="111" t="str">
        <f>HYPERLINK("http://www.ofsted.gov.uk/inspection-reports/find-inspection-report/provider/ELS/137892 ","Ofsted School Webpage")</f>
        <v>Ofsted School Webpage</v>
      </c>
      <c r="B760">
        <v>137892</v>
      </c>
      <c r="C760">
        <v>8616007</v>
      </c>
      <c r="D760" t="s">
        <v>2424</v>
      </c>
      <c r="E760" t="s">
        <v>36</v>
      </c>
      <c r="F760" t="s">
        <v>142</v>
      </c>
      <c r="G760" t="s">
        <v>142</v>
      </c>
      <c r="H760" t="s">
        <v>2595</v>
      </c>
      <c r="I760" t="s">
        <v>2596</v>
      </c>
      <c r="J760" t="s">
        <v>143</v>
      </c>
      <c r="K760" t="s">
        <v>150</v>
      </c>
      <c r="L760" t="s">
        <v>150</v>
      </c>
      <c r="M760" t="s">
        <v>447</v>
      </c>
      <c r="N760" t="s">
        <v>2425</v>
      </c>
      <c r="O760">
        <v>10026111</v>
      </c>
      <c r="P760" s="108">
        <v>43123</v>
      </c>
      <c r="Q760" s="108">
        <v>43125</v>
      </c>
      <c r="R760" s="108">
        <v>43145</v>
      </c>
      <c r="S760" t="s">
        <v>153</v>
      </c>
      <c r="T760">
        <v>2</v>
      </c>
      <c r="U760" t="s">
        <v>123</v>
      </c>
      <c r="V760">
        <v>2</v>
      </c>
      <c r="W760">
        <v>2</v>
      </c>
      <c r="X760">
        <v>2</v>
      </c>
      <c r="Y760">
        <f>VLOOKUP(Table_clu7sql1_ssdb_REPORT_vw_IE_External_MI_SON[[#This Row],[URN]],[1]Data!$D$2:$BB$1084,31,)</f>
        <v>2</v>
      </c>
      <c r="Z760" t="s">
        <v>2596</v>
      </c>
      <c r="AA760" t="s">
        <v>2596</v>
      </c>
      <c r="AB760" t="s">
        <v>2598</v>
      </c>
      <c r="AC760" t="s">
        <v>2596</v>
      </c>
      <c r="AD760" t="s">
        <v>2596</v>
      </c>
      <c r="AE760" s="108" t="s">
        <v>2596</v>
      </c>
      <c r="AF760" t="s">
        <v>2596</v>
      </c>
      <c r="AG760" s="108" t="s">
        <v>2596</v>
      </c>
      <c r="AH760" t="s">
        <v>2596</v>
      </c>
    </row>
    <row r="761" spans="1:34" x14ac:dyDescent="0.25">
      <c r="A761" s="111" t="str">
        <f>HYPERLINK("http://www.ofsted.gov.uk/inspection-reports/find-inspection-report/provider/ELS/137950 ","Ofsted School Webpage")</f>
        <v>Ofsted School Webpage</v>
      </c>
      <c r="B761">
        <v>137950</v>
      </c>
      <c r="C761">
        <v>8036008</v>
      </c>
      <c r="D761" t="s">
        <v>696</v>
      </c>
      <c r="E761" t="s">
        <v>36</v>
      </c>
      <c r="F761" t="s">
        <v>142</v>
      </c>
      <c r="G761" t="s">
        <v>142</v>
      </c>
      <c r="H761" t="s">
        <v>2595</v>
      </c>
      <c r="I761" t="s">
        <v>2596</v>
      </c>
      <c r="J761" t="s">
        <v>143</v>
      </c>
      <c r="K761" t="s">
        <v>182</v>
      </c>
      <c r="L761" t="s">
        <v>182</v>
      </c>
      <c r="M761" t="s">
        <v>567</v>
      </c>
      <c r="N761" t="s">
        <v>697</v>
      </c>
      <c r="O761">
        <v>10026042</v>
      </c>
      <c r="P761" s="108">
        <v>42858</v>
      </c>
      <c r="Q761" s="108">
        <v>42860</v>
      </c>
      <c r="R761" s="108">
        <v>42908</v>
      </c>
      <c r="S761" t="s">
        <v>224</v>
      </c>
      <c r="T761">
        <v>4</v>
      </c>
      <c r="U761" t="s">
        <v>124</v>
      </c>
      <c r="V761">
        <v>4</v>
      </c>
      <c r="W761">
        <v>3</v>
      </c>
      <c r="X761">
        <v>3</v>
      </c>
      <c r="Y761">
        <f>VLOOKUP(Table_clu7sql1_ssdb_REPORT_vw_IE_External_MI_SON[[#This Row],[URN]],[1]Data!$D$2:$BB$1084,31,)</f>
        <v>3</v>
      </c>
      <c r="Z761" t="s">
        <v>2596</v>
      </c>
      <c r="AA761" t="s">
        <v>2596</v>
      </c>
      <c r="AB761" t="s">
        <v>2599</v>
      </c>
      <c r="AC761">
        <v>10043512</v>
      </c>
      <c r="AD761" t="s">
        <v>144</v>
      </c>
      <c r="AE761" s="108">
        <v>43143</v>
      </c>
      <c r="AF761" t="s">
        <v>2636</v>
      </c>
      <c r="AG761" s="108">
        <v>43180</v>
      </c>
      <c r="AH761" t="s">
        <v>174</v>
      </c>
    </row>
    <row r="762" spans="1:34" x14ac:dyDescent="0.25">
      <c r="A762" s="111" t="str">
        <f>HYPERLINK("http://www.ofsted.gov.uk/inspection-reports/find-inspection-report/provider/ELS/137956 ","Ofsted School Webpage")</f>
        <v>Ofsted School Webpage</v>
      </c>
      <c r="B762">
        <v>137956</v>
      </c>
      <c r="C762">
        <v>8606039</v>
      </c>
      <c r="D762" t="s">
        <v>1004</v>
      </c>
      <c r="E762" t="s">
        <v>37</v>
      </c>
      <c r="F762" t="s">
        <v>142</v>
      </c>
      <c r="G762" t="s">
        <v>142</v>
      </c>
      <c r="H762" t="s">
        <v>2595</v>
      </c>
      <c r="I762" t="s">
        <v>2596</v>
      </c>
      <c r="J762" t="s">
        <v>143</v>
      </c>
      <c r="K762" t="s">
        <v>150</v>
      </c>
      <c r="L762" t="s">
        <v>150</v>
      </c>
      <c r="M762" t="s">
        <v>271</v>
      </c>
      <c r="N762" t="s">
        <v>1005</v>
      </c>
      <c r="O762">
        <v>10041366</v>
      </c>
      <c r="P762" s="108">
        <v>43116</v>
      </c>
      <c r="Q762" s="108">
        <v>43118</v>
      </c>
      <c r="R762" s="108">
        <v>43139</v>
      </c>
      <c r="S762" t="s">
        <v>153</v>
      </c>
      <c r="T762">
        <v>3</v>
      </c>
      <c r="U762" t="s">
        <v>123</v>
      </c>
      <c r="V762">
        <v>3</v>
      </c>
      <c r="W762">
        <v>3</v>
      </c>
      <c r="X762">
        <v>3</v>
      </c>
      <c r="Y762">
        <f>VLOOKUP(Table_clu7sql1_ssdb_REPORT_vw_IE_External_MI_SON[[#This Row],[URN]],[1]Data!$D$2:$BB$1084,31,)</f>
        <v>3</v>
      </c>
      <c r="Z762" t="s">
        <v>2596</v>
      </c>
      <c r="AA762">
        <v>3</v>
      </c>
      <c r="AB762" t="s">
        <v>2599</v>
      </c>
      <c r="AC762" t="s">
        <v>2596</v>
      </c>
      <c r="AD762" t="s">
        <v>2596</v>
      </c>
      <c r="AE762" s="108" t="s">
        <v>2596</v>
      </c>
      <c r="AF762" t="s">
        <v>2596</v>
      </c>
      <c r="AG762" s="108" t="s">
        <v>2596</v>
      </c>
      <c r="AH762" t="s">
        <v>2596</v>
      </c>
    </row>
    <row r="763" spans="1:34" x14ac:dyDescent="0.25">
      <c r="A763" s="111" t="str">
        <f>HYPERLINK("http://www.ofsted.gov.uk/inspection-reports/find-inspection-report/provider/ELS/138101 ","Ofsted School Webpage")</f>
        <v>Ofsted School Webpage</v>
      </c>
      <c r="B763">
        <v>138101</v>
      </c>
      <c r="C763">
        <v>2046005</v>
      </c>
      <c r="D763" t="s">
        <v>1996</v>
      </c>
      <c r="E763" t="s">
        <v>36</v>
      </c>
      <c r="F763" t="s">
        <v>142</v>
      </c>
      <c r="G763" t="s">
        <v>275</v>
      </c>
      <c r="H763" t="s">
        <v>2595</v>
      </c>
      <c r="I763" t="s">
        <v>2596</v>
      </c>
      <c r="J763" t="s">
        <v>143</v>
      </c>
      <c r="K763" t="s">
        <v>189</v>
      </c>
      <c r="L763" t="s">
        <v>189</v>
      </c>
      <c r="M763" t="s">
        <v>434</v>
      </c>
      <c r="N763" t="s">
        <v>1997</v>
      </c>
      <c r="O763">
        <v>10007769</v>
      </c>
      <c r="P763" s="108">
        <v>42339</v>
      </c>
      <c r="Q763" s="108">
        <v>42341</v>
      </c>
      <c r="R763" s="108">
        <v>42430</v>
      </c>
      <c r="S763" t="s">
        <v>153</v>
      </c>
      <c r="T763">
        <v>4</v>
      </c>
      <c r="U763" t="s">
        <v>124</v>
      </c>
      <c r="V763">
        <v>4</v>
      </c>
      <c r="W763">
        <v>4</v>
      </c>
      <c r="X763">
        <v>4</v>
      </c>
      <c r="Y763">
        <f>VLOOKUP(Table_clu7sql1_ssdb_REPORT_vw_IE_External_MI_SON[[#This Row],[URN]],[1]Data!$D$2:$BB$1084,31,)</f>
        <v>4</v>
      </c>
      <c r="Z763">
        <v>4</v>
      </c>
      <c r="AA763" t="s">
        <v>2596</v>
      </c>
      <c r="AB763" t="s">
        <v>2598</v>
      </c>
      <c r="AC763">
        <v>10030986</v>
      </c>
      <c r="AD763" t="s">
        <v>144</v>
      </c>
      <c r="AE763" s="108">
        <v>42815</v>
      </c>
      <c r="AF763" t="s">
        <v>2634</v>
      </c>
      <c r="AG763" s="108">
        <v>42857</v>
      </c>
      <c r="AH763" t="s">
        <v>174</v>
      </c>
    </row>
    <row r="764" spans="1:34" x14ac:dyDescent="0.25">
      <c r="A764" s="111" t="str">
        <f>HYPERLINK("http://www.ofsted.gov.uk/inspection-reports/find-inspection-report/provider/ELS/138118 ","Ofsted School Webpage")</f>
        <v>Ofsted School Webpage</v>
      </c>
      <c r="B764">
        <v>138118</v>
      </c>
      <c r="C764">
        <v>3906000</v>
      </c>
      <c r="D764" t="s">
        <v>603</v>
      </c>
      <c r="E764" t="s">
        <v>36</v>
      </c>
      <c r="F764" t="s">
        <v>142</v>
      </c>
      <c r="G764" t="s">
        <v>275</v>
      </c>
      <c r="H764" t="s">
        <v>2595</v>
      </c>
      <c r="I764" t="s">
        <v>2596</v>
      </c>
      <c r="J764" t="s">
        <v>143</v>
      </c>
      <c r="K764" t="s">
        <v>202</v>
      </c>
      <c r="L764" t="s">
        <v>234</v>
      </c>
      <c r="M764" t="s">
        <v>604</v>
      </c>
      <c r="N764" t="s">
        <v>605</v>
      </c>
      <c r="O764">
        <v>10010408</v>
      </c>
      <c r="P764" s="108">
        <v>42528</v>
      </c>
      <c r="Q764" s="108">
        <v>42530</v>
      </c>
      <c r="R764" s="108">
        <v>42563</v>
      </c>
      <c r="S764" t="s">
        <v>153</v>
      </c>
      <c r="T764">
        <v>4</v>
      </c>
      <c r="U764" t="s">
        <v>123</v>
      </c>
      <c r="V764">
        <v>4</v>
      </c>
      <c r="W764">
        <v>3</v>
      </c>
      <c r="X764">
        <v>3</v>
      </c>
      <c r="Y764">
        <f>VLOOKUP(Table_clu7sql1_ssdb_REPORT_vw_IE_External_MI_SON[[#This Row],[URN]],[1]Data!$D$2:$BB$1084,31,)</f>
        <v>3</v>
      </c>
      <c r="Z764" t="s">
        <v>2596</v>
      </c>
      <c r="AA764" t="s">
        <v>2596</v>
      </c>
      <c r="AB764" t="s">
        <v>2599</v>
      </c>
      <c r="AC764">
        <v>10033620</v>
      </c>
      <c r="AD764" t="s">
        <v>144</v>
      </c>
      <c r="AE764" s="108">
        <v>42796</v>
      </c>
      <c r="AF764" t="s">
        <v>2634</v>
      </c>
      <c r="AG764" s="108">
        <v>42823</v>
      </c>
      <c r="AH764" t="s">
        <v>146</v>
      </c>
    </row>
    <row r="765" spans="1:34" x14ac:dyDescent="0.25">
      <c r="A765" s="111" t="str">
        <f>HYPERLINK("http://www.ofsted.gov.uk/inspection-reports/find-inspection-report/provider/ELS/138119 ","Ofsted School Webpage")</f>
        <v>Ofsted School Webpage</v>
      </c>
      <c r="B765">
        <v>138119</v>
      </c>
      <c r="C765">
        <v>9316006</v>
      </c>
      <c r="D765" t="s">
        <v>198</v>
      </c>
      <c r="E765" t="s">
        <v>36</v>
      </c>
      <c r="F765" t="s">
        <v>142</v>
      </c>
      <c r="G765" t="s">
        <v>142</v>
      </c>
      <c r="H765" t="s">
        <v>2595</v>
      </c>
      <c r="I765" t="s">
        <v>2596</v>
      </c>
      <c r="J765" t="s">
        <v>143</v>
      </c>
      <c r="K765" t="s">
        <v>139</v>
      </c>
      <c r="L765" t="s">
        <v>139</v>
      </c>
      <c r="M765" t="s">
        <v>199</v>
      </c>
      <c r="N765" t="s">
        <v>200</v>
      </c>
      <c r="O765">
        <v>10033956</v>
      </c>
      <c r="P765" s="108">
        <v>42997</v>
      </c>
      <c r="Q765" s="108">
        <v>42999</v>
      </c>
      <c r="R765" s="108">
        <v>43026</v>
      </c>
      <c r="S765" t="s">
        <v>153</v>
      </c>
      <c r="T765">
        <v>3</v>
      </c>
      <c r="U765" t="s">
        <v>123</v>
      </c>
      <c r="V765">
        <v>2</v>
      </c>
      <c r="W765">
        <v>2</v>
      </c>
      <c r="X765">
        <v>3</v>
      </c>
      <c r="Y765">
        <f>VLOOKUP(Table_clu7sql1_ssdb_REPORT_vw_IE_External_MI_SON[[#This Row],[URN]],[1]Data!$D$2:$BB$1084,31,)</f>
        <v>3</v>
      </c>
      <c r="Z765" t="s">
        <v>2596</v>
      </c>
      <c r="AA765" t="s">
        <v>2596</v>
      </c>
      <c r="AB765" t="s">
        <v>2598</v>
      </c>
      <c r="AC765" t="s">
        <v>2596</v>
      </c>
      <c r="AD765" t="s">
        <v>2596</v>
      </c>
      <c r="AE765" s="108" t="s">
        <v>2596</v>
      </c>
      <c r="AF765" t="s">
        <v>2596</v>
      </c>
      <c r="AG765" s="108" t="s">
        <v>2596</v>
      </c>
      <c r="AH765" t="s">
        <v>2596</v>
      </c>
    </row>
    <row r="766" spans="1:34" x14ac:dyDescent="0.25">
      <c r="A766" s="111" t="str">
        <f>HYPERLINK("http://www.ofsted.gov.uk/inspection-reports/find-inspection-report/provider/ELS/138132 ","Ofsted School Webpage")</f>
        <v>Ofsted School Webpage</v>
      </c>
      <c r="B766">
        <v>138132</v>
      </c>
      <c r="C766">
        <v>8026010</v>
      </c>
      <c r="D766" t="s">
        <v>1824</v>
      </c>
      <c r="E766" t="s">
        <v>37</v>
      </c>
      <c r="F766" t="s">
        <v>142</v>
      </c>
      <c r="G766" t="s">
        <v>142</v>
      </c>
      <c r="H766" t="s">
        <v>2595</v>
      </c>
      <c r="I766" t="s">
        <v>2596</v>
      </c>
      <c r="J766" t="s">
        <v>143</v>
      </c>
      <c r="K766" t="s">
        <v>182</v>
      </c>
      <c r="L766" t="s">
        <v>182</v>
      </c>
      <c r="M766" t="s">
        <v>1526</v>
      </c>
      <c r="N766" t="s">
        <v>1825</v>
      </c>
      <c r="O766">
        <v>10008578</v>
      </c>
      <c r="P766" s="108">
        <v>42633</v>
      </c>
      <c r="Q766" s="108">
        <v>42635</v>
      </c>
      <c r="R766" s="108">
        <v>42681</v>
      </c>
      <c r="S766" t="s">
        <v>153</v>
      </c>
      <c r="T766">
        <v>2</v>
      </c>
      <c r="U766" t="s">
        <v>123</v>
      </c>
      <c r="V766">
        <v>2</v>
      </c>
      <c r="W766">
        <v>2</v>
      </c>
      <c r="X766">
        <v>2</v>
      </c>
      <c r="Y766">
        <f>VLOOKUP(Table_clu7sql1_ssdb_REPORT_vw_IE_External_MI_SON[[#This Row],[URN]],[1]Data!$D$2:$BB$1084,31,)</f>
        <v>2</v>
      </c>
      <c r="Z766" t="s">
        <v>2596</v>
      </c>
      <c r="AA766" t="s">
        <v>2596</v>
      </c>
      <c r="AB766" t="s">
        <v>2598</v>
      </c>
      <c r="AC766" t="s">
        <v>2596</v>
      </c>
      <c r="AD766" t="s">
        <v>2596</v>
      </c>
      <c r="AE766" t="s">
        <v>2596</v>
      </c>
      <c r="AF766" t="s">
        <v>2596</v>
      </c>
      <c r="AG766" t="s">
        <v>2596</v>
      </c>
      <c r="AH766" t="s">
        <v>2596</v>
      </c>
    </row>
    <row r="767" spans="1:34" x14ac:dyDescent="0.25">
      <c r="A767" s="111" t="str">
        <f>HYPERLINK("http://www.ofsted.gov.uk/inspection-reports/find-inspection-report/provider/ELS/138138 ","Ofsted School Webpage")</f>
        <v>Ofsted School Webpage</v>
      </c>
      <c r="B767">
        <v>138138</v>
      </c>
      <c r="C767">
        <v>9266002</v>
      </c>
      <c r="D767" t="s">
        <v>400</v>
      </c>
      <c r="E767" t="s">
        <v>37</v>
      </c>
      <c r="F767" t="s">
        <v>142</v>
      </c>
      <c r="G767" t="s">
        <v>142</v>
      </c>
      <c r="H767" t="s">
        <v>2595</v>
      </c>
      <c r="I767" t="s">
        <v>2596</v>
      </c>
      <c r="J767" t="s">
        <v>143</v>
      </c>
      <c r="K767" t="s">
        <v>177</v>
      </c>
      <c r="L767" t="s">
        <v>177</v>
      </c>
      <c r="M767" t="s">
        <v>401</v>
      </c>
      <c r="N767" t="s">
        <v>402</v>
      </c>
      <c r="O767">
        <v>10012965</v>
      </c>
      <c r="P767" s="108">
        <v>42556</v>
      </c>
      <c r="Q767" s="108">
        <v>42558</v>
      </c>
      <c r="R767" s="108">
        <v>43028</v>
      </c>
      <c r="S767" t="s">
        <v>3005</v>
      </c>
      <c r="T767">
        <v>3</v>
      </c>
      <c r="U767" t="s">
        <v>123</v>
      </c>
      <c r="V767">
        <v>2</v>
      </c>
      <c r="W767">
        <v>2</v>
      </c>
      <c r="X767">
        <v>3</v>
      </c>
      <c r="Y767">
        <f>VLOOKUP(Table_clu7sql1_ssdb_REPORT_vw_IE_External_MI_SON[[#This Row],[URN]],[1]Data!$D$2:$BB$1084,31,)</f>
        <v>3</v>
      </c>
      <c r="Z767" t="s">
        <v>2596</v>
      </c>
      <c r="AA767" t="s">
        <v>2596</v>
      </c>
      <c r="AB767" t="s">
        <v>2599</v>
      </c>
      <c r="AC767">
        <v>10038655</v>
      </c>
      <c r="AD767" t="s">
        <v>144</v>
      </c>
      <c r="AE767" s="108">
        <v>43021</v>
      </c>
      <c r="AF767" t="s">
        <v>2636</v>
      </c>
      <c r="AG767" s="108">
        <v>43053</v>
      </c>
      <c r="AH767" t="s">
        <v>174</v>
      </c>
    </row>
    <row r="768" spans="1:34" x14ac:dyDescent="0.25">
      <c r="A768" s="111" t="str">
        <f>HYPERLINK("http://www.ofsted.gov.uk/inspection-reports/find-inspection-report/provider/ELS/138243 ","Ofsted School Webpage")</f>
        <v>Ofsted School Webpage</v>
      </c>
      <c r="B768">
        <v>138243</v>
      </c>
      <c r="C768">
        <v>8606040</v>
      </c>
      <c r="D768" t="s">
        <v>1100</v>
      </c>
      <c r="E768" t="s">
        <v>37</v>
      </c>
      <c r="F768" t="s">
        <v>142</v>
      </c>
      <c r="G768" t="s">
        <v>142</v>
      </c>
      <c r="H768" t="s">
        <v>2595</v>
      </c>
      <c r="I768" t="s">
        <v>2596</v>
      </c>
      <c r="J768" t="s">
        <v>143</v>
      </c>
      <c r="K768" t="s">
        <v>150</v>
      </c>
      <c r="L768" t="s">
        <v>150</v>
      </c>
      <c r="M768" t="s">
        <v>271</v>
      </c>
      <c r="N768" t="s">
        <v>1101</v>
      </c>
      <c r="O768">
        <v>10010818</v>
      </c>
      <c r="P768" s="108">
        <v>42528</v>
      </c>
      <c r="Q768" s="108">
        <v>42530</v>
      </c>
      <c r="R768" s="108">
        <v>42571</v>
      </c>
      <c r="S768" t="s">
        <v>3005</v>
      </c>
      <c r="T768">
        <v>1</v>
      </c>
      <c r="U768" t="s">
        <v>123</v>
      </c>
      <c r="V768">
        <v>1</v>
      </c>
      <c r="W768">
        <v>1</v>
      </c>
      <c r="X768">
        <v>1</v>
      </c>
      <c r="Y768">
        <f>VLOOKUP(Table_clu7sql1_ssdb_REPORT_vw_IE_External_MI_SON[[#This Row],[URN]],[1]Data!$D$2:$BB$1084,31,)</f>
        <v>1</v>
      </c>
      <c r="Z768" t="s">
        <v>2596</v>
      </c>
      <c r="AA768" t="s">
        <v>2596</v>
      </c>
      <c r="AB768" t="s">
        <v>2598</v>
      </c>
      <c r="AC768" t="s">
        <v>2596</v>
      </c>
      <c r="AD768" t="s">
        <v>2596</v>
      </c>
      <c r="AE768" t="s">
        <v>2596</v>
      </c>
      <c r="AF768" t="s">
        <v>2596</v>
      </c>
      <c r="AG768" t="s">
        <v>2596</v>
      </c>
      <c r="AH768" t="s">
        <v>2596</v>
      </c>
    </row>
    <row r="769" spans="1:34" x14ac:dyDescent="0.25">
      <c r="A769" s="111" t="str">
        <f>HYPERLINK("http://www.ofsted.gov.uk/inspection-reports/find-inspection-report/provider/ELS/138249 ","Ofsted School Webpage")</f>
        <v>Ofsted School Webpage</v>
      </c>
      <c r="B769">
        <v>138249</v>
      </c>
      <c r="C769">
        <v>8376008</v>
      </c>
      <c r="D769" t="s">
        <v>2438</v>
      </c>
      <c r="E769" t="s">
        <v>36</v>
      </c>
      <c r="F769" t="s">
        <v>142</v>
      </c>
      <c r="G769" t="s">
        <v>169</v>
      </c>
      <c r="H769" t="s">
        <v>2595</v>
      </c>
      <c r="I769" t="s">
        <v>2596</v>
      </c>
      <c r="J769" t="s">
        <v>143</v>
      </c>
      <c r="K769" t="s">
        <v>182</v>
      </c>
      <c r="L769" t="s">
        <v>182</v>
      </c>
      <c r="M769" t="s">
        <v>247</v>
      </c>
      <c r="N769" t="s">
        <v>2439</v>
      </c>
      <c r="O769">
        <v>10012901</v>
      </c>
      <c r="P769" s="108">
        <v>42689</v>
      </c>
      <c r="Q769" s="108">
        <v>42691</v>
      </c>
      <c r="R769" s="108">
        <v>42718</v>
      </c>
      <c r="S769" t="s">
        <v>153</v>
      </c>
      <c r="T769">
        <v>3</v>
      </c>
      <c r="U769" t="s">
        <v>123</v>
      </c>
      <c r="V769">
        <v>3</v>
      </c>
      <c r="W769">
        <v>2</v>
      </c>
      <c r="X769">
        <v>2</v>
      </c>
      <c r="Y769">
        <f>VLOOKUP(Table_clu7sql1_ssdb_REPORT_vw_IE_External_MI_SON[[#This Row],[URN]],[1]Data!$D$2:$BB$1084,31,)</f>
        <v>2</v>
      </c>
      <c r="Z769" t="s">
        <v>2596</v>
      </c>
      <c r="AA769" t="s">
        <v>2596</v>
      </c>
      <c r="AB769" t="s">
        <v>2599</v>
      </c>
      <c r="AC769">
        <v>10039732</v>
      </c>
      <c r="AD769" t="s">
        <v>144</v>
      </c>
      <c r="AE769" s="108">
        <v>42935</v>
      </c>
      <c r="AF769" t="s">
        <v>2634</v>
      </c>
      <c r="AG769" s="108">
        <v>42986</v>
      </c>
      <c r="AH769" t="s">
        <v>146</v>
      </c>
    </row>
    <row r="770" spans="1:34" x14ac:dyDescent="0.25">
      <c r="A770" s="111" t="str">
        <f>HYPERLINK("http://www.ofsted.gov.uk/inspection-reports/find-inspection-report/provider/ELS/138333 ","Ofsted School Webpage")</f>
        <v>Ofsted School Webpage</v>
      </c>
      <c r="B770">
        <v>138333</v>
      </c>
      <c r="C770">
        <v>8376009</v>
      </c>
      <c r="D770" t="s">
        <v>1586</v>
      </c>
      <c r="E770" t="s">
        <v>36</v>
      </c>
      <c r="F770" t="s">
        <v>142</v>
      </c>
      <c r="G770" t="s">
        <v>142</v>
      </c>
      <c r="H770" t="s">
        <v>2595</v>
      </c>
      <c r="I770" t="s">
        <v>2596</v>
      </c>
      <c r="J770" t="s">
        <v>143</v>
      </c>
      <c r="K770" t="s">
        <v>182</v>
      </c>
      <c r="L770" t="s">
        <v>182</v>
      </c>
      <c r="M770" t="s">
        <v>247</v>
      </c>
      <c r="N770" t="s">
        <v>1587</v>
      </c>
      <c r="O770">
        <v>10020906</v>
      </c>
      <c r="P770" s="108">
        <v>42717</v>
      </c>
      <c r="Q770" s="108">
        <v>42719</v>
      </c>
      <c r="R770" s="108">
        <v>42780</v>
      </c>
      <c r="S770" t="s">
        <v>153</v>
      </c>
      <c r="T770">
        <v>3</v>
      </c>
      <c r="U770" t="s">
        <v>123</v>
      </c>
      <c r="V770">
        <v>3</v>
      </c>
      <c r="W770">
        <v>2</v>
      </c>
      <c r="X770">
        <v>2</v>
      </c>
      <c r="Y770">
        <f>VLOOKUP(Table_clu7sql1_ssdb_REPORT_vw_IE_External_MI_SON[[#This Row],[URN]],[1]Data!$D$2:$BB$1084,31,)</f>
        <v>2</v>
      </c>
      <c r="Z770" t="s">
        <v>2596</v>
      </c>
      <c r="AA770">
        <v>3</v>
      </c>
      <c r="AB770" t="s">
        <v>2598</v>
      </c>
      <c r="AC770" t="s">
        <v>2596</v>
      </c>
      <c r="AD770" t="s">
        <v>2596</v>
      </c>
      <c r="AE770" t="s">
        <v>2596</v>
      </c>
      <c r="AF770" t="s">
        <v>2596</v>
      </c>
      <c r="AG770" t="s">
        <v>2596</v>
      </c>
      <c r="AH770" t="s">
        <v>2596</v>
      </c>
    </row>
    <row r="771" spans="1:34" x14ac:dyDescent="0.25">
      <c r="A771" s="111" t="str">
        <f>HYPERLINK("http://www.ofsted.gov.uk/inspection-reports/find-inspection-report/provider/ELS/138378 ","Ofsted School Webpage")</f>
        <v>Ofsted School Webpage</v>
      </c>
      <c r="B771">
        <v>138378</v>
      </c>
      <c r="C771">
        <v>3056005</v>
      </c>
      <c r="D771" t="s">
        <v>816</v>
      </c>
      <c r="E771" t="s">
        <v>37</v>
      </c>
      <c r="F771" t="s">
        <v>142</v>
      </c>
      <c r="G771" t="s">
        <v>142</v>
      </c>
      <c r="H771" t="s">
        <v>2595</v>
      </c>
      <c r="I771" t="s">
        <v>2596</v>
      </c>
      <c r="J771" t="s">
        <v>143</v>
      </c>
      <c r="K771" t="s">
        <v>189</v>
      </c>
      <c r="L771" t="s">
        <v>189</v>
      </c>
      <c r="M771" t="s">
        <v>540</v>
      </c>
      <c r="N771" t="s">
        <v>817</v>
      </c>
      <c r="O771">
        <v>10012826</v>
      </c>
      <c r="P771" s="108">
        <v>42809</v>
      </c>
      <c r="Q771" s="108">
        <v>42811</v>
      </c>
      <c r="R771" s="108">
        <v>42858</v>
      </c>
      <c r="S771" t="s">
        <v>153</v>
      </c>
      <c r="T771">
        <v>2</v>
      </c>
      <c r="U771" t="s">
        <v>123</v>
      </c>
      <c r="V771">
        <v>2</v>
      </c>
      <c r="W771">
        <v>1</v>
      </c>
      <c r="X771">
        <v>2</v>
      </c>
      <c r="Y771">
        <f>VLOOKUP(Table_clu7sql1_ssdb_REPORT_vw_IE_External_MI_SON[[#This Row],[URN]],[1]Data!$D$2:$BB$1084,31,)</f>
        <v>2</v>
      </c>
      <c r="Z771" t="s">
        <v>2596</v>
      </c>
      <c r="AA771" t="s">
        <v>2596</v>
      </c>
      <c r="AB771" t="s">
        <v>2598</v>
      </c>
      <c r="AC771" t="s">
        <v>2596</v>
      </c>
      <c r="AD771" t="s">
        <v>2596</v>
      </c>
      <c r="AE771" s="108" t="s">
        <v>2596</v>
      </c>
      <c r="AF771" t="s">
        <v>2596</v>
      </c>
      <c r="AG771" s="108" t="s">
        <v>2596</v>
      </c>
      <c r="AH771" t="s">
        <v>2596</v>
      </c>
    </row>
    <row r="772" spans="1:34" x14ac:dyDescent="0.25">
      <c r="A772" s="111" t="str">
        <f>HYPERLINK("http://www.ofsted.gov.uk/inspection-reports/find-inspection-report/provider/ELS/138384 ","Ofsted School Webpage")</f>
        <v>Ofsted School Webpage</v>
      </c>
      <c r="B772">
        <v>138384</v>
      </c>
      <c r="C772">
        <v>3056009</v>
      </c>
      <c r="D772" t="s">
        <v>1590</v>
      </c>
      <c r="E772" t="s">
        <v>36</v>
      </c>
      <c r="F772" t="s">
        <v>142</v>
      </c>
      <c r="G772" t="s">
        <v>142</v>
      </c>
      <c r="H772" t="s">
        <v>2595</v>
      </c>
      <c r="I772" t="s">
        <v>2596</v>
      </c>
      <c r="J772" t="s">
        <v>143</v>
      </c>
      <c r="K772" t="s">
        <v>189</v>
      </c>
      <c r="L772" t="s">
        <v>189</v>
      </c>
      <c r="M772" t="s">
        <v>540</v>
      </c>
      <c r="N772" t="s">
        <v>1591</v>
      </c>
      <c r="O772">
        <v>10020778</v>
      </c>
      <c r="P772" s="108">
        <v>43123</v>
      </c>
      <c r="Q772" s="108">
        <v>43125</v>
      </c>
      <c r="R772" s="108">
        <v>43159</v>
      </c>
      <c r="S772" t="s">
        <v>153</v>
      </c>
      <c r="T772">
        <v>2</v>
      </c>
      <c r="U772" t="s">
        <v>123</v>
      </c>
      <c r="V772">
        <v>2</v>
      </c>
      <c r="W772">
        <v>1</v>
      </c>
      <c r="X772">
        <v>2</v>
      </c>
      <c r="Y772">
        <f>VLOOKUP(Table_clu7sql1_ssdb_REPORT_vw_IE_External_MI_SON[[#This Row],[URN]],[1]Data!$D$2:$BB$1084,31,)</f>
        <v>2</v>
      </c>
      <c r="Z772" t="s">
        <v>2596</v>
      </c>
      <c r="AA772" t="s">
        <v>2596</v>
      </c>
      <c r="AB772" t="s">
        <v>2598</v>
      </c>
      <c r="AC772" t="s">
        <v>2596</v>
      </c>
      <c r="AD772" t="s">
        <v>2596</v>
      </c>
      <c r="AE772" s="108" t="s">
        <v>2596</v>
      </c>
      <c r="AF772" t="s">
        <v>2596</v>
      </c>
      <c r="AG772" s="108" t="s">
        <v>2596</v>
      </c>
      <c r="AH772" t="s">
        <v>2596</v>
      </c>
    </row>
    <row r="773" spans="1:34" x14ac:dyDescent="0.25">
      <c r="A773" s="111" t="str">
        <f>HYPERLINK("http://www.ofsted.gov.uk/inspection-reports/find-inspection-report/provider/ELS/138386 ","Ofsted School Webpage")</f>
        <v>Ofsted School Webpage</v>
      </c>
      <c r="B773">
        <v>138386</v>
      </c>
      <c r="C773">
        <v>3036000</v>
      </c>
      <c r="D773" t="s">
        <v>998</v>
      </c>
      <c r="E773" t="s">
        <v>37</v>
      </c>
      <c r="F773" t="s">
        <v>142</v>
      </c>
      <c r="G773" t="s">
        <v>142</v>
      </c>
      <c r="H773" t="s">
        <v>2595</v>
      </c>
      <c r="I773" t="s">
        <v>2596</v>
      </c>
      <c r="J773" t="s">
        <v>143</v>
      </c>
      <c r="K773" t="s">
        <v>189</v>
      </c>
      <c r="L773" t="s">
        <v>189</v>
      </c>
      <c r="M773" t="s">
        <v>999</v>
      </c>
      <c r="N773" t="s">
        <v>1000</v>
      </c>
      <c r="O773">
        <v>10012787</v>
      </c>
      <c r="P773" s="108">
        <v>42795</v>
      </c>
      <c r="Q773" s="108">
        <v>42797</v>
      </c>
      <c r="R773" s="108">
        <v>42817</v>
      </c>
      <c r="S773" t="s">
        <v>153</v>
      </c>
      <c r="T773">
        <v>3</v>
      </c>
      <c r="U773" t="s">
        <v>123</v>
      </c>
      <c r="V773">
        <v>3</v>
      </c>
      <c r="W773">
        <v>3</v>
      </c>
      <c r="X773">
        <v>3</v>
      </c>
      <c r="Y773">
        <f>VLOOKUP(Table_clu7sql1_ssdb_REPORT_vw_IE_External_MI_SON[[#This Row],[URN]],[1]Data!$D$2:$BB$1084,31,)</f>
        <v>3</v>
      </c>
      <c r="Z773" t="s">
        <v>2596</v>
      </c>
      <c r="AA773" t="s">
        <v>2596</v>
      </c>
      <c r="AB773" t="s">
        <v>2598</v>
      </c>
      <c r="AC773" t="s">
        <v>2596</v>
      </c>
      <c r="AD773" t="s">
        <v>2596</v>
      </c>
      <c r="AE773" t="s">
        <v>2596</v>
      </c>
      <c r="AF773" t="s">
        <v>2596</v>
      </c>
      <c r="AG773" t="s">
        <v>2596</v>
      </c>
      <c r="AH773" t="s">
        <v>2596</v>
      </c>
    </row>
    <row r="774" spans="1:34" x14ac:dyDescent="0.25">
      <c r="A774" s="111" t="str">
        <f>HYPERLINK("http://www.ofsted.gov.uk/inspection-reports/find-inspection-report/provider/ELS/138405 ","Ofsted School Webpage")</f>
        <v>Ofsted School Webpage</v>
      </c>
      <c r="B774">
        <v>138405</v>
      </c>
      <c r="C774">
        <v>8866138</v>
      </c>
      <c r="D774" t="s">
        <v>1858</v>
      </c>
      <c r="E774" t="s">
        <v>36</v>
      </c>
      <c r="F774" t="s">
        <v>142</v>
      </c>
      <c r="G774" t="s">
        <v>142</v>
      </c>
      <c r="H774" t="s">
        <v>2595</v>
      </c>
      <c r="I774" t="s">
        <v>2596</v>
      </c>
      <c r="J774" t="s">
        <v>143</v>
      </c>
      <c r="K774" t="s">
        <v>139</v>
      </c>
      <c r="L774" t="s">
        <v>139</v>
      </c>
      <c r="M774" t="s">
        <v>140</v>
      </c>
      <c r="N774" t="s">
        <v>1859</v>
      </c>
      <c r="O774">
        <v>10033679</v>
      </c>
      <c r="P774" s="108">
        <v>42871</v>
      </c>
      <c r="Q774" s="108">
        <v>42873</v>
      </c>
      <c r="R774" s="108">
        <v>42913</v>
      </c>
      <c r="S774" t="s">
        <v>224</v>
      </c>
      <c r="T774">
        <v>1</v>
      </c>
      <c r="U774" t="s">
        <v>123</v>
      </c>
      <c r="V774">
        <v>1</v>
      </c>
      <c r="W774">
        <v>1</v>
      </c>
      <c r="X774">
        <v>1</v>
      </c>
      <c r="Y774">
        <f>VLOOKUP(Table_clu7sql1_ssdb_REPORT_vw_IE_External_MI_SON[[#This Row],[URN]],[1]Data!$D$2:$BB$1084,31,)</f>
        <v>1</v>
      </c>
      <c r="Z774" t="s">
        <v>2596</v>
      </c>
      <c r="AA774">
        <v>1</v>
      </c>
      <c r="AB774" t="s">
        <v>2598</v>
      </c>
      <c r="AC774" t="s">
        <v>2596</v>
      </c>
      <c r="AD774" t="s">
        <v>2596</v>
      </c>
      <c r="AE774" t="s">
        <v>2596</v>
      </c>
      <c r="AF774" t="s">
        <v>2596</v>
      </c>
      <c r="AG774" t="s">
        <v>2596</v>
      </c>
      <c r="AH774" t="s">
        <v>2596</v>
      </c>
    </row>
    <row r="775" spans="1:34" x14ac:dyDescent="0.25">
      <c r="A775" s="111" t="str">
        <f>HYPERLINK("http://www.ofsted.gov.uk/inspection-reports/find-inspection-report/provider/ELS/138408 ","Ofsted School Webpage")</f>
        <v>Ofsted School Webpage</v>
      </c>
      <c r="B775">
        <v>138408</v>
      </c>
      <c r="C775">
        <v>8866139</v>
      </c>
      <c r="D775" t="s">
        <v>213</v>
      </c>
      <c r="E775" t="s">
        <v>37</v>
      </c>
      <c r="F775" t="s">
        <v>142</v>
      </c>
      <c r="G775" t="s">
        <v>142</v>
      </c>
      <c r="H775" t="s">
        <v>2595</v>
      </c>
      <c r="I775" t="s">
        <v>2596</v>
      </c>
      <c r="J775" t="s">
        <v>143</v>
      </c>
      <c r="K775" t="s">
        <v>139</v>
      </c>
      <c r="L775" t="s">
        <v>139</v>
      </c>
      <c r="M775" t="s">
        <v>140</v>
      </c>
      <c r="N775" t="s">
        <v>214</v>
      </c>
      <c r="O775">
        <v>10012918</v>
      </c>
      <c r="P775" s="108">
        <v>43046</v>
      </c>
      <c r="Q775" s="108">
        <v>43048</v>
      </c>
      <c r="R775" s="108">
        <v>43068</v>
      </c>
      <c r="S775" t="s">
        <v>153</v>
      </c>
      <c r="T775">
        <v>3</v>
      </c>
      <c r="U775" t="s">
        <v>123</v>
      </c>
      <c r="V775">
        <v>3</v>
      </c>
      <c r="W775">
        <v>2</v>
      </c>
      <c r="X775">
        <v>3</v>
      </c>
      <c r="Y775">
        <f>VLOOKUP(Table_clu7sql1_ssdb_REPORT_vw_IE_External_MI_SON[[#This Row],[URN]],[1]Data!$D$2:$BB$1084,31,)</f>
        <v>3</v>
      </c>
      <c r="Z775" t="s">
        <v>2596</v>
      </c>
      <c r="AA775">
        <v>3</v>
      </c>
      <c r="AB775" t="s">
        <v>2598</v>
      </c>
      <c r="AC775" t="s">
        <v>2596</v>
      </c>
      <c r="AD775" t="s">
        <v>2596</v>
      </c>
      <c r="AE775" t="s">
        <v>2596</v>
      </c>
      <c r="AF775" t="s">
        <v>2596</v>
      </c>
      <c r="AG775" t="s">
        <v>2596</v>
      </c>
      <c r="AH775" t="s">
        <v>2596</v>
      </c>
    </row>
    <row r="776" spans="1:34" x14ac:dyDescent="0.25">
      <c r="A776" s="111" t="str">
        <f>HYPERLINK("http://www.ofsted.gov.uk/inspection-reports/find-inspection-report/provider/ELS/138441 ","Ofsted School Webpage")</f>
        <v>Ofsted School Webpage</v>
      </c>
      <c r="B776">
        <v>138441</v>
      </c>
      <c r="C776">
        <v>3816004</v>
      </c>
      <c r="D776" t="s">
        <v>2905</v>
      </c>
      <c r="E776" t="s">
        <v>37</v>
      </c>
      <c r="F776" t="s">
        <v>142</v>
      </c>
      <c r="G776" t="s">
        <v>142</v>
      </c>
      <c r="H776" t="s">
        <v>2595</v>
      </c>
      <c r="I776" t="s">
        <v>2596</v>
      </c>
      <c r="J776" t="s">
        <v>143</v>
      </c>
      <c r="K776" t="s">
        <v>202</v>
      </c>
      <c r="L776" t="s">
        <v>203</v>
      </c>
      <c r="M776" t="s">
        <v>1307</v>
      </c>
      <c r="N776" t="s">
        <v>1308</v>
      </c>
      <c r="O776">
        <v>10012878</v>
      </c>
      <c r="P776" s="108">
        <v>42689</v>
      </c>
      <c r="Q776" s="108">
        <v>42691</v>
      </c>
      <c r="R776" s="108">
        <v>42751</v>
      </c>
      <c r="S776" t="s">
        <v>153</v>
      </c>
      <c r="T776">
        <v>2</v>
      </c>
      <c r="U776" t="s">
        <v>123</v>
      </c>
      <c r="V776">
        <v>2</v>
      </c>
      <c r="W776">
        <v>2</v>
      </c>
      <c r="X776">
        <v>2</v>
      </c>
      <c r="Y776">
        <f>VLOOKUP(Table_clu7sql1_ssdb_REPORT_vw_IE_External_MI_SON[[#This Row],[URN]],[1]Data!$D$2:$BB$1084,31,)</f>
        <v>2</v>
      </c>
      <c r="Z776" t="s">
        <v>2596</v>
      </c>
      <c r="AA776" t="s">
        <v>2596</v>
      </c>
      <c r="AB776" t="s">
        <v>2598</v>
      </c>
      <c r="AC776" t="s">
        <v>2596</v>
      </c>
      <c r="AD776" t="s">
        <v>2596</v>
      </c>
      <c r="AE776" t="s">
        <v>2596</v>
      </c>
      <c r="AF776" t="s">
        <v>2596</v>
      </c>
      <c r="AG776" t="s">
        <v>2596</v>
      </c>
      <c r="AH776" t="s">
        <v>2596</v>
      </c>
    </row>
    <row r="777" spans="1:34" x14ac:dyDescent="0.25">
      <c r="A777" s="111" t="str">
        <f>HYPERLINK("http://www.ofsted.gov.uk/inspection-reports/find-inspection-report/provider/ELS/138498 ","Ofsted School Webpage")</f>
        <v>Ofsted School Webpage</v>
      </c>
      <c r="B777">
        <v>138498</v>
      </c>
      <c r="C777">
        <v>3506001</v>
      </c>
      <c r="D777" t="s">
        <v>1282</v>
      </c>
      <c r="E777" t="s">
        <v>36</v>
      </c>
      <c r="F777" t="s">
        <v>142</v>
      </c>
      <c r="G777" t="s">
        <v>261</v>
      </c>
      <c r="H777" t="s">
        <v>2595</v>
      </c>
      <c r="I777" t="s">
        <v>2596</v>
      </c>
      <c r="J777" t="s">
        <v>143</v>
      </c>
      <c r="K777" t="s">
        <v>162</v>
      </c>
      <c r="L777" t="s">
        <v>162</v>
      </c>
      <c r="M777" t="s">
        <v>1202</v>
      </c>
      <c r="N777" t="s">
        <v>1283</v>
      </c>
      <c r="O777">
        <v>10012843</v>
      </c>
      <c r="P777" s="108">
        <v>42745</v>
      </c>
      <c r="Q777" s="108">
        <v>42747</v>
      </c>
      <c r="R777" s="108">
        <v>42774</v>
      </c>
      <c r="S777" t="s">
        <v>153</v>
      </c>
      <c r="T777">
        <v>2</v>
      </c>
      <c r="U777" t="s">
        <v>123</v>
      </c>
      <c r="V777">
        <v>2</v>
      </c>
      <c r="W777">
        <v>2</v>
      </c>
      <c r="X777">
        <v>2</v>
      </c>
      <c r="Y777">
        <f>VLOOKUP(Table_clu7sql1_ssdb_REPORT_vw_IE_External_MI_SON[[#This Row],[URN]],[1]Data!$D$2:$BB$1084,31,)</f>
        <v>2</v>
      </c>
      <c r="Z777" t="s">
        <v>2596</v>
      </c>
      <c r="AA777" t="s">
        <v>2596</v>
      </c>
      <c r="AB777" t="s">
        <v>2598</v>
      </c>
      <c r="AC777" t="s">
        <v>2596</v>
      </c>
      <c r="AD777" t="s">
        <v>2596</v>
      </c>
      <c r="AE777" t="s">
        <v>2596</v>
      </c>
      <c r="AF777" t="s">
        <v>2596</v>
      </c>
      <c r="AG777" t="s">
        <v>2596</v>
      </c>
      <c r="AH777" t="s">
        <v>2596</v>
      </c>
    </row>
    <row r="778" spans="1:34" x14ac:dyDescent="0.25">
      <c r="A778" s="111" t="str">
        <f>HYPERLINK("http://www.ofsted.gov.uk/inspection-reports/find-inspection-report/provider/ELS/138516 ","Ofsted School Webpage")</f>
        <v>Ofsted School Webpage</v>
      </c>
      <c r="B778">
        <v>138516</v>
      </c>
      <c r="C778">
        <v>2046006</v>
      </c>
      <c r="D778" t="s">
        <v>2328</v>
      </c>
      <c r="E778" t="s">
        <v>36</v>
      </c>
      <c r="F778" t="s">
        <v>776</v>
      </c>
      <c r="G778" t="s">
        <v>275</v>
      </c>
      <c r="H778" t="s">
        <v>2595</v>
      </c>
      <c r="I778" t="s">
        <v>2596</v>
      </c>
      <c r="J778" t="s">
        <v>143</v>
      </c>
      <c r="K778" t="s">
        <v>189</v>
      </c>
      <c r="L778" t="s">
        <v>189</v>
      </c>
      <c r="M778" t="s">
        <v>434</v>
      </c>
      <c r="N778" t="s">
        <v>1793</v>
      </c>
      <c r="O778">
        <v>10020725</v>
      </c>
      <c r="P778" s="108">
        <v>43046</v>
      </c>
      <c r="Q778" s="108">
        <v>43048</v>
      </c>
      <c r="R778" s="108">
        <v>43123</v>
      </c>
      <c r="S778" t="s">
        <v>153</v>
      </c>
      <c r="T778">
        <v>4</v>
      </c>
      <c r="U778" t="s">
        <v>123</v>
      </c>
      <c r="V778">
        <v>4</v>
      </c>
      <c r="W778">
        <v>3</v>
      </c>
      <c r="X778">
        <v>2</v>
      </c>
      <c r="Y778">
        <f>VLOOKUP(Table_clu7sql1_ssdb_REPORT_vw_IE_External_MI_SON[[#This Row],[URN]],[1]Data!$D$2:$BB$1084,31,)</f>
        <v>2</v>
      </c>
      <c r="Z778">
        <v>3</v>
      </c>
      <c r="AA778" t="s">
        <v>2596</v>
      </c>
      <c r="AB778" t="s">
        <v>2599</v>
      </c>
      <c r="AC778" t="s">
        <v>2596</v>
      </c>
      <c r="AD778" t="s">
        <v>2596</v>
      </c>
      <c r="AE778" t="s">
        <v>2596</v>
      </c>
      <c r="AF778" t="s">
        <v>2596</v>
      </c>
      <c r="AG778" t="s">
        <v>2596</v>
      </c>
      <c r="AH778" t="s">
        <v>2596</v>
      </c>
    </row>
    <row r="779" spans="1:34" x14ac:dyDescent="0.25">
      <c r="A779" s="111" t="str">
        <f>HYPERLINK("http://www.ofsted.gov.uk/inspection-reports/find-inspection-report/provider/ELS/138563 ","Ofsted School Webpage")</f>
        <v>Ofsted School Webpage</v>
      </c>
      <c r="B779">
        <v>138563</v>
      </c>
      <c r="C779">
        <v>8036009</v>
      </c>
      <c r="D779" t="s">
        <v>1505</v>
      </c>
      <c r="E779" t="s">
        <v>37</v>
      </c>
      <c r="F779" t="s">
        <v>142</v>
      </c>
      <c r="G779" t="s">
        <v>142</v>
      </c>
      <c r="H779" t="s">
        <v>2595</v>
      </c>
      <c r="I779" t="s">
        <v>2596</v>
      </c>
      <c r="J779" t="s">
        <v>143</v>
      </c>
      <c r="K779" t="s">
        <v>182</v>
      </c>
      <c r="L779" t="s">
        <v>182</v>
      </c>
      <c r="M779" t="s">
        <v>567</v>
      </c>
      <c r="N779" t="s">
        <v>1506</v>
      </c>
      <c r="O779">
        <v>10026043</v>
      </c>
      <c r="P779" s="108">
        <v>43053</v>
      </c>
      <c r="Q779" s="108">
        <v>43055</v>
      </c>
      <c r="R779" s="108">
        <v>43077</v>
      </c>
      <c r="S779" t="s">
        <v>153</v>
      </c>
      <c r="T779">
        <v>2</v>
      </c>
      <c r="U779" t="s">
        <v>123</v>
      </c>
      <c r="V779">
        <v>2</v>
      </c>
      <c r="W779">
        <v>2</v>
      </c>
      <c r="X779">
        <v>2</v>
      </c>
      <c r="Y779">
        <f>VLOOKUP(Table_clu7sql1_ssdb_REPORT_vw_IE_External_MI_SON[[#This Row],[URN]],[1]Data!$D$2:$BB$1084,31,)</f>
        <v>2</v>
      </c>
      <c r="Z779" t="s">
        <v>2596</v>
      </c>
      <c r="AA779" t="s">
        <v>2596</v>
      </c>
      <c r="AB779" t="s">
        <v>2598</v>
      </c>
      <c r="AC779" t="s">
        <v>2596</v>
      </c>
      <c r="AD779" t="s">
        <v>2596</v>
      </c>
      <c r="AE779" t="s">
        <v>2596</v>
      </c>
      <c r="AF779" t="s">
        <v>2596</v>
      </c>
      <c r="AG779" t="s">
        <v>2596</v>
      </c>
      <c r="AH779" t="s">
        <v>2596</v>
      </c>
    </row>
    <row r="780" spans="1:34" x14ac:dyDescent="0.25">
      <c r="A780" s="111" t="str">
        <f>HYPERLINK("http://www.ofsted.gov.uk/inspection-reports/find-inspection-report/provider/ELS/138564 ","Ofsted School Webpage")</f>
        <v>Ofsted School Webpage</v>
      </c>
      <c r="B780">
        <v>138564</v>
      </c>
      <c r="C780">
        <v>2116003</v>
      </c>
      <c r="D780" t="s">
        <v>1565</v>
      </c>
      <c r="E780" t="s">
        <v>36</v>
      </c>
      <c r="F780" t="s">
        <v>142</v>
      </c>
      <c r="G780" t="s">
        <v>180</v>
      </c>
      <c r="H780" t="s">
        <v>2595</v>
      </c>
      <c r="I780" t="s">
        <v>2596</v>
      </c>
      <c r="J780" t="s">
        <v>143</v>
      </c>
      <c r="K780" t="s">
        <v>189</v>
      </c>
      <c r="L780" t="s">
        <v>189</v>
      </c>
      <c r="M780" t="s">
        <v>494</v>
      </c>
      <c r="N780" t="s">
        <v>1566</v>
      </c>
      <c r="O780">
        <v>10034697</v>
      </c>
      <c r="P780" s="108">
        <v>42920</v>
      </c>
      <c r="Q780" s="108">
        <v>42922</v>
      </c>
      <c r="R780" s="108">
        <v>43025</v>
      </c>
      <c r="S780" t="s">
        <v>153</v>
      </c>
      <c r="T780">
        <v>4</v>
      </c>
      <c r="U780" t="s">
        <v>124</v>
      </c>
      <c r="V780">
        <v>4</v>
      </c>
      <c r="W780">
        <v>4</v>
      </c>
      <c r="X780">
        <v>3</v>
      </c>
      <c r="Y780">
        <f>VLOOKUP(Table_clu7sql1_ssdb_REPORT_vw_IE_External_MI_SON[[#This Row],[URN]],[1]Data!$D$2:$BB$1084,31,)</f>
        <v>3</v>
      </c>
      <c r="Z780">
        <v>4</v>
      </c>
      <c r="AA780" t="s">
        <v>2596</v>
      </c>
      <c r="AB780" t="s">
        <v>2599</v>
      </c>
      <c r="AC780" t="s">
        <v>2596</v>
      </c>
      <c r="AD780" t="s">
        <v>2596</v>
      </c>
      <c r="AE780" t="s">
        <v>2596</v>
      </c>
      <c r="AF780" t="s">
        <v>2596</v>
      </c>
      <c r="AG780" t="s">
        <v>2596</v>
      </c>
      <c r="AH780" t="s">
        <v>2596</v>
      </c>
    </row>
    <row r="781" spans="1:34" x14ac:dyDescent="0.25">
      <c r="A781" s="111" t="str">
        <f>HYPERLINK("http://www.ofsted.gov.uk/inspection-reports/find-inspection-report/provider/ELS/138568 ","Ofsted School Webpage")</f>
        <v>Ofsted School Webpage</v>
      </c>
      <c r="B781">
        <v>138568</v>
      </c>
      <c r="C781">
        <v>3536001</v>
      </c>
      <c r="D781" t="s">
        <v>1617</v>
      </c>
      <c r="E781" t="s">
        <v>36</v>
      </c>
      <c r="F781" t="s">
        <v>142</v>
      </c>
      <c r="G781" t="s">
        <v>180</v>
      </c>
      <c r="H781" t="s">
        <v>2595</v>
      </c>
      <c r="I781" t="s">
        <v>2596</v>
      </c>
      <c r="J781" t="s">
        <v>143</v>
      </c>
      <c r="K781" t="s">
        <v>162</v>
      </c>
      <c r="L781" t="s">
        <v>162</v>
      </c>
      <c r="M781" t="s">
        <v>423</v>
      </c>
      <c r="N781" t="s">
        <v>1618</v>
      </c>
      <c r="O781">
        <v>10012868</v>
      </c>
      <c r="P781" s="108">
        <v>42500</v>
      </c>
      <c r="Q781" s="108">
        <v>42502</v>
      </c>
      <c r="R781" s="108">
        <v>42536</v>
      </c>
      <c r="S781" t="s">
        <v>153</v>
      </c>
      <c r="T781">
        <v>2</v>
      </c>
      <c r="U781" t="s">
        <v>123</v>
      </c>
      <c r="V781">
        <v>2</v>
      </c>
      <c r="W781">
        <v>2</v>
      </c>
      <c r="X781">
        <v>2</v>
      </c>
      <c r="Y781">
        <f>VLOOKUP(Table_clu7sql1_ssdb_REPORT_vw_IE_External_MI_SON[[#This Row],[URN]],[1]Data!$D$2:$BB$1084,31,)</f>
        <v>2</v>
      </c>
      <c r="Z781" t="s">
        <v>2596</v>
      </c>
      <c r="AA781" t="s">
        <v>2596</v>
      </c>
      <c r="AB781" t="s">
        <v>2598</v>
      </c>
      <c r="AC781" t="s">
        <v>2596</v>
      </c>
      <c r="AD781" t="s">
        <v>2596</v>
      </c>
      <c r="AE781" s="108" t="s">
        <v>2596</v>
      </c>
      <c r="AF781" t="s">
        <v>2596</v>
      </c>
      <c r="AG781" s="108" t="s">
        <v>2596</v>
      </c>
      <c r="AH781" t="s">
        <v>2596</v>
      </c>
    </row>
    <row r="782" spans="1:34" x14ac:dyDescent="0.25">
      <c r="A782" s="111" t="str">
        <f>HYPERLINK("http://www.ofsted.gov.uk/inspection-reports/find-inspection-report/provider/ELS/138580 ","Ofsted School Webpage")</f>
        <v>Ofsted School Webpage</v>
      </c>
      <c r="B782">
        <v>138580</v>
      </c>
      <c r="C782">
        <v>8936029</v>
      </c>
      <c r="D782" t="s">
        <v>1116</v>
      </c>
      <c r="E782" t="s">
        <v>37</v>
      </c>
      <c r="F782" t="s">
        <v>142</v>
      </c>
      <c r="G782" t="s">
        <v>142</v>
      </c>
      <c r="H782" t="s">
        <v>2595</v>
      </c>
      <c r="I782" t="s">
        <v>2596</v>
      </c>
      <c r="J782" t="s">
        <v>143</v>
      </c>
      <c r="K782" t="s">
        <v>150</v>
      </c>
      <c r="L782" t="s">
        <v>150</v>
      </c>
      <c r="M782" t="s">
        <v>151</v>
      </c>
      <c r="N782" t="s">
        <v>1117</v>
      </c>
      <c r="O782">
        <v>10012917</v>
      </c>
      <c r="P782" s="108">
        <v>43137</v>
      </c>
      <c r="Q782" s="108">
        <v>43139</v>
      </c>
      <c r="R782" s="108">
        <v>43173</v>
      </c>
      <c r="S782" t="s">
        <v>3005</v>
      </c>
      <c r="T782">
        <v>3</v>
      </c>
      <c r="U782" t="s">
        <v>123</v>
      </c>
      <c r="V782">
        <v>3</v>
      </c>
      <c r="W782">
        <v>2</v>
      </c>
      <c r="X782">
        <v>2</v>
      </c>
      <c r="Y782">
        <f>VLOOKUP(Table_clu7sql1_ssdb_REPORT_vw_IE_External_MI_SON[[#This Row],[URN]],[1]Data!$D$2:$BB$1084,31,)</f>
        <v>2</v>
      </c>
      <c r="Z782" t="s">
        <v>2596</v>
      </c>
      <c r="AA782">
        <v>2</v>
      </c>
      <c r="AB782" t="s">
        <v>2599</v>
      </c>
      <c r="AC782" t="s">
        <v>2596</v>
      </c>
      <c r="AD782" t="s">
        <v>2596</v>
      </c>
      <c r="AE782" t="s">
        <v>2596</v>
      </c>
      <c r="AF782" t="s">
        <v>2596</v>
      </c>
      <c r="AG782" t="s">
        <v>2596</v>
      </c>
      <c r="AH782" t="s">
        <v>2596</v>
      </c>
    </row>
    <row r="783" spans="1:34" x14ac:dyDescent="0.25">
      <c r="A783" s="111" t="str">
        <f>HYPERLINK("http://www.ofsted.gov.uk/inspection-reports/find-inspection-report/provider/ELS/138597 ","Ofsted School Webpage")</f>
        <v>Ofsted School Webpage</v>
      </c>
      <c r="B783">
        <v>138597</v>
      </c>
      <c r="C783">
        <v>8766014</v>
      </c>
      <c r="D783" t="s">
        <v>1035</v>
      </c>
      <c r="E783" t="s">
        <v>37</v>
      </c>
      <c r="F783" t="s">
        <v>142</v>
      </c>
      <c r="G783" t="s">
        <v>169</v>
      </c>
      <c r="H783" t="s">
        <v>2595</v>
      </c>
      <c r="I783" t="s">
        <v>2596</v>
      </c>
      <c r="J783" t="s">
        <v>143</v>
      </c>
      <c r="K783" t="s">
        <v>162</v>
      </c>
      <c r="L783" t="s">
        <v>162</v>
      </c>
      <c r="M783" t="s">
        <v>590</v>
      </c>
      <c r="N783" t="s">
        <v>1036</v>
      </c>
      <c r="O783">
        <v>10012923</v>
      </c>
      <c r="P783" s="108">
        <v>43129</v>
      </c>
      <c r="Q783" s="108">
        <v>43131</v>
      </c>
      <c r="R783" s="108">
        <v>43158</v>
      </c>
      <c r="S783" t="s">
        <v>153</v>
      </c>
      <c r="T783">
        <v>2</v>
      </c>
      <c r="U783" t="s">
        <v>123</v>
      </c>
      <c r="V783">
        <v>2</v>
      </c>
      <c r="W783">
        <v>2</v>
      </c>
      <c r="X783">
        <v>2</v>
      </c>
      <c r="Y783">
        <f>VLOOKUP(Table_clu7sql1_ssdb_REPORT_vw_IE_External_MI_SON[[#This Row],[URN]],[1]Data!$D$2:$BB$1084,31,)</f>
        <v>2</v>
      </c>
      <c r="Z783" t="s">
        <v>2596</v>
      </c>
      <c r="AA783" t="s">
        <v>2596</v>
      </c>
      <c r="AB783" t="s">
        <v>2598</v>
      </c>
      <c r="AC783" t="s">
        <v>2596</v>
      </c>
      <c r="AD783" t="s">
        <v>2596</v>
      </c>
      <c r="AE783" s="108" t="s">
        <v>2596</v>
      </c>
      <c r="AF783" t="s">
        <v>2596</v>
      </c>
      <c r="AG783" s="108" t="s">
        <v>2596</v>
      </c>
      <c r="AH783" t="s">
        <v>2596</v>
      </c>
    </row>
    <row r="784" spans="1:34" x14ac:dyDescent="0.25">
      <c r="A784" s="111" t="str">
        <f>HYPERLINK("http://www.ofsted.gov.uk/inspection-reports/find-inspection-report/provider/ELS/138598 ","Ofsted School Webpage")</f>
        <v>Ofsted School Webpage</v>
      </c>
      <c r="B784">
        <v>138598</v>
      </c>
      <c r="C784">
        <v>3106006</v>
      </c>
      <c r="D784" t="s">
        <v>1581</v>
      </c>
      <c r="E784" t="s">
        <v>36</v>
      </c>
      <c r="F784" t="s">
        <v>261</v>
      </c>
      <c r="G784" t="s">
        <v>180</v>
      </c>
      <c r="H784" t="s">
        <v>2595</v>
      </c>
      <c r="I784" t="s">
        <v>2596</v>
      </c>
      <c r="J784" t="s">
        <v>143</v>
      </c>
      <c r="K784" t="s">
        <v>189</v>
      </c>
      <c r="L784" t="s">
        <v>189</v>
      </c>
      <c r="M784" t="s">
        <v>1582</v>
      </c>
      <c r="N784" t="s">
        <v>1583</v>
      </c>
      <c r="O784">
        <v>10020780</v>
      </c>
      <c r="P784" s="108">
        <v>42745</v>
      </c>
      <c r="Q784" s="108">
        <v>42747</v>
      </c>
      <c r="R784" s="108">
        <v>42829</v>
      </c>
      <c r="S784" t="s">
        <v>153</v>
      </c>
      <c r="T784">
        <v>4</v>
      </c>
      <c r="U784" t="s">
        <v>124</v>
      </c>
      <c r="V784">
        <v>4</v>
      </c>
      <c r="W784">
        <v>4</v>
      </c>
      <c r="X784">
        <v>3</v>
      </c>
      <c r="Y784">
        <f>VLOOKUP(Table_clu7sql1_ssdb_REPORT_vw_IE_External_MI_SON[[#This Row],[URN]],[1]Data!$D$2:$BB$1084,31,)</f>
        <v>3</v>
      </c>
      <c r="Z784" t="s">
        <v>2596</v>
      </c>
      <c r="AA784" t="s">
        <v>2596</v>
      </c>
      <c r="AB784" t="s">
        <v>2599</v>
      </c>
      <c r="AC784">
        <v>10037575</v>
      </c>
      <c r="AD784" t="s">
        <v>144</v>
      </c>
      <c r="AE784" s="108">
        <v>42892</v>
      </c>
      <c r="AF784" t="s">
        <v>2634</v>
      </c>
      <c r="AG784" s="108">
        <v>43000</v>
      </c>
      <c r="AH784" t="s">
        <v>146</v>
      </c>
    </row>
    <row r="785" spans="1:34" x14ac:dyDescent="0.25">
      <c r="A785" s="111" t="str">
        <f>HYPERLINK("http://www.ofsted.gov.uk/inspection-reports/find-inspection-report/provider/ELS/138599 ","Ofsted School Webpage")</f>
        <v>Ofsted School Webpage</v>
      </c>
      <c r="B785">
        <v>138599</v>
      </c>
      <c r="C785">
        <v>2076001</v>
      </c>
      <c r="D785" t="s">
        <v>2201</v>
      </c>
      <c r="E785" t="s">
        <v>36</v>
      </c>
      <c r="F785" t="s">
        <v>142</v>
      </c>
      <c r="G785" t="s">
        <v>142</v>
      </c>
      <c r="H785" t="s">
        <v>2595</v>
      </c>
      <c r="I785" t="s">
        <v>2596</v>
      </c>
      <c r="J785" t="s">
        <v>143</v>
      </c>
      <c r="K785" t="s">
        <v>189</v>
      </c>
      <c r="L785" t="s">
        <v>189</v>
      </c>
      <c r="M785" t="s">
        <v>251</v>
      </c>
      <c r="N785" t="s">
        <v>2202</v>
      </c>
      <c r="O785">
        <v>10012784</v>
      </c>
      <c r="P785" s="108">
        <v>42542</v>
      </c>
      <c r="Q785" s="108">
        <v>42544</v>
      </c>
      <c r="R785" s="108">
        <v>42613</v>
      </c>
      <c r="S785" t="s">
        <v>153</v>
      </c>
      <c r="T785">
        <v>2</v>
      </c>
      <c r="U785" t="s">
        <v>123</v>
      </c>
      <c r="V785">
        <v>2</v>
      </c>
      <c r="W785">
        <v>1</v>
      </c>
      <c r="X785">
        <v>2</v>
      </c>
      <c r="Y785">
        <f>VLOOKUP(Table_clu7sql1_ssdb_REPORT_vw_IE_External_MI_SON[[#This Row],[URN]],[1]Data!$D$2:$BB$1084,31,)</f>
        <v>2</v>
      </c>
      <c r="Z785">
        <v>2</v>
      </c>
      <c r="AA785" t="s">
        <v>2596</v>
      </c>
      <c r="AB785" t="s">
        <v>2598</v>
      </c>
      <c r="AC785" t="s">
        <v>2596</v>
      </c>
      <c r="AD785" t="s">
        <v>2596</v>
      </c>
      <c r="AE785" s="108" t="s">
        <v>2596</v>
      </c>
      <c r="AF785" t="s">
        <v>2596</v>
      </c>
      <c r="AG785" s="108" t="s">
        <v>2596</v>
      </c>
      <c r="AH785" t="s">
        <v>2596</v>
      </c>
    </row>
    <row r="786" spans="1:34" x14ac:dyDescent="0.25">
      <c r="A786" s="111" t="str">
        <f>HYPERLINK("http://www.ofsted.gov.uk/inspection-reports/find-inspection-report/provider/ELS/138602 ","Ofsted School Webpage")</f>
        <v>Ofsted School Webpage</v>
      </c>
      <c r="B786">
        <v>138602</v>
      </c>
      <c r="C786">
        <v>9316010</v>
      </c>
      <c r="D786" t="s">
        <v>1592</v>
      </c>
      <c r="E786" t="s">
        <v>36</v>
      </c>
      <c r="F786" t="s">
        <v>142</v>
      </c>
      <c r="G786" t="s">
        <v>142</v>
      </c>
      <c r="H786" t="s">
        <v>2595</v>
      </c>
      <c r="I786" t="s">
        <v>2596</v>
      </c>
      <c r="J786" t="s">
        <v>143</v>
      </c>
      <c r="K786" t="s">
        <v>139</v>
      </c>
      <c r="L786" t="s">
        <v>139</v>
      </c>
      <c r="M786" t="s">
        <v>199</v>
      </c>
      <c r="N786" t="s">
        <v>1593</v>
      </c>
      <c r="O786">
        <v>10012969</v>
      </c>
      <c r="P786" s="108">
        <v>42500</v>
      </c>
      <c r="Q786" s="108">
        <v>42502</v>
      </c>
      <c r="R786" s="108">
        <v>42534</v>
      </c>
      <c r="S786" t="s">
        <v>153</v>
      </c>
      <c r="T786">
        <v>2</v>
      </c>
      <c r="U786" t="s">
        <v>123</v>
      </c>
      <c r="V786">
        <v>2</v>
      </c>
      <c r="W786">
        <v>2</v>
      </c>
      <c r="X786">
        <v>2</v>
      </c>
      <c r="Y786">
        <f>VLOOKUP(Table_clu7sql1_ssdb_REPORT_vw_IE_External_MI_SON[[#This Row],[URN]],[1]Data!$D$2:$BB$1084,31,)</f>
        <v>2</v>
      </c>
      <c r="Z786" t="s">
        <v>2596</v>
      </c>
      <c r="AA786">
        <v>2</v>
      </c>
      <c r="AB786" t="s">
        <v>2598</v>
      </c>
      <c r="AC786" t="s">
        <v>2596</v>
      </c>
      <c r="AD786" t="s">
        <v>2596</v>
      </c>
      <c r="AE786" t="s">
        <v>2596</v>
      </c>
      <c r="AF786" t="s">
        <v>2596</v>
      </c>
      <c r="AG786" t="s">
        <v>2596</v>
      </c>
      <c r="AH786" t="s">
        <v>2596</v>
      </c>
    </row>
    <row r="787" spans="1:34" x14ac:dyDescent="0.25">
      <c r="A787" s="111" t="str">
        <f>HYPERLINK("http://www.ofsted.gov.uk/inspection-reports/find-inspection-report/provider/ELS/138777 ","Ofsted School Webpage")</f>
        <v>Ofsted School Webpage</v>
      </c>
      <c r="B787">
        <v>138777</v>
      </c>
      <c r="C787">
        <v>2026002</v>
      </c>
      <c r="D787" t="s">
        <v>2201</v>
      </c>
      <c r="E787" t="s">
        <v>36</v>
      </c>
      <c r="F787" t="s">
        <v>142</v>
      </c>
      <c r="G787" t="s">
        <v>142</v>
      </c>
      <c r="H787" t="s">
        <v>2595</v>
      </c>
      <c r="I787" t="s">
        <v>2596</v>
      </c>
      <c r="J787" t="s">
        <v>143</v>
      </c>
      <c r="K787" t="s">
        <v>189</v>
      </c>
      <c r="L787" t="s">
        <v>189</v>
      </c>
      <c r="M787" t="s">
        <v>491</v>
      </c>
      <c r="N787" t="s">
        <v>2203</v>
      </c>
      <c r="O787">
        <v>10012786</v>
      </c>
      <c r="P787" s="108">
        <v>43053</v>
      </c>
      <c r="Q787" s="108">
        <v>43055</v>
      </c>
      <c r="R787" s="108">
        <v>43089</v>
      </c>
      <c r="S787" t="s">
        <v>153</v>
      </c>
      <c r="T787">
        <v>2</v>
      </c>
      <c r="U787" t="s">
        <v>123</v>
      </c>
      <c r="V787">
        <v>2</v>
      </c>
      <c r="W787">
        <v>2</v>
      </c>
      <c r="X787">
        <v>2</v>
      </c>
      <c r="Y787">
        <f>VLOOKUP(Table_clu7sql1_ssdb_REPORT_vw_IE_External_MI_SON[[#This Row],[URN]],[1]Data!$D$2:$BB$1084,31,)</f>
        <v>2</v>
      </c>
      <c r="Z787">
        <v>2</v>
      </c>
      <c r="AA787" t="s">
        <v>2596</v>
      </c>
      <c r="AB787" t="s">
        <v>2598</v>
      </c>
      <c r="AC787" t="s">
        <v>2596</v>
      </c>
      <c r="AD787" t="s">
        <v>2596</v>
      </c>
      <c r="AE787" t="s">
        <v>2596</v>
      </c>
      <c r="AF787" t="s">
        <v>2596</v>
      </c>
      <c r="AG787" t="s">
        <v>2596</v>
      </c>
      <c r="AH787" t="s">
        <v>2596</v>
      </c>
    </row>
    <row r="788" spans="1:34" x14ac:dyDescent="0.25">
      <c r="A788" s="111" t="str">
        <f>HYPERLINK("http://www.ofsted.gov.uk/inspection-reports/find-inspection-report/provider/ELS/138779 ","Ofsted School Webpage")</f>
        <v>Ofsted School Webpage</v>
      </c>
      <c r="B788">
        <v>138779</v>
      </c>
      <c r="C788">
        <v>9266006</v>
      </c>
      <c r="D788" t="s">
        <v>2906</v>
      </c>
      <c r="E788" t="s">
        <v>37</v>
      </c>
      <c r="F788" t="s">
        <v>142</v>
      </c>
      <c r="G788" t="s">
        <v>142</v>
      </c>
      <c r="H788" t="s">
        <v>2595</v>
      </c>
      <c r="I788" t="s">
        <v>2596</v>
      </c>
      <c r="J788" t="s">
        <v>143</v>
      </c>
      <c r="K788" t="s">
        <v>177</v>
      </c>
      <c r="L788" t="s">
        <v>177</v>
      </c>
      <c r="M788" t="s">
        <v>401</v>
      </c>
      <c r="N788" t="s">
        <v>2907</v>
      </c>
      <c r="O788">
        <v>10012967</v>
      </c>
      <c r="P788" s="108">
        <v>42647</v>
      </c>
      <c r="Q788" s="108">
        <v>42649</v>
      </c>
      <c r="R788" s="108">
        <v>42692</v>
      </c>
      <c r="S788" t="s">
        <v>153</v>
      </c>
      <c r="T788">
        <v>4</v>
      </c>
      <c r="U788" t="s">
        <v>124</v>
      </c>
      <c r="V788">
        <v>4</v>
      </c>
      <c r="W788">
        <v>4</v>
      </c>
      <c r="X788">
        <v>3</v>
      </c>
      <c r="Y788">
        <f>VLOOKUP(Table_clu7sql1_ssdb_REPORT_vw_IE_External_MI_SON[[#This Row],[URN]],[1]Data!$D$2:$BB$1084,31,)</f>
        <v>3</v>
      </c>
      <c r="Z788" t="s">
        <v>2596</v>
      </c>
      <c r="AA788" t="s">
        <v>2596</v>
      </c>
      <c r="AB788" t="s">
        <v>2599</v>
      </c>
      <c r="AC788">
        <v>10034037</v>
      </c>
      <c r="AD788" t="s">
        <v>144</v>
      </c>
      <c r="AE788" s="108">
        <v>42864</v>
      </c>
      <c r="AF788" t="s">
        <v>2634</v>
      </c>
      <c r="AG788" s="108">
        <v>42895</v>
      </c>
      <c r="AH788" t="s">
        <v>174</v>
      </c>
    </row>
    <row r="789" spans="1:34" x14ac:dyDescent="0.25">
      <c r="A789" s="111" t="str">
        <f>HYPERLINK("http://www.ofsted.gov.uk/inspection-reports/find-inspection-report/provider/ELS/138801 ","Ofsted School Webpage")</f>
        <v>Ofsted School Webpage</v>
      </c>
      <c r="B789">
        <v>138801</v>
      </c>
      <c r="C789">
        <v>3166002</v>
      </c>
      <c r="D789" t="s">
        <v>473</v>
      </c>
      <c r="E789" t="s">
        <v>36</v>
      </c>
      <c r="F789" t="s">
        <v>142</v>
      </c>
      <c r="G789" t="s">
        <v>180</v>
      </c>
      <c r="H789" t="s">
        <v>2595</v>
      </c>
      <c r="I789" t="s">
        <v>2596</v>
      </c>
      <c r="J789" t="s">
        <v>143</v>
      </c>
      <c r="K789" t="s">
        <v>189</v>
      </c>
      <c r="L789" t="s">
        <v>189</v>
      </c>
      <c r="M789" t="s">
        <v>460</v>
      </c>
      <c r="N789" t="s">
        <v>474</v>
      </c>
      <c r="O789">
        <v>10012828</v>
      </c>
      <c r="P789" s="108">
        <v>42703</v>
      </c>
      <c r="Q789" s="108">
        <v>42705</v>
      </c>
      <c r="R789" s="108">
        <v>42851</v>
      </c>
      <c r="S789" t="s">
        <v>153</v>
      </c>
      <c r="T789">
        <v>4</v>
      </c>
      <c r="U789" t="s">
        <v>124</v>
      </c>
      <c r="V789">
        <v>4</v>
      </c>
      <c r="W789">
        <v>4</v>
      </c>
      <c r="X789">
        <v>3</v>
      </c>
      <c r="Y789">
        <f>VLOOKUP(Table_clu7sql1_ssdb_REPORT_vw_IE_External_MI_SON[[#This Row],[URN]],[1]Data!$D$2:$BB$1084,31,)</f>
        <v>3</v>
      </c>
      <c r="Z789" t="s">
        <v>2596</v>
      </c>
      <c r="AA789" t="s">
        <v>2596</v>
      </c>
      <c r="AB789" t="s">
        <v>2599</v>
      </c>
      <c r="AC789">
        <v>10037571</v>
      </c>
      <c r="AD789" t="s">
        <v>144</v>
      </c>
      <c r="AE789" s="108">
        <v>43010</v>
      </c>
      <c r="AF789" t="s">
        <v>2636</v>
      </c>
      <c r="AG789" s="108">
        <v>43047</v>
      </c>
      <c r="AH789" t="s">
        <v>146</v>
      </c>
    </row>
    <row r="790" spans="1:34" x14ac:dyDescent="0.25">
      <c r="A790" s="111" t="str">
        <f>HYPERLINK("http://www.ofsted.gov.uk/inspection-reports/find-inspection-report/provider/ELS/138803 ","Ofsted School Webpage")</f>
        <v>Ofsted School Webpage</v>
      </c>
      <c r="B790">
        <v>138803</v>
      </c>
      <c r="C790">
        <v>2086001</v>
      </c>
      <c r="D790" t="s">
        <v>1144</v>
      </c>
      <c r="E790" t="s">
        <v>37</v>
      </c>
      <c r="F790" t="s">
        <v>142</v>
      </c>
      <c r="G790" t="s">
        <v>142</v>
      </c>
      <c r="H790" t="s">
        <v>2595</v>
      </c>
      <c r="I790" t="s">
        <v>2596</v>
      </c>
      <c r="J790" t="s">
        <v>143</v>
      </c>
      <c r="K790" t="s">
        <v>189</v>
      </c>
      <c r="L790" t="s">
        <v>189</v>
      </c>
      <c r="M790" t="s">
        <v>1145</v>
      </c>
      <c r="N790" t="s">
        <v>1146</v>
      </c>
      <c r="O790" t="s">
        <v>1147</v>
      </c>
      <c r="P790" s="108">
        <v>41464</v>
      </c>
      <c r="Q790" s="108">
        <v>41466</v>
      </c>
      <c r="R790" s="108">
        <v>41522</v>
      </c>
      <c r="S790" t="s">
        <v>206</v>
      </c>
      <c r="T790">
        <v>2</v>
      </c>
      <c r="U790" t="s">
        <v>2596</v>
      </c>
      <c r="V790">
        <v>2</v>
      </c>
      <c r="W790" t="s">
        <v>2596</v>
      </c>
      <c r="X790">
        <v>2</v>
      </c>
      <c r="Y790">
        <f>VLOOKUP(Table_clu7sql1_ssdb_REPORT_vw_IE_External_MI_SON[[#This Row],[URN]],[1]Data!$D$2:$BB$1084,31,)</f>
        <v>2</v>
      </c>
      <c r="Z790" t="s">
        <v>2596</v>
      </c>
      <c r="AA790" t="s">
        <v>2596</v>
      </c>
      <c r="AB790" t="s">
        <v>2886</v>
      </c>
      <c r="AC790" t="s">
        <v>2596</v>
      </c>
      <c r="AD790" t="s">
        <v>2596</v>
      </c>
      <c r="AE790" t="s">
        <v>2596</v>
      </c>
      <c r="AF790" t="s">
        <v>2596</v>
      </c>
      <c r="AG790" t="s">
        <v>2596</v>
      </c>
      <c r="AH790" t="s">
        <v>2596</v>
      </c>
    </row>
    <row r="791" spans="1:34" x14ac:dyDescent="0.25">
      <c r="A791" s="111" t="str">
        <f>HYPERLINK("http://www.ofsted.gov.uk/inspection-reports/find-inspection-report/provider/ELS/138868 ","Ofsted School Webpage")</f>
        <v>Ofsted School Webpage</v>
      </c>
      <c r="B791">
        <v>138868</v>
      </c>
      <c r="C791">
        <v>8886045</v>
      </c>
      <c r="D791" t="s">
        <v>1040</v>
      </c>
      <c r="E791" t="s">
        <v>37</v>
      </c>
      <c r="F791" t="s">
        <v>142</v>
      </c>
      <c r="G791" t="s">
        <v>142</v>
      </c>
      <c r="H791" t="s">
        <v>2595</v>
      </c>
      <c r="I791" t="s">
        <v>2596</v>
      </c>
      <c r="J791" t="s">
        <v>143</v>
      </c>
      <c r="K791" t="s">
        <v>162</v>
      </c>
      <c r="L791" t="s">
        <v>162</v>
      </c>
      <c r="M791" t="s">
        <v>163</v>
      </c>
      <c r="N791" t="s">
        <v>1041</v>
      </c>
      <c r="O791">
        <v>10020811</v>
      </c>
      <c r="P791" s="108">
        <v>42633</v>
      </c>
      <c r="Q791" s="108">
        <v>42635</v>
      </c>
      <c r="R791" s="108">
        <v>42663</v>
      </c>
      <c r="S791" t="s">
        <v>153</v>
      </c>
      <c r="T791">
        <v>2</v>
      </c>
      <c r="U791" t="s">
        <v>123</v>
      </c>
      <c r="V791">
        <v>2</v>
      </c>
      <c r="W791">
        <v>2</v>
      </c>
      <c r="X791">
        <v>2</v>
      </c>
      <c r="Y791">
        <f>VLOOKUP(Table_clu7sql1_ssdb_REPORT_vw_IE_External_MI_SON[[#This Row],[URN]],[1]Data!$D$2:$BB$1084,31,)</f>
        <v>2</v>
      </c>
      <c r="Z791" t="s">
        <v>2596</v>
      </c>
      <c r="AA791" t="s">
        <v>2596</v>
      </c>
      <c r="AB791" t="s">
        <v>2598</v>
      </c>
      <c r="AC791" t="s">
        <v>2596</v>
      </c>
      <c r="AD791" t="s">
        <v>2596</v>
      </c>
      <c r="AE791" s="108" t="s">
        <v>2596</v>
      </c>
      <c r="AF791" t="s">
        <v>2596</v>
      </c>
      <c r="AG791" s="108" t="s">
        <v>2596</v>
      </c>
      <c r="AH791" t="s">
        <v>2596</v>
      </c>
    </row>
    <row r="792" spans="1:34" x14ac:dyDescent="0.25">
      <c r="A792" s="111" t="str">
        <f>HYPERLINK("http://www.ofsted.gov.uk/inspection-reports/find-inspection-report/provider/ELS/138873 ","Ofsted School Webpage")</f>
        <v>Ofsted School Webpage</v>
      </c>
      <c r="B792">
        <v>138873</v>
      </c>
      <c r="C792">
        <v>9316011</v>
      </c>
      <c r="D792" t="s">
        <v>2121</v>
      </c>
      <c r="E792" t="s">
        <v>36</v>
      </c>
      <c r="F792" t="s">
        <v>142</v>
      </c>
      <c r="G792" t="s">
        <v>142</v>
      </c>
      <c r="H792" t="s">
        <v>2595</v>
      </c>
      <c r="I792" t="s">
        <v>2596</v>
      </c>
      <c r="J792" t="s">
        <v>143</v>
      </c>
      <c r="K792" t="s">
        <v>139</v>
      </c>
      <c r="L792" t="s">
        <v>139</v>
      </c>
      <c r="M792" t="s">
        <v>199</v>
      </c>
      <c r="N792" t="s">
        <v>2122</v>
      </c>
      <c r="O792">
        <v>10025991</v>
      </c>
      <c r="P792" s="108">
        <v>42871</v>
      </c>
      <c r="Q792" s="108">
        <v>42873</v>
      </c>
      <c r="R792" s="108">
        <v>42902</v>
      </c>
      <c r="S792" t="s">
        <v>153</v>
      </c>
      <c r="T792">
        <v>3</v>
      </c>
      <c r="U792" t="s">
        <v>123</v>
      </c>
      <c r="V792">
        <v>3</v>
      </c>
      <c r="W792">
        <v>2</v>
      </c>
      <c r="X792">
        <v>3</v>
      </c>
      <c r="Y792">
        <f>VLOOKUP(Table_clu7sql1_ssdb_REPORT_vw_IE_External_MI_SON[[#This Row],[URN]],[1]Data!$D$2:$BB$1084,31,)</f>
        <v>3</v>
      </c>
      <c r="Z792" t="s">
        <v>2596</v>
      </c>
      <c r="AA792" t="s">
        <v>2596</v>
      </c>
      <c r="AB792" t="s">
        <v>2598</v>
      </c>
      <c r="AC792" t="s">
        <v>2596</v>
      </c>
      <c r="AD792" t="s">
        <v>2596</v>
      </c>
      <c r="AE792" s="108" t="s">
        <v>2596</v>
      </c>
      <c r="AF792" t="s">
        <v>2596</v>
      </c>
      <c r="AG792" s="108" t="s">
        <v>2596</v>
      </c>
      <c r="AH792" t="s">
        <v>2596</v>
      </c>
    </row>
    <row r="793" spans="1:34" x14ac:dyDescent="0.25">
      <c r="A793" s="111" t="str">
        <f>HYPERLINK("http://www.ofsted.gov.uk/inspection-reports/find-inspection-report/provider/ELS/138875 ","Ofsted School Webpage")</f>
        <v>Ofsted School Webpage</v>
      </c>
      <c r="B793">
        <v>138875</v>
      </c>
      <c r="C793">
        <v>8936030</v>
      </c>
      <c r="D793" t="s">
        <v>149</v>
      </c>
      <c r="E793" t="s">
        <v>37</v>
      </c>
      <c r="F793" t="s">
        <v>142</v>
      </c>
      <c r="G793" t="s">
        <v>142</v>
      </c>
      <c r="H793" t="s">
        <v>2595</v>
      </c>
      <c r="I793" t="s">
        <v>2596</v>
      </c>
      <c r="J793" t="s">
        <v>143</v>
      </c>
      <c r="K793" t="s">
        <v>150</v>
      </c>
      <c r="L793" t="s">
        <v>150</v>
      </c>
      <c r="M793" t="s">
        <v>151</v>
      </c>
      <c r="N793" t="s">
        <v>152</v>
      </c>
      <c r="O793">
        <v>10012924</v>
      </c>
      <c r="P793" s="108">
        <v>43011</v>
      </c>
      <c r="Q793" s="108">
        <v>43013</v>
      </c>
      <c r="R793" s="108">
        <v>43060</v>
      </c>
      <c r="S793" t="s">
        <v>153</v>
      </c>
      <c r="T793">
        <v>4</v>
      </c>
      <c r="U793" t="s">
        <v>123</v>
      </c>
      <c r="V793">
        <v>4</v>
      </c>
      <c r="W793">
        <v>3</v>
      </c>
      <c r="X793">
        <v>3</v>
      </c>
      <c r="Y793">
        <f>VLOOKUP(Table_clu7sql1_ssdb_REPORT_vw_IE_External_MI_SON[[#This Row],[URN]],[1]Data!$D$2:$BB$1084,31,)</f>
        <v>3</v>
      </c>
      <c r="Z793" t="s">
        <v>2596</v>
      </c>
      <c r="AA793" t="s">
        <v>2596</v>
      </c>
      <c r="AB793" t="s">
        <v>2599</v>
      </c>
      <c r="AC793" t="s">
        <v>2596</v>
      </c>
      <c r="AD793" t="s">
        <v>2596</v>
      </c>
      <c r="AE793" t="s">
        <v>2596</v>
      </c>
      <c r="AF793" t="s">
        <v>2596</v>
      </c>
      <c r="AG793" t="s">
        <v>2596</v>
      </c>
      <c r="AH793" t="s">
        <v>2596</v>
      </c>
    </row>
    <row r="794" spans="1:34" x14ac:dyDescent="0.25">
      <c r="A794" s="111" t="str">
        <f>HYPERLINK("http://www.ofsted.gov.uk/inspection-reports/find-inspection-report/provider/ELS/138877 ","Ofsted School Webpage")</f>
        <v>Ofsted School Webpage</v>
      </c>
      <c r="B794">
        <v>138877</v>
      </c>
      <c r="C794">
        <v>9356002</v>
      </c>
      <c r="D794" t="s">
        <v>1945</v>
      </c>
      <c r="E794" t="s">
        <v>36</v>
      </c>
      <c r="F794" t="s">
        <v>142</v>
      </c>
      <c r="G794" t="s">
        <v>142</v>
      </c>
      <c r="H794" t="s">
        <v>2595</v>
      </c>
      <c r="I794" t="s">
        <v>2596</v>
      </c>
      <c r="J794" t="s">
        <v>143</v>
      </c>
      <c r="K794" t="s">
        <v>177</v>
      </c>
      <c r="L794" t="s">
        <v>177</v>
      </c>
      <c r="M794" t="s">
        <v>254</v>
      </c>
      <c r="N794" t="s">
        <v>1946</v>
      </c>
      <c r="O794">
        <v>10020806</v>
      </c>
      <c r="P794" s="108">
        <v>42808</v>
      </c>
      <c r="Q794" s="108">
        <v>42810</v>
      </c>
      <c r="R794" s="108">
        <v>42850</v>
      </c>
      <c r="S794" t="s">
        <v>153</v>
      </c>
      <c r="T794">
        <v>3</v>
      </c>
      <c r="U794" t="s">
        <v>123</v>
      </c>
      <c r="V794">
        <v>3</v>
      </c>
      <c r="W794">
        <v>2</v>
      </c>
      <c r="X794">
        <v>3</v>
      </c>
      <c r="Y794">
        <f>VLOOKUP(Table_clu7sql1_ssdb_REPORT_vw_IE_External_MI_SON[[#This Row],[URN]],[1]Data!$D$2:$BB$1084,31,)</f>
        <v>3</v>
      </c>
      <c r="Z794" t="s">
        <v>2596</v>
      </c>
      <c r="AA794" t="s">
        <v>2596</v>
      </c>
      <c r="AB794" t="s">
        <v>2599</v>
      </c>
      <c r="AC794">
        <v>10041239</v>
      </c>
      <c r="AD794" t="s">
        <v>144</v>
      </c>
      <c r="AE794" s="108">
        <v>43012</v>
      </c>
      <c r="AF794" t="s">
        <v>2636</v>
      </c>
      <c r="AG794" s="108">
        <v>43070</v>
      </c>
      <c r="AH794" t="s">
        <v>146</v>
      </c>
    </row>
    <row r="795" spans="1:34" x14ac:dyDescent="0.25">
      <c r="A795" s="111" t="str">
        <f>HYPERLINK("http://www.ofsted.gov.uk/inspection-reports/find-inspection-report/provider/ELS/138878 ","Ofsted School Webpage")</f>
        <v>Ofsted School Webpage</v>
      </c>
      <c r="B795">
        <v>138878</v>
      </c>
      <c r="C795">
        <v>3416003</v>
      </c>
      <c r="D795" t="s">
        <v>1212</v>
      </c>
      <c r="E795" t="s">
        <v>36</v>
      </c>
      <c r="F795" t="s">
        <v>142</v>
      </c>
      <c r="G795" t="s">
        <v>142</v>
      </c>
      <c r="H795" t="s">
        <v>2595</v>
      </c>
      <c r="I795" t="s">
        <v>2596</v>
      </c>
      <c r="J795" t="s">
        <v>143</v>
      </c>
      <c r="K795" t="s">
        <v>162</v>
      </c>
      <c r="L795" t="s">
        <v>162</v>
      </c>
      <c r="M795" t="s">
        <v>611</v>
      </c>
      <c r="N795" t="s">
        <v>1213</v>
      </c>
      <c r="O795">
        <v>10020909</v>
      </c>
      <c r="P795" s="108">
        <v>42626</v>
      </c>
      <c r="Q795" s="108">
        <v>42628</v>
      </c>
      <c r="R795" s="108">
        <v>42689</v>
      </c>
      <c r="S795" t="s">
        <v>153</v>
      </c>
      <c r="T795">
        <v>4</v>
      </c>
      <c r="U795" t="s">
        <v>124</v>
      </c>
      <c r="V795">
        <v>4</v>
      </c>
      <c r="W795">
        <v>4</v>
      </c>
      <c r="X795">
        <v>3</v>
      </c>
      <c r="Y795">
        <f>VLOOKUP(Table_clu7sql1_ssdb_REPORT_vw_IE_External_MI_SON[[#This Row],[URN]],[1]Data!$D$2:$BB$1084,31,)</f>
        <v>3</v>
      </c>
      <c r="Z795" t="s">
        <v>2596</v>
      </c>
      <c r="AA795" t="s">
        <v>2596</v>
      </c>
      <c r="AB795" t="s">
        <v>2599</v>
      </c>
      <c r="AC795">
        <v>10033850</v>
      </c>
      <c r="AD795" t="s">
        <v>144</v>
      </c>
      <c r="AE795" s="108">
        <v>42893</v>
      </c>
      <c r="AF795" t="s">
        <v>2634</v>
      </c>
      <c r="AG795" s="108">
        <v>42919</v>
      </c>
      <c r="AH795" t="s">
        <v>146</v>
      </c>
    </row>
    <row r="796" spans="1:34" x14ac:dyDescent="0.25">
      <c r="A796" s="111" t="str">
        <f>HYPERLINK("http://www.ofsted.gov.uk/inspection-reports/find-inspection-report/provider/ELS/138880 ","Ofsted School Webpage")</f>
        <v>Ofsted School Webpage</v>
      </c>
      <c r="B796">
        <v>138880</v>
      </c>
      <c r="C796">
        <v>9266009</v>
      </c>
      <c r="D796" t="s">
        <v>1411</v>
      </c>
      <c r="E796" t="s">
        <v>37</v>
      </c>
      <c r="F796" t="s">
        <v>142</v>
      </c>
      <c r="G796" t="s">
        <v>142</v>
      </c>
      <c r="H796" t="s">
        <v>2595</v>
      </c>
      <c r="I796" t="s">
        <v>2596</v>
      </c>
      <c r="J796" t="s">
        <v>143</v>
      </c>
      <c r="K796" t="s">
        <v>177</v>
      </c>
      <c r="L796" t="s">
        <v>177</v>
      </c>
      <c r="M796" t="s">
        <v>401</v>
      </c>
      <c r="N796" t="s">
        <v>1412</v>
      </c>
      <c r="O796">
        <v>10020822</v>
      </c>
      <c r="P796" s="108">
        <v>42871</v>
      </c>
      <c r="Q796" s="108">
        <v>42873</v>
      </c>
      <c r="R796" s="108">
        <v>42920</v>
      </c>
      <c r="S796" t="s">
        <v>3005</v>
      </c>
      <c r="T796">
        <v>1</v>
      </c>
      <c r="U796" t="s">
        <v>123</v>
      </c>
      <c r="V796">
        <v>1</v>
      </c>
      <c r="W796">
        <v>1</v>
      </c>
      <c r="X796">
        <v>1</v>
      </c>
      <c r="Y796">
        <f>VLOOKUP(Table_clu7sql1_ssdb_REPORT_vw_IE_External_MI_SON[[#This Row],[URN]],[1]Data!$D$2:$BB$1084,31,)</f>
        <v>1</v>
      </c>
      <c r="Z796" t="s">
        <v>2596</v>
      </c>
      <c r="AA796">
        <v>1</v>
      </c>
      <c r="AB796" t="s">
        <v>2598</v>
      </c>
      <c r="AC796" t="s">
        <v>2596</v>
      </c>
      <c r="AD796" t="s">
        <v>2596</v>
      </c>
      <c r="AE796" s="108" t="s">
        <v>2596</v>
      </c>
      <c r="AF796" t="s">
        <v>2596</v>
      </c>
      <c r="AG796" s="108" t="s">
        <v>2596</v>
      </c>
      <c r="AH796" t="s">
        <v>2596</v>
      </c>
    </row>
    <row r="797" spans="1:34" x14ac:dyDescent="0.25">
      <c r="A797" s="111" t="str">
        <f>HYPERLINK("http://www.ofsted.gov.uk/inspection-reports/find-inspection-report/provider/ELS/138881 ","Ofsted School Webpage")</f>
        <v>Ofsted School Webpage</v>
      </c>
      <c r="B797">
        <v>138881</v>
      </c>
      <c r="C797">
        <v>9166004</v>
      </c>
      <c r="D797" t="s">
        <v>1083</v>
      </c>
      <c r="E797" t="s">
        <v>37</v>
      </c>
      <c r="F797" t="s">
        <v>142</v>
      </c>
      <c r="G797" t="s">
        <v>142</v>
      </c>
      <c r="H797" t="s">
        <v>2595</v>
      </c>
      <c r="I797" t="s">
        <v>2596</v>
      </c>
      <c r="J797" t="s">
        <v>143</v>
      </c>
      <c r="K797" t="s">
        <v>182</v>
      </c>
      <c r="L797" t="s">
        <v>182</v>
      </c>
      <c r="M797" t="s">
        <v>222</v>
      </c>
      <c r="N797" t="s">
        <v>1084</v>
      </c>
      <c r="O797">
        <v>10020815</v>
      </c>
      <c r="P797" s="108">
        <v>42633</v>
      </c>
      <c r="Q797" s="108">
        <v>42635</v>
      </c>
      <c r="R797" s="108">
        <v>42683</v>
      </c>
      <c r="S797" t="s">
        <v>3005</v>
      </c>
      <c r="T797">
        <v>4</v>
      </c>
      <c r="U797" t="s">
        <v>124</v>
      </c>
      <c r="V797">
        <v>4</v>
      </c>
      <c r="W797">
        <v>4</v>
      </c>
      <c r="X797">
        <v>4</v>
      </c>
      <c r="Y797">
        <f>VLOOKUP(Table_clu7sql1_ssdb_REPORT_vw_IE_External_MI_SON[[#This Row],[URN]],[1]Data!$D$2:$BB$1084,31,)</f>
        <v>4</v>
      </c>
      <c r="Z797">
        <v>2</v>
      </c>
      <c r="AA797">
        <v>3</v>
      </c>
      <c r="AB797" t="s">
        <v>2599</v>
      </c>
      <c r="AC797">
        <v>10034335</v>
      </c>
      <c r="AD797" t="s">
        <v>144</v>
      </c>
      <c r="AE797" s="108">
        <v>42874</v>
      </c>
      <c r="AF797" t="s">
        <v>2634</v>
      </c>
      <c r="AG797" s="108">
        <v>42905</v>
      </c>
      <c r="AH797" t="s">
        <v>146</v>
      </c>
    </row>
    <row r="798" spans="1:34" x14ac:dyDescent="0.25">
      <c r="A798" s="111" t="str">
        <f>HYPERLINK("http://www.ofsted.gov.uk/inspection-reports/find-inspection-report/provider/ELS/138884 ","Ofsted School Webpage")</f>
        <v>Ofsted School Webpage</v>
      </c>
      <c r="B798">
        <v>138884</v>
      </c>
      <c r="C798">
        <v>8896013</v>
      </c>
      <c r="D798" t="s">
        <v>439</v>
      </c>
      <c r="E798" t="s">
        <v>37</v>
      </c>
      <c r="F798" t="s">
        <v>142</v>
      </c>
      <c r="G798" t="s">
        <v>142</v>
      </c>
      <c r="H798" t="s">
        <v>2595</v>
      </c>
      <c r="I798" t="s">
        <v>2596</v>
      </c>
      <c r="J798" t="s">
        <v>143</v>
      </c>
      <c r="K798" t="s">
        <v>162</v>
      </c>
      <c r="L798" t="s">
        <v>162</v>
      </c>
      <c r="M798" t="s">
        <v>440</v>
      </c>
      <c r="N798" t="s">
        <v>441</v>
      </c>
      <c r="O798">
        <v>10020807</v>
      </c>
      <c r="P798" s="108">
        <v>43011</v>
      </c>
      <c r="Q798" s="108">
        <v>43013</v>
      </c>
      <c r="R798" s="108">
        <v>43033</v>
      </c>
      <c r="S798" t="s">
        <v>153</v>
      </c>
      <c r="T798">
        <v>2</v>
      </c>
      <c r="U798" t="s">
        <v>123</v>
      </c>
      <c r="V798">
        <v>2</v>
      </c>
      <c r="W798">
        <v>2</v>
      </c>
      <c r="X798">
        <v>2</v>
      </c>
      <c r="Y798">
        <f>VLOOKUP(Table_clu7sql1_ssdb_REPORT_vw_IE_External_MI_SON[[#This Row],[URN]],[1]Data!$D$2:$BB$1084,31,)</f>
        <v>2</v>
      </c>
      <c r="Z798" t="s">
        <v>2596</v>
      </c>
      <c r="AA798" t="s">
        <v>2596</v>
      </c>
      <c r="AB798" t="s">
        <v>2598</v>
      </c>
      <c r="AC798" t="s">
        <v>2596</v>
      </c>
      <c r="AD798" t="s">
        <v>2596</v>
      </c>
      <c r="AE798" t="s">
        <v>2596</v>
      </c>
      <c r="AF798" t="s">
        <v>2596</v>
      </c>
      <c r="AG798" t="s">
        <v>2596</v>
      </c>
      <c r="AH798" t="s">
        <v>2596</v>
      </c>
    </row>
    <row r="799" spans="1:34" x14ac:dyDescent="0.25">
      <c r="A799" s="111" t="str">
        <f>HYPERLINK("http://www.ofsted.gov.uk/inspection-reports/find-inspection-report/provider/ELS/138971 ","Ofsted School Webpage")</f>
        <v>Ofsted School Webpage</v>
      </c>
      <c r="B799">
        <v>138971</v>
      </c>
      <c r="C799">
        <v>3306013</v>
      </c>
      <c r="D799" t="s">
        <v>1063</v>
      </c>
      <c r="E799" t="s">
        <v>37</v>
      </c>
      <c r="F799" t="s">
        <v>142</v>
      </c>
      <c r="G799" t="s">
        <v>142</v>
      </c>
      <c r="H799" t="s">
        <v>2595</v>
      </c>
      <c r="I799" t="s">
        <v>2596</v>
      </c>
      <c r="J799" t="s">
        <v>143</v>
      </c>
      <c r="K799" t="s">
        <v>150</v>
      </c>
      <c r="L799" t="s">
        <v>150</v>
      </c>
      <c r="M799" t="s">
        <v>167</v>
      </c>
      <c r="N799" t="s">
        <v>1064</v>
      </c>
      <c r="O799">
        <v>10012895</v>
      </c>
      <c r="P799" s="108">
        <v>42487</v>
      </c>
      <c r="Q799" s="108">
        <v>42489</v>
      </c>
      <c r="R799" s="108">
        <v>42516</v>
      </c>
      <c r="S799" t="s">
        <v>153</v>
      </c>
      <c r="T799">
        <v>2</v>
      </c>
      <c r="U799" t="s">
        <v>123</v>
      </c>
      <c r="V799">
        <v>2</v>
      </c>
      <c r="W799">
        <v>2</v>
      </c>
      <c r="X799">
        <v>2</v>
      </c>
      <c r="Y799">
        <f>VLOOKUP(Table_clu7sql1_ssdb_REPORT_vw_IE_External_MI_SON[[#This Row],[URN]],[1]Data!$D$2:$BB$1084,31,)</f>
        <v>2</v>
      </c>
      <c r="Z799" t="s">
        <v>2596</v>
      </c>
      <c r="AA799" t="s">
        <v>2596</v>
      </c>
      <c r="AB799" t="s">
        <v>2598</v>
      </c>
      <c r="AC799" t="s">
        <v>2596</v>
      </c>
      <c r="AD799" t="s">
        <v>2596</v>
      </c>
      <c r="AE799" t="s">
        <v>2596</v>
      </c>
      <c r="AF799" t="s">
        <v>2596</v>
      </c>
      <c r="AG799" t="s">
        <v>2596</v>
      </c>
      <c r="AH799" t="s">
        <v>2596</v>
      </c>
    </row>
    <row r="800" spans="1:34" x14ac:dyDescent="0.25">
      <c r="A800" s="111" t="str">
        <f>HYPERLINK("http://www.ofsted.gov.uk/inspection-reports/find-inspection-report/provider/ELS/138980 ","Ofsted School Webpage")</f>
        <v>Ofsted School Webpage</v>
      </c>
      <c r="B800">
        <v>138980</v>
      </c>
      <c r="C800">
        <v>2116007</v>
      </c>
      <c r="D800" t="s">
        <v>1422</v>
      </c>
      <c r="E800" t="s">
        <v>36</v>
      </c>
      <c r="F800" t="s">
        <v>142</v>
      </c>
      <c r="G800" t="s">
        <v>180</v>
      </c>
      <c r="H800" t="s">
        <v>2595</v>
      </c>
      <c r="I800" t="s">
        <v>2596</v>
      </c>
      <c r="J800" t="s">
        <v>143</v>
      </c>
      <c r="K800" t="s">
        <v>189</v>
      </c>
      <c r="L800" t="s">
        <v>189</v>
      </c>
      <c r="M800" t="s">
        <v>494</v>
      </c>
      <c r="N800" t="s">
        <v>1423</v>
      </c>
      <c r="O800">
        <v>10034446</v>
      </c>
      <c r="P800" s="108">
        <v>42920</v>
      </c>
      <c r="Q800" s="108">
        <v>42922</v>
      </c>
      <c r="R800" s="108">
        <v>43020</v>
      </c>
      <c r="S800" t="s">
        <v>153</v>
      </c>
      <c r="T800">
        <v>4</v>
      </c>
      <c r="U800" t="s">
        <v>124</v>
      </c>
      <c r="V800">
        <v>4</v>
      </c>
      <c r="W800">
        <v>4</v>
      </c>
      <c r="X800">
        <v>4</v>
      </c>
      <c r="Y800">
        <f>VLOOKUP(Table_clu7sql1_ssdb_REPORT_vw_IE_External_MI_SON[[#This Row],[URN]],[1]Data!$D$2:$BB$1084,31,)</f>
        <v>4</v>
      </c>
      <c r="Z800" t="s">
        <v>2596</v>
      </c>
      <c r="AA800" t="s">
        <v>2596</v>
      </c>
      <c r="AB800" t="s">
        <v>2599</v>
      </c>
      <c r="AC800" t="s">
        <v>2596</v>
      </c>
      <c r="AD800" t="s">
        <v>2596</v>
      </c>
      <c r="AE800" s="108" t="s">
        <v>2596</v>
      </c>
      <c r="AF800" t="s">
        <v>2596</v>
      </c>
      <c r="AG800" s="108" t="s">
        <v>2596</v>
      </c>
      <c r="AH800" t="s">
        <v>2596</v>
      </c>
    </row>
    <row r="801" spans="1:34" x14ac:dyDescent="0.25">
      <c r="A801" s="111" t="str">
        <f>HYPERLINK("http://www.ofsted.gov.uk/inspection-reports/find-inspection-report/provider/ELS/139017 ","Ofsted School Webpage")</f>
        <v>Ofsted School Webpage</v>
      </c>
      <c r="B801">
        <v>139017</v>
      </c>
      <c r="C801">
        <v>3506002</v>
      </c>
      <c r="D801" t="s">
        <v>1263</v>
      </c>
      <c r="E801" t="s">
        <v>36</v>
      </c>
      <c r="F801" t="s">
        <v>142</v>
      </c>
      <c r="G801" t="s">
        <v>180</v>
      </c>
      <c r="H801" t="s">
        <v>2595</v>
      </c>
      <c r="I801" t="s">
        <v>2596</v>
      </c>
      <c r="J801" t="s">
        <v>143</v>
      </c>
      <c r="K801" t="s">
        <v>162</v>
      </c>
      <c r="L801" t="s">
        <v>162</v>
      </c>
      <c r="M801" t="s">
        <v>1202</v>
      </c>
      <c r="N801" t="s">
        <v>1264</v>
      </c>
      <c r="O801">
        <v>10020751</v>
      </c>
      <c r="P801" s="108">
        <v>42633</v>
      </c>
      <c r="Q801" s="108">
        <v>42635</v>
      </c>
      <c r="R801" s="108">
        <v>42656</v>
      </c>
      <c r="S801" t="s">
        <v>153</v>
      </c>
      <c r="T801">
        <v>2</v>
      </c>
      <c r="U801" t="s">
        <v>123</v>
      </c>
      <c r="V801">
        <v>2</v>
      </c>
      <c r="W801">
        <v>1</v>
      </c>
      <c r="X801">
        <v>2</v>
      </c>
      <c r="Y801">
        <f>VLOOKUP(Table_clu7sql1_ssdb_REPORT_vw_IE_External_MI_SON[[#This Row],[URN]],[1]Data!$D$2:$BB$1084,31,)</f>
        <v>2</v>
      </c>
      <c r="Z801">
        <v>2</v>
      </c>
      <c r="AA801" t="s">
        <v>2596</v>
      </c>
      <c r="AB801" t="s">
        <v>2598</v>
      </c>
      <c r="AC801" t="s">
        <v>2596</v>
      </c>
      <c r="AD801" t="s">
        <v>2596</v>
      </c>
      <c r="AE801" s="108" t="s">
        <v>2596</v>
      </c>
      <c r="AF801" t="s">
        <v>2596</v>
      </c>
      <c r="AG801" s="108" t="s">
        <v>2596</v>
      </c>
      <c r="AH801" t="s">
        <v>2596</v>
      </c>
    </row>
    <row r="802" spans="1:34" x14ac:dyDescent="0.25">
      <c r="A802" s="111" t="str">
        <f>HYPERLINK("http://www.ofsted.gov.uk/inspection-reports/find-inspection-report/provider/ELS/139018 ","Ofsted School Webpage")</f>
        <v>Ofsted School Webpage</v>
      </c>
      <c r="B802">
        <v>139018</v>
      </c>
      <c r="C802">
        <v>8746004</v>
      </c>
      <c r="D802" t="s">
        <v>569</v>
      </c>
      <c r="E802" t="s">
        <v>37</v>
      </c>
      <c r="F802" t="s">
        <v>142</v>
      </c>
      <c r="G802" t="s">
        <v>142</v>
      </c>
      <c r="H802" t="s">
        <v>2595</v>
      </c>
      <c r="I802" t="s">
        <v>2596</v>
      </c>
      <c r="J802" t="s">
        <v>143</v>
      </c>
      <c r="K802" t="s">
        <v>177</v>
      </c>
      <c r="L802" t="s">
        <v>177</v>
      </c>
      <c r="M802" t="s">
        <v>570</v>
      </c>
      <c r="N802" t="s">
        <v>571</v>
      </c>
      <c r="O802">
        <v>10020912</v>
      </c>
      <c r="P802" s="108">
        <v>42633</v>
      </c>
      <c r="Q802" s="108">
        <v>42635</v>
      </c>
      <c r="R802" s="108">
        <v>42678</v>
      </c>
      <c r="S802" t="s">
        <v>3005</v>
      </c>
      <c r="T802">
        <v>2</v>
      </c>
      <c r="U802" t="s">
        <v>123</v>
      </c>
      <c r="V802">
        <v>2</v>
      </c>
      <c r="W802">
        <v>2</v>
      </c>
      <c r="X802">
        <v>2</v>
      </c>
      <c r="Y802">
        <f>VLOOKUP(Table_clu7sql1_ssdb_REPORT_vw_IE_External_MI_SON[[#This Row],[URN]],[1]Data!$D$2:$BB$1084,31,)</f>
        <v>2</v>
      </c>
      <c r="Z802" t="s">
        <v>2596</v>
      </c>
      <c r="AA802">
        <v>2</v>
      </c>
      <c r="AB802" t="s">
        <v>2598</v>
      </c>
      <c r="AC802" t="s">
        <v>2596</v>
      </c>
      <c r="AD802" t="s">
        <v>2596</v>
      </c>
      <c r="AE802" t="s">
        <v>2596</v>
      </c>
      <c r="AF802" t="s">
        <v>2596</v>
      </c>
      <c r="AG802" t="s">
        <v>2596</v>
      </c>
      <c r="AH802" t="s">
        <v>2596</v>
      </c>
    </row>
    <row r="803" spans="1:34" x14ac:dyDescent="0.25">
      <c r="A803" s="111" t="str">
        <f>HYPERLINK("http://www.ofsted.gov.uk/inspection-reports/find-inspection-report/provider/ELS/139071 ","Ofsted School Webpage")</f>
        <v>Ofsted School Webpage</v>
      </c>
      <c r="B803">
        <v>139071</v>
      </c>
      <c r="C803">
        <v>8616008</v>
      </c>
      <c r="D803" t="s">
        <v>2272</v>
      </c>
      <c r="E803" t="s">
        <v>36</v>
      </c>
      <c r="F803" t="s">
        <v>261</v>
      </c>
      <c r="G803" t="s">
        <v>180</v>
      </c>
      <c r="H803" t="s">
        <v>2595</v>
      </c>
      <c r="I803" t="s">
        <v>2596</v>
      </c>
      <c r="J803" t="s">
        <v>143</v>
      </c>
      <c r="K803" t="s">
        <v>150</v>
      </c>
      <c r="L803" t="s">
        <v>150</v>
      </c>
      <c r="M803" t="s">
        <v>447</v>
      </c>
      <c r="N803" t="s">
        <v>2273</v>
      </c>
      <c r="O803" t="s">
        <v>2274</v>
      </c>
      <c r="P803" s="108">
        <v>41611</v>
      </c>
      <c r="Q803" s="108">
        <v>41613</v>
      </c>
      <c r="R803" s="108">
        <v>41631</v>
      </c>
      <c r="S803" t="s">
        <v>206</v>
      </c>
      <c r="T803">
        <v>2</v>
      </c>
      <c r="U803" t="s">
        <v>2596</v>
      </c>
      <c r="V803">
        <v>2</v>
      </c>
      <c r="W803" t="s">
        <v>2596</v>
      </c>
      <c r="X803">
        <v>2</v>
      </c>
      <c r="Y803">
        <f>VLOOKUP(Table_clu7sql1_ssdb_REPORT_vw_IE_External_MI_SON[[#This Row],[URN]],[1]Data!$D$2:$BB$1084,31,)</f>
        <v>2</v>
      </c>
      <c r="Z803" t="s">
        <v>2596</v>
      </c>
      <c r="AA803" t="s">
        <v>2596</v>
      </c>
      <c r="AB803" t="s">
        <v>2886</v>
      </c>
      <c r="AC803" t="s">
        <v>2596</v>
      </c>
      <c r="AD803" t="s">
        <v>2596</v>
      </c>
      <c r="AE803" s="108" t="s">
        <v>2596</v>
      </c>
      <c r="AF803" t="s">
        <v>2596</v>
      </c>
      <c r="AG803" s="108" t="s">
        <v>2596</v>
      </c>
      <c r="AH803" t="s">
        <v>2596</v>
      </c>
    </row>
    <row r="804" spans="1:34" x14ac:dyDescent="0.25">
      <c r="A804" s="111" t="str">
        <f>HYPERLINK("http://www.ofsted.gov.uk/inspection-reports/find-inspection-report/provider/ELS/139135 ","Ofsted School Webpage")</f>
        <v>Ofsted School Webpage</v>
      </c>
      <c r="B804">
        <v>139135</v>
      </c>
      <c r="C804">
        <v>8916020</v>
      </c>
      <c r="D804" t="s">
        <v>826</v>
      </c>
      <c r="E804" t="s">
        <v>37</v>
      </c>
      <c r="F804" t="s">
        <v>142</v>
      </c>
      <c r="G804" t="s">
        <v>142</v>
      </c>
      <c r="H804" t="s">
        <v>2595</v>
      </c>
      <c r="I804" t="s">
        <v>2596</v>
      </c>
      <c r="J804" t="s">
        <v>143</v>
      </c>
      <c r="K804" t="s">
        <v>171</v>
      </c>
      <c r="L804" t="s">
        <v>171</v>
      </c>
      <c r="M804" t="s">
        <v>277</v>
      </c>
      <c r="N804" t="s">
        <v>827</v>
      </c>
      <c r="O804">
        <v>10020946</v>
      </c>
      <c r="P804" s="108">
        <v>42717</v>
      </c>
      <c r="Q804" s="108">
        <v>42719</v>
      </c>
      <c r="R804" s="108">
        <v>42760</v>
      </c>
      <c r="S804" t="s">
        <v>153</v>
      </c>
      <c r="T804">
        <v>2</v>
      </c>
      <c r="U804" t="s">
        <v>123</v>
      </c>
      <c r="V804">
        <v>2</v>
      </c>
      <c r="W804">
        <v>2</v>
      </c>
      <c r="X804">
        <v>2</v>
      </c>
      <c r="Y804">
        <f>VLOOKUP(Table_clu7sql1_ssdb_REPORT_vw_IE_External_MI_SON[[#This Row],[URN]],[1]Data!$D$2:$BB$1084,31,)</f>
        <v>2</v>
      </c>
      <c r="Z804" t="s">
        <v>2596</v>
      </c>
      <c r="AA804">
        <v>2</v>
      </c>
      <c r="AB804" t="s">
        <v>2598</v>
      </c>
      <c r="AC804" t="s">
        <v>2596</v>
      </c>
      <c r="AD804" t="s">
        <v>2596</v>
      </c>
      <c r="AE804" s="108" t="s">
        <v>2596</v>
      </c>
      <c r="AF804" t="s">
        <v>2596</v>
      </c>
      <c r="AG804" s="108" t="s">
        <v>2596</v>
      </c>
      <c r="AH804" t="s">
        <v>2596</v>
      </c>
    </row>
    <row r="805" spans="1:34" x14ac:dyDescent="0.25">
      <c r="A805" s="111" t="str">
        <f>HYPERLINK("http://www.ofsted.gov.uk/inspection-reports/find-inspection-report/provider/ELS/139220 ","Ofsted School Webpage")</f>
        <v>Ofsted School Webpage</v>
      </c>
      <c r="B805">
        <v>139220</v>
      </c>
      <c r="C805">
        <v>8936031</v>
      </c>
      <c r="D805" t="s">
        <v>2908</v>
      </c>
      <c r="E805" t="s">
        <v>37</v>
      </c>
      <c r="F805" t="s">
        <v>142</v>
      </c>
      <c r="G805" t="s">
        <v>142</v>
      </c>
      <c r="H805" t="s">
        <v>2595</v>
      </c>
      <c r="I805" t="s">
        <v>2596</v>
      </c>
      <c r="J805" t="s">
        <v>143</v>
      </c>
      <c r="K805" t="s">
        <v>162</v>
      </c>
      <c r="L805" t="s">
        <v>162</v>
      </c>
      <c r="M805" t="s">
        <v>151</v>
      </c>
      <c r="N805" t="s">
        <v>960</v>
      </c>
      <c r="O805" t="s">
        <v>1360</v>
      </c>
      <c r="P805" s="108">
        <v>41570</v>
      </c>
      <c r="Q805" s="108">
        <v>41571</v>
      </c>
      <c r="R805" s="108">
        <v>41600</v>
      </c>
      <c r="S805" t="s">
        <v>206</v>
      </c>
      <c r="T805">
        <v>2</v>
      </c>
      <c r="U805" t="s">
        <v>2596</v>
      </c>
      <c r="V805">
        <v>2</v>
      </c>
      <c r="W805" t="s">
        <v>2596</v>
      </c>
      <c r="X805">
        <v>2</v>
      </c>
      <c r="Y805">
        <f>VLOOKUP(Table_clu7sql1_ssdb_REPORT_vw_IE_External_MI_SON[[#This Row],[URN]],[1]Data!$D$2:$BB$1084,31,)</f>
        <v>2</v>
      </c>
      <c r="Z805" t="s">
        <v>2596</v>
      </c>
      <c r="AA805" t="s">
        <v>2596</v>
      </c>
      <c r="AB805" t="s">
        <v>2886</v>
      </c>
      <c r="AC805" t="s">
        <v>2596</v>
      </c>
      <c r="AD805" t="s">
        <v>2596</v>
      </c>
      <c r="AE805" t="s">
        <v>2596</v>
      </c>
      <c r="AF805" t="s">
        <v>2596</v>
      </c>
      <c r="AG805" t="s">
        <v>2596</v>
      </c>
      <c r="AH805" t="s">
        <v>2596</v>
      </c>
    </row>
    <row r="806" spans="1:34" x14ac:dyDescent="0.25">
      <c r="A806" s="111" t="str">
        <f>HYPERLINK("http://www.ofsted.gov.uk/inspection-reports/find-inspection-report/provider/ELS/139221 ","Ofsted School Webpage")</f>
        <v>Ofsted School Webpage</v>
      </c>
      <c r="B806">
        <v>139221</v>
      </c>
      <c r="C806">
        <v>2116005</v>
      </c>
      <c r="D806" t="s">
        <v>1921</v>
      </c>
      <c r="E806" t="s">
        <v>36</v>
      </c>
      <c r="F806" t="s">
        <v>142</v>
      </c>
      <c r="G806" t="s">
        <v>180</v>
      </c>
      <c r="H806" t="s">
        <v>2595</v>
      </c>
      <c r="I806" t="s">
        <v>2596</v>
      </c>
      <c r="J806" t="s">
        <v>143</v>
      </c>
      <c r="K806" t="s">
        <v>189</v>
      </c>
      <c r="L806" t="s">
        <v>189</v>
      </c>
      <c r="M806" t="s">
        <v>494</v>
      </c>
      <c r="N806" t="s">
        <v>1922</v>
      </c>
      <c r="O806" t="s">
        <v>1923</v>
      </c>
      <c r="P806" s="108">
        <v>41534</v>
      </c>
      <c r="Q806" s="108">
        <v>41536</v>
      </c>
      <c r="R806" s="108">
        <v>41556</v>
      </c>
      <c r="S806" t="s">
        <v>206</v>
      </c>
      <c r="T806">
        <v>3</v>
      </c>
      <c r="U806" t="s">
        <v>2596</v>
      </c>
      <c r="V806">
        <v>3</v>
      </c>
      <c r="W806" t="s">
        <v>2596</v>
      </c>
      <c r="X806">
        <v>3</v>
      </c>
      <c r="Y806">
        <f>VLOOKUP(Table_clu7sql1_ssdb_REPORT_vw_IE_External_MI_SON[[#This Row],[URN]],[1]Data!$D$2:$BB$1084,31,)</f>
        <v>3</v>
      </c>
      <c r="Z806" t="s">
        <v>2596</v>
      </c>
      <c r="AA806" t="s">
        <v>2596</v>
      </c>
      <c r="AB806" t="s">
        <v>2886</v>
      </c>
      <c r="AC806" t="s">
        <v>2596</v>
      </c>
      <c r="AD806" t="s">
        <v>2596</v>
      </c>
      <c r="AE806" t="s">
        <v>2596</v>
      </c>
      <c r="AF806" t="s">
        <v>2596</v>
      </c>
      <c r="AG806" t="s">
        <v>2596</v>
      </c>
      <c r="AH806" t="s">
        <v>2596</v>
      </c>
    </row>
    <row r="807" spans="1:34" x14ac:dyDescent="0.25">
      <c r="A807" s="111" t="str">
        <f>HYPERLINK("http://www.ofsted.gov.uk/inspection-reports/find-inspection-report/provider/ELS/139239 ","Ofsted School Webpage")</f>
        <v>Ofsted School Webpage</v>
      </c>
      <c r="B807">
        <v>139239</v>
      </c>
      <c r="C807">
        <v>2136000</v>
      </c>
      <c r="D807" t="s">
        <v>2909</v>
      </c>
      <c r="E807" t="s">
        <v>36</v>
      </c>
      <c r="F807" t="s">
        <v>142</v>
      </c>
      <c r="G807" t="s">
        <v>142</v>
      </c>
      <c r="H807" t="s">
        <v>2595</v>
      </c>
      <c r="I807" t="s">
        <v>2596</v>
      </c>
      <c r="J807" t="s">
        <v>143</v>
      </c>
      <c r="K807" t="s">
        <v>189</v>
      </c>
      <c r="L807" t="s">
        <v>189</v>
      </c>
      <c r="M807" t="s">
        <v>632</v>
      </c>
      <c r="N807" t="s">
        <v>2196</v>
      </c>
      <c r="O807" t="s">
        <v>2197</v>
      </c>
      <c r="P807" s="108">
        <v>41548</v>
      </c>
      <c r="Q807" s="108">
        <v>41550</v>
      </c>
      <c r="R807" s="108">
        <v>41570</v>
      </c>
      <c r="S807" t="s">
        <v>206</v>
      </c>
      <c r="T807">
        <v>2</v>
      </c>
      <c r="U807" t="s">
        <v>2596</v>
      </c>
      <c r="V807">
        <v>2</v>
      </c>
      <c r="W807" t="s">
        <v>2596</v>
      </c>
      <c r="X807">
        <v>2</v>
      </c>
      <c r="Y807">
        <f>VLOOKUP(Table_clu7sql1_ssdb_REPORT_vw_IE_External_MI_SON[[#This Row],[URN]],[1]Data!$D$2:$BB$1084,31,)</f>
        <v>2</v>
      </c>
      <c r="Z807" t="s">
        <v>2596</v>
      </c>
      <c r="AA807" t="s">
        <v>2596</v>
      </c>
      <c r="AB807" t="s">
        <v>2886</v>
      </c>
      <c r="AC807" t="s">
        <v>2596</v>
      </c>
      <c r="AD807" t="s">
        <v>2596</v>
      </c>
      <c r="AE807" t="s">
        <v>2596</v>
      </c>
      <c r="AF807" t="s">
        <v>2596</v>
      </c>
      <c r="AG807" t="s">
        <v>2596</v>
      </c>
      <c r="AH807" t="s">
        <v>2596</v>
      </c>
    </row>
    <row r="808" spans="1:34" x14ac:dyDescent="0.25">
      <c r="A808" s="111" t="str">
        <f>HYPERLINK("http://www.ofsted.gov.uk/inspection-reports/find-inspection-report/provider/ELS/139264 ","Ofsted School Webpage")</f>
        <v>Ofsted School Webpage</v>
      </c>
      <c r="B808">
        <v>139264</v>
      </c>
      <c r="C808">
        <v>9256005</v>
      </c>
      <c r="D808" t="s">
        <v>1615</v>
      </c>
      <c r="E808" t="s">
        <v>36</v>
      </c>
      <c r="F808" t="s">
        <v>142</v>
      </c>
      <c r="G808" t="s">
        <v>142</v>
      </c>
      <c r="H808" t="s">
        <v>2595</v>
      </c>
      <c r="I808" t="s">
        <v>2596</v>
      </c>
      <c r="J808" t="s">
        <v>143</v>
      </c>
      <c r="K808" t="s">
        <v>171</v>
      </c>
      <c r="L808" t="s">
        <v>171</v>
      </c>
      <c r="M808" t="s">
        <v>637</v>
      </c>
      <c r="N808" t="s">
        <v>1616</v>
      </c>
      <c r="O808">
        <v>10020833</v>
      </c>
      <c r="P808" s="108">
        <v>42703</v>
      </c>
      <c r="Q808" s="108">
        <v>42705</v>
      </c>
      <c r="R808" s="108">
        <v>42754</v>
      </c>
      <c r="S808" t="s">
        <v>153</v>
      </c>
      <c r="T808">
        <v>1</v>
      </c>
      <c r="U808" t="s">
        <v>123</v>
      </c>
      <c r="V808">
        <v>1</v>
      </c>
      <c r="W808">
        <v>1</v>
      </c>
      <c r="X808">
        <v>1</v>
      </c>
      <c r="Y808">
        <f>VLOOKUP(Table_clu7sql1_ssdb_REPORT_vw_IE_External_MI_SON[[#This Row],[URN]],[1]Data!$D$2:$BB$1084,31,)</f>
        <v>1</v>
      </c>
      <c r="Z808" t="s">
        <v>2596</v>
      </c>
      <c r="AA808" t="s">
        <v>2596</v>
      </c>
      <c r="AB808" t="s">
        <v>2598</v>
      </c>
      <c r="AC808" t="s">
        <v>2596</v>
      </c>
      <c r="AD808" t="s">
        <v>2596</v>
      </c>
      <c r="AE808" t="s">
        <v>2596</v>
      </c>
      <c r="AF808" t="s">
        <v>2596</v>
      </c>
      <c r="AG808" t="s">
        <v>2596</v>
      </c>
      <c r="AH808" t="s">
        <v>2596</v>
      </c>
    </row>
    <row r="809" spans="1:34" x14ac:dyDescent="0.25">
      <c r="A809" s="111" t="str">
        <f>HYPERLINK("http://www.ofsted.gov.uk/inspection-reports/find-inspection-report/provider/ELS/139329 ","Ofsted School Webpage")</f>
        <v>Ofsted School Webpage</v>
      </c>
      <c r="B809">
        <v>139329</v>
      </c>
      <c r="C809">
        <v>8406013</v>
      </c>
      <c r="D809" t="s">
        <v>1397</v>
      </c>
      <c r="E809" t="s">
        <v>37</v>
      </c>
      <c r="F809" t="s">
        <v>142</v>
      </c>
      <c r="G809" t="s">
        <v>142</v>
      </c>
      <c r="H809" t="s">
        <v>2595</v>
      </c>
      <c r="I809" t="s">
        <v>2596</v>
      </c>
      <c r="J809" t="s">
        <v>143</v>
      </c>
      <c r="K809" t="s">
        <v>202</v>
      </c>
      <c r="L809" t="s">
        <v>234</v>
      </c>
      <c r="M809" t="s">
        <v>1066</v>
      </c>
      <c r="N809" t="s">
        <v>1398</v>
      </c>
      <c r="O809">
        <v>10017429</v>
      </c>
      <c r="P809" s="108">
        <v>42486</v>
      </c>
      <c r="Q809" s="108">
        <v>42488</v>
      </c>
      <c r="R809" s="108">
        <v>42510</v>
      </c>
      <c r="S809" t="s">
        <v>153</v>
      </c>
      <c r="T809">
        <v>2</v>
      </c>
      <c r="U809" t="s">
        <v>123</v>
      </c>
      <c r="V809">
        <v>2</v>
      </c>
      <c r="W809">
        <v>2</v>
      </c>
      <c r="X809">
        <v>2</v>
      </c>
      <c r="Y809">
        <f>VLOOKUP(Table_clu7sql1_ssdb_REPORT_vw_IE_External_MI_SON[[#This Row],[URN]],[1]Data!$D$2:$BB$1084,31,)</f>
        <v>2</v>
      </c>
      <c r="Z809" t="s">
        <v>2596</v>
      </c>
      <c r="AA809">
        <v>2</v>
      </c>
      <c r="AB809" t="s">
        <v>2598</v>
      </c>
      <c r="AC809" t="s">
        <v>2596</v>
      </c>
      <c r="AD809" t="s">
        <v>2596</v>
      </c>
      <c r="AE809" t="s">
        <v>2596</v>
      </c>
      <c r="AF809" t="s">
        <v>2596</v>
      </c>
      <c r="AG809" t="s">
        <v>2596</v>
      </c>
      <c r="AH809" t="s">
        <v>2596</v>
      </c>
    </row>
    <row r="810" spans="1:34" x14ac:dyDescent="0.25">
      <c r="A810" s="111" t="str">
        <f>HYPERLINK("http://www.ofsted.gov.uk/inspection-reports/find-inspection-report/provider/ELS/139331 ","Ofsted School Webpage")</f>
        <v>Ofsted School Webpage</v>
      </c>
      <c r="B810">
        <v>139331</v>
      </c>
      <c r="C810">
        <v>2096000</v>
      </c>
      <c r="D810" t="s">
        <v>2295</v>
      </c>
      <c r="E810" t="s">
        <v>36</v>
      </c>
      <c r="F810" t="s">
        <v>142</v>
      </c>
      <c r="G810" t="s">
        <v>142</v>
      </c>
      <c r="H810" t="s">
        <v>2595</v>
      </c>
      <c r="I810" t="s">
        <v>2596</v>
      </c>
      <c r="J810" t="s">
        <v>143</v>
      </c>
      <c r="K810" t="s">
        <v>189</v>
      </c>
      <c r="L810" t="s">
        <v>189</v>
      </c>
      <c r="M810" t="s">
        <v>484</v>
      </c>
      <c r="N810" t="s">
        <v>2296</v>
      </c>
      <c r="O810">
        <v>10026297</v>
      </c>
      <c r="P810" s="108">
        <v>43046</v>
      </c>
      <c r="Q810" s="108">
        <v>43048</v>
      </c>
      <c r="R810" s="108">
        <v>43080</v>
      </c>
      <c r="S810" t="s">
        <v>153</v>
      </c>
      <c r="T810">
        <v>2</v>
      </c>
      <c r="U810" t="s">
        <v>123</v>
      </c>
      <c r="V810">
        <v>2</v>
      </c>
      <c r="W810">
        <v>2</v>
      </c>
      <c r="X810">
        <v>2</v>
      </c>
      <c r="Y810">
        <f>VLOOKUP(Table_clu7sql1_ssdb_REPORT_vw_IE_External_MI_SON[[#This Row],[URN]],[1]Data!$D$2:$BB$1084,31,)</f>
        <v>2</v>
      </c>
      <c r="Z810">
        <v>2</v>
      </c>
      <c r="AA810" t="s">
        <v>2596</v>
      </c>
      <c r="AB810" t="s">
        <v>2598</v>
      </c>
      <c r="AC810" t="s">
        <v>2596</v>
      </c>
      <c r="AD810" t="s">
        <v>2596</v>
      </c>
      <c r="AE810" t="s">
        <v>2596</v>
      </c>
      <c r="AF810" t="s">
        <v>2596</v>
      </c>
      <c r="AG810" t="s">
        <v>2596</v>
      </c>
      <c r="AH810" t="s">
        <v>2596</v>
      </c>
    </row>
    <row r="811" spans="1:34" x14ac:dyDescent="0.25">
      <c r="A811" s="111" t="str">
        <f>HYPERLINK("http://www.ofsted.gov.uk/inspection-reports/find-inspection-report/provider/ELS/139415 ","Ofsted School Webpage")</f>
        <v>Ofsted School Webpage</v>
      </c>
      <c r="B811">
        <v>139415</v>
      </c>
      <c r="C811">
        <v>2136001</v>
      </c>
      <c r="D811" t="s">
        <v>2226</v>
      </c>
      <c r="E811" t="s">
        <v>36</v>
      </c>
      <c r="F811" t="s">
        <v>142</v>
      </c>
      <c r="G811" t="s">
        <v>142</v>
      </c>
      <c r="H811" t="s">
        <v>2595</v>
      </c>
      <c r="I811" t="s">
        <v>2596</v>
      </c>
      <c r="J811" t="s">
        <v>143</v>
      </c>
      <c r="K811" t="s">
        <v>189</v>
      </c>
      <c r="L811" t="s">
        <v>189</v>
      </c>
      <c r="M811" t="s">
        <v>632</v>
      </c>
      <c r="N811" t="s">
        <v>2227</v>
      </c>
      <c r="O811">
        <v>10026298</v>
      </c>
      <c r="P811" s="108">
        <v>42829</v>
      </c>
      <c r="Q811" s="108">
        <v>42831</v>
      </c>
      <c r="R811" s="108">
        <v>42865</v>
      </c>
      <c r="S811" t="s">
        <v>153</v>
      </c>
      <c r="T811">
        <v>1</v>
      </c>
      <c r="U811" t="s">
        <v>123</v>
      </c>
      <c r="V811">
        <v>1</v>
      </c>
      <c r="W811">
        <v>1</v>
      </c>
      <c r="X811">
        <v>1</v>
      </c>
      <c r="Y811">
        <f>VLOOKUP(Table_clu7sql1_ssdb_REPORT_vw_IE_External_MI_SON[[#This Row],[URN]],[1]Data!$D$2:$BB$1084,31,)</f>
        <v>1</v>
      </c>
      <c r="Z811" t="s">
        <v>2596</v>
      </c>
      <c r="AA811">
        <v>1</v>
      </c>
      <c r="AB811" t="s">
        <v>2598</v>
      </c>
      <c r="AC811" t="s">
        <v>2596</v>
      </c>
      <c r="AD811" t="s">
        <v>2596</v>
      </c>
      <c r="AE811" t="s">
        <v>2596</v>
      </c>
      <c r="AF811" t="s">
        <v>2596</v>
      </c>
      <c r="AG811" t="s">
        <v>2596</v>
      </c>
      <c r="AH811" t="s">
        <v>2596</v>
      </c>
    </row>
    <row r="812" spans="1:34" x14ac:dyDescent="0.25">
      <c r="A812" s="111" t="str">
        <f>HYPERLINK("http://www.ofsted.gov.uk/inspection-reports/find-inspection-report/provider/ELS/139417 ","Ofsted School Webpage")</f>
        <v>Ofsted School Webpage</v>
      </c>
      <c r="B812">
        <v>139417</v>
      </c>
      <c r="C812">
        <v>3156001</v>
      </c>
      <c r="D812" t="s">
        <v>2057</v>
      </c>
      <c r="E812" t="s">
        <v>36</v>
      </c>
      <c r="F812" t="s">
        <v>142</v>
      </c>
      <c r="G812" t="s">
        <v>142</v>
      </c>
      <c r="H812" t="s">
        <v>2595</v>
      </c>
      <c r="I812" t="s">
        <v>2596</v>
      </c>
      <c r="J812" t="s">
        <v>143</v>
      </c>
      <c r="K812" t="s">
        <v>189</v>
      </c>
      <c r="L812" t="s">
        <v>189</v>
      </c>
      <c r="M812" t="s">
        <v>193</v>
      </c>
      <c r="N812" t="s">
        <v>2058</v>
      </c>
      <c r="O812">
        <v>10026299</v>
      </c>
      <c r="P812" s="108">
        <v>43060</v>
      </c>
      <c r="Q812" s="108">
        <v>43062</v>
      </c>
      <c r="R812" s="108">
        <v>43126</v>
      </c>
      <c r="S812" t="s">
        <v>153</v>
      </c>
      <c r="T812">
        <v>2</v>
      </c>
      <c r="U812" t="s">
        <v>123</v>
      </c>
      <c r="V812">
        <v>2</v>
      </c>
      <c r="W812">
        <v>2</v>
      </c>
      <c r="X812">
        <v>2</v>
      </c>
      <c r="Y812">
        <f>VLOOKUP(Table_clu7sql1_ssdb_REPORT_vw_IE_External_MI_SON[[#This Row],[URN]],[1]Data!$D$2:$BB$1084,31,)</f>
        <v>2</v>
      </c>
      <c r="Z812">
        <v>2</v>
      </c>
      <c r="AA812" t="s">
        <v>2596</v>
      </c>
      <c r="AB812" t="s">
        <v>2598</v>
      </c>
      <c r="AC812" t="s">
        <v>2596</v>
      </c>
      <c r="AD812" t="s">
        <v>2596</v>
      </c>
      <c r="AE812" t="s">
        <v>2596</v>
      </c>
      <c r="AF812" t="s">
        <v>2596</v>
      </c>
      <c r="AG812" t="s">
        <v>2596</v>
      </c>
      <c r="AH812" t="s">
        <v>2596</v>
      </c>
    </row>
    <row r="813" spans="1:34" x14ac:dyDescent="0.25">
      <c r="A813" s="111" t="str">
        <f>HYPERLINK("http://www.ofsted.gov.uk/inspection-reports/find-inspection-report/provider/ELS/139419 ","Ofsted School Webpage")</f>
        <v>Ofsted School Webpage</v>
      </c>
      <c r="B813">
        <v>139419</v>
      </c>
      <c r="C813">
        <v>9376024</v>
      </c>
      <c r="D813" t="s">
        <v>908</v>
      </c>
      <c r="E813" t="s">
        <v>37</v>
      </c>
      <c r="F813" t="s">
        <v>142</v>
      </c>
      <c r="G813" t="s">
        <v>142</v>
      </c>
      <c r="H813" t="s">
        <v>2595</v>
      </c>
      <c r="I813" t="s">
        <v>2596</v>
      </c>
      <c r="J813" t="s">
        <v>143</v>
      </c>
      <c r="K813" t="s">
        <v>150</v>
      </c>
      <c r="L813" t="s">
        <v>150</v>
      </c>
      <c r="M813" t="s">
        <v>333</v>
      </c>
      <c r="N813" t="s">
        <v>909</v>
      </c>
      <c r="O813" t="s">
        <v>910</v>
      </c>
      <c r="P813" s="108">
        <v>41702</v>
      </c>
      <c r="Q813" s="108">
        <v>41704</v>
      </c>
      <c r="R813" s="108">
        <v>41723</v>
      </c>
      <c r="S813" t="s">
        <v>206</v>
      </c>
      <c r="T813">
        <v>2</v>
      </c>
      <c r="U813" t="s">
        <v>2596</v>
      </c>
      <c r="V813">
        <v>1</v>
      </c>
      <c r="W813" t="s">
        <v>2596</v>
      </c>
      <c r="X813">
        <v>2</v>
      </c>
      <c r="Y813">
        <f>VLOOKUP(Table_clu7sql1_ssdb_REPORT_vw_IE_External_MI_SON[[#This Row],[URN]],[1]Data!$D$2:$BB$1084,31,)</f>
        <v>2</v>
      </c>
      <c r="Z813" t="s">
        <v>2596</v>
      </c>
      <c r="AA813" t="s">
        <v>2596</v>
      </c>
      <c r="AB813" t="s">
        <v>2886</v>
      </c>
      <c r="AC813" t="s">
        <v>2596</v>
      </c>
      <c r="AD813" t="s">
        <v>2596</v>
      </c>
      <c r="AE813" t="s">
        <v>2596</v>
      </c>
      <c r="AF813" t="s">
        <v>2596</v>
      </c>
      <c r="AG813" t="s">
        <v>2596</v>
      </c>
      <c r="AH813" t="s">
        <v>2596</v>
      </c>
    </row>
    <row r="814" spans="1:34" x14ac:dyDescent="0.25">
      <c r="A814" s="111" t="str">
        <f>HYPERLINK("http://www.ofsted.gov.uk/inspection-reports/find-inspection-report/provider/ELS/139426 ","Ofsted School Webpage")</f>
        <v>Ofsted School Webpage</v>
      </c>
      <c r="B814">
        <v>139426</v>
      </c>
      <c r="C814">
        <v>8886058</v>
      </c>
      <c r="D814" t="s">
        <v>2095</v>
      </c>
      <c r="E814" t="s">
        <v>36</v>
      </c>
      <c r="F814" t="s">
        <v>142</v>
      </c>
      <c r="G814" t="s">
        <v>142</v>
      </c>
      <c r="H814" t="s">
        <v>2595</v>
      </c>
      <c r="I814" t="s">
        <v>2596</v>
      </c>
      <c r="J814" t="s">
        <v>143</v>
      </c>
      <c r="K814" t="s">
        <v>162</v>
      </c>
      <c r="L814" t="s">
        <v>162</v>
      </c>
      <c r="M814" t="s">
        <v>163</v>
      </c>
      <c r="N814" t="s">
        <v>2096</v>
      </c>
      <c r="O814">
        <v>10026018</v>
      </c>
      <c r="P814" s="108">
        <v>42759</v>
      </c>
      <c r="Q814" s="108">
        <v>42761</v>
      </c>
      <c r="R814" s="108">
        <v>42783</v>
      </c>
      <c r="S814" t="s">
        <v>153</v>
      </c>
      <c r="T814">
        <v>2</v>
      </c>
      <c r="U814" t="s">
        <v>123</v>
      </c>
      <c r="V814">
        <v>2</v>
      </c>
      <c r="W814">
        <v>2</v>
      </c>
      <c r="X814">
        <v>2</v>
      </c>
      <c r="Y814">
        <f>VLOOKUP(Table_clu7sql1_ssdb_REPORT_vw_IE_External_MI_SON[[#This Row],[URN]],[1]Data!$D$2:$BB$1084,31,)</f>
        <v>2</v>
      </c>
      <c r="Z814" t="s">
        <v>2596</v>
      </c>
      <c r="AA814" t="s">
        <v>2596</v>
      </c>
      <c r="AB814" t="s">
        <v>2598</v>
      </c>
      <c r="AC814" t="s">
        <v>2596</v>
      </c>
      <c r="AD814" t="s">
        <v>2596</v>
      </c>
      <c r="AE814" s="108" t="s">
        <v>2596</v>
      </c>
      <c r="AF814" t="s">
        <v>2596</v>
      </c>
      <c r="AG814" s="108" t="s">
        <v>2596</v>
      </c>
      <c r="AH814" t="s">
        <v>2596</v>
      </c>
    </row>
    <row r="815" spans="1:34" x14ac:dyDescent="0.25">
      <c r="A815" s="111" t="str">
        <f>HYPERLINK("http://www.ofsted.gov.uk/inspection-reports/find-inspection-report/provider/ELS/139559 ","Ofsted School Webpage")</f>
        <v>Ofsted School Webpage</v>
      </c>
      <c r="B815">
        <v>139559</v>
      </c>
      <c r="C815">
        <v>8556042</v>
      </c>
      <c r="D815" t="s">
        <v>1078</v>
      </c>
      <c r="E815" t="s">
        <v>37</v>
      </c>
      <c r="F815" t="s">
        <v>142</v>
      </c>
      <c r="G815" t="s">
        <v>142</v>
      </c>
      <c r="H815" t="s">
        <v>2595</v>
      </c>
      <c r="I815" t="s">
        <v>2596</v>
      </c>
      <c r="J815" t="s">
        <v>143</v>
      </c>
      <c r="K815" t="s">
        <v>171</v>
      </c>
      <c r="L815" t="s">
        <v>171</v>
      </c>
      <c r="M815" t="s">
        <v>238</v>
      </c>
      <c r="N815" t="s">
        <v>1079</v>
      </c>
      <c r="O815" t="s">
        <v>1080</v>
      </c>
      <c r="P815" s="108">
        <v>41653</v>
      </c>
      <c r="Q815" s="108">
        <v>41655</v>
      </c>
      <c r="R815" s="108">
        <v>41675</v>
      </c>
      <c r="S815" t="s">
        <v>206</v>
      </c>
      <c r="T815">
        <v>2</v>
      </c>
      <c r="U815" t="s">
        <v>2596</v>
      </c>
      <c r="V815">
        <v>2</v>
      </c>
      <c r="W815" t="s">
        <v>2596</v>
      </c>
      <c r="X815">
        <v>2</v>
      </c>
      <c r="Y815">
        <f>VLOOKUP(Table_clu7sql1_ssdb_REPORT_vw_IE_External_MI_SON[[#This Row],[URN]],[1]Data!$D$2:$BB$1084,31,)</f>
        <v>2</v>
      </c>
      <c r="Z815" t="s">
        <v>2596</v>
      </c>
      <c r="AA815" t="s">
        <v>2596</v>
      </c>
      <c r="AB815" t="s">
        <v>2886</v>
      </c>
      <c r="AC815" t="s">
        <v>2596</v>
      </c>
      <c r="AD815" t="s">
        <v>2596</v>
      </c>
      <c r="AE815" t="s">
        <v>2596</v>
      </c>
      <c r="AF815" t="s">
        <v>2596</v>
      </c>
      <c r="AG815" t="s">
        <v>2596</v>
      </c>
      <c r="AH815" t="s">
        <v>2596</v>
      </c>
    </row>
    <row r="816" spans="1:34" x14ac:dyDescent="0.25">
      <c r="A816" s="111" t="str">
        <f>HYPERLINK("http://www.ofsted.gov.uk/inspection-reports/find-inspection-report/provider/ELS/139601 ","Ofsted School Webpage")</f>
        <v>Ofsted School Webpage</v>
      </c>
      <c r="B816">
        <v>139601</v>
      </c>
      <c r="C816">
        <v>2116006</v>
      </c>
      <c r="D816" t="s">
        <v>1878</v>
      </c>
      <c r="E816" t="s">
        <v>36</v>
      </c>
      <c r="F816" t="s">
        <v>142</v>
      </c>
      <c r="G816" t="s">
        <v>142</v>
      </c>
      <c r="H816" t="s">
        <v>2595</v>
      </c>
      <c r="I816" t="s">
        <v>2596</v>
      </c>
      <c r="J816" t="s">
        <v>143</v>
      </c>
      <c r="K816" t="s">
        <v>189</v>
      </c>
      <c r="L816" t="s">
        <v>189</v>
      </c>
      <c r="M816" t="s">
        <v>494</v>
      </c>
      <c r="N816" t="s">
        <v>1879</v>
      </c>
      <c r="O816" t="s">
        <v>1880</v>
      </c>
      <c r="P816" s="108">
        <v>41681</v>
      </c>
      <c r="Q816" s="108">
        <v>41683</v>
      </c>
      <c r="R816" s="108">
        <v>41703</v>
      </c>
      <c r="S816" t="s">
        <v>206</v>
      </c>
      <c r="T816">
        <v>2</v>
      </c>
      <c r="U816" t="s">
        <v>2596</v>
      </c>
      <c r="V816">
        <v>2</v>
      </c>
      <c r="W816" t="s">
        <v>2596</v>
      </c>
      <c r="X816">
        <v>2</v>
      </c>
      <c r="Y816">
        <f>VLOOKUP(Table_clu7sql1_ssdb_REPORT_vw_IE_External_MI_SON[[#This Row],[URN]],[1]Data!$D$2:$BB$1084,31,)</f>
        <v>2</v>
      </c>
      <c r="Z816" t="s">
        <v>2596</v>
      </c>
      <c r="AA816" t="s">
        <v>2596</v>
      </c>
      <c r="AB816" t="s">
        <v>2886</v>
      </c>
      <c r="AC816" t="s">
        <v>2596</v>
      </c>
      <c r="AD816" t="s">
        <v>2596</v>
      </c>
      <c r="AE816" t="s">
        <v>2596</v>
      </c>
      <c r="AF816" t="s">
        <v>2596</v>
      </c>
      <c r="AG816" t="s">
        <v>2596</v>
      </c>
      <c r="AH816" t="s">
        <v>2596</v>
      </c>
    </row>
    <row r="817" spans="1:34" x14ac:dyDescent="0.25">
      <c r="A817" s="111" t="str">
        <f>HYPERLINK("http://www.ofsted.gov.uk/inspection-reports/find-inspection-report/provider/ELS/139603 ","Ofsted School Webpage")</f>
        <v>Ofsted School Webpage</v>
      </c>
      <c r="B817">
        <v>139603</v>
      </c>
      <c r="C817">
        <v>8916023</v>
      </c>
      <c r="D817" t="s">
        <v>1409</v>
      </c>
      <c r="E817" t="s">
        <v>37</v>
      </c>
      <c r="F817" t="s">
        <v>142</v>
      </c>
      <c r="G817" t="s">
        <v>142</v>
      </c>
      <c r="H817" t="s">
        <v>2595</v>
      </c>
      <c r="I817" t="s">
        <v>2596</v>
      </c>
      <c r="J817" t="s">
        <v>143</v>
      </c>
      <c r="K817" t="s">
        <v>171</v>
      </c>
      <c r="L817" t="s">
        <v>171</v>
      </c>
      <c r="M817" t="s">
        <v>277</v>
      </c>
      <c r="N817" t="s">
        <v>1410</v>
      </c>
      <c r="O817">
        <v>10026053</v>
      </c>
      <c r="P817" s="108">
        <v>42927</v>
      </c>
      <c r="Q817" s="108">
        <v>42929</v>
      </c>
      <c r="R817" s="108">
        <v>42989</v>
      </c>
      <c r="S817" t="s">
        <v>153</v>
      </c>
      <c r="T817">
        <v>2</v>
      </c>
      <c r="U817" t="s">
        <v>123</v>
      </c>
      <c r="V817">
        <v>1</v>
      </c>
      <c r="W817">
        <v>1</v>
      </c>
      <c r="X817">
        <v>2</v>
      </c>
      <c r="Y817">
        <f>VLOOKUP(Table_clu7sql1_ssdb_REPORT_vw_IE_External_MI_SON[[#This Row],[URN]],[1]Data!$D$2:$BB$1084,31,)</f>
        <v>2</v>
      </c>
      <c r="Z817" t="s">
        <v>2596</v>
      </c>
      <c r="AA817">
        <v>2</v>
      </c>
      <c r="AB817" t="s">
        <v>2598</v>
      </c>
      <c r="AC817" t="s">
        <v>2596</v>
      </c>
      <c r="AD817" t="s">
        <v>2596</v>
      </c>
      <c r="AE817" t="s">
        <v>2596</v>
      </c>
      <c r="AF817" t="s">
        <v>2596</v>
      </c>
      <c r="AG817" t="s">
        <v>2596</v>
      </c>
      <c r="AH817" t="s">
        <v>2596</v>
      </c>
    </row>
    <row r="818" spans="1:34" x14ac:dyDescent="0.25">
      <c r="A818" s="111" t="str">
        <f>HYPERLINK("http://www.ofsted.gov.uk/inspection-reports/find-inspection-report/provider/ELS/139657 ","Ofsted School Webpage")</f>
        <v>Ofsted School Webpage</v>
      </c>
      <c r="B818">
        <v>139657</v>
      </c>
      <c r="C818">
        <v>8456019</v>
      </c>
      <c r="D818" t="s">
        <v>1011</v>
      </c>
      <c r="E818" t="s">
        <v>37</v>
      </c>
      <c r="F818" t="s">
        <v>142</v>
      </c>
      <c r="G818" t="s">
        <v>142</v>
      </c>
      <c r="H818" t="s">
        <v>2595</v>
      </c>
      <c r="I818" t="s">
        <v>2596</v>
      </c>
      <c r="J818" t="s">
        <v>143</v>
      </c>
      <c r="K818" t="s">
        <v>139</v>
      </c>
      <c r="L818" t="s">
        <v>139</v>
      </c>
      <c r="M818" t="s">
        <v>394</v>
      </c>
      <c r="N818" t="s">
        <v>1012</v>
      </c>
      <c r="O818">
        <v>10033957</v>
      </c>
      <c r="P818" s="108">
        <v>42906</v>
      </c>
      <c r="Q818" s="108">
        <v>42908</v>
      </c>
      <c r="R818" s="108">
        <v>42986</v>
      </c>
      <c r="S818" t="s">
        <v>153</v>
      </c>
      <c r="T818">
        <v>4</v>
      </c>
      <c r="U818" t="s">
        <v>124</v>
      </c>
      <c r="V818">
        <v>4</v>
      </c>
      <c r="W818">
        <v>4</v>
      </c>
      <c r="X818">
        <v>3</v>
      </c>
      <c r="Y818">
        <f>VLOOKUP(Table_clu7sql1_ssdb_REPORT_vw_IE_External_MI_SON[[#This Row],[URN]],[1]Data!$D$2:$BB$1084,31,)</f>
        <v>3</v>
      </c>
      <c r="Z818" t="s">
        <v>2596</v>
      </c>
      <c r="AA818" t="s">
        <v>2596</v>
      </c>
      <c r="AB818" t="s">
        <v>2599</v>
      </c>
      <c r="AC818">
        <v>10044075</v>
      </c>
      <c r="AD818" t="s">
        <v>144</v>
      </c>
      <c r="AE818" s="108">
        <v>43111</v>
      </c>
      <c r="AF818" t="s">
        <v>2636</v>
      </c>
      <c r="AG818" s="108">
        <v>43132</v>
      </c>
      <c r="AH818" t="s">
        <v>174</v>
      </c>
    </row>
    <row r="819" spans="1:34" x14ac:dyDescent="0.25">
      <c r="A819" s="111" t="str">
        <f>HYPERLINK("http://www.ofsted.gov.uk/inspection-reports/find-inspection-report/provider/ELS/139706 ","Ofsted School Webpage")</f>
        <v>Ofsted School Webpage</v>
      </c>
      <c r="B819">
        <v>139706</v>
      </c>
      <c r="C819">
        <v>3306014</v>
      </c>
      <c r="D819" t="s">
        <v>1219</v>
      </c>
      <c r="E819" t="s">
        <v>37</v>
      </c>
      <c r="F819" t="s">
        <v>1220</v>
      </c>
      <c r="G819" t="s">
        <v>142</v>
      </c>
      <c r="H819" t="s">
        <v>2595</v>
      </c>
      <c r="I819" t="s">
        <v>2596</v>
      </c>
      <c r="J819" t="s">
        <v>143</v>
      </c>
      <c r="K819" t="s">
        <v>150</v>
      </c>
      <c r="L819" t="s">
        <v>150</v>
      </c>
      <c r="M819" t="s">
        <v>167</v>
      </c>
      <c r="N819" t="s">
        <v>1221</v>
      </c>
      <c r="O819">
        <v>10033573</v>
      </c>
      <c r="P819" s="108">
        <v>42892</v>
      </c>
      <c r="Q819" s="108">
        <v>42894</v>
      </c>
      <c r="R819" s="108">
        <v>42914</v>
      </c>
      <c r="S819" t="s">
        <v>153</v>
      </c>
      <c r="T819">
        <v>2</v>
      </c>
      <c r="U819" t="s">
        <v>123</v>
      </c>
      <c r="V819">
        <v>2</v>
      </c>
      <c r="W819">
        <v>2</v>
      </c>
      <c r="X819">
        <v>2</v>
      </c>
      <c r="Y819">
        <f>VLOOKUP(Table_clu7sql1_ssdb_REPORT_vw_IE_External_MI_SON[[#This Row],[URN]],[1]Data!$D$2:$BB$1084,31,)</f>
        <v>2</v>
      </c>
      <c r="Z819" t="s">
        <v>2596</v>
      </c>
      <c r="AA819" t="s">
        <v>2596</v>
      </c>
      <c r="AB819" t="s">
        <v>2598</v>
      </c>
      <c r="AC819" t="s">
        <v>2596</v>
      </c>
      <c r="AD819" t="s">
        <v>2596</v>
      </c>
      <c r="AE819" t="s">
        <v>2596</v>
      </c>
      <c r="AF819" t="s">
        <v>2596</v>
      </c>
      <c r="AG819" t="s">
        <v>2596</v>
      </c>
      <c r="AH819" t="s">
        <v>2596</v>
      </c>
    </row>
    <row r="820" spans="1:34" x14ac:dyDescent="0.25">
      <c r="A820" s="111" t="str">
        <f>HYPERLINK("http://www.ofsted.gov.uk/inspection-reports/find-inspection-report/provider/ELS/139733 ","Ofsted School Webpage")</f>
        <v>Ofsted School Webpage</v>
      </c>
      <c r="B820">
        <v>139733</v>
      </c>
      <c r="C820">
        <v>3836000</v>
      </c>
      <c r="D820" t="s">
        <v>822</v>
      </c>
      <c r="E820" t="s">
        <v>37</v>
      </c>
      <c r="F820" t="s">
        <v>142</v>
      </c>
      <c r="G820" t="s">
        <v>142</v>
      </c>
      <c r="H820" t="s">
        <v>2595</v>
      </c>
      <c r="I820" t="s">
        <v>2596</v>
      </c>
      <c r="J820" t="s">
        <v>143</v>
      </c>
      <c r="K820" t="s">
        <v>202</v>
      </c>
      <c r="L820" t="s">
        <v>203</v>
      </c>
      <c r="M820" t="s">
        <v>667</v>
      </c>
      <c r="N820" t="s">
        <v>823</v>
      </c>
      <c r="O820">
        <v>10033921</v>
      </c>
      <c r="P820" s="108">
        <v>42927</v>
      </c>
      <c r="Q820" s="108">
        <v>42929</v>
      </c>
      <c r="R820" s="108">
        <v>42998</v>
      </c>
      <c r="S820" t="s">
        <v>153</v>
      </c>
      <c r="T820">
        <v>3</v>
      </c>
      <c r="U820" t="s">
        <v>123</v>
      </c>
      <c r="V820">
        <v>3</v>
      </c>
      <c r="W820">
        <v>2</v>
      </c>
      <c r="X820">
        <v>3</v>
      </c>
      <c r="Y820">
        <f>VLOOKUP(Table_clu7sql1_ssdb_REPORT_vw_IE_External_MI_SON[[#This Row],[URN]],[1]Data!$D$2:$BB$1084,31,)</f>
        <v>3</v>
      </c>
      <c r="Z820" t="s">
        <v>2596</v>
      </c>
      <c r="AA820" t="s">
        <v>2596</v>
      </c>
      <c r="AB820" t="s">
        <v>2599</v>
      </c>
      <c r="AC820" t="s">
        <v>2596</v>
      </c>
      <c r="AD820" t="s">
        <v>2596</v>
      </c>
      <c r="AE820" s="108" t="s">
        <v>2596</v>
      </c>
      <c r="AF820" t="s">
        <v>2596</v>
      </c>
      <c r="AG820" s="108" t="s">
        <v>2596</v>
      </c>
      <c r="AH820" t="s">
        <v>2596</v>
      </c>
    </row>
    <row r="821" spans="1:34" x14ac:dyDescent="0.25">
      <c r="A821" s="111" t="str">
        <f>HYPERLINK("http://www.ofsted.gov.uk/inspection-reports/find-inspection-report/provider/ELS/139734 ","Ofsted School Webpage")</f>
        <v>Ofsted School Webpage</v>
      </c>
      <c r="B821">
        <v>139734</v>
      </c>
      <c r="C821">
        <v>8556032</v>
      </c>
      <c r="D821" t="s">
        <v>335</v>
      </c>
      <c r="E821" t="s">
        <v>37</v>
      </c>
      <c r="F821" t="s">
        <v>142</v>
      </c>
      <c r="G821" t="s">
        <v>142</v>
      </c>
      <c r="H821" t="s">
        <v>2595</v>
      </c>
      <c r="I821" t="s">
        <v>2596</v>
      </c>
      <c r="J821" t="s">
        <v>143</v>
      </c>
      <c r="K821" t="s">
        <v>171</v>
      </c>
      <c r="L821" t="s">
        <v>171</v>
      </c>
      <c r="M821" t="s">
        <v>238</v>
      </c>
      <c r="N821" t="s">
        <v>336</v>
      </c>
      <c r="O821">
        <v>10026054</v>
      </c>
      <c r="P821" s="108">
        <v>42990</v>
      </c>
      <c r="Q821" s="108">
        <v>42992</v>
      </c>
      <c r="R821" s="108">
        <v>43026</v>
      </c>
      <c r="S821" t="s">
        <v>153</v>
      </c>
      <c r="T821">
        <v>1</v>
      </c>
      <c r="U821" t="s">
        <v>123</v>
      </c>
      <c r="V821">
        <v>1</v>
      </c>
      <c r="W821">
        <v>1</v>
      </c>
      <c r="X821">
        <v>1</v>
      </c>
      <c r="Y821">
        <f>VLOOKUP(Table_clu7sql1_ssdb_REPORT_vw_IE_External_MI_SON[[#This Row],[URN]],[1]Data!$D$2:$BB$1084,31,)</f>
        <v>1</v>
      </c>
      <c r="Z821" t="s">
        <v>2596</v>
      </c>
      <c r="AA821" t="s">
        <v>2596</v>
      </c>
      <c r="AB821" t="s">
        <v>2598</v>
      </c>
      <c r="AC821" t="s">
        <v>2596</v>
      </c>
      <c r="AD821" t="s">
        <v>2596</v>
      </c>
      <c r="AE821" s="108" t="s">
        <v>2596</v>
      </c>
      <c r="AF821" t="s">
        <v>2596</v>
      </c>
      <c r="AG821" s="108" t="s">
        <v>2596</v>
      </c>
      <c r="AH821" t="s">
        <v>2596</v>
      </c>
    </row>
    <row r="822" spans="1:34" x14ac:dyDescent="0.25">
      <c r="A822" s="111" t="str">
        <f>HYPERLINK("http://www.ofsted.gov.uk/inspection-reports/find-inspection-report/provider/ELS/139771 ","Ofsted School Webpage")</f>
        <v>Ofsted School Webpage</v>
      </c>
      <c r="B822">
        <v>139771</v>
      </c>
      <c r="C822">
        <v>8926016</v>
      </c>
      <c r="D822" t="s">
        <v>2881</v>
      </c>
      <c r="E822" t="s">
        <v>36</v>
      </c>
      <c r="F822" t="s">
        <v>142</v>
      </c>
      <c r="G822" t="s">
        <v>169</v>
      </c>
      <c r="H822" t="s">
        <v>2595</v>
      </c>
      <c r="I822" t="s">
        <v>2596</v>
      </c>
      <c r="J822" t="s">
        <v>143</v>
      </c>
      <c r="K822" t="s">
        <v>171</v>
      </c>
      <c r="L822" t="s">
        <v>171</v>
      </c>
      <c r="M822" t="s">
        <v>244</v>
      </c>
      <c r="N822" t="s">
        <v>2064</v>
      </c>
      <c r="O822">
        <v>10033531</v>
      </c>
      <c r="P822" s="108">
        <v>43137</v>
      </c>
      <c r="Q822" s="108">
        <v>43139</v>
      </c>
      <c r="R822" s="108">
        <v>43173</v>
      </c>
      <c r="S822" t="s">
        <v>153</v>
      </c>
      <c r="T822">
        <v>2</v>
      </c>
      <c r="U822" t="s">
        <v>123</v>
      </c>
      <c r="V822">
        <v>2</v>
      </c>
      <c r="W822">
        <v>2</v>
      </c>
      <c r="X822">
        <v>2</v>
      </c>
      <c r="Y822">
        <f>VLOOKUP(Table_clu7sql1_ssdb_REPORT_vw_IE_External_MI_SON[[#This Row],[URN]],[1]Data!$D$2:$BB$1084,31,)</f>
        <v>2</v>
      </c>
      <c r="Z822" t="s">
        <v>2596</v>
      </c>
      <c r="AA822" t="s">
        <v>2596</v>
      </c>
      <c r="AB822" t="s">
        <v>2598</v>
      </c>
      <c r="AC822" t="s">
        <v>2596</v>
      </c>
      <c r="AD822" t="s">
        <v>2596</v>
      </c>
      <c r="AE822" s="108" t="s">
        <v>2596</v>
      </c>
      <c r="AF822" t="s">
        <v>2596</v>
      </c>
      <c r="AG822" s="108" t="s">
        <v>2596</v>
      </c>
      <c r="AH822" t="s">
        <v>2596</v>
      </c>
    </row>
    <row r="823" spans="1:34" x14ac:dyDescent="0.25">
      <c r="A823" s="111" t="str">
        <f>HYPERLINK("http://www.ofsted.gov.uk/inspection-reports/find-inspection-report/provider/ELS/139779 ","Ofsted School Webpage")</f>
        <v>Ofsted School Webpage</v>
      </c>
      <c r="B823">
        <v>139779</v>
      </c>
      <c r="C823">
        <v>9316012</v>
      </c>
      <c r="D823" t="s">
        <v>330</v>
      </c>
      <c r="E823" t="s">
        <v>36</v>
      </c>
      <c r="F823" t="s">
        <v>142</v>
      </c>
      <c r="G823" t="s">
        <v>142</v>
      </c>
      <c r="H823" t="s">
        <v>2595</v>
      </c>
      <c r="I823" t="s">
        <v>2596</v>
      </c>
      <c r="J823" t="s">
        <v>143</v>
      </c>
      <c r="K823" t="s">
        <v>139</v>
      </c>
      <c r="L823" t="s">
        <v>139</v>
      </c>
      <c r="M823" t="s">
        <v>199</v>
      </c>
      <c r="N823" t="s">
        <v>331</v>
      </c>
      <c r="O823">
        <v>10039166</v>
      </c>
      <c r="P823" s="108">
        <v>42990</v>
      </c>
      <c r="Q823" s="108">
        <v>42992</v>
      </c>
      <c r="R823" s="108">
        <v>43018</v>
      </c>
      <c r="S823" t="s">
        <v>153</v>
      </c>
      <c r="T823">
        <v>2</v>
      </c>
      <c r="U823" t="s">
        <v>123</v>
      </c>
      <c r="V823">
        <v>2</v>
      </c>
      <c r="W823">
        <v>2</v>
      </c>
      <c r="X823">
        <v>2</v>
      </c>
      <c r="Y823">
        <f>VLOOKUP(Table_clu7sql1_ssdb_REPORT_vw_IE_External_MI_SON[[#This Row],[URN]],[1]Data!$D$2:$BB$1084,31,)</f>
        <v>2</v>
      </c>
      <c r="Z823" t="s">
        <v>2596</v>
      </c>
      <c r="AA823" t="s">
        <v>2596</v>
      </c>
      <c r="AB823" t="s">
        <v>2598</v>
      </c>
      <c r="AC823" t="s">
        <v>2596</v>
      </c>
      <c r="AD823" t="s">
        <v>2596</v>
      </c>
      <c r="AE823" t="s">
        <v>2596</v>
      </c>
      <c r="AF823" t="s">
        <v>2596</v>
      </c>
      <c r="AG823" t="s">
        <v>2596</v>
      </c>
      <c r="AH823" t="s">
        <v>2596</v>
      </c>
    </row>
    <row r="824" spans="1:34" x14ac:dyDescent="0.25">
      <c r="A824" s="111" t="str">
        <f>HYPERLINK("http://www.ofsted.gov.uk/inspection-reports/find-inspection-report/provider/ELS/139784 ","Ofsted School Webpage")</f>
        <v>Ofsted School Webpage</v>
      </c>
      <c r="B824">
        <v>139784</v>
      </c>
      <c r="C824">
        <v>8616010</v>
      </c>
      <c r="D824" t="s">
        <v>462</v>
      </c>
      <c r="E824" t="s">
        <v>36</v>
      </c>
      <c r="F824" t="s">
        <v>142</v>
      </c>
      <c r="G824" t="s">
        <v>180</v>
      </c>
      <c r="H824" t="s">
        <v>2595</v>
      </c>
      <c r="I824" t="s">
        <v>2596</v>
      </c>
      <c r="J824" t="s">
        <v>143</v>
      </c>
      <c r="K824" t="s">
        <v>150</v>
      </c>
      <c r="L824" t="s">
        <v>150</v>
      </c>
      <c r="M824" t="s">
        <v>447</v>
      </c>
      <c r="N824" t="s">
        <v>463</v>
      </c>
      <c r="O824">
        <v>10033576</v>
      </c>
      <c r="P824" s="108">
        <v>43018</v>
      </c>
      <c r="Q824" s="108">
        <v>43020</v>
      </c>
      <c r="R824" s="108">
        <v>43115</v>
      </c>
      <c r="S824" t="s">
        <v>153</v>
      </c>
      <c r="T824">
        <v>4</v>
      </c>
      <c r="U824" t="s">
        <v>124</v>
      </c>
      <c r="V824">
        <v>4</v>
      </c>
      <c r="W824">
        <v>4</v>
      </c>
      <c r="X824">
        <v>3</v>
      </c>
      <c r="Y824">
        <f>VLOOKUP(Table_clu7sql1_ssdb_REPORT_vw_IE_External_MI_SON[[#This Row],[URN]],[1]Data!$D$2:$BB$1084,31,)</f>
        <v>3</v>
      </c>
      <c r="Z824" t="s">
        <v>2596</v>
      </c>
      <c r="AA824" t="s">
        <v>2596</v>
      </c>
      <c r="AB824" t="s">
        <v>2599</v>
      </c>
      <c r="AC824" t="s">
        <v>2596</v>
      </c>
      <c r="AD824" t="s">
        <v>2596</v>
      </c>
      <c r="AE824" s="108" t="s">
        <v>2596</v>
      </c>
      <c r="AF824" t="s">
        <v>2596</v>
      </c>
      <c r="AG824" s="108" t="s">
        <v>2596</v>
      </c>
      <c r="AH824" t="s">
        <v>2596</v>
      </c>
    </row>
    <row r="825" spans="1:34" x14ac:dyDescent="0.25">
      <c r="A825" s="111" t="str">
        <f>HYPERLINK("http://www.ofsted.gov.uk/inspection-reports/find-inspection-report/provider/ELS/139787 ","Ofsted School Webpage")</f>
        <v>Ofsted School Webpage</v>
      </c>
      <c r="B825">
        <v>139787</v>
      </c>
      <c r="C825">
        <v>8316012</v>
      </c>
      <c r="D825" t="s">
        <v>1107</v>
      </c>
      <c r="E825" t="s">
        <v>37</v>
      </c>
      <c r="F825" t="s">
        <v>142</v>
      </c>
      <c r="G825" t="s">
        <v>142</v>
      </c>
      <c r="H825" t="s">
        <v>2595</v>
      </c>
      <c r="I825" t="s">
        <v>2596</v>
      </c>
      <c r="J825" t="s">
        <v>143</v>
      </c>
      <c r="K825" t="s">
        <v>171</v>
      </c>
      <c r="L825" t="s">
        <v>171</v>
      </c>
      <c r="M825" t="s">
        <v>376</v>
      </c>
      <c r="N825" t="s">
        <v>1108</v>
      </c>
      <c r="O825" t="s">
        <v>1109</v>
      </c>
      <c r="P825" s="108">
        <v>41898</v>
      </c>
      <c r="Q825" s="108">
        <v>41899</v>
      </c>
      <c r="R825" s="108">
        <v>41919</v>
      </c>
      <c r="S825" t="s">
        <v>153</v>
      </c>
      <c r="T825">
        <v>2</v>
      </c>
      <c r="U825" t="s">
        <v>2596</v>
      </c>
      <c r="V825">
        <v>2</v>
      </c>
      <c r="W825" t="s">
        <v>2596</v>
      </c>
      <c r="X825">
        <v>2</v>
      </c>
      <c r="Y825">
        <f>VLOOKUP(Table_clu7sql1_ssdb_REPORT_vw_IE_External_MI_SON[[#This Row],[URN]],[1]Data!$D$2:$BB$1084,31,)</f>
        <v>2</v>
      </c>
      <c r="Z825" t="s">
        <v>2596</v>
      </c>
      <c r="AA825" t="s">
        <v>2596</v>
      </c>
      <c r="AB825" t="s">
        <v>2598</v>
      </c>
      <c r="AC825" t="s">
        <v>2596</v>
      </c>
      <c r="AD825" t="s">
        <v>2596</v>
      </c>
      <c r="AE825" s="108" t="s">
        <v>2596</v>
      </c>
      <c r="AF825" t="s">
        <v>2596</v>
      </c>
      <c r="AG825" s="108" t="s">
        <v>2596</v>
      </c>
      <c r="AH825" t="s">
        <v>2596</v>
      </c>
    </row>
    <row r="826" spans="1:34" x14ac:dyDescent="0.25">
      <c r="A826" s="111" t="str">
        <f>HYPERLINK("http://www.ofsted.gov.uk/inspection-reports/find-inspection-report/provider/ELS/139807 ","Ofsted School Webpage")</f>
        <v>Ofsted School Webpage</v>
      </c>
      <c r="B826">
        <v>139807</v>
      </c>
      <c r="C826">
        <v>3906001</v>
      </c>
      <c r="D826" t="s">
        <v>900</v>
      </c>
      <c r="E826" t="s">
        <v>37</v>
      </c>
      <c r="F826" t="s">
        <v>142</v>
      </c>
      <c r="G826" t="s">
        <v>275</v>
      </c>
      <c r="H826" t="s">
        <v>2595</v>
      </c>
      <c r="I826" t="s">
        <v>2596</v>
      </c>
      <c r="J826" t="s">
        <v>143</v>
      </c>
      <c r="K826" t="s">
        <v>202</v>
      </c>
      <c r="L826" t="s">
        <v>234</v>
      </c>
      <c r="M826" t="s">
        <v>604</v>
      </c>
      <c r="N826" t="s">
        <v>901</v>
      </c>
      <c r="O826">
        <v>10040143</v>
      </c>
      <c r="P826" s="108">
        <v>43074</v>
      </c>
      <c r="Q826" s="108">
        <v>43076</v>
      </c>
      <c r="R826" s="108">
        <v>43102</v>
      </c>
      <c r="S826" t="s">
        <v>153</v>
      </c>
      <c r="T826">
        <v>1</v>
      </c>
      <c r="U826" t="s">
        <v>123</v>
      </c>
      <c r="V826">
        <v>1</v>
      </c>
      <c r="W826">
        <v>1</v>
      </c>
      <c r="X826">
        <v>1</v>
      </c>
      <c r="Y826">
        <f>VLOOKUP(Table_clu7sql1_ssdb_REPORT_vw_IE_External_MI_SON[[#This Row],[URN]],[1]Data!$D$2:$BB$1084,31,)</f>
        <v>1</v>
      </c>
      <c r="Z826" t="s">
        <v>2596</v>
      </c>
      <c r="AA826">
        <v>1</v>
      </c>
      <c r="AB826" t="s">
        <v>2598</v>
      </c>
      <c r="AC826" t="s">
        <v>2596</v>
      </c>
      <c r="AD826" t="s">
        <v>2596</v>
      </c>
      <c r="AE826" s="108" t="s">
        <v>2596</v>
      </c>
      <c r="AF826" t="s">
        <v>2596</v>
      </c>
      <c r="AG826" s="108" t="s">
        <v>2596</v>
      </c>
      <c r="AH826" t="s">
        <v>2596</v>
      </c>
    </row>
    <row r="827" spans="1:34" x14ac:dyDescent="0.25">
      <c r="A827" s="111" t="str">
        <f>HYPERLINK("http://www.ofsted.gov.uk/inspection-reports/find-inspection-report/provider/ELS/139826 ","Ofsted School Webpage")</f>
        <v>Ofsted School Webpage</v>
      </c>
      <c r="B827">
        <v>139826</v>
      </c>
      <c r="C827">
        <v>3176000</v>
      </c>
      <c r="D827" t="s">
        <v>1982</v>
      </c>
      <c r="E827" t="s">
        <v>36</v>
      </c>
      <c r="F827" t="s">
        <v>142</v>
      </c>
      <c r="G827" t="s">
        <v>180</v>
      </c>
      <c r="H827" t="s">
        <v>2595</v>
      </c>
      <c r="I827" t="s">
        <v>2596</v>
      </c>
      <c r="J827" t="s">
        <v>143</v>
      </c>
      <c r="K827" t="s">
        <v>189</v>
      </c>
      <c r="L827" t="s">
        <v>189</v>
      </c>
      <c r="M827" t="s">
        <v>756</v>
      </c>
      <c r="N827" t="s">
        <v>1983</v>
      </c>
      <c r="O827" t="s">
        <v>1984</v>
      </c>
      <c r="P827" s="108">
        <v>41808</v>
      </c>
      <c r="Q827" s="108">
        <v>41810</v>
      </c>
      <c r="R827" s="108">
        <v>41829</v>
      </c>
      <c r="S827" t="s">
        <v>206</v>
      </c>
      <c r="T827">
        <v>2</v>
      </c>
      <c r="U827" t="s">
        <v>2596</v>
      </c>
      <c r="V827">
        <v>2</v>
      </c>
      <c r="W827" t="s">
        <v>2596</v>
      </c>
      <c r="X827">
        <v>2</v>
      </c>
      <c r="Y827">
        <f>VLOOKUP(Table_clu7sql1_ssdb_REPORT_vw_IE_External_MI_SON[[#This Row],[URN]],[1]Data!$D$2:$BB$1084,31,)</f>
        <v>2</v>
      </c>
      <c r="Z827" t="s">
        <v>2596</v>
      </c>
      <c r="AA827" t="s">
        <v>2596</v>
      </c>
      <c r="AB827" t="s">
        <v>2598</v>
      </c>
      <c r="AC827" t="s">
        <v>2596</v>
      </c>
      <c r="AD827" t="s">
        <v>2596</v>
      </c>
      <c r="AE827" t="s">
        <v>2596</v>
      </c>
      <c r="AF827" t="s">
        <v>2596</v>
      </c>
      <c r="AG827" t="s">
        <v>2596</v>
      </c>
      <c r="AH827" t="s">
        <v>2596</v>
      </c>
    </row>
    <row r="828" spans="1:34" x14ac:dyDescent="0.25">
      <c r="A828" s="111" t="str">
        <f>HYPERLINK("http://www.ofsted.gov.uk/inspection-reports/find-inspection-report/provider/ELS/139831 ","Ofsted School Webpage")</f>
        <v>Ofsted School Webpage</v>
      </c>
      <c r="B828">
        <v>139831</v>
      </c>
      <c r="C828">
        <v>3526008</v>
      </c>
      <c r="D828" t="s">
        <v>2428</v>
      </c>
      <c r="E828" t="s">
        <v>36</v>
      </c>
      <c r="F828" t="s">
        <v>142</v>
      </c>
      <c r="G828" t="s">
        <v>169</v>
      </c>
      <c r="H828" t="s">
        <v>2595</v>
      </c>
      <c r="I828" t="s">
        <v>2596</v>
      </c>
      <c r="J828" t="s">
        <v>143</v>
      </c>
      <c r="K828" t="s">
        <v>162</v>
      </c>
      <c r="L828" t="s">
        <v>162</v>
      </c>
      <c r="M828" t="s">
        <v>263</v>
      </c>
      <c r="N828" t="s">
        <v>2429</v>
      </c>
      <c r="O828">
        <v>10038934</v>
      </c>
      <c r="P828" s="108">
        <v>43116</v>
      </c>
      <c r="Q828" s="108">
        <v>43118</v>
      </c>
      <c r="R828" s="108">
        <v>43174</v>
      </c>
      <c r="S828" t="s">
        <v>153</v>
      </c>
      <c r="T828">
        <v>3</v>
      </c>
      <c r="U828" t="s">
        <v>123</v>
      </c>
      <c r="V828">
        <v>3</v>
      </c>
      <c r="W828">
        <v>2</v>
      </c>
      <c r="X828">
        <v>3</v>
      </c>
      <c r="Y828">
        <f>VLOOKUP(Table_clu7sql1_ssdb_REPORT_vw_IE_External_MI_SON[[#This Row],[URN]],[1]Data!$D$2:$BB$1084,31,)</f>
        <v>3</v>
      </c>
      <c r="Z828">
        <v>2</v>
      </c>
      <c r="AA828" t="s">
        <v>2596</v>
      </c>
      <c r="AB828" t="s">
        <v>2598</v>
      </c>
      <c r="AC828" t="s">
        <v>2596</v>
      </c>
      <c r="AD828" t="s">
        <v>2596</v>
      </c>
      <c r="AE828" t="s">
        <v>2596</v>
      </c>
      <c r="AF828" t="s">
        <v>2596</v>
      </c>
      <c r="AG828" t="s">
        <v>2596</v>
      </c>
      <c r="AH828" t="s">
        <v>2596</v>
      </c>
    </row>
    <row r="829" spans="1:34" x14ac:dyDescent="0.25">
      <c r="A829" s="111" t="str">
        <f>HYPERLINK("http://www.ofsted.gov.uk/inspection-reports/find-inspection-report/provider/ELS/139901 ","Ofsted School Webpage")</f>
        <v>Ofsted School Webpage</v>
      </c>
      <c r="B829">
        <v>139901</v>
      </c>
      <c r="C829">
        <v>3806008</v>
      </c>
      <c r="D829" t="s">
        <v>1413</v>
      </c>
      <c r="E829" t="s">
        <v>37</v>
      </c>
      <c r="F829" t="s">
        <v>142</v>
      </c>
      <c r="G829" t="s">
        <v>142</v>
      </c>
      <c r="H829" t="s">
        <v>2595</v>
      </c>
      <c r="I829" t="s">
        <v>2596</v>
      </c>
      <c r="J829" t="s">
        <v>143</v>
      </c>
      <c r="K829" t="s">
        <v>202</v>
      </c>
      <c r="L829" t="s">
        <v>203</v>
      </c>
      <c r="M829" t="s">
        <v>295</v>
      </c>
      <c r="N829" t="s">
        <v>1414</v>
      </c>
      <c r="O829">
        <v>10033922</v>
      </c>
      <c r="P829" s="108">
        <v>42864</v>
      </c>
      <c r="Q829" s="108">
        <v>42866</v>
      </c>
      <c r="R829" s="108">
        <v>43011</v>
      </c>
      <c r="S829" t="s">
        <v>153</v>
      </c>
      <c r="T829">
        <v>4</v>
      </c>
      <c r="U829" t="s">
        <v>124</v>
      </c>
      <c r="V829">
        <v>4</v>
      </c>
      <c r="W829">
        <v>4</v>
      </c>
      <c r="X829">
        <v>4</v>
      </c>
      <c r="Y829">
        <f>VLOOKUP(Table_clu7sql1_ssdb_REPORT_vw_IE_External_MI_SON[[#This Row],[URN]],[1]Data!$D$2:$BB$1084,31,)</f>
        <v>4</v>
      </c>
      <c r="Z829" t="s">
        <v>2596</v>
      </c>
      <c r="AA829" t="s">
        <v>2596</v>
      </c>
      <c r="AB829" t="s">
        <v>2599</v>
      </c>
      <c r="AC829" t="s">
        <v>2596</v>
      </c>
      <c r="AD829" t="s">
        <v>2596</v>
      </c>
      <c r="AE829" t="s">
        <v>2596</v>
      </c>
      <c r="AF829" t="s">
        <v>2596</v>
      </c>
      <c r="AG829" t="s">
        <v>2596</v>
      </c>
      <c r="AH829" t="s">
        <v>2596</v>
      </c>
    </row>
    <row r="830" spans="1:34" x14ac:dyDescent="0.25">
      <c r="A830" s="111" t="str">
        <f>HYPERLINK("http://www.ofsted.gov.uk/inspection-reports/find-inspection-report/provider/ELS/139919 ","Ofsted School Webpage")</f>
        <v>Ofsted School Webpage</v>
      </c>
      <c r="B830">
        <v>139919</v>
      </c>
      <c r="C830">
        <v>9376006</v>
      </c>
      <c r="D830" t="s">
        <v>558</v>
      </c>
      <c r="E830" t="s">
        <v>37</v>
      </c>
      <c r="F830" t="s">
        <v>142</v>
      </c>
      <c r="G830" t="s">
        <v>142</v>
      </c>
      <c r="H830" t="s">
        <v>2595</v>
      </c>
      <c r="I830" t="s">
        <v>2596</v>
      </c>
      <c r="J830" t="s">
        <v>143</v>
      </c>
      <c r="K830" t="s">
        <v>150</v>
      </c>
      <c r="L830" t="s">
        <v>150</v>
      </c>
      <c r="M830" t="s">
        <v>333</v>
      </c>
      <c r="N830" t="s">
        <v>559</v>
      </c>
      <c r="O830" t="s">
        <v>560</v>
      </c>
      <c r="P830" s="108">
        <v>41773</v>
      </c>
      <c r="Q830" s="108">
        <v>41775</v>
      </c>
      <c r="R830" s="108">
        <v>41813</v>
      </c>
      <c r="S830" t="s">
        <v>206</v>
      </c>
      <c r="T830">
        <v>4</v>
      </c>
      <c r="U830" t="s">
        <v>2596</v>
      </c>
      <c r="V830">
        <v>4</v>
      </c>
      <c r="W830" t="s">
        <v>2596</v>
      </c>
      <c r="X830">
        <v>4</v>
      </c>
      <c r="Y830">
        <f>VLOOKUP(Table_clu7sql1_ssdb_REPORT_vw_IE_External_MI_SON[[#This Row],[URN]],[1]Data!$D$2:$BB$1084,31,)</f>
        <v>4</v>
      </c>
      <c r="Z830" t="s">
        <v>2596</v>
      </c>
      <c r="AA830" t="s">
        <v>2596</v>
      </c>
      <c r="AB830" t="s">
        <v>2599</v>
      </c>
      <c r="AC830" t="s">
        <v>2870</v>
      </c>
      <c r="AD830" t="s">
        <v>144</v>
      </c>
      <c r="AE830" s="108">
        <v>42089</v>
      </c>
      <c r="AF830" t="s">
        <v>2869</v>
      </c>
      <c r="AG830" s="108">
        <v>42116</v>
      </c>
      <c r="AH830" t="s">
        <v>2638</v>
      </c>
    </row>
    <row r="831" spans="1:34" x14ac:dyDescent="0.25">
      <c r="A831" s="111" t="str">
        <f>HYPERLINK("http://www.ofsted.gov.uk/inspection-reports/find-inspection-report/provider/ELS/139962 ","Ofsted School Webpage")</f>
        <v>Ofsted School Webpage</v>
      </c>
      <c r="B831">
        <v>139962</v>
      </c>
      <c r="C831">
        <v>3306015</v>
      </c>
      <c r="D831" t="s">
        <v>2065</v>
      </c>
      <c r="E831" t="s">
        <v>36</v>
      </c>
      <c r="F831" t="s">
        <v>142</v>
      </c>
      <c r="G831" t="s">
        <v>512</v>
      </c>
      <c r="H831" t="s">
        <v>2595</v>
      </c>
      <c r="I831" t="s">
        <v>2596</v>
      </c>
      <c r="J831" t="s">
        <v>143</v>
      </c>
      <c r="K831" t="s">
        <v>150</v>
      </c>
      <c r="L831" t="s">
        <v>150</v>
      </c>
      <c r="M831" t="s">
        <v>167</v>
      </c>
      <c r="N831" t="s">
        <v>2066</v>
      </c>
      <c r="O831">
        <v>10033583</v>
      </c>
      <c r="P831" s="108">
        <v>43144</v>
      </c>
      <c r="Q831" s="108">
        <v>43146</v>
      </c>
      <c r="R831" s="108">
        <v>43174</v>
      </c>
      <c r="S831" t="s">
        <v>153</v>
      </c>
      <c r="T831">
        <v>2</v>
      </c>
      <c r="U831" t="s">
        <v>123</v>
      </c>
      <c r="V831">
        <v>2</v>
      </c>
      <c r="W831">
        <v>2</v>
      </c>
      <c r="X831">
        <v>2</v>
      </c>
      <c r="Y831">
        <f>VLOOKUP(Table_clu7sql1_ssdb_REPORT_vw_IE_External_MI_SON[[#This Row],[URN]],[1]Data!$D$2:$BB$1084,31,)</f>
        <v>2</v>
      </c>
      <c r="Z831" t="s">
        <v>2596</v>
      </c>
      <c r="AA831" t="s">
        <v>2596</v>
      </c>
      <c r="AB831" t="s">
        <v>2598</v>
      </c>
      <c r="AC831" t="s">
        <v>2596</v>
      </c>
      <c r="AD831" t="s">
        <v>2596</v>
      </c>
      <c r="AE831" s="108" t="s">
        <v>2596</v>
      </c>
      <c r="AF831" t="s">
        <v>2596</v>
      </c>
      <c r="AG831" s="108" t="s">
        <v>2596</v>
      </c>
      <c r="AH831" t="s">
        <v>2596</v>
      </c>
    </row>
    <row r="832" spans="1:34" x14ac:dyDescent="0.25">
      <c r="A832" s="111" t="str">
        <f>HYPERLINK("http://www.ofsted.gov.uk/inspection-reports/find-inspection-report/provider/ELS/139963 ","Ofsted School Webpage")</f>
        <v>Ofsted School Webpage</v>
      </c>
      <c r="B832">
        <v>139963</v>
      </c>
      <c r="C832">
        <v>8696017</v>
      </c>
      <c r="D832" t="s">
        <v>1027</v>
      </c>
      <c r="E832" t="s">
        <v>37</v>
      </c>
      <c r="F832" t="s">
        <v>142</v>
      </c>
      <c r="G832" t="s">
        <v>142</v>
      </c>
      <c r="H832" t="s">
        <v>2595</v>
      </c>
      <c r="I832" t="s">
        <v>2596</v>
      </c>
      <c r="J832" t="s">
        <v>143</v>
      </c>
      <c r="K832" t="s">
        <v>139</v>
      </c>
      <c r="L832" t="s">
        <v>139</v>
      </c>
      <c r="M832" t="s">
        <v>552</v>
      </c>
      <c r="N832" t="s">
        <v>1028</v>
      </c>
      <c r="O832">
        <v>10033958</v>
      </c>
      <c r="P832" s="108">
        <v>42913</v>
      </c>
      <c r="Q832" s="108">
        <v>42915</v>
      </c>
      <c r="R832" s="108">
        <v>42982</v>
      </c>
      <c r="S832" t="s">
        <v>153</v>
      </c>
      <c r="T832">
        <v>2</v>
      </c>
      <c r="U832" t="s">
        <v>123</v>
      </c>
      <c r="V832">
        <v>2</v>
      </c>
      <c r="W832">
        <v>2</v>
      </c>
      <c r="X832">
        <v>2</v>
      </c>
      <c r="Y832">
        <f>VLOOKUP(Table_clu7sql1_ssdb_REPORT_vw_IE_External_MI_SON[[#This Row],[URN]],[1]Data!$D$2:$BB$1084,31,)</f>
        <v>2</v>
      </c>
      <c r="Z832" t="s">
        <v>2596</v>
      </c>
      <c r="AA832">
        <v>2</v>
      </c>
      <c r="AB832" t="s">
        <v>2598</v>
      </c>
      <c r="AC832" t="s">
        <v>2596</v>
      </c>
      <c r="AD832" t="s">
        <v>2596</v>
      </c>
      <c r="AE832" t="s">
        <v>2596</v>
      </c>
      <c r="AF832" t="s">
        <v>2596</v>
      </c>
      <c r="AG832" t="s">
        <v>2596</v>
      </c>
      <c r="AH832" t="s">
        <v>2596</v>
      </c>
    </row>
    <row r="833" spans="1:34" x14ac:dyDescent="0.25">
      <c r="A833" s="111" t="str">
        <f>HYPERLINK("http://www.ofsted.gov.uk/inspection-reports/find-inspection-report/provider/ELS/139997 ","Ofsted School Webpage")</f>
        <v>Ofsted School Webpage</v>
      </c>
      <c r="B833">
        <v>139997</v>
      </c>
      <c r="C833">
        <v>9316014</v>
      </c>
      <c r="D833" t="s">
        <v>1568</v>
      </c>
      <c r="E833" t="s">
        <v>36</v>
      </c>
      <c r="F833" t="s">
        <v>142</v>
      </c>
      <c r="G833" t="s">
        <v>142</v>
      </c>
      <c r="H833" t="s">
        <v>2595</v>
      </c>
      <c r="I833" t="s">
        <v>2596</v>
      </c>
      <c r="J833" t="s">
        <v>143</v>
      </c>
      <c r="K833" t="s">
        <v>139</v>
      </c>
      <c r="L833" t="s">
        <v>139</v>
      </c>
      <c r="M833" t="s">
        <v>199</v>
      </c>
      <c r="N833" t="s">
        <v>1569</v>
      </c>
      <c r="O833" t="s">
        <v>1570</v>
      </c>
      <c r="P833" s="108">
        <v>41800</v>
      </c>
      <c r="Q833" s="108">
        <v>41802</v>
      </c>
      <c r="R833" s="108">
        <v>41821</v>
      </c>
      <c r="S833" t="s">
        <v>206</v>
      </c>
      <c r="T833">
        <v>2</v>
      </c>
      <c r="U833" t="s">
        <v>2596</v>
      </c>
      <c r="V833">
        <v>2</v>
      </c>
      <c r="W833" t="s">
        <v>2596</v>
      </c>
      <c r="X833">
        <v>2</v>
      </c>
      <c r="Y833">
        <f>VLOOKUP(Table_clu7sql1_ssdb_REPORT_vw_IE_External_MI_SON[[#This Row],[URN]],[1]Data!$D$2:$BB$1084,31,)</f>
        <v>2</v>
      </c>
      <c r="Z833" t="s">
        <v>2596</v>
      </c>
      <c r="AA833" t="s">
        <v>2596</v>
      </c>
      <c r="AB833" t="s">
        <v>2598</v>
      </c>
      <c r="AC833" t="s">
        <v>2596</v>
      </c>
      <c r="AD833" t="s">
        <v>2596</v>
      </c>
      <c r="AE833" t="s">
        <v>2596</v>
      </c>
      <c r="AF833" t="s">
        <v>2596</v>
      </c>
      <c r="AG833" t="s">
        <v>2596</v>
      </c>
      <c r="AH833" t="s">
        <v>2596</v>
      </c>
    </row>
    <row r="834" spans="1:34" x14ac:dyDescent="0.25">
      <c r="A834" s="111" t="str">
        <f>HYPERLINK("http://www.ofsted.gov.uk/inspection-reports/find-inspection-report/provider/ELS/140036 ","Ofsted School Webpage")</f>
        <v>Ofsted School Webpage</v>
      </c>
      <c r="B834">
        <v>140036</v>
      </c>
      <c r="C834">
        <v>3556000</v>
      </c>
      <c r="D834" t="s">
        <v>1419</v>
      </c>
      <c r="E834" t="s">
        <v>36</v>
      </c>
      <c r="F834" t="s">
        <v>776</v>
      </c>
      <c r="G834" t="s">
        <v>275</v>
      </c>
      <c r="H834" t="s">
        <v>2595</v>
      </c>
      <c r="I834" t="s">
        <v>2596</v>
      </c>
      <c r="J834" t="s">
        <v>143</v>
      </c>
      <c r="K834" t="s">
        <v>162</v>
      </c>
      <c r="L834" t="s">
        <v>162</v>
      </c>
      <c r="M834" t="s">
        <v>804</v>
      </c>
      <c r="N834" t="s">
        <v>1420</v>
      </c>
      <c r="O834" t="s">
        <v>1421</v>
      </c>
      <c r="P834" s="108">
        <v>41947</v>
      </c>
      <c r="Q834" s="108">
        <v>41949</v>
      </c>
      <c r="R834" s="108">
        <v>41970</v>
      </c>
      <c r="S834" t="s">
        <v>206</v>
      </c>
      <c r="T834">
        <v>3</v>
      </c>
      <c r="U834" t="s">
        <v>2596</v>
      </c>
      <c r="V834">
        <v>3</v>
      </c>
      <c r="W834" t="s">
        <v>2596</v>
      </c>
      <c r="X834">
        <v>3</v>
      </c>
      <c r="Y834">
        <f>VLOOKUP(Table_clu7sql1_ssdb_REPORT_vw_IE_External_MI_SON[[#This Row],[URN]],[1]Data!$D$2:$BB$1084,31,)</f>
        <v>3</v>
      </c>
      <c r="Z834">
        <v>9</v>
      </c>
      <c r="AA834">
        <v>9</v>
      </c>
      <c r="AB834" t="s">
        <v>2598</v>
      </c>
      <c r="AC834" t="s">
        <v>2596</v>
      </c>
      <c r="AD834" t="s">
        <v>2596</v>
      </c>
      <c r="AE834" t="s">
        <v>2596</v>
      </c>
      <c r="AF834" t="s">
        <v>2596</v>
      </c>
      <c r="AG834" t="s">
        <v>2596</v>
      </c>
      <c r="AH834" t="s">
        <v>2596</v>
      </c>
    </row>
    <row r="835" spans="1:34" x14ac:dyDescent="0.25">
      <c r="A835" s="111" t="str">
        <f>HYPERLINK("http://www.ofsted.gov.uk/inspection-reports/find-inspection-report/provider/ELS/140038 ","Ofsted School Webpage")</f>
        <v>Ofsted School Webpage</v>
      </c>
      <c r="B835">
        <v>140038</v>
      </c>
      <c r="C835">
        <v>3836001</v>
      </c>
      <c r="D835" t="s">
        <v>666</v>
      </c>
      <c r="E835" t="s">
        <v>36</v>
      </c>
      <c r="F835" t="s">
        <v>169</v>
      </c>
      <c r="G835" t="s">
        <v>169</v>
      </c>
      <c r="H835" t="s">
        <v>2595</v>
      </c>
      <c r="I835" t="s">
        <v>2596</v>
      </c>
      <c r="J835" t="s">
        <v>143</v>
      </c>
      <c r="K835" t="s">
        <v>202</v>
      </c>
      <c r="L835" t="s">
        <v>203</v>
      </c>
      <c r="M835" t="s">
        <v>667</v>
      </c>
      <c r="N835" t="s">
        <v>668</v>
      </c>
      <c r="O835">
        <v>10033924</v>
      </c>
      <c r="P835" s="108">
        <v>42899</v>
      </c>
      <c r="Q835" s="108">
        <v>42901</v>
      </c>
      <c r="R835" s="108">
        <v>42948</v>
      </c>
      <c r="S835" t="s">
        <v>153</v>
      </c>
      <c r="T835">
        <v>3</v>
      </c>
      <c r="U835" t="s">
        <v>123</v>
      </c>
      <c r="V835">
        <v>3</v>
      </c>
      <c r="W835">
        <v>2</v>
      </c>
      <c r="X835">
        <v>2</v>
      </c>
      <c r="Y835">
        <f>VLOOKUP(Table_clu7sql1_ssdb_REPORT_vw_IE_External_MI_SON[[#This Row],[URN]],[1]Data!$D$2:$BB$1084,31,)</f>
        <v>2</v>
      </c>
      <c r="Z835" t="s">
        <v>2596</v>
      </c>
      <c r="AA835" t="s">
        <v>2596</v>
      </c>
      <c r="AB835" t="s">
        <v>2598</v>
      </c>
      <c r="AC835" t="s">
        <v>2596</v>
      </c>
      <c r="AD835" t="s">
        <v>2596</v>
      </c>
      <c r="AE835" s="108" t="s">
        <v>2596</v>
      </c>
      <c r="AF835" t="s">
        <v>2596</v>
      </c>
      <c r="AG835" s="108" t="s">
        <v>2596</v>
      </c>
      <c r="AH835" t="s">
        <v>2596</v>
      </c>
    </row>
    <row r="836" spans="1:34" x14ac:dyDescent="0.25">
      <c r="A836" s="111" t="str">
        <f>HYPERLINK("http://www.ofsted.gov.uk/inspection-reports/find-inspection-report/provider/ELS/140039 ","Ofsted School Webpage")</f>
        <v>Ofsted School Webpage</v>
      </c>
      <c r="B836">
        <v>140039</v>
      </c>
      <c r="C836">
        <v>3036001</v>
      </c>
      <c r="D836" t="s">
        <v>2160</v>
      </c>
      <c r="E836" t="s">
        <v>36</v>
      </c>
      <c r="F836" t="s">
        <v>142</v>
      </c>
      <c r="G836" t="s">
        <v>142</v>
      </c>
      <c r="H836" t="s">
        <v>2595</v>
      </c>
      <c r="I836" t="s">
        <v>2596</v>
      </c>
      <c r="J836" t="s">
        <v>143</v>
      </c>
      <c r="K836" t="s">
        <v>189</v>
      </c>
      <c r="L836" t="s">
        <v>189</v>
      </c>
      <c r="M836" t="s">
        <v>999</v>
      </c>
      <c r="N836" t="s">
        <v>2161</v>
      </c>
      <c r="O836" t="s">
        <v>2162</v>
      </c>
      <c r="P836" s="108">
        <v>41808</v>
      </c>
      <c r="Q836" s="108">
        <v>41810</v>
      </c>
      <c r="R836" s="108">
        <v>41829</v>
      </c>
      <c r="S836" t="s">
        <v>206</v>
      </c>
      <c r="T836">
        <v>3</v>
      </c>
      <c r="U836" t="s">
        <v>2596</v>
      </c>
      <c r="V836">
        <v>3</v>
      </c>
      <c r="W836" t="s">
        <v>2596</v>
      </c>
      <c r="X836">
        <v>3</v>
      </c>
      <c r="Y836">
        <f>VLOOKUP(Table_clu7sql1_ssdb_REPORT_vw_IE_External_MI_SON[[#This Row],[URN]],[1]Data!$D$2:$BB$1084,31,)</f>
        <v>3</v>
      </c>
      <c r="Z836" t="s">
        <v>2596</v>
      </c>
      <c r="AA836" t="s">
        <v>2596</v>
      </c>
      <c r="AB836" t="s">
        <v>2598</v>
      </c>
      <c r="AC836" t="s">
        <v>2596</v>
      </c>
      <c r="AD836" t="s">
        <v>2596</v>
      </c>
      <c r="AE836" t="s">
        <v>2596</v>
      </c>
      <c r="AF836" t="s">
        <v>2596</v>
      </c>
      <c r="AG836" t="s">
        <v>2596</v>
      </c>
      <c r="AH836" t="s">
        <v>2596</v>
      </c>
    </row>
    <row r="837" spans="1:34" x14ac:dyDescent="0.25">
      <c r="A837" s="111" t="str">
        <f>HYPERLINK("http://www.ofsted.gov.uk/inspection-reports/find-inspection-report/provider/ELS/140046 ","Ofsted School Webpage")</f>
        <v>Ofsted School Webpage</v>
      </c>
      <c r="B837">
        <v>140046</v>
      </c>
      <c r="C837">
        <v>8506090</v>
      </c>
      <c r="D837" t="s">
        <v>820</v>
      </c>
      <c r="E837" t="s">
        <v>37</v>
      </c>
      <c r="F837" t="s">
        <v>142</v>
      </c>
      <c r="G837" t="s">
        <v>142</v>
      </c>
      <c r="H837" t="s">
        <v>2595</v>
      </c>
      <c r="I837" t="s">
        <v>2596</v>
      </c>
      <c r="J837" t="s">
        <v>143</v>
      </c>
      <c r="K837" t="s">
        <v>139</v>
      </c>
      <c r="L837" t="s">
        <v>139</v>
      </c>
      <c r="M837" t="s">
        <v>158</v>
      </c>
      <c r="N837" t="s">
        <v>821</v>
      </c>
      <c r="O837">
        <v>10033963</v>
      </c>
      <c r="P837" s="108">
        <v>43060</v>
      </c>
      <c r="Q837" s="108">
        <v>43062</v>
      </c>
      <c r="R837" s="108">
        <v>43108</v>
      </c>
      <c r="S837" t="s">
        <v>153</v>
      </c>
      <c r="T837">
        <v>2</v>
      </c>
      <c r="U837" t="s">
        <v>123</v>
      </c>
      <c r="V837">
        <v>2</v>
      </c>
      <c r="W837">
        <v>2</v>
      </c>
      <c r="X837">
        <v>2</v>
      </c>
      <c r="Y837">
        <f>VLOOKUP(Table_clu7sql1_ssdb_REPORT_vw_IE_External_MI_SON[[#This Row],[URN]],[1]Data!$D$2:$BB$1084,31,)</f>
        <v>2</v>
      </c>
      <c r="Z837" t="s">
        <v>2596</v>
      </c>
      <c r="AA837">
        <v>2</v>
      </c>
      <c r="AB837" t="s">
        <v>2598</v>
      </c>
      <c r="AC837" t="s">
        <v>2596</v>
      </c>
      <c r="AD837" t="s">
        <v>2596</v>
      </c>
      <c r="AE837" t="s">
        <v>2596</v>
      </c>
      <c r="AF837" t="s">
        <v>2596</v>
      </c>
      <c r="AG837" t="s">
        <v>2596</v>
      </c>
      <c r="AH837" t="s">
        <v>2596</v>
      </c>
    </row>
    <row r="838" spans="1:34" x14ac:dyDescent="0.25">
      <c r="A838" s="111" t="str">
        <f>HYPERLINK("http://www.ofsted.gov.uk/inspection-reports/find-inspection-report/provider/ELS/140205 ","Ofsted School Webpage")</f>
        <v>Ofsted School Webpage</v>
      </c>
      <c r="B838">
        <v>140205</v>
      </c>
      <c r="C838">
        <v>3516002</v>
      </c>
      <c r="D838" t="s">
        <v>408</v>
      </c>
      <c r="E838" t="s">
        <v>37</v>
      </c>
      <c r="F838" t="s">
        <v>142</v>
      </c>
      <c r="G838" t="s">
        <v>142</v>
      </c>
      <c r="H838" t="s">
        <v>2595</v>
      </c>
      <c r="I838" t="s">
        <v>2596</v>
      </c>
      <c r="J838" t="s">
        <v>143</v>
      </c>
      <c r="K838" t="s">
        <v>162</v>
      </c>
      <c r="L838" t="s">
        <v>162</v>
      </c>
      <c r="M838" t="s">
        <v>409</v>
      </c>
      <c r="N838" t="s">
        <v>410</v>
      </c>
      <c r="O838">
        <v>10034033</v>
      </c>
      <c r="P838" s="108">
        <v>43025</v>
      </c>
      <c r="Q838" s="108">
        <v>43027</v>
      </c>
      <c r="R838" s="108">
        <v>43052</v>
      </c>
      <c r="S838" t="s">
        <v>153</v>
      </c>
      <c r="T838">
        <v>2</v>
      </c>
      <c r="U838" t="s">
        <v>123</v>
      </c>
      <c r="V838">
        <v>2</v>
      </c>
      <c r="W838">
        <v>2</v>
      </c>
      <c r="X838">
        <v>2</v>
      </c>
      <c r="Y838">
        <f>VLOOKUP(Table_clu7sql1_ssdb_REPORT_vw_IE_External_MI_SON[[#This Row],[URN]],[1]Data!$D$2:$BB$1084,31,)</f>
        <v>2</v>
      </c>
      <c r="Z838" t="s">
        <v>2596</v>
      </c>
      <c r="AA838" t="s">
        <v>2596</v>
      </c>
      <c r="AB838" t="s">
        <v>2598</v>
      </c>
      <c r="AC838" t="s">
        <v>2596</v>
      </c>
      <c r="AD838" t="s">
        <v>2596</v>
      </c>
      <c r="AE838" t="s">
        <v>2596</v>
      </c>
      <c r="AF838" t="s">
        <v>2596</v>
      </c>
      <c r="AG838" t="s">
        <v>2596</v>
      </c>
      <c r="AH838" t="s">
        <v>2596</v>
      </c>
    </row>
    <row r="839" spans="1:34" x14ac:dyDescent="0.25">
      <c r="A839" s="111" t="str">
        <f>HYPERLINK("http://www.ofsted.gov.uk/inspection-reports/find-inspection-report/provider/ELS/140225 ","Ofsted School Webpage")</f>
        <v>Ofsted School Webpage</v>
      </c>
      <c r="B839">
        <v>140225</v>
      </c>
      <c r="C839">
        <v>2076007</v>
      </c>
      <c r="D839" t="s">
        <v>2169</v>
      </c>
      <c r="E839" t="s">
        <v>36</v>
      </c>
      <c r="F839" t="s">
        <v>142</v>
      </c>
      <c r="G839" t="s">
        <v>142</v>
      </c>
      <c r="H839" t="s">
        <v>2595</v>
      </c>
      <c r="I839" t="s">
        <v>2596</v>
      </c>
      <c r="J839" t="s">
        <v>143</v>
      </c>
      <c r="K839" t="s">
        <v>189</v>
      </c>
      <c r="L839" t="s">
        <v>189</v>
      </c>
      <c r="M839" t="s">
        <v>251</v>
      </c>
      <c r="N839" t="s">
        <v>2882</v>
      </c>
      <c r="O839">
        <v>10035812</v>
      </c>
      <c r="P839" s="108">
        <v>43151</v>
      </c>
      <c r="Q839" s="108">
        <v>43153</v>
      </c>
      <c r="R839" s="108">
        <v>43175</v>
      </c>
      <c r="S839" t="s">
        <v>153</v>
      </c>
      <c r="T839">
        <v>2</v>
      </c>
      <c r="U839" t="s">
        <v>123</v>
      </c>
      <c r="V839">
        <v>2</v>
      </c>
      <c r="W839">
        <v>2</v>
      </c>
      <c r="X839">
        <v>2</v>
      </c>
      <c r="Y839">
        <f>VLOOKUP(Table_clu7sql1_ssdb_REPORT_vw_IE_External_MI_SON[[#This Row],[URN]],[1]Data!$D$2:$BB$1084,31,)</f>
        <v>2</v>
      </c>
      <c r="Z839" t="s">
        <v>2596</v>
      </c>
      <c r="AA839" t="s">
        <v>2596</v>
      </c>
      <c r="AB839" t="s">
        <v>2598</v>
      </c>
      <c r="AC839" t="s">
        <v>2596</v>
      </c>
      <c r="AD839" t="s">
        <v>2596</v>
      </c>
      <c r="AE839" t="s">
        <v>2596</v>
      </c>
      <c r="AF839" t="s">
        <v>2596</v>
      </c>
      <c r="AG839" t="s">
        <v>2596</v>
      </c>
      <c r="AH839" t="s">
        <v>2596</v>
      </c>
    </row>
    <row r="840" spans="1:34" x14ac:dyDescent="0.25">
      <c r="A840" s="111" t="str">
        <f>HYPERLINK("http://www.ofsted.gov.uk/inspection-reports/find-inspection-report/provider/ELS/140226 ","Ofsted School Webpage")</f>
        <v>Ofsted School Webpage</v>
      </c>
      <c r="B840">
        <v>140226</v>
      </c>
      <c r="C840">
        <v>2036002</v>
      </c>
      <c r="D840" t="s">
        <v>2217</v>
      </c>
      <c r="E840" t="s">
        <v>36</v>
      </c>
      <c r="F840" t="s">
        <v>142</v>
      </c>
      <c r="G840" t="s">
        <v>142</v>
      </c>
      <c r="H840" t="s">
        <v>2595</v>
      </c>
      <c r="I840" t="s">
        <v>2596</v>
      </c>
      <c r="J840" t="s">
        <v>143</v>
      </c>
      <c r="K840" t="s">
        <v>189</v>
      </c>
      <c r="L840" t="s">
        <v>189</v>
      </c>
      <c r="M840" t="s">
        <v>437</v>
      </c>
      <c r="N840" t="s">
        <v>2218</v>
      </c>
      <c r="O840" t="s">
        <v>2219</v>
      </c>
      <c r="P840" s="108">
        <v>41793</v>
      </c>
      <c r="Q840" s="108">
        <v>41795</v>
      </c>
      <c r="R840" s="108">
        <v>41814</v>
      </c>
      <c r="S840" t="s">
        <v>206</v>
      </c>
      <c r="T840">
        <v>2</v>
      </c>
      <c r="U840" t="s">
        <v>2596</v>
      </c>
      <c r="V840">
        <v>2</v>
      </c>
      <c r="W840" t="s">
        <v>2596</v>
      </c>
      <c r="X840">
        <v>2</v>
      </c>
      <c r="Y840">
        <f>VLOOKUP(Table_clu7sql1_ssdb_REPORT_vw_IE_External_MI_SON[[#This Row],[URN]],[1]Data!$D$2:$BB$1084,31,)</f>
        <v>2</v>
      </c>
      <c r="Z840" t="s">
        <v>2596</v>
      </c>
      <c r="AA840" t="s">
        <v>2596</v>
      </c>
      <c r="AB840" t="s">
        <v>2598</v>
      </c>
      <c r="AC840" t="s">
        <v>2596</v>
      </c>
      <c r="AD840" t="s">
        <v>2596</v>
      </c>
      <c r="AE840" t="s">
        <v>2596</v>
      </c>
      <c r="AF840" t="s">
        <v>2596</v>
      </c>
      <c r="AG840" t="s">
        <v>2596</v>
      </c>
      <c r="AH840" t="s">
        <v>2596</v>
      </c>
    </row>
    <row r="841" spans="1:34" x14ac:dyDescent="0.25">
      <c r="A841" s="111" t="str">
        <f>HYPERLINK("http://www.ofsted.gov.uk/inspection-reports/find-inspection-report/provider/ELS/140227 ","Ofsted School Webpage")</f>
        <v>Ofsted School Webpage</v>
      </c>
      <c r="B841">
        <v>140227</v>
      </c>
      <c r="C841">
        <v>8936032</v>
      </c>
      <c r="D841" t="s">
        <v>1612</v>
      </c>
      <c r="E841" t="s">
        <v>36</v>
      </c>
      <c r="F841" t="s">
        <v>142</v>
      </c>
      <c r="G841" t="s">
        <v>142</v>
      </c>
      <c r="H841" t="s">
        <v>2595</v>
      </c>
      <c r="I841" t="s">
        <v>2596</v>
      </c>
      <c r="J841" t="s">
        <v>143</v>
      </c>
      <c r="K841" t="s">
        <v>150</v>
      </c>
      <c r="L841" t="s">
        <v>150</v>
      </c>
      <c r="M841" t="s">
        <v>151</v>
      </c>
      <c r="N841" t="s">
        <v>960</v>
      </c>
      <c r="O841">
        <v>10033584</v>
      </c>
      <c r="P841" s="108">
        <v>42913</v>
      </c>
      <c r="Q841" s="108">
        <v>42915</v>
      </c>
      <c r="R841" s="108">
        <v>42990</v>
      </c>
      <c r="S841" t="s">
        <v>153</v>
      </c>
      <c r="T841">
        <v>2</v>
      </c>
      <c r="U841" t="s">
        <v>123</v>
      </c>
      <c r="V841">
        <v>2</v>
      </c>
      <c r="W841">
        <v>1</v>
      </c>
      <c r="X841">
        <v>2</v>
      </c>
      <c r="Y841">
        <f>VLOOKUP(Table_clu7sql1_ssdb_REPORT_vw_IE_External_MI_SON[[#This Row],[URN]],[1]Data!$D$2:$BB$1084,31,)</f>
        <v>2</v>
      </c>
      <c r="Z841" t="s">
        <v>2596</v>
      </c>
      <c r="AA841" t="s">
        <v>2596</v>
      </c>
      <c r="AB841" t="s">
        <v>2598</v>
      </c>
      <c r="AC841" t="s">
        <v>2596</v>
      </c>
      <c r="AD841" t="s">
        <v>2596</v>
      </c>
      <c r="AE841" t="s">
        <v>2596</v>
      </c>
      <c r="AF841" t="s">
        <v>2596</v>
      </c>
      <c r="AG841" t="s">
        <v>2596</v>
      </c>
      <c r="AH841" t="s">
        <v>2596</v>
      </c>
    </row>
    <row r="842" spans="1:34" x14ac:dyDescent="0.25">
      <c r="A842" s="111" t="str">
        <f>HYPERLINK("http://www.ofsted.gov.uk/inspection-reports/find-inspection-report/provider/ELS/140272 ","Ofsted School Webpage")</f>
        <v>Ofsted School Webpage</v>
      </c>
      <c r="B842">
        <v>140272</v>
      </c>
      <c r="C842">
        <v>8086004</v>
      </c>
      <c r="D842" t="s">
        <v>233</v>
      </c>
      <c r="E842" t="s">
        <v>37</v>
      </c>
      <c r="F842" t="s">
        <v>142</v>
      </c>
      <c r="G842" t="s">
        <v>142</v>
      </c>
      <c r="H842" t="s">
        <v>2595</v>
      </c>
      <c r="I842" t="s">
        <v>2596</v>
      </c>
      <c r="J842" t="s">
        <v>143</v>
      </c>
      <c r="K842" t="s">
        <v>202</v>
      </c>
      <c r="L842" t="s">
        <v>234</v>
      </c>
      <c r="M842" t="s">
        <v>235</v>
      </c>
      <c r="N842" t="s">
        <v>236</v>
      </c>
      <c r="O842">
        <v>10040144</v>
      </c>
      <c r="P842" s="108">
        <v>42997</v>
      </c>
      <c r="Q842" s="108">
        <v>42999</v>
      </c>
      <c r="R842" s="108">
        <v>43025</v>
      </c>
      <c r="S842" t="s">
        <v>153</v>
      </c>
      <c r="T842">
        <v>3</v>
      </c>
      <c r="U842" t="s">
        <v>123</v>
      </c>
      <c r="V842">
        <v>3</v>
      </c>
      <c r="W842">
        <v>2</v>
      </c>
      <c r="X842">
        <v>3</v>
      </c>
      <c r="Y842">
        <f>VLOOKUP(Table_clu7sql1_ssdb_REPORT_vw_IE_External_MI_SON[[#This Row],[URN]],[1]Data!$D$2:$BB$1084,31,)</f>
        <v>3</v>
      </c>
      <c r="Z842" t="s">
        <v>2596</v>
      </c>
      <c r="AA842" t="s">
        <v>2596</v>
      </c>
      <c r="AB842" t="s">
        <v>2599</v>
      </c>
      <c r="AC842" t="s">
        <v>2596</v>
      </c>
      <c r="AD842" t="s">
        <v>2596</v>
      </c>
      <c r="AE842" t="s">
        <v>2596</v>
      </c>
      <c r="AF842" t="s">
        <v>2596</v>
      </c>
      <c r="AG842" t="s">
        <v>2596</v>
      </c>
      <c r="AH842" t="s">
        <v>2596</v>
      </c>
    </row>
    <row r="843" spans="1:34" x14ac:dyDescent="0.25">
      <c r="A843" s="111" t="str">
        <f>HYPERLINK("http://www.ofsted.gov.uk/inspection-reports/find-inspection-report/provider/ELS/140273 ","Ofsted School Webpage")</f>
        <v>Ofsted School Webpage</v>
      </c>
      <c r="B843">
        <v>140273</v>
      </c>
      <c r="C843">
        <v>3356002</v>
      </c>
      <c r="D843" t="s">
        <v>1543</v>
      </c>
      <c r="E843" t="s">
        <v>37</v>
      </c>
      <c r="F843" t="s">
        <v>142</v>
      </c>
      <c r="G843" t="s">
        <v>142</v>
      </c>
      <c r="H843" t="s">
        <v>2595</v>
      </c>
      <c r="I843" t="s">
        <v>2596</v>
      </c>
      <c r="J843" t="s">
        <v>143</v>
      </c>
      <c r="K843" t="s">
        <v>150</v>
      </c>
      <c r="L843" t="s">
        <v>150</v>
      </c>
      <c r="M843" t="s">
        <v>1452</v>
      </c>
      <c r="N843" t="s">
        <v>960</v>
      </c>
      <c r="O843">
        <v>10026238</v>
      </c>
      <c r="P843" s="108">
        <v>43046</v>
      </c>
      <c r="Q843" s="108">
        <v>43048</v>
      </c>
      <c r="R843" s="108">
        <v>43090</v>
      </c>
      <c r="S843" t="s">
        <v>3005</v>
      </c>
      <c r="T843">
        <v>2</v>
      </c>
      <c r="U843" t="s">
        <v>123</v>
      </c>
      <c r="V843">
        <v>2</v>
      </c>
      <c r="W843">
        <v>2</v>
      </c>
      <c r="X843">
        <v>2</v>
      </c>
      <c r="Y843">
        <f>VLOOKUP(Table_clu7sql1_ssdb_REPORT_vw_IE_External_MI_SON[[#This Row],[URN]],[1]Data!$D$2:$BB$1084,31,)</f>
        <v>2</v>
      </c>
      <c r="Z843" t="s">
        <v>2596</v>
      </c>
      <c r="AA843" t="s">
        <v>2596</v>
      </c>
      <c r="AB843" t="s">
        <v>2598</v>
      </c>
      <c r="AC843" t="s">
        <v>2596</v>
      </c>
      <c r="AD843" t="s">
        <v>2596</v>
      </c>
      <c r="AE843" t="s">
        <v>2596</v>
      </c>
      <c r="AF843" t="s">
        <v>2596</v>
      </c>
      <c r="AG843" t="s">
        <v>2596</v>
      </c>
      <c r="AH843" t="s">
        <v>2596</v>
      </c>
    </row>
    <row r="844" spans="1:34" x14ac:dyDescent="0.25">
      <c r="A844" s="111" t="str">
        <f>HYPERLINK("http://www.ofsted.gov.uk/inspection-reports/find-inspection-report/provider/ELS/140330 ","Ofsted School Webpage")</f>
        <v>Ofsted School Webpage</v>
      </c>
      <c r="B844">
        <v>140330</v>
      </c>
      <c r="C844">
        <v>8616011</v>
      </c>
      <c r="D844" t="s">
        <v>446</v>
      </c>
      <c r="E844" t="s">
        <v>36</v>
      </c>
      <c r="F844" t="s">
        <v>142</v>
      </c>
      <c r="G844" t="s">
        <v>142</v>
      </c>
      <c r="H844" t="s">
        <v>2595</v>
      </c>
      <c r="I844" t="s">
        <v>2596</v>
      </c>
      <c r="J844" t="s">
        <v>143</v>
      </c>
      <c r="K844" t="s">
        <v>150</v>
      </c>
      <c r="L844" t="s">
        <v>150</v>
      </c>
      <c r="M844" t="s">
        <v>447</v>
      </c>
      <c r="N844" t="s">
        <v>448</v>
      </c>
      <c r="O844">
        <v>10038847</v>
      </c>
      <c r="P844" s="108">
        <v>43039</v>
      </c>
      <c r="Q844" s="108">
        <v>43041</v>
      </c>
      <c r="R844" s="108">
        <v>43059</v>
      </c>
      <c r="S844" t="s">
        <v>153</v>
      </c>
      <c r="T844">
        <v>2</v>
      </c>
      <c r="U844" t="s">
        <v>123</v>
      </c>
      <c r="V844">
        <v>1</v>
      </c>
      <c r="W844">
        <v>2</v>
      </c>
      <c r="X844">
        <v>2</v>
      </c>
      <c r="Y844">
        <f>VLOOKUP(Table_clu7sql1_ssdb_REPORT_vw_IE_External_MI_SON[[#This Row],[URN]],[1]Data!$D$2:$BB$1084,31,)</f>
        <v>2</v>
      </c>
      <c r="Z844" t="s">
        <v>2596</v>
      </c>
      <c r="AA844" t="s">
        <v>2596</v>
      </c>
      <c r="AB844" t="s">
        <v>2598</v>
      </c>
      <c r="AC844" t="s">
        <v>2596</v>
      </c>
      <c r="AD844" t="s">
        <v>2596</v>
      </c>
      <c r="AE844" s="108" t="s">
        <v>2596</v>
      </c>
      <c r="AF844" t="s">
        <v>2596</v>
      </c>
      <c r="AG844" s="108" t="s">
        <v>2596</v>
      </c>
      <c r="AH844" t="s">
        <v>2596</v>
      </c>
    </row>
    <row r="845" spans="1:34" x14ac:dyDescent="0.25">
      <c r="A845" s="111" t="str">
        <f>HYPERLINK("http://www.ofsted.gov.uk/inspection-reports/find-inspection-report/provider/ELS/140354 ","Ofsted School Webpage")</f>
        <v>Ofsted School Webpage</v>
      </c>
      <c r="B845">
        <v>140354</v>
      </c>
      <c r="C845">
        <v>9376008</v>
      </c>
      <c r="D845" t="s">
        <v>1350</v>
      </c>
      <c r="E845" t="s">
        <v>37</v>
      </c>
      <c r="F845" t="s">
        <v>142</v>
      </c>
      <c r="G845" t="s">
        <v>142</v>
      </c>
      <c r="H845" t="s">
        <v>2595</v>
      </c>
      <c r="I845" t="s">
        <v>2596</v>
      </c>
      <c r="J845" t="s">
        <v>143</v>
      </c>
      <c r="K845" t="s">
        <v>150</v>
      </c>
      <c r="L845" t="s">
        <v>150</v>
      </c>
      <c r="M845" t="s">
        <v>333</v>
      </c>
      <c r="N845" t="s">
        <v>1351</v>
      </c>
      <c r="O845">
        <v>10038848</v>
      </c>
      <c r="P845" s="108">
        <v>43131</v>
      </c>
      <c r="Q845" s="108">
        <v>43133</v>
      </c>
      <c r="R845" s="108">
        <v>43188</v>
      </c>
      <c r="S845" t="s">
        <v>153</v>
      </c>
      <c r="T845">
        <v>4</v>
      </c>
      <c r="U845" t="s">
        <v>124</v>
      </c>
      <c r="V845">
        <v>4</v>
      </c>
      <c r="W845">
        <v>4</v>
      </c>
      <c r="X845">
        <v>2</v>
      </c>
      <c r="Y845">
        <f>VLOOKUP(Table_clu7sql1_ssdb_REPORT_vw_IE_External_MI_SON[[#This Row],[URN]],[1]Data!$D$2:$BB$1084,31,)</f>
        <v>2</v>
      </c>
      <c r="Z845" t="s">
        <v>2596</v>
      </c>
      <c r="AA845" t="s">
        <v>2596</v>
      </c>
      <c r="AB845" t="s">
        <v>2599</v>
      </c>
      <c r="AC845" t="s">
        <v>2596</v>
      </c>
      <c r="AD845" t="s">
        <v>2596</v>
      </c>
      <c r="AE845" s="108" t="s">
        <v>2596</v>
      </c>
      <c r="AF845" t="s">
        <v>2596</v>
      </c>
      <c r="AG845" s="108" t="s">
        <v>2596</v>
      </c>
      <c r="AH845" t="s">
        <v>2596</v>
      </c>
    </row>
    <row r="846" spans="1:34" x14ac:dyDescent="0.25">
      <c r="A846" s="111" t="str">
        <f>HYPERLINK("http://www.ofsted.gov.uk/inspection-reports/find-inspection-report/provider/ELS/140382 ","Ofsted School Webpage")</f>
        <v>Ofsted School Webpage</v>
      </c>
      <c r="B846">
        <v>140382</v>
      </c>
      <c r="C846">
        <v>3306016</v>
      </c>
      <c r="D846" t="s">
        <v>613</v>
      </c>
      <c r="E846" t="s">
        <v>36</v>
      </c>
      <c r="F846" t="s">
        <v>142</v>
      </c>
      <c r="G846" t="s">
        <v>180</v>
      </c>
      <c r="H846" t="s">
        <v>2595</v>
      </c>
      <c r="I846" t="s">
        <v>2596</v>
      </c>
      <c r="J846" t="s">
        <v>143</v>
      </c>
      <c r="K846" t="s">
        <v>150</v>
      </c>
      <c r="L846" t="s">
        <v>150</v>
      </c>
      <c r="M846" t="s">
        <v>167</v>
      </c>
      <c r="N846" t="s">
        <v>614</v>
      </c>
      <c r="O846" t="s">
        <v>615</v>
      </c>
      <c r="P846" s="108">
        <v>41905</v>
      </c>
      <c r="Q846" s="108">
        <v>41907</v>
      </c>
      <c r="R846" s="108">
        <v>41927</v>
      </c>
      <c r="S846" t="s">
        <v>206</v>
      </c>
      <c r="T846">
        <v>3</v>
      </c>
      <c r="U846" t="s">
        <v>2596</v>
      </c>
      <c r="V846">
        <v>3</v>
      </c>
      <c r="W846" t="s">
        <v>2596</v>
      </c>
      <c r="X846">
        <v>3</v>
      </c>
      <c r="Y846">
        <f>VLOOKUP(Table_clu7sql1_ssdb_REPORT_vw_IE_External_MI_SON[[#This Row],[URN]],[1]Data!$D$2:$BB$1084,31,)</f>
        <v>3</v>
      </c>
      <c r="Z846" t="s">
        <v>2596</v>
      </c>
      <c r="AA846" t="s">
        <v>2596</v>
      </c>
      <c r="AB846" t="s">
        <v>2599</v>
      </c>
      <c r="AC846">
        <v>10026657</v>
      </c>
      <c r="AD846" t="s">
        <v>144</v>
      </c>
      <c r="AE846" s="108">
        <v>42796</v>
      </c>
      <c r="AF846" t="s">
        <v>2634</v>
      </c>
      <c r="AG846" s="108">
        <v>42824</v>
      </c>
      <c r="AH846" t="s">
        <v>146</v>
      </c>
    </row>
    <row r="847" spans="1:34" x14ac:dyDescent="0.25">
      <c r="A847" s="111" t="str">
        <f>HYPERLINK("http://www.ofsted.gov.uk/inspection-reports/find-inspection-report/provider/ELS/140421 ","Ofsted School Webpage")</f>
        <v>Ofsted School Webpage</v>
      </c>
      <c r="B847">
        <v>140421</v>
      </c>
      <c r="C847">
        <v>3156005</v>
      </c>
      <c r="D847" t="s">
        <v>1316</v>
      </c>
      <c r="E847" t="s">
        <v>37</v>
      </c>
      <c r="F847" t="s">
        <v>142</v>
      </c>
      <c r="G847" t="s">
        <v>142</v>
      </c>
      <c r="H847" t="s">
        <v>2595</v>
      </c>
      <c r="I847" t="s">
        <v>2596</v>
      </c>
      <c r="J847" t="s">
        <v>143</v>
      </c>
      <c r="K847" t="s">
        <v>189</v>
      </c>
      <c r="L847" t="s">
        <v>189</v>
      </c>
      <c r="M847" t="s">
        <v>193</v>
      </c>
      <c r="N847" t="s">
        <v>1317</v>
      </c>
      <c r="O847">
        <v>10038177</v>
      </c>
      <c r="P847" s="108">
        <v>43060</v>
      </c>
      <c r="Q847" s="108">
        <v>43062</v>
      </c>
      <c r="R847" s="108">
        <v>43110</v>
      </c>
      <c r="S847" t="s">
        <v>153</v>
      </c>
      <c r="T847">
        <v>3</v>
      </c>
      <c r="U847" t="s">
        <v>123</v>
      </c>
      <c r="V847">
        <v>3</v>
      </c>
      <c r="W847">
        <v>3</v>
      </c>
      <c r="X847">
        <v>3</v>
      </c>
      <c r="Y847">
        <f>VLOOKUP(Table_clu7sql1_ssdb_REPORT_vw_IE_External_MI_SON[[#This Row],[URN]],[1]Data!$D$2:$BB$1084,31,)</f>
        <v>3</v>
      </c>
      <c r="Z847" t="s">
        <v>2596</v>
      </c>
      <c r="AA847" t="s">
        <v>2596</v>
      </c>
      <c r="AB847" t="s">
        <v>2598</v>
      </c>
      <c r="AC847" t="s">
        <v>2596</v>
      </c>
      <c r="AD847" t="s">
        <v>2596</v>
      </c>
      <c r="AE847" t="s">
        <v>2596</v>
      </c>
      <c r="AF847" t="s">
        <v>2596</v>
      </c>
      <c r="AG847" t="s">
        <v>2596</v>
      </c>
      <c r="AH847" t="s">
        <v>2596</v>
      </c>
    </row>
    <row r="848" spans="1:34" x14ac:dyDescent="0.25">
      <c r="A848" s="111" t="str">
        <f>HYPERLINK("http://www.ofsted.gov.uk/inspection-reports/find-inspection-report/provider/ELS/140479 ","Ofsted School Webpage")</f>
        <v>Ofsted School Webpage</v>
      </c>
      <c r="B848">
        <v>140479</v>
      </c>
      <c r="C848">
        <v>3736004</v>
      </c>
      <c r="D848" t="s">
        <v>616</v>
      </c>
      <c r="E848" t="s">
        <v>36</v>
      </c>
      <c r="F848" t="s">
        <v>142</v>
      </c>
      <c r="G848" t="s">
        <v>180</v>
      </c>
      <c r="H848" t="s">
        <v>2595</v>
      </c>
      <c r="I848" t="s">
        <v>2596</v>
      </c>
      <c r="J848" t="s">
        <v>143</v>
      </c>
      <c r="K848" t="s">
        <v>202</v>
      </c>
      <c r="L848" t="s">
        <v>203</v>
      </c>
      <c r="M848" t="s">
        <v>617</v>
      </c>
      <c r="N848" t="s">
        <v>618</v>
      </c>
      <c r="O848" t="s">
        <v>619</v>
      </c>
      <c r="P848" s="108">
        <v>41975</v>
      </c>
      <c r="Q848" s="108">
        <v>41977</v>
      </c>
      <c r="R848" s="108">
        <v>42018</v>
      </c>
      <c r="S848" t="s">
        <v>206</v>
      </c>
      <c r="T848">
        <v>2</v>
      </c>
      <c r="U848" t="s">
        <v>2596</v>
      </c>
      <c r="V848">
        <v>2</v>
      </c>
      <c r="W848" t="s">
        <v>2596</v>
      </c>
      <c r="X848">
        <v>2</v>
      </c>
      <c r="Y848">
        <f>VLOOKUP(Table_clu7sql1_ssdb_REPORT_vw_IE_External_MI_SON[[#This Row],[URN]],[1]Data!$D$2:$BB$1084,31,)</f>
        <v>2</v>
      </c>
      <c r="Z848">
        <v>2</v>
      </c>
      <c r="AA848">
        <v>9</v>
      </c>
      <c r="AB848" t="s">
        <v>2598</v>
      </c>
      <c r="AC848" t="s">
        <v>2596</v>
      </c>
      <c r="AD848" t="s">
        <v>2596</v>
      </c>
      <c r="AE848" s="108" t="s">
        <v>2596</v>
      </c>
      <c r="AF848" t="s">
        <v>2596</v>
      </c>
      <c r="AG848" s="108" t="s">
        <v>2596</v>
      </c>
      <c r="AH848" t="s">
        <v>2596</v>
      </c>
    </row>
    <row r="849" spans="1:34" x14ac:dyDescent="0.25">
      <c r="A849" s="111" t="str">
        <f>HYPERLINK("http://www.ofsted.gov.uk/inspection-reports/find-inspection-report/provider/ELS/140486 ","Ofsted School Webpage")</f>
        <v>Ofsted School Webpage</v>
      </c>
      <c r="B849">
        <v>140486</v>
      </c>
      <c r="C849">
        <v>3516003</v>
      </c>
      <c r="D849" t="s">
        <v>1822</v>
      </c>
      <c r="E849" t="s">
        <v>37</v>
      </c>
      <c r="F849" t="s">
        <v>142</v>
      </c>
      <c r="G849" t="s">
        <v>142</v>
      </c>
      <c r="H849" t="s">
        <v>2595</v>
      </c>
      <c r="I849" t="s">
        <v>2596</v>
      </c>
      <c r="J849" t="s">
        <v>143</v>
      </c>
      <c r="K849" t="s">
        <v>162</v>
      </c>
      <c r="L849" t="s">
        <v>162</v>
      </c>
      <c r="M849" t="s">
        <v>409</v>
      </c>
      <c r="N849" t="s">
        <v>1823</v>
      </c>
      <c r="O849">
        <v>10038936</v>
      </c>
      <c r="P849" s="108">
        <v>43053</v>
      </c>
      <c r="Q849" s="108">
        <v>43055</v>
      </c>
      <c r="R849" s="108">
        <v>43077</v>
      </c>
      <c r="S849" t="s">
        <v>153</v>
      </c>
      <c r="T849">
        <v>2</v>
      </c>
      <c r="U849" t="s">
        <v>123</v>
      </c>
      <c r="V849">
        <v>2</v>
      </c>
      <c r="W849">
        <v>2</v>
      </c>
      <c r="X849">
        <v>2</v>
      </c>
      <c r="Y849">
        <f>VLOOKUP(Table_clu7sql1_ssdb_REPORT_vw_IE_External_MI_SON[[#This Row],[URN]],[1]Data!$D$2:$BB$1084,31,)</f>
        <v>2</v>
      </c>
      <c r="Z849" t="s">
        <v>2596</v>
      </c>
      <c r="AA849" t="s">
        <v>2596</v>
      </c>
      <c r="AB849" t="s">
        <v>2598</v>
      </c>
      <c r="AC849" t="s">
        <v>2596</v>
      </c>
      <c r="AD849" t="s">
        <v>2596</v>
      </c>
      <c r="AE849" t="s">
        <v>2596</v>
      </c>
      <c r="AF849" t="s">
        <v>2596</v>
      </c>
      <c r="AG849" t="s">
        <v>2596</v>
      </c>
      <c r="AH849" t="s">
        <v>2596</v>
      </c>
    </row>
    <row r="850" spans="1:34" x14ac:dyDescent="0.25">
      <c r="A850" s="111" t="str">
        <f>HYPERLINK("http://www.ofsted.gov.uk/inspection-reports/find-inspection-report/provider/ELS/140487 ","Ofsted School Webpage")</f>
        <v>Ofsted School Webpage</v>
      </c>
      <c r="B850">
        <v>140487</v>
      </c>
      <c r="C850">
        <v>8926017</v>
      </c>
      <c r="D850" t="s">
        <v>1725</v>
      </c>
      <c r="E850" t="s">
        <v>36</v>
      </c>
      <c r="F850" t="s">
        <v>142</v>
      </c>
      <c r="G850" t="s">
        <v>142</v>
      </c>
      <c r="H850" t="s">
        <v>2595</v>
      </c>
      <c r="I850" t="s">
        <v>2596</v>
      </c>
      <c r="J850" t="s">
        <v>143</v>
      </c>
      <c r="K850" t="s">
        <v>171</v>
      </c>
      <c r="L850" t="s">
        <v>171</v>
      </c>
      <c r="M850" t="s">
        <v>244</v>
      </c>
      <c r="N850" t="s">
        <v>1726</v>
      </c>
      <c r="O850" t="s">
        <v>1727</v>
      </c>
      <c r="P850" s="108">
        <v>41961</v>
      </c>
      <c r="Q850" s="108">
        <v>41963</v>
      </c>
      <c r="R850" s="108">
        <v>41983</v>
      </c>
      <c r="S850" t="s">
        <v>206</v>
      </c>
      <c r="T850">
        <v>2</v>
      </c>
      <c r="U850" t="s">
        <v>2596</v>
      </c>
      <c r="V850">
        <v>2</v>
      </c>
      <c r="W850" t="s">
        <v>2596</v>
      </c>
      <c r="X850">
        <v>2</v>
      </c>
      <c r="Y850">
        <f>VLOOKUP(Table_clu7sql1_ssdb_REPORT_vw_IE_External_MI_SON[[#This Row],[URN]],[1]Data!$D$2:$BB$1084,31,)</f>
        <v>2</v>
      </c>
      <c r="Z850">
        <v>9</v>
      </c>
      <c r="AA850">
        <v>2</v>
      </c>
      <c r="AB850" t="s">
        <v>2598</v>
      </c>
      <c r="AC850" t="s">
        <v>2596</v>
      </c>
      <c r="AD850" t="s">
        <v>2596</v>
      </c>
      <c r="AE850" t="s">
        <v>2596</v>
      </c>
      <c r="AF850" t="s">
        <v>2596</v>
      </c>
      <c r="AG850" t="s">
        <v>2596</v>
      </c>
      <c r="AH850" t="s">
        <v>2596</v>
      </c>
    </row>
    <row r="851" spans="1:34" x14ac:dyDescent="0.25">
      <c r="A851" s="111" t="str">
        <f>HYPERLINK("http://www.ofsted.gov.uk/inspection-reports/find-inspection-report/provider/ELS/140491 ","Ofsted School Webpage")</f>
        <v>Ofsted School Webpage</v>
      </c>
      <c r="B851">
        <v>140491</v>
      </c>
      <c r="C851">
        <v>3556001</v>
      </c>
      <c r="D851" t="s">
        <v>1468</v>
      </c>
      <c r="E851" t="s">
        <v>36</v>
      </c>
      <c r="F851" t="s">
        <v>142</v>
      </c>
      <c r="G851" t="s">
        <v>275</v>
      </c>
      <c r="H851" t="s">
        <v>2595</v>
      </c>
      <c r="I851" t="s">
        <v>2596</v>
      </c>
      <c r="J851" t="s">
        <v>143</v>
      </c>
      <c r="K851" t="s">
        <v>162</v>
      </c>
      <c r="L851" t="s">
        <v>162</v>
      </c>
      <c r="M851" t="s">
        <v>804</v>
      </c>
      <c r="N851" t="s">
        <v>1469</v>
      </c>
      <c r="O851">
        <v>10026019</v>
      </c>
      <c r="P851" s="108">
        <v>42780</v>
      </c>
      <c r="Q851" s="108">
        <v>42782</v>
      </c>
      <c r="R851" s="108">
        <v>42817</v>
      </c>
      <c r="S851" t="s">
        <v>153</v>
      </c>
      <c r="T851">
        <v>4</v>
      </c>
      <c r="U851" t="s">
        <v>123</v>
      </c>
      <c r="V851">
        <v>4</v>
      </c>
      <c r="W851">
        <v>2</v>
      </c>
      <c r="X851">
        <v>4</v>
      </c>
      <c r="Y851">
        <f>VLOOKUP(Table_clu7sql1_ssdb_REPORT_vw_IE_External_MI_SON[[#This Row],[URN]],[1]Data!$D$2:$BB$1084,31,)</f>
        <v>4</v>
      </c>
      <c r="Z851">
        <v>4</v>
      </c>
      <c r="AA851" t="s">
        <v>2596</v>
      </c>
      <c r="AB851" t="s">
        <v>2599</v>
      </c>
      <c r="AC851">
        <v>10041267</v>
      </c>
      <c r="AD851" t="s">
        <v>144</v>
      </c>
      <c r="AE851" s="108">
        <v>43076</v>
      </c>
      <c r="AF851" t="s">
        <v>2636</v>
      </c>
      <c r="AG851" s="108">
        <v>43115</v>
      </c>
      <c r="AH851" t="s">
        <v>146</v>
      </c>
    </row>
    <row r="852" spans="1:34" x14ac:dyDescent="0.25">
      <c r="A852" s="111" t="str">
        <f>HYPERLINK("http://www.ofsted.gov.uk/inspection-reports/find-inspection-report/provider/ELS/140492 ","Ofsted School Webpage")</f>
        <v>Ofsted School Webpage</v>
      </c>
      <c r="B852">
        <v>140492</v>
      </c>
      <c r="C852">
        <v>3026007</v>
      </c>
      <c r="D852" t="s">
        <v>1789</v>
      </c>
      <c r="E852" t="s">
        <v>36</v>
      </c>
      <c r="F852" t="s">
        <v>142</v>
      </c>
      <c r="G852" t="s">
        <v>275</v>
      </c>
      <c r="H852" t="s">
        <v>2595</v>
      </c>
      <c r="I852" t="s">
        <v>2596</v>
      </c>
      <c r="J852" t="s">
        <v>143</v>
      </c>
      <c r="K852" t="s">
        <v>189</v>
      </c>
      <c r="L852" t="s">
        <v>189</v>
      </c>
      <c r="M852" t="s">
        <v>268</v>
      </c>
      <c r="N852" t="s">
        <v>1790</v>
      </c>
      <c r="O852" t="s">
        <v>1791</v>
      </c>
      <c r="P852" s="108">
        <v>41975</v>
      </c>
      <c r="Q852" s="108">
        <v>41977</v>
      </c>
      <c r="R852" s="108">
        <v>42053</v>
      </c>
      <c r="S852" t="s">
        <v>206</v>
      </c>
      <c r="T852">
        <v>3</v>
      </c>
      <c r="U852" t="s">
        <v>2596</v>
      </c>
      <c r="V852">
        <v>3</v>
      </c>
      <c r="W852" t="s">
        <v>2596</v>
      </c>
      <c r="X852">
        <v>2</v>
      </c>
      <c r="Y852">
        <f>VLOOKUP(Table_clu7sql1_ssdb_REPORT_vw_IE_External_MI_SON[[#This Row],[URN]],[1]Data!$D$2:$BB$1084,31,)</f>
        <v>2</v>
      </c>
      <c r="Z852">
        <v>9</v>
      </c>
      <c r="AA852">
        <v>9</v>
      </c>
      <c r="AB852" t="s">
        <v>2599</v>
      </c>
      <c r="AC852" t="s">
        <v>2596</v>
      </c>
      <c r="AD852" t="s">
        <v>2596</v>
      </c>
      <c r="AE852" t="s">
        <v>2596</v>
      </c>
      <c r="AF852" t="s">
        <v>2596</v>
      </c>
      <c r="AG852" t="s">
        <v>2596</v>
      </c>
      <c r="AH852" t="s">
        <v>2596</v>
      </c>
    </row>
    <row r="853" spans="1:34" x14ac:dyDescent="0.25">
      <c r="A853" s="111" t="str">
        <f>HYPERLINK("http://www.ofsted.gov.uk/inspection-reports/find-inspection-report/provider/ELS/140496 ","Ofsted School Webpage")</f>
        <v>Ofsted School Webpage</v>
      </c>
      <c r="B853">
        <v>140496</v>
      </c>
      <c r="C853">
        <v>3156006</v>
      </c>
      <c r="D853" t="s">
        <v>1465</v>
      </c>
      <c r="E853" t="s">
        <v>36</v>
      </c>
      <c r="F853" t="s">
        <v>142</v>
      </c>
      <c r="G853" t="s">
        <v>142</v>
      </c>
      <c r="H853" t="s">
        <v>2595</v>
      </c>
      <c r="I853" t="s">
        <v>2596</v>
      </c>
      <c r="J853" t="s">
        <v>143</v>
      </c>
      <c r="K853" t="s">
        <v>189</v>
      </c>
      <c r="L853" t="s">
        <v>189</v>
      </c>
      <c r="M853" t="s">
        <v>193</v>
      </c>
      <c r="N853" t="s">
        <v>1466</v>
      </c>
      <c r="O853" t="s">
        <v>1467</v>
      </c>
      <c r="P853" s="108">
        <v>41962</v>
      </c>
      <c r="Q853" s="108">
        <v>41964</v>
      </c>
      <c r="R853" s="108">
        <v>41984</v>
      </c>
      <c r="S853" t="s">
        <v>206</v>
      </c>
      <c r="T853">
        <v>2</v>
      </c>
      <c r="U853" t="s">
        <v>2596</v>
      </c>
      <c r="V853">
        <v>2</v>
      </c>
      <c r="W853" t="s">
        <v>2596</v>
      </c>
      <c r="X853">
        <v>2</v>
      </c>
      <c r="Y853">
        <f>VLOOKUP(Table_clu7sql1_ssdb_REPORT_vw_IE_External_MI_SON[[#This Row],[URN]],[1]Data!$D$2:$BB$1084,31,)</f>
        <v>2</v>
      </c>
      <c r="Z853">
        <v>9</v>
      </c>
      <c r="AA853">
        <v>9</v>
      </c>
      <c r="AB853" t="s">
        <v>2598</v>
      </c>
      <c r="AC853" t="s">
        <v>2596</v>
      </c>
      <c r="AD853" t="s">
        <v>2596</v>
      </c>
      <c r="AE853" s="108" t="s">
        <v>2596</v>
      </c>
      <c r="AF853" t="s">
        <v>2596</v>
      </c>
      <c r="AG853" s="108" t="s">
        <v>2596</v>
      </c>
      <c r="AH853" t="s">
        <v>2596</v>
      </c>
    </row>
    <row r="854" spans="1:34" x14ac:dyDescent="0.25">
      <c r="A854" s="111" t="str">
        <f>HYPERLINK("http://www.ofsted.gov.uk/inspection-reports/find-inspection-report/provider/ELS/140566 ","Ofsted School Webpage")</f>
        <v>Ofsted School Webpage</v>
      </c>
      <c r="B854">
        <v>140566</v>
      </c>
      <c r="C854">
        <v>3806009</v>
      </c>
      <c r="D854" t="s">
        <v>918</v>
      </c>
      <c r="E854" t="s">
        <v>37</v>
      </c>
      <c r="F854" t="s">
        <v>142</v>
      </c>
      <c r="G854" t="s">
        <v>142</v>
      </c>
      <c r="H854" t="s">
        <v>2595</v>
      </c>
      <c r="I854" t="s">
        <v>2596</v>
      </c>
      <c r="J854" t="s">
        <v>143</v>
      </c>
      <c r="K854" t="s">
        <v>202</v>
      </c>
      <c r="L854" t="s">
        <v>203</v>
      </c>
      <c r="M854" t="s">
        <v>295</v>
      </c>
      <c r="N854" t="s">
        <v>919</v>
      </c>
      <c r="O854">
        <v>10043658</v>
      </c>
      <c r="P854" s="108">
        <v>43130</v>
      </c>
      <c r="Q854" s="108">
        <v>43132</v>
      </c>
      <c r="R854" s="108">
        <v>43161</v>
      </c>
      <c r="S854" t="s">
        <v>153</v>
      </c>
      <c r="T854">
        <v>3</v>
      </c>
      <c r="U854" t="s">
        <v>123</v>
      </c>
      <c r="V854">
        <v>3</v>
      </c>
      <c r="W854">
        <v>2</v>
      </c>
      <c r="X854">
        <v>3</v>
      </c>
      <c r="Y854">
        <f>VLOOKUP(Table_clu7sql1_ssdb_REPORT_vw_IE_External_MI_SON[[#This Row],[URN]],[1]Data!$D$2:$BB$1084,31,)</f>
        <v>3</v>
      </c>
      <c r="Z854" t="s">
        <v>2596</v>
      </c>
      <c r="AA854" t="s">
        <v>2596</v>
      </c>
      <c r="AB854" t="s">
        <v>2599</v>
      </c>
      <c r="AC854" t="s">
        <v>2596</v>
      </c>
      <c r="AD854" t="s">
        <v>2596</v>
      </c>
      <c r="AE854" t="s">
        <v>2596</v>
      </c>
      <c r="AF854" t="s">
        <v>2596</v>
      </c>
      <c r="AG854" t="s">
        <v>2596</v>
      </c>
      <c r="AH854" t="s">
        <v>2596</v>
      </c>
    </row>
    <row r="855" spans="1:34" x14ac:dyDescent="0.25">
      <c r="A855" s="111" t="str">
        <f>HYPERLINK("http://www.ofsted.gov.uk/inspection-reports/find-inspection-report/provider/ELS/140603 ","Ofsted School Webpage")</f>
        <v>Ofsted School Webpage</v>
      </c>
      <c r="B855">
        <v>140603</v>
      </c>
      <c r="C855">
        <v>2076009</v>
      </c>
      <c r="D855" t="s">
        <v>2131</v>
      </c>
      <c r="E855" t="s">
        <v>36</v>
      </c>
      <c r="F855" t="s">
        <v>142</v>
      </c>
      <c r="G855" t="s">
        <v>142</v>
      </c>
      <c r="H855" t="s">
        <v>2595</v>
      </c>
      <c r="I855" t="s">
        <v>2596</v>
      </c>
      <c r="J855" t="s">
        <v>143</v>
      </c>
      <c r="K855" t="s">
        <v>189</v>
      </c>
      <c r="L855" t="s">
        <v>189</v>
      </c>
      <c r="M855" t="s">
        <v>251</v>
      </c>
      <c r="N855" t="s">
        <v>2132</v>
      </c>
      <c r="O855" t="s">
        <v>2133</v>
      </c>
      <c r="P855" s="108">
        <v>42046</v>
      </c>
      <c r="Q855" s="108">
        <v>42048</v>
      </c>
      <c r="R855" s="108">
        <v>42082</v>
      </c>
      <c r="S855" t="s">
        <v>206</v>
      </c>
      <c r="T855">
        <v>1</v>
      </c>
      <c r="U855" t="s">
        <v>2596</v>
      </c>
      <c r="V855">
        <v>1</v>
      </c>
      <c r="W855" t="s">
        <v>2596</v>
      </c>
      <c r="X855">
        <v>1</v>
      </c>
      <c r="Y855">
        <f>VLOOKUP(Table_clu7sql1_ssdb_REPORT_vw_IE_External_MI_SON[[#This Row],[URN]],[1]Data!$D$2:$BB$1084,31,)</f>
        <v>1</v>
      </c>
      <c r="Z855">
        <v>9</v>
      </c>
      <c r="AA855">
        <v>1</v>
      </c>
      <c r="AB855" t="s">
        <v>2598</v>
      </c>
      <c r="AC855" t="s">
        <v>2596</v>
      </c>
      <c r="AD855" t="s">
        <v>2596</v>
      </c>
      <c r="AE855" t="s">
        <v>2596</v>
      </c>
      <c r="AF855" t="s">
        <v>2596</v>
      </c>
      <c r="AG855" t="s">
        <v>2596</v>
      </c>
      <c r="AH855" t="s">
        <v>2596</v>
      </c>
    </row>
    <row r="856" spans="1:34" x14ac:dyDescent="0.25">
      <c r="A856" s="111" t="str">
        <f>HYPERLINK("http://www.ofsted.gov.uk/inspection-reports/find-inspection-report/provider/ELS/140615 ","Ofsted School Webpage")</f>
        <v>Ofsted School Webpage</v>
      </c>
      <c r="B856">
        <v>140615</v>
      </c>
      <c r="C856">
        <v>8116013</v>
      </c>
      <c r="D856" t="s">
        <v>1110</v>
      </c>
      <c r="E856" t="s">
        <v>37</v>
      </c>
      <c r="F856" t="s">
        <v>142</v>
      </c>
      <c r="G856" t="s">
        <v>142</v>
      </c>
      <c r="H856" t="s">
        <v>2595</v>
      </c>
      <c r="I856" t="s">
        <v>2596</v>
      </c>
      <c r="J856" t="s">
        <v>143</v>
      </c>
      <c r="K856" t="s">
        <v>202</v>
      </c>
      <c r="L856" t="s">
        <v>203</v>
      </c>
      <c r="M856" t="s">
        <v>657</v>
      </c>
      <c r="N856" t="s">
        <v>960</v>
      </c>
      <c r="O856" t="s">
        <v>1111</v>
      </c>
      <c r="P856" s="108">
        <v>42080</v>
      </c>
      <c r="Q856" s="108">
        <v>42081</v>
      </c>
      <c r="R856" s="108">
        <v>42117</v>
      </c>
      <c r="S856" t="s">
        <v>206</v>
      </c>
      <c r="T856">
        <v>2</v>
      </c>
      <c r="U856" t="s">
        <v>2596</v>
      </c>
      <c r="V856">
        <v>2</v>
      </c>
      <c r="W856" t="s">
        <v>2596</v>
      </c>
      <c r="X856">
        <v>2</v>
      </c>
      <c r="Y856">
        <f>VLOOKUP(Table_clu7sql1_ssdb_REPORT_vw_IE_External_MI_SON[[#This Row],[URN]],[1]Data!$D$2:$BB$1084,31,)</f>
        <v>2</v>
      </c>
      <c r="Z856">
        <v>9</v>
      </c>
      <c r="AA856">
        <v>9</v>
      </c>
      <c r="AB856" t="s">
        <v>2598</v>
      </c>
      <c r="AC856" t="s">
        <v>2596</v>
      </c>
      <c r="AD856" t="s">
        <v>2596</v>
      </c>
      <c r="AE856" t="s">
        <v>2596</v>
      </c>
      <c r="AF856" t="s">
        <v>2596</v>
      </c>
      <c r="AG856" t="s">
        <v>2596</v>
      </c>
      <c r="AH856" t="s">
        <v>2596</v>
      </c>
    </row>
    <row r="857" spans="1:34" x14ac:dyDescent="0.25">
      <c r="A857" s="111" t="str">
        <f>HYPERLINK("http://www.ofsted.gov.uk/inspection-reports/find-inspection-report/provider/ELS/140619 ","Ofsted School Webpage")</f>
        <v>Ofsted School Webpage</v>
      </c>
      <c r="B857">
        <v>140619</v>
      </c>
      <c r="C857">
        <v>8066003</v>
      </c>
      <c r="D857" t="s">
        <v>1032</v>
      </c>
      <c r="E857" t="s">
        <v>37</v>
      </c>
      <c r="F857" t="s">
        <v>142</v>
      </c>
      <c r="G857" t="s">
        <v>142</v>
      </c>
      <c r="H857" t="s">
        <v>2595</v>
      </c>
      <c r="I857" t="s">
        <v>2596</v>
      </c>
      <c r="J857" t="s">
        <v>143</v>
      </c>
      <c r="K857" t="s">
        <v>202</v>
      </c>
      <c r="L857" t="s">
        <v>234</v>
      </c>
      <c r="M857" t="s">
        <v>1033</v>
      </c>
      <c r="N857" t="s">
        <v>1034</v>
      </c>
      <c r="O857">
        <v>10025963</v>
      </c>
      <c r="P857" s="108">
        <v>43046</v>
      </c>
      <c r="Q857" s="108">
        <v>43047</v>
      </c>
      <c r="R857" s="108">
        <v>43076</v>
      </c>
      <c r="S857" t="s">
        <v>153</v>
      </c>
      <c r="T857">
        <v>0</v>
      </c>
      <c r="U857" t="s">
        <v>123</v>
      </c>
      <c r="V857">
        <v>0</v>
      </c>
      <c r="W857">
        <v>0</v>
      </c>
      <c r="X857">
        <v>0</v>
      </c>
      <c r="Y857">
        <f>VLOOKUP(Table_clu7sql1_ssdb_REPORT_vw_IE_External_MI_SON[[#This Row],[URN]],[1]Data!$D$2:$BB$1084,31,)</f>
        <v>0</v>
      </c>
      <c r="Z857" t="s">
        <v>2596</v>
      </c>
      <c r="AA857" t="s">
        <v>2596</v>
      </c>
      <c r="AB857" t="s">
        <v>2599</v>
      </c>
      <c r="AC857" t="s">
        <v>2596</v>
      </c>
      <c r="AD857" t="s">
        <v>2596</v>
      </c>
      <c r="AE857" t="s">
        <v>2596</v>
      </c>
      <c r="AF857" t="s">
        <v>2596</v>
      </c>
      <c r="AG857" t="s">
        <v>2596</v>
      </c>
      <c r="AH857" t="s">
        <v>2596</v>
      </c>
    </row>
    <row r="858" spans="1:34" x14ac:dyDescent="0.25">
      <c r="A858" s="111" t="str">
        <f>HYPERLINK("http://www.ofsted.gov.uk/inspection-reports/find-inspection-report/provider/ELS/140624 ","Ofsted School Webpage")</f>
        <v>Ofsted School Webpage</v>
      </c>
      <c r="B858">
        <v>140624</v>
      </c>
      <c r="C858">
        <v>8516000</v>
      </c>
      <c r="D858" t="s">
        <v>2214</v>
      </c>
      <c r="E858" t="s">
        <v>36</v>
      </c>
      <c r="F858" t="s">
        <v>142</v>
      </c>
      <c r="G858" t="s">
        <v>180</v>
      </c>
      <c r="H858" t="s">
        <v>2595</v>
      </c>
      <c r="I858" t="s">
        <v>2596</v>
      </c>
      <c r="J858" t="s">
        <v>143</v>
      </c>
      <c r="K858" t="s">
        <v>139</v>
      </c>
      <c r="L858" t="s">
        <v>139</v>
      </c>
      <c r="M858" t="s">
        <v>2215</v>
      </c>
      <c r="N858" t="s">
        <v>2216</v>
      </c>
      <c r="O858">
        <v>10025993</v>
      </c>
      <c r="P858" s="108">
        <v>42920</v>
      </c>
      <c r="Q858" s="108">
        <v>42922</v>
      </c>
      <c r="R858" s="108">
        <v>42996</v>
      </c>
      <c r="S858" t="s">
        <v>153</v>
      </c>
      <c r="T858">
        <v>3</v>
      </c>
      <c r="U858" t="s">
        <v>123</v>
      </c>
      <c r="V858">
        <v>3</v>
      </c>
      <c r="W858">
        <v>2</v>
      </c>
      <c r="X858">
        <v>3</v>
      </c>
      <c r="Y858">
        <f>VLOOKUP(Table_clu7sql1_ssdb_REPORT_vw_IE_External_MI_SON[[#This Row],[URN]],[1]Data!$D$2:$BB$1084,31,)</f>
        <v>3</v>
      </c>
      <c r="Z858" t="s">
        <v>2596</v>
      </c>
      <c r="AA858" t="s">
        <v>2596</v>
      </c>
      <c r="AB858" t="s">
        <v>2598</v>
      </c>
      <c r="AC858" t="s">
        <v>2596</v>
      </c>
      <c r="AD858" t="s">
        <v>2596</v>
      </c>
      <c r="AE858" t="s">
        <v>2596</v>
      </c>
      <c r="AF858" t="s">
        <v>2596</v>
      </c>
      <c r="AG858" t="s">
        <v>2596</v>
      </c>
      <c r="AH858" t="s">
        <v>2596</v>
      </c>
    </row>
    <row r="859" spans="1:34" x14ac:dyDescent="0.25">
      <c r="A859" s="111" t="str">
        <f>HYPERLINK("http://www.ofsted.gov.uk/inspection-reports/find-inspection-report/provider/ELS/140655 ","Ofsted School Webpage")</f>
        <v>Ofsted School Webpage</v>
      </c>
      <c r="B859">
        <v>140655</v>
      </c>
      <c r="C859">
        <v>9196053</v>
      </c>
      <c r="D859" t="s">
        <v>592</v>
      </c>
      <c r="E859" t="s">
        <v>37</v>
      </c>
      <c r="F859" t="s">
        <v>142</v>
      </c>
      <c r="G859" t="s">
        <v>142</v>
      </c>
      <c r="H859" t="s">
        <v>2595</v>
      </c>
      <c r="I859" t="s">
        <v>2596</v>
      </c>
      <c r="J859" t="s">
        <v>143</v>
      </c>
      <c r="K859" t="s">
        <v>177</v>
      </c>
      <c r="L859" t="s">
        <v>177</v>
      </c>
      <c r="M859" t="s">
        <v>773</v>
      </c>
      <c r="N859" t="s">
        <v>593</v>
      </c>
      <c r="O859" t="s">
        <v>594</v>
      </c>
      <c r="P859" s="108">
        <v>42059</v>
      </c>
      <c r="Q859" s="108">
        <v>42061</v>
      </c>
      <c r="R859" s="108">
        <v>42109</v>
      </c>
      <c r="S859" t="s">
        <v>206</v>
      </c>
      <c r="T859">
        <v>2</v>
      </c>
      <c r="U859" t="s">
        <v>2596</v>
      </c>
      <c r="V859">
        <v>2</v>
      </c>
      <c r="W859" t="s">
        <v>2596</v>
      </c>
      <c r="X859">
        <v>2</v>
      </c>
      <c r="Y859">
        <f>VLOOKUP(Table_clu7sql1_ssdb_REPORT_vw_IE_External_MI_SON[[#This Row],[URN]],[1]Data!$D$2:$BB$1084,31,)</f>
        <v>2</v>
      </c>
      <c r="Z859">
        <v>9</v>
      </c>
      <c r="AA859">
        <v>9</v>
      </c>
      <c r="AB859" t="s">
        <v>2598</v>
      </c>
      <c r="AC859" t="s">
        <v>2596</v>
      </c>
      <c r="AD859" t="s">
        <v>2596</v>
      </c>
      <c r="AE859" s="108" t="s">
        <v>2596</v>
      </c>
      <c r="AF859" t="s">
        <v>2596</v>
      </c>
      <c r="AG859" s="108" t="s">
        <v>2596</v>
      </c>
      <c r="AH859" t="s">
        <v>2596</v>
      </c>
    </row>
    <row r="860" spans="1:34" x14ac:dyDescent="0.25">
      <c r="A860" s="111" t="str">
        <f>HYPERLINK("http://www.ofsted.gov.uk/inspection-reports/find-inspection-report/provider/ELS/140814 ","Ofsted School Webpage")</f>
        <v>Ofsted School Webpage</v>
      </c>
      <c r="B860">
        <v>140814</v>
      </c>
      <c r="C860">
        <v>3576004</v>
      </c>
      <c r="D860" t="s">
        <v>807</v>
      </c>
      <c r="E860" t="s">
        <v>37</v>
      </c>
      <c r="F860" t="s">
        <v>142</v>
      </c>
      <c r="G860" t="s">
        <v>142</v>
      </c>
      <c r="H860" t="s">
        <v>2595</v>
      </c>
      <c r="I860" t="s">
        <v>2596</v>
      </c>
      <c r="J860" t="s">
        <v>143</v>
      </c>
      <c r="K860" t="s">
        <v>162</v>
      </c>
      <c r="L860" t="s">
        <v>162</v>
      </c>
      <c r="M860" t="s">
        <v>808</v>
      </c>
      <c r="N860" t="s">
        <v>809</v>
      </c>
      <c r="O860">
        <v>10043785</v>
      </c>
      <c r="P860" s="108">
        <v>43081</v>
      </c>
      <c r="Q860" s="108">
        <v>43083</v>
      </c>
      <c r="R860" s="108">
        <v>43130</v>
      </c>
      <c r="S860" t="s">
        <v>153</v>
      </c>
      <c r="T860">
        <v>2</v>
      </c>
      <c r="U860" t="s">
        <v>123</v>
      </c>
      <c r="V860">
        <v>2</v>
      </c>
      <c r="W860">
        <v>2</v>
      </c>
      <c r="X860">
        <v>2</v>
      </c>
      <c r="Y860">
        <f>VLOOKUP(Table_clu7sql1_ssdb_REPORT_vw_IE_External_MI_SON[[#This Row],[URN]],[1]Data!$D$2:$BB$1084,31,)</f>
        <v>2</v>
      </c>
      <c r="Z860" t="s">
        <v>2596</v>
      </c>
      <c r="AA860" t="s">
        <v>2596</v>
      </c>
      <c r="AB860" t="s">
        <v>2598</v>
      </c>
      <c r="AC860" t="s">
        <v>2596</v>
      </c>
      <c r="AD860" t="s">
        <v>2596</v>
      </c>
      <c r="AE860" t="s">
        <v>2596</v>
      </c>
      <c r="AF860" t="s">
        <v>2596</v>
      </c>
      <c r="AG860" t="s">
        <v>2596</v>
      </c>
      <c r="AH860" t="s">
        <v>2596</v>
      </c>
    </row>
    <row r="861" spans="1:34" x14ac:dyDescent="0.25">
      <c r="A861" s="111" t="str">
        <f>HYPERLINK("http://www.ofsted.gov.uk/inspection-reports/find-inspection-report/provider/ELS/140816 ","Ofsted School Webpage")</f>
        <v>Ofsted School Webpage</v>
      </c>
      <c r="B861">
        <v>140816</v>
      </c>
      <c r="C861">
        <v>3716001</v>
      </c>
      <c r="D861" t="s">
        <v>1346</v>
      </c>
      <c r="E861" t="s">
        <v>37</v>
      </c>
      <c r="F861" t="s">
        <v>142</v>
      </c>
      <c r="G861" t="s">
        <v>142</v>
      </c>
      <c r="H861" t="s">
        <v>2595</v>
      </c>
      <c r="I861" t="s">
        <v>2596</v>
      </c>
      <c r="J861" t="s">
        <v>143</v>
      </c>
      <c r="K861" t="s">
        <v>202</v>
      </c>
      <c r="L861" t="s">
        <v>203</v>
      </c>
      <c r="M861" t="s">
        <v>1096</v>
      </c>
      <c r="N861" t="s">
        <v>1347</v>
      </c>
      <c r="O861">
        <v>10040146</v>
      </c>
      <c r="P861" s="108">
        <v>43081</v>
      </c>
      <c r="Q861" s="108">
        <v>43083</v>
      </c>
      <c r="R861" s="108">
        <v>43115</v>
      </c>
      <c r="S861" t="s">
        <v>153</v>
      </c>
      <c r="T861">
        <v>2</v>
      </c>
      <c r="U861" t="s">
        <v>123</v>
      </c>
      <c r="V861">
        <v>2</v>
      </c>
      <c r="W861">
        <v>2</v>
      </c>
      <c r="X861">
        <v>2</v>
      </c>
      <c r="Y861">
        <f>VLOOKUP(Table_clu7sql1_ssdb_REPORT_vw_IE_External_MI_SON[[#This Row],[URN]],[1]Data!$D$2:$BB$1084,31,)</f>
        <v>2</v>
      </c>
      <c r="Z861" t="s">
        <v>2596</v>
      </c>
      <c r="AA861" t="s">
        <v>2596</v>
      </c>
      <c r="AB861" t="s">
        <v>2598</v>
      </c>
      <c r="AC861" t="s">
        <v>2596</v>
      </c>
      <c r="AD861" t="s">
        <v>2596</v>
      </c>
      <c r="AE861" t="s">
        <v>2596</v>
      </c>
      <c r="AF861" t="s">
        <v>2596</v>
      </c>
      <c r="AG861" t="s">
        <v>2596</v>
      </c>
      <c r="AH861" t="s">
        <v>2596</v>
      </c>
    </row>
    <row r="862" spans="1:34" x14ac:dyDescent="0.25">
      <c r="A862" s="111" t="str">
        <f>HYPERLINK("http://www.ofsted.gov.uk/inspection-reports/find-inspection-report/provider/ELS/140942 ","Ofsted School Webpage")</f>
        <v>Ofsted School Webpage</v>
      </c>
      <c r="B862">
        <v>140942</v>
      </c>
      <c r="C862">
        <v>9086003</v>
      </c>
      <c r="D862" t="s">
        <v>991</v>
      </c>
      <c r="E862" t="s">
        <v>37</v>
      </c>
      <c r="F862" t="s">
        <v>142</v>
      </c>
      <c r="G862" t="s">
        <v>142</v>
      </c>
      <c r="H862" t="s">
        <v>2595</v>
      </c>
      <c r="I862" t="s">
        <v>2596</v>
      </c>
      <c r="J862" t="s">
        <v>143</v>
      </c>
      <c r="K862" t="s">
        <v>182</v>
      </c>
      <c r="L862" t="s">
        <v>182</v>
      </c>
      <c r="M862" t="s">
        <v>992</v>
      </c>
      <c r="N862" t="s">
        <v>993</v>
      </c>
      <c r="O862" t="s">
        <v>994</v>
      </c>
      <c r="P862" s="108">
        <v>42080</v>
      </c>
      <c r="Q862" s="108">
        <v>42082</v>
      </c>
      <c r="R862" s="108">
        <v>42144</v>
      </c>
      <c r="S862" t="s">
        <v>206</v>
      </c>
      <c r="T862">
        <v>2</v>
      </c>
      <c r="U862" t="s">
        <v>2596</v>
      </c>
      <c r="V862">
        <v>2</v>
      </c>
      <c r="W862" t="s">
        <v>2596</v>
      </c>
      <c r="X862">
        <v>2</v>
      </c>
      <c r="Y862">
        <f>VLOOKUP(Table_clu7sql1_ssdb_REPORT_vw_IE_External_MI_SON[[#This Row],[URN]],[1]Data!$D$2:$BB$1084,31,)</f>
        <v>2</v>
      </c>
      <c r="Z862">
        <v>9</v>
      </c>
      <c r="AA862">
        <v>9</v>
      </c>
      <c r="AB862" t="s">
        <v>2598</v>
      </c>
      <c r="AC862" t="s">
        <v>2596</v>
      </c>
      <c r="AD862" t="s">
        <v>2596</v>
      </c>
      <c r="AE862" t="s">
        <v>2596</v>
      </c>
      <c r="AF862" t="s">
        <v>2596</v>
      </c>
      <c r="AG862" t="s">
        <v>2596</v>
      </c>
      <c r="AH862" t="s">
        <v>2596</v>
      </c>
    </row>
    <row r="863" spans="1:34" x14ac:dyDescent="0.25">
      <c r="A863" s="111" t="str">
        <f>HYPERLINK("http://www.ofsted.gov.uk/inspection-reports/find-inspection-report/provider/ELS/140960 ","Ofsted School Webpage")</f>
        <v>Ofsted School Webpage</v>
      </c>
      <c r="B863">
        <v>140960</v>
      </c>
      <c r="C863">
        <v>8866142</v>
      </c>
      <c r="D863" t="s">
        <v>849</v>
      </c>
      <c r="E863" t="s">
        <v>37</v>
      </c>
      <c r="F863" t="s">
        <v>142</v>
      </c>
      <c r="G863" t="s">
        <v>142</v>
      </c>
      <c r="H863" t="s">
        <v>2595</v>
      </c>
      <c r="I863" t="s">
        <v>2596</v>
      </c>
      <c r="J863" t="s">
        <v>143</v>
      </c>
      <c r="K863" t="s">
        <v>139</v>
      </c>
      <c r="L863" t="s">
        <v>139</v>
      </c>
      <c r="M863" t="s">
        <v>140</v>
      </c>
      <c r="N863" t="s">
        <v>850</v>
      </c>
      <c r="O863">
        <v>10006351</v>
      </c>
      <c r="P863" s="108">
        <v>42277</v>
      </c>
      <c r="Q863" s="108">
        <v>42279</v>
      </c>
      <c r="R863" s="108">
        <v>42412</v>
      </c>
      <c r="S863" t="s">
        <v>206</v>
      </c>
      <c r="T863">
        <v>3</v>
      </c>
      <c r="U863" t="s">
        <v>123</v>
      </c>
      <c r="V863">
        <v>3</v>
      </c>
      <c r="W863">
        <v>3</v>
      </c>
      <c r="X863">
        <v>3</v>
      </c>
      <c r="Y863">
        <f>VLOOKUP(Table_clu7sql1_ssdb_REPORT_vw_IE_External_MI_SON[[#This Row],[URN]],[1]Data!$D$2:$BB$1084,31,)</f>
        <v>3</v>
      </c>
      <c r="Z863" t="s">
        <v>2596</v>
      </c>
      <c r="AA863">
        <v>3</v>
      </c>
      <c r="AB863" t="s">
        <v>2598</v>
      </c>
      <c r="AC863" t="s">
        <v>2596</v>
      </c>
      <c r="AD863" t="s">
        <v>2596</v>
      </c>
      <c r="AE863" t="s">
        <v>2596</v>
      </c>
      <c r="AF863" t="s">
        <v>2596</v>
      </c>
      <c r="AG863" t="s">
        <v>2596</v>
      </c>
      <c r="AH863" t="s">
        <v>2596</v>
      </c>
    </row>
    <row r="864" spans="1:34" x14ac:dyDescent="0.25">
      <c r="A864" s="111" t="str">
        <f>HYPERLINK("http://www.ofsted.gov.uk/inspection-reports/find-inspection-report/provider/ELS/141001 ","Ofsted School Webpage")</f>
        <v>Ofsted School Webpage</v>
      </c>
      <c r="B864">
        <v>141001</v>
      </c>
      <c r="C864">
        <v>3336006</v>
      </c>
      <c r="D864" t="s">
        <v>1204</v>
      </c>
      <c r="E864" t="s">
        <v>36</v>
      </c>
      <c r="F864" t="s">
        <v>142</v>
      </c>
      <c r="G864" t="s">
        <v>180</v>
      </c>
      <c r="H864" t="s">
        <v>2595</v>
      </c>
      <c r="I864" t="s">
        <v>2596</v>
      </c>
      <c r="J864" t="s">
        <v>143</v>
      </c>
      <c r="K864" t="s">
        <v>150</v>
      </c>
      <c r="L864" t="s">
        <v>150</v>
      </c>
      <c r="M864" t="s">
        <v>310</v>
      </c>
      <c r="N864" t="s">
        <v>2910</v>
      </c>
      <c r="O864" t="s">
        <v>1205</v>
      </c>
      <c r="P864" s="108">
        <v>42109</v>
      </c>
      <c r="Q864" s="108">
        <v>42111</v>
      </c>
      <c r="R864" s="108">
        <v>42135</v>
      </c>
      <c r="S864" t="s">
        <v>206</v>
      </c>
      <c r="T864">
        <v>2</v>
      </c>
      <c r="U864" t="s">
        <v>2596</v>
      </c>
      <c r="V864">
        <v>2</v>
      </c>
      <c r="W864" t="s">
        <v>2596</v>
      </c>
      <c r="X864">
        <v>2</v>
      </c>
      <c r="Y864">
        <f>VLOOKUP(Table_clu7sql1_ssdb_REPORT_vw_IE_External_MI_SON[[#This Row],[URN]],[1]Data!$D$2:$BB$1084,31,)</f>
        <v>2</v>
      </c>
      <c r="Z864">
        <v>2</v>
      </c>
      <c r="AA864">
        <v>9</v>
      </c>
      <c r="AB864" t="s">
        <v>2598</v>
      </c>
      <c r="AC864" t="s">
        <v>2596</v>
      </c>
      <c r="AD864" t="s">
        <v>2596</v>
      </c>
      <c r="AE864" t="s">
        <v>2596</v>
      </c>
      <c r="AF864" t="s">
        <v>2596</v>
      </c>
      <c r="AG864" t="s">
        <v>2596</v>
      </c>
      <c r="AH864" t="s">
        <v>2596</v>
      </c>
    </row>
    <row r="865" spans="1:34" x14ac:dyDescent="0.25">
      <c r="A865" s="111" t="str">
        <f>HYPERLINK("http://www.ofsted.gov.uk/inspection-reports/find-inspection-report/provider/ELS/141007 ","Ofsted School Webpage")</f>
        <v>Ofsted School Webpage</v>
      </c>
      <c r="B865">
        <v>141007</v>
      </c>
      <c r="C865">
        <v>9376011</v>
      </c>
      <c r="D865" t="s">
        <v>1298</v>
      </c>
      <c r="E865" t="s">
        <v>37</v>
      </c>
      <c r="F865" t="s">
        <v>142</v>
      </c>
      <c r="G865" t="s">
        <v>142</v>
      </c>
      <c r="H865" t="s">
        <v>2595</v>
      </c>
      <c r="I865" t="s">
        <v>2596</v>
      </c>
      <c r="J865" t="s">
        <v>143</v>
      </c>
      <c r="K865" t="s">
        <v>150</v>
      </c>
      <c r="L865" t="s">
        <v>150</v>
      </c>
      <c r="M865" t="s">
        <v>333</v>
      </c>
      <c r="N865" t="s">
        <v>1299</v>
      </c>
      <c r="O865" t="s">
        <v>1300</v>
      </c>
      <c r="P865" s="108">
        <v>42158</v>
      </c>
      <c r="Q865" s="108">
        <v>42160</v>
      </c>
      <c r="R865" s="108">
        <v>42195</v>
      </c>
      <c r="S865" t="s">
        <v>206</v>
      </c>
      <c r="T865">
        <v>2</v>
      </c>
      <c r="U865" t="s">
        <v>2596</v>
      </c>
      <c r="V865">
        <v>2</v>
      </c>
      <c r="W865" t="s">
        <v>2596</v>
      </c>
      <c r="X865">
        <v>2</v>
      </c>
      <c r="Y865">
        <f>VLOOKUP(Table_clu7sql1_ssdb_REPORT_vw_IE_External_MI_SON[[#This Row],[URN]],[1]Data!$D$2:$BB$1084,31,)</f>
        <v>2</v>
      </c>
      <c r="Z865">
        <v>9</v>
      </c>
      <c r="AA865">
        <v>9</v>
      </c>
      <c r="AB865" t="s">
        <v>2598</v>
      </c>
      <c r="AC865" t="s">
        <v>2596</v>
      </c>
      <c r="AD865" t="s">
        <v>2596</v>
      </c>
      <c r="AE865" t="s">
        <v>2596</v>
      </c>
      <c r="AF865" t="s">
        <v>2596</v>
      </c>
      <c r="AG865" t="s">
        <v>2596</v>
      </c>
      <c r="AH865" t="s">
        <v>2596</v>
      </c>
    </row>
    <row r="866" spans="1:34" x14ac:dyDescent="0.25">
      <c r="A866" s="111" t="str">
        <f>HYPERLINK("http://www.ofsted.gov.uk/inspection-reports/find-inspection-report/provider/ELS/141008 ","Ofsted School Webpage")</f>
        <v>Ofsted School Webpage</v>
      </c>
      <c r="B866">
        <v>141008</v>
      </c>
      <c r="C866">
        <v>9376012</v>
      </c>
      <c r="D866" t="s">
        <v>1292</v>
      </c>
      <c r="E866" t="s">
        <v>37</v>
      </c>
      <c r="F866" t="s">
        <v>142</v>
      </c>
      <c r="G866" t="s">
        <v>142</v>
      </c>
      <c r="H866" t="s">
        <v>2595</v>
      </c>
      <c r="I866" t="s">
        <v>2596</v>
      </c>
      <c r="J866" t="s">
        <v>143</v>
      </c>
      <c r="K866" t="s">
        <v>150</v>
      </c>
      <c r="L866" t="s">
        <v>150</v>
      </c>
      <c r="M866" t="s">
        <v>333</v>
      </c>
      <c r="N866" t="s">
        <v>1293</v>
      </c>
      <c r="O866" t="s">
        <v>1294</v>
      </c>
      <c r="P866" s="108">
        <v>42158</v>
      </c>
      <c r="Q866" s="108">
        <v>42160</v>
      </c>
      <c r="R866" s="108">
        <v>42195</v>
      </c>
      <c r="S866" t="s">
        <v>206</v>
      </c>
      <c r="T866">
        <v>2</v>
      </c>
      <c r="U866" t="s">
        <v>2596</v>
      </c>
      <c r="V866">
        <v>2</v>
      </c>
      <c r="W866" t="s">
        <v>2596</v>
      </c>
      <c r="X866">
        <v>2</v>
      </c>
      <c r="Y866">
        <f>VLOOKUP(Table_clu7sql1_ssdb_REPORT_vw_IE_External_MI_SON[[#This Row],[URN]],[1]Data!$D$2:$BB$1084,31,)</f>
        <v>2</v>
      </c>
      <c r="Z866">
        <v>9</v>
      </c>
      <c r="AA866">
        <v>9</v>
      </c>
      <c r="AB866" t="s">
        <v>2598</v>
      </c>
      <c r="AC866" t="s">
        <v>2596</v>
      </c>
      <c r="AD866" t="s">
        <v>2596</v>
      </c>
      <c r="AE866" t="s">
        <v>2596</v>
      </c>
      <c r="AF866" t="s">
        <v>2596</v>
      </c>
      <c r="AG866" t="s">
        <v>2596</v>
      </c>
      <c r="AH866" t="s">
        <v>2596</v>
      </c>
    </row>
    <row r="867" spans="1:34" x14ac:dyDescent="0.25">
      <c r="A867" s="111" t="str">
        <f>HYPERLINK("http://www.ofsted.gov.uk/inspection-reports/find-inspection-report/provider/ELS/141023 ","Ofsted School Webpage")</f>
        <v>Ofsted School Webpage</v>
      </c>
      <c r="B867">
        <v>141023</v>
      </c>
      <c r="C867">
        <v>3156007</v>
      </c>
      <c r="D867" t="s">
        <v>724</v>
      </c>
      <c r="E867" t="s">
        <v>36</v>
      </c>
      <c r="F867" t="s">
        <v>142</v>
      </c>
      <c r="G867" t="s">
        <v>142</v>
      </c>
      <c r="H867" t="s">
        <v>2595</v>
      </c>
      <c r="I867" t="s">
        <v>2596</v>
      </c>
      <c r="J867" t="s">
        <v>143</v>
      </c>
      <c r="K867" t="s">
        <v>189</v>
      </c>
      <c r="L867" t="s">
        <v>189</v>
      </c>
      <c r="M867" t="s">
        <v>193</v>
      </c>
      <c r="N867" t="s">
        <v>725</v>
      </c>
      <c r="O867" t="s">
        <v>726</v>
      </c>
      <c r="P867" s="108">
        <v>42108</v>
      </c>
      <c r="Q867" s="108">
        <v>42110</v>
      </c>
      <c r="R867" s="108">
        <v>42146</v>
      </c>
      <c r="S867" t="s">
        <v>206</v>
      </c>
      <c r="T867">
        <v>1</v>
      </c>
      <c r="U867" t="s">
        <v>2596</v>
      </c>
      <c r="V867">
        <v>1</v>
      </c>
      <c r="W867" t="s">
        <v>2596</v>
      </c>
      <c r="X867">
        <v>1</v>
      </c>
      <c r="Y867">
        <f>VLOOKUP(Table_clu7sql1_ssdb_REPORT_vw_IE_External_MI_SON[[#This Row],[URN]],[1]Data!$D$2:$BB$1084,31,)</f>
        <v>1</v>
      </c>
      <c r="Z867">
        <v>1</v>
      </c>
      <c r="AA867">
        <v>9</v>
      </c>
      <c r="AB867" t="s">
        <v>2598</v>
      </c>
      <c r="AC867" t="s">
        <v>2596</v>
      </c>
      <c r="AD867" t="s">
        <v>2596</v>
      </c>
      <c r="AE867" t="s">
        <v>2596</v>
      </c>
      <c r="AF867" t="s">
        <v>2596</v>
      </c>
      <c r="AG867" t="s">
        <v>2596</v>
      </c>
      <c r="AH867" t="s">
        <v>2596</v>
      </c>
    </row>
    <row r="868" spans="1:34" x14ac:dyDescent="0.25">
      <c r="A868" s="111" t="str">
        <f>HYPERLINK("http://www.ofsted.gov.uk/inspection-reports/find-inspection-report/provider/ELS/141029 ","Ofsted School Webpage")</f>
        <v>Ofsted School Webpage</v>
      </c>
      <c r="B868">
        <v>141029</v>
      </c>
      <c r="C868">
        <v>2046009</v>
      </c>
      <c r="D868" t="s">
        <v>913</v>
      </c>
      <c r="E868" t="s">
        <v>37</v>
      </c>
      <c r="F868" t="s">
        <v>142</v>
      </c>
      <c r="G868" t="s">
        <v>142</v>
      </c>
      <c r="H868" t="s">
        <v>2595</v>
      </c>
      <c r="I868" t="s">
        <v>2596</v>
      </c>
      <c r="J868" t="s">
        <v>143</v>
      </c>
      <c r="K868" t="s">
        <v>189</v>
      </c>
      <c r="L868" t="s">
        <v>189</v>
      </c>
      <c r="M868" t="s">
        <v>434</v>
      </c>
      <c r="N868" t="s">
        <v>914</v>
      </c>
      <c r="O868" t="s">
        <v>915</v>
      </c>
      <c r="P868" s="108">
        <v>42165</v>
      </c>
      <c r="Q868" s="108">
        <v>42167</v>
      </c>
      <c r="R868" s="108">
        <v>42202</v>
      </c>
      <c r="S868" t="s">
        <v>206</v>
      </c>
      <c r="T868">
        <v>2</v>
      </c>
      <c r="U868" t="s">
        <v>2596</v>
      </c>
      <c r="V868">
        <v>2</v>
      </c>
      <c r="W868" t="s">
        <v>2596</v>
      </c>
      <c r="X868">
        <v>2</v>
      </c>
      <c r="Y868">
        <f>VLOOKUP(Table_clu7sql1_ssdb_REPORT_vw_IE_External_MI_SON[[#This Row],[URN]],[1]Data!$D$2:$BB$1084,31,)</f>
        <v>2</v>
      </c>
      <c r="Z868">
        <v>9</v>
      </c>
      <c r="AA868">
        <v>9</v>
      </c>
      <c r="AB868" t="s">
        <v>2598</v>
      </c>
      <c r="AC868" t="s">
        <v>2596</v>
      </c>
      <c r="AD868" t="s">
        <v>2596</v>
      </c>
      <c r="AE868" t="s">
        <v>2596</v>
      </c>
      <c r="AF868" t="s">
        <v>2596</v>
      </c>
      <c r="AG868" t="s">
        <v>2596</v>
      </c>
      <c r="AH868" t="s">
        <v>2596</v>
      </c>
    </row>
    <row r="869" spans="1:34" x14ac:dyDescent="0.25">
      <c r="A869" s="111" t="str">
        <f>HYPERLINK("http://www.ofsted.gov.uk/inspection-reports/find-inspection-report/provider/ELS/141031 ","Ofsted School Webpage")</f>
        <v>Ofsted School Webpage</v>
      </c>
      <c r="B869">
        <v>141031</v>
      </c>
      <c r="C869">
        <v>2106005</v>
      </c>
      <c r="D869" t="s">
        <v>1765</v>
      </c>
      <c r="E869" t="s">
        <v>37</v>
      </c>
      <c r="F869" t="s">
        <v>142</v>
      </c>
      <c r="G869" t="s">
        <v>142</v>
      </c>
      <c r="H869" t="s">
        <v>2595</v>
      </c>
      <c r="I869" t="s">
        <v>2596</v>
      </c>
      <c r="J869" t="s">
        <v>143</v>
      </c>
      <c r="K869" t="s">
        <v>189</v>
      </c>
      <c r="L869" t="s">
        <v>189</v>
      </c>
      <c r="M869" t="s">
        <v>505</v>
      </c>
      <c r="N869" t="s">
        <v>1766</v>
      </c>
      <c r="O869" t="s">
        <v>1767</v>
      </c>
      <c r="P869" s="108">
        <v>42193</v>
      </c>
      <c r="Q869" s="108">
        <v>42195</v>
      </c>
      <c r="R869" s="108">
        <v>42258</v>
      </c>
      <c r="S869" t="s">
        <v>206</v>
      </c>
      <c r="T869">
        <v>2</v>
      </c>
      <c r="U869" t="s">
        <v>2596</v>
      </c>
      <c r="V869">
        <v>2</v>
      </c>
      <c r="W869" t="s">
        <v>2596</v>
      </c>
      <c r="X869">
        <v>2</v>
      </c>
      <c r="Y869">
        <f>VLOOKUP(Table_clu7sql1_ssdb_REPORT_vw_IE_External_MI_SON[[#This Row],[URN]],[1]Data!$D$2:$BB$1084,31,)</f>
        <v>2</v>
      </c>
      <c r="Z869">
        <v>9</v>
      </c>
      <c r="AA869">
        <v>2</v>
      </c>
      <c r="AB869" t="s">
        <v>2598</v>
      </c>
      <c r="AC869" t="s">
        <v>2596</v>
      </c>
      <c r="AD869" t="s">
        <v>2596</v>
      </c>
      <c r="AE869" s="108" t="s">
        <v>2596</v>
      </c>
      <c r="AF869" t="s">
        <v>2596</v>
      </c>
      <c r="AG869" s="108" t="s">
        <v>2596</v>
      </c>
      <c r="AH869" t="s">
        <v>2596</v>
      </c>
    </row>
    <row r="870" spans="1:34" x14ac:dyDescent="0.25">
      <c r="A870" s="111" t="str">
        <f>HYPERLINK("http://www.ofsted.gov.uk/inspection-reports/find-inspection-report/provider/ELS/141087 ","Ofsted School Webpage")</f>
        <v>Ofsted School Webpage</v>
      </c>
      <c r="B870">
        <v>141087</v>
      </c>
      <c r="C870">
        <v>3536002</v>
      </c>
      <c r="D870" t="s">
        <v>1646</v>
      </c>
      <c r="E870" t="s">
        <v>36</v>
      </c>
      <c r="F870" t="s">
        <v>142</v>
      </c>
      <c r="G870" t="s">
        <v>180</v>
      </c>
      <c r="H870" t="s">
        <v>2595</v>
      </c>
      <c r="I870" t="s">
        <v>2596</v>
      </c>
      <c r="J870" t="s">
        <v>143</v>
      </c>
      <c r="K870" t="s">
        <v>162</v>
      </c>
      <c r="L870" t="s">
        <v>162</v>
      </c>
      <c r="M870" t="s">
        <v>423</v>
      </c>
      <c r="N870" t="s">
        <v>1647</v>
      </c>
      <c r="O870">
        <v>10034034</v>
      </c>
      <c r="P870" s="108">
        <v>42892</v>
      </c>
      <c r="Q870" s="108">
        <v>42894</v>
      </c>
      <c r="R870" s="108">
        <v>42998</v>
      </c>
      <c r="S870" t="s">
        <v>153</v>
      </c>
      <c r="T870">
        <v>4</v>
      </c>
      <c r="U870" t="s">
        <v>124</v>
      </c>
      <c r="V870">
        <v>4</v>
      </c>
      <c r="W870">
        <v>4</v>
      </c>
      <c r="X870">
        <v>4</v>
      </c>
      <c r="Y870">
        <f>VLOOKUP(Table_clu7sql1_ssdb_REPORT_vw_IE_External_MI_SON[[#This Row],[URN]],[1]Data!$D$2:$BB$1084,31,)</f>
        <v>4</v>
      </c>
      <c r="Z870" t="s">
        <v>2596</v>
      </c>
      <c r="AA870" t="s">
        <v>2596</v>
      </c>
      <c r="AB870" t="s">
        <v>2599</v>
      </c>
      <c r="AC870" t="s">
        <v>2596</v>
      </c>
      <c r="AD870" t="s">
        <v>2596</v>
      </c>
      <c r="AE870" t="s">
        <v>2596</v>
      </c>
      <c r="AF870" t="s">
        <v>2596</v>
      </c>
      <c r="AG870" t="s">
        <v>2596</v>
      </c>
      <c r="AH870" t="s">
        <v>2596</v>
      </c>
    </row>
    <row r="871" spans="1:34" x14ac:dyDescent="0.25">
      <c r="A871" s="111" t="str">
        <f>HYPERLINK("http://www.ofsted.gov.uk/inspection-reports/find-inspection-report/provider/ELS/141127 ","Ofsted School Webpage")</f>
        <v>Ofsted School Webpage</v>
      </c>
      <c r="B871">
        <v>141127</v>
      </c>
      <c r="C871">
        <v>8556033</v>
      </c>
      <c r="D871" t="s">
        <v>1321</v>
      </c>
      <c r="E871" t="s">
        <v>37</v>
      </c>
      <c r="F871" t="s">
        <v>142</v>
      </c>
      <c r="G871" t="s">
        <v>142</v>
      </c>
      <c r="H871" t="s">
        <v>2595</v>
      </c>
      <c r="I871" t="s">
        <v>2596</v>
      </c>
      <c r="J871" t="s">
        <v>143</v>
      </c>
      <c r="K871" t="s">
        <v>171</v>
      </c>
      <c r="L871" t="s">
        <v>171</v>
      </c>
      <c r="M871" t="s">
        <v>238</v>
      </c>
      <c r="N871" t="s">
        <v>1322</v>
      </c>
      <c r="O871">
        <v>10043801</v>
      </c>
      <c r="P871" s="108">
        <v>43123</v>
      </c>
      <c r="Q871" s="108">
        <v>43125</v>
      </c>
      <c r="R871" s="108">
        <v>43164</v>
      </c>
      <c r="S871" t="s">
        <v>153</v>
      </c>
      <c r="T871">
        <v>1</v>
      </c>
      <c r="U871" t="s">
        <v>123</v>
      </c>
      <c r="V871">
        <v>1</v>
      </c>
      <c r="W871">
        <v>1</v>
      </c>
      <c r="X871">
        <v>1</v>
      </c>
      <c r="Y871">
        <f>VLOOKUP(Table_clu7sql1_ssdb_REPORT_vw_IE_External_MI_SON[[#This Row],[URN]],[1]Data!$D$2:$BB$1084,31,)</f>
        <v>1</v>
      </c>
      <c r="Z871" t="s">
        <v>2596</v>
      </c>
      <c r="AA871">
        <v>1</v>
      </c>
      <c r="AB871" t="s">
        <v>2598</v>
      </c>
      <c r="AC871" t="s">
        <v>2596</v>
      </c>
      <c r="AD871" t="s">
        <v>2596</v>
      </c>
      <c r="AE871" t="s">
        <v>2596</v>
      </c>
      <c r="AF871" t="s">
        <v>2596</v>
      </c>
      <c r="AG871" t="s">
        <v>2596</v>
      </c>
      <c r="AH871" t="s">
        <v>2596</v>
      </c>
    </row>
    <row r="872" spans="1:34" x14ac:dyDescent="0.25">
      <c r="A872" s="111" t="str">
        <f>HYPERLINK("http://www.ofsted.gov.uk/inspection-reports/find-inspection-report/provider/ELS/141128 ","Ofsted School Webpage")</f>
        <v>Ofsted School Webpage</v>
      </c>
      <c r="B872">
        <v>141128</v>
      </c>
      <c r="C872">
        <v>8616012</v>
      </c>
      <c r="D872" t="s">
        <v>2433</v>
      </c>
      <c r="E872" t="s">
        <v>36</v>
      </c>
      <c r="F872" t="s">
        <v>142</v>
      </c>
      <c r="G872" t="s">
        <v>142</v>
      </c>
      <c r="H872" t="s">
        <v>2595</v>
      </c>
      <c r="I872" t="s">
        <v>2596</v>
      </c>
      <c r="J872" t="s">
        <v>143</v>
      </c>
      <c r="K872" t="s">
        <v>150</v>
      </c>
      <c r="L872" t="s">
        <v>150</v>
      </c>
      <c r="M872" t="s">
        <v>447</v>
      </c>
      <c r="N872" t="s">
        <v>2434</v>
      </c>
      <c r="O872" t="s">
        <v>2435</v>
      </c>
      <c r="P872" s="108">
        <v>42122</v>
      </c>
      <c r="Q872" s="108">
        <v>42124</v>
      </c>
      <c r="R872" s="108">
        <v>42167</v>
      </c>
      <c r="S872" t="s">
        <v>206</v>
      </c>
      <c r="T872">
        <v>1</v>
      </c>
      <c r="U872" t="s">
        <v>2596</v>
      </c>
      <c r="V872">
        <v>1</v>
      </c>
      <c r="W872" t="s">
        <v>2596</v>
      </c>
      <c r="X872">
        <v>1</v>
      </c>
      <c r="Y872">
        <f>VLOOKUP(Table_clu7sql1_ssdb_REPORT_vw_IE_External_MI_SON[[#This Row],[URN]],[1]Data!$D$2:$BB$1084,31,)</f>
        <v>1</v>
      </c>
      <c r="Z872">
        <v>9</v>
      </c>
      <c r="AA872">
        <v>9</v>
      </c>
      <c r="AB872" t="s">
        <v>2598</v>
      </c>
      <c r="AC872" t="s">
        <v>2596</v>
      </c>
      <c r="AD872" t="s">
        <v>2596</v>
      </c>
      <c r="AE872" s="108" t="s">
        <v>2596</v>
      </c>
      <c r="AF872" t="s">
        <v>2596</v>
      </c>
      <c r="AG872" s="108" t="s">
        <v>2596</v>
      </c>
      <c r="AH872" t="s">
        <v>2596</v>
      </c>
    </row>
    <row r="873" spans="1:34" x14ac:dyDescent="0.25">
      <c r="A873" s="111" t="str">
        <f>HYPERLINK("http://www.ofsted.gov.uk/inspection-reports/find-inspection-report/provider/ELS/141138 ","Ofsted School Webpage")</f>
        <v>Ofsted School Webpage</v>
      </c>
      <c r="B873">
        <v>141138</v>
      </c>
      <c r="C873">
        <v>8356038</v>
      </c>
      <c r="D873" t="s">
        <v>1579</v>
      </c>
      <c r="E873" t="s">
        <v>36</v>
      </c>
      <c r="F873" t="s">
        <v>142</v>
      </c>
      <c r="G873" t="s">
        <v>142</v>
      </c>
      <c r="H873" t="s">
        <v>2595</v>
      </c>
      <c r="I873" t="s">
        <v>2596</v>
      </c>
      <c r="J873" t="s">
        <v>143</v>
      </c>
      <c r="K873" t="s">
        <v>182</v>
      </c>
      <c r="L873" t="s">
        <v>182</v>
      </c>
      <c r="M873" t="s">
        <v>564</v>
      </c>
      <c r="N873" t="s">
        <v>1580</v>
      </c>
      <c r="O873">
        <v>10006027</v>
      </c>
      <c r="P873" s="108">
        <v>42339</v>
      </c>
      <c r="Q873" s="108">
        <v>42341</v>
      </c>
      <c r="R873" s="108">
        <v>42402</v>
      </c>
      <c r="S873" t="s">
        <v>1118</v>
      </c>
      <c r="T873">
        <v>1</v>
      </c>
      <c r="U873" t="s">
        <v>123</v>
      </c>
      <c r="V873">
        <v>1</v>
      </c>
      <c r="W873">
        <v>1</v>
      </c>
      <c r="X873">
        <v>1</v>
      </c>
      <c r="Y873">
        <f>VLOOKUP(Table_clu7sql1_ssdb_REPORT_vw_IE_External_MI_SON[[#This Row],[URN]],[1]Data!$D$2:$BB$1084,31,)</f>
        <v>1</v>
      </c>
      <c r="Z873" t="s">
        <v>2596</v>
      </c>
      <c r="AA873">
        <v>1</v>
      </c>
      <c r="AB873" t="s">
        <v>2598</v>
      </c>
      <c r="AC873" t="s">
        <v>2596</v>
      </c>
      <c r="AD873" t="s">
        <v>2596</v>
      </c>
      <c r="AE873" t="s">
        <v>2596</v>
      </c>
      <c r="AF873" t="s">
        <v>2596</v>
      </c>
      <c r="AG873" t="s">
        <v>2596</v>
      </c>
      <c r="AH873" t="s">
        <v>2596</v>
      </c>
    </row>
    <row r="874" spans="1:34" x14ac:dyDescent="0.25">
      <c r="A874" s="111" t="str">
        <f>HYPERLINK("http://www.ofsted.gov.uk/inspection-reports/find-inspection-report/provider/ELS/141207 ","Ofsted School Webpage")</f>
        <v>Ofsted School Webpage</v>
      </c>
      <c r="B874">
        <v>141207</v>
      </c>
      <c r="C874">
        <v>3526009</v>
      </c>
      <c r="D874" t="s">
        <v>980</v>
      </c>
      <c r="E874" t="s">
        <v>37</v>
      </c>
      <c r="F874" t="s">
        <v>142</v>
      </c>
      <c r="G874" t="s">
        <v>142</v>
      </c>
      <c r="H874" t="s">
        <v>2595</v>
      </c>
      <c r="I874" t="s">
        <v>2596</v>
      </c>
      <c r="J874" t="s">
        <v>143</v>
      </c>
      <c r="K874" t="s">
        <v>162</v>
      </c>
      <c r="L874" t="s">
        <v>162</v>
      </c>
      <c r="M874" t="s">
        <v>263</v>
      </c>
      <c r="N874" t="s">
        <v>981</v>
      </c>
      <c r="O874">
        <v>10034035</v>
      </c>
      <c r="P874" s="108">
        <v>42871</v>
      </c>
      <c r="Q874" s="108">
        <v>42873</v>
      </c>
      <c r="R874" s="108">
        <v>42898</v>
      </c>
      <c r="S874" t="s">
        <v>153</v>
      </c>
      <c r="T874">
        <v>2</v>
      </c>
      <c r="U874" t="s">
        <v>123</v>
      </c>
      <c r="V874">
        <v>2</v>
      </c>
      <c r="W874">
        <v>2</v>
      </c>
      <c r="X874">
        <v>2</v>
      </c>
      <c r="Y874">
        <f>VLOOKUP(Table_clu7sql1_ssdb_REPORT_vw_IE_External_MI_SON[[#This Row],[URN]],[1]Data!$D$2:$BB$1084,31,)</f>
        <v>2</v>
      </c>
      <c r="Z874" t="s">
        <v>2596</v>
      </c>
      <c r="AA874" t="s">
        <v>2596</v>
      </c>
      <c r="AB874" t="s">
        <v>2598</v>
      </c>
      <c r="AC874" t="s">
        <v>2596</v>
      </c>
      <c r="AD874" t="s">
        <v>2596</v>
      </c>
      <c r="AE874" t="s">
        <v>2596</v>
      </c>
      <c r="AF874" t="s">
        <v>2596</v>
      </c>
      <c r="AG874" t="s">
        <v>2596</v>
      </c>
      <c r="AH874" t="s">
        <v>2596</v>
      </c>
    </row>
    <row r="875" spans="1:34" x14ac:dyDescent="0.25">
      <c r="A875" s="111" t="str">
        <f>HYPERLINK("http://www.ofsted.gov.uk/inspection-reports/find-inspection-report/provider/ELS/141208 ","Ofsted School Webpage")</f>
        <v>Ofsted School Webpage</v>
      </c>
      <c r="B875">
        <v>141208</v>
      </c>
      <c r="C875">
        <v>9316015</v>
      </c>
      <c r="D875" t="s">
        <v>927</v>
      </c>
      <c r="E875" t="s">
        <v>37</v>
      </c>
      <c r="F875" t="s">
        <v>142</v>
      </c>
      <c r="G875" t="s">
        <v>142</v>
      </c>
      <c r="H875" t="s">
        <v>2595</v>
      </c>
      <c r="I875" t="s">
        <v>2596</v>
      </c>
      <c r="J875" t="s">
        <v>143</v>
      </c>
      <c r="K875" t="s">
        <v>139</v>
      </c>
      <c r="L875" t="s">
        <v>139</v>
      </c>
      <c r="M875" t="s">
        <v>199</v>
      </c>
      <c r="N875" t="s">
        <v>928</v>
      </c>
      <c r="O875" t="s">
        <v>929</v>
      </c>
      <c r="P875" s="108">
        <v>42136</v>
      </c>
      <c r="Q875" s="108">
        <v>42138</v>
      </c>
      <c r="R875" s="108">
        <v>42174</v>
      </c>
      <c r="S875" t="s">
        <v>206</v>
      </c>
      <c r="T875">
        <v>2</v>
      </c>
      <c r="U875" t="s">
        <v>2596</v>
      </c>
      <c r="V875">
        <v>2</v>
      </c>
      <c r="W875" t="s">
        <v>2596</v>
      </c>
      <c r="X875">
        <v>2</v>
      </c>
      <c r="Y875">
        <f>VLOOKUP(Table_clu7sql1_ssdb_REPORT_vw_IE_External_MI_SON[[#This Row],[URN]],[1]Data!$D$2:$BB$1084,31,)</f>
        <v>2</v>
      </c>
      <c r="Z875">
        <v>9</v>
      </c>
      <c r="AA875">
        <v>2</v>
      </c>
      <c r="AB875" t="s">
        <v>2598</v>
      </c>
      <c r="AC875" t="s">
        <v>2596</v>
      </c>
      <c r="AD875" t="s">
        <v>2596</v>
      </c>
      <c r="AE875" t="s">
        <v>2596</v>
      </c>
      <c r="AF875" t="s">
        <v>2596</v>
      </c>
      <c r="AG875" t="s">
        <v>2596</v>
      </c>
      <c r="AH875" t="s">
        <v>2596</v>
      </c>
    </row>
    <row r="876" spans="1:34" x14ac:dyDescent="0.25">
      <c r="A876" s="111" t="str">
        <f>HYPERLINK("http://www.ofsted.gov.uk/inspection-reports/find-inspection-report/provider/ELS/141225 ","Ofsted School Webpage")</f>
        <v>Ofsted School Webpage</v>
      </c>
      <c r="B876">
        <v>141225</v>
      </c>
      <c r="C876">
        <v>8686022</v>
      </c>
      <c r="D876" t="s">
        <v>2447</v>
      </c>
      <c r="E876" t="s">
        <v>36</v>
      </c>
      <c r="F876" t="s">
        <v>142</v>
      </c>
      <c r="G876" t="s">
        <v>142</v>
      </c>
      <c r="H876" t="s">
        <v>2595</v>
      </c>
      <c r="I876" t="s">
        <v>2596</v>
      </c>
      <c r="J876" t="s">
        <v>143</v>
      </c>
      <c r="K876" t="s">
        <v>139</v>
      </c>
      <c r="L876" t="s">
        <v>139</v>
      </c>
      <c r="M876" t="s">
        <v>1436</v>
      </c>
      <c r="N876" t="s">
        <v>2448</v>
      </c>
      <c r="O876">
        <v>10006029</v>
      </c>
      <c r="P876" s="108">
        <v>42284</v>
      </c>
      <c r="Q876" s="108">
        <v>42286</v>
      </c>
      <c r="R876" s="108">
        <v>42317</v>
      </c>
      <c r="S876" t="s">
        <v>206</v>
      </c>
      <c r="T876">
        <v>2</v>
      </c>
      <c r="U876" t="s">
        <v>123</v>
      </c>
      <c r="V876">
        <v>2</v>
      </c>
      <c r="W876">
        <v>1</v>
      </c>
      <c r="X876">
        <v>2</v>
      </c>
      <c r="Y876">
        <f>VLOOKUP(Table_clu7sql1_ssdb_REPORT_vw_IE_External_MI_SON[[#This Row],[URN]],[1]Data!$D$2:$BB$1084,31,)</f>
        <v>2</v>
      </c>
      <c r="Z876" t="s">
        <v>2596</v>
      </c>
      <c r="AA876" t="s">
        <v>2596</v>
      </c>
      <c r="AB876" t="s">
        <v>2598</v>
      </c>
      <c r="AC876" t="s">
        <v>2596</v>
      </c>
      <c r="AD876" t="s">
        <v>2596</v>
      </c>
      <c r="AE876" s="108" t="s">
        <v>2596</v>
      </c>
      <c r="AF876" t="s">
        <v>2596</v>
      </c>
      <c r="AG876" s="108" t="s">
        <v>2596</v>
      </c>
      <c r="AH876" t="s">
        <v>2596</v>
      </c>
    </row>
    <row r="877" spans="1:34" x14ac:dyDescent="0.25">
      <c r="A877" s="111" t="str">
        <f>HYPERLINK("http://www.ofsted.gov.uk/inspection-reports/find-inspection-report/provider/ELS/141242 ","Ofsted School Webpage")</f>
        <v>Ofsted School Webpage</v>
      </c>
      <c r="B877">
        <v>141242</v>
      </c>
      <c r="C877">
        <v>3306017</v>
      </c>
      <c r="D877" t="s">
        <v>2243</v>
      </c>
      <c r="E877" t="s">
        <v>36</v>
      </c>
      <c r="F877" t="s">
        <v>142</v>
      </c>
      <c r="G877" t="s">
        <v>142</v>
      </c>
      <c r="H877" t="s">
        <v>2595</v>
      </c>
      <c r="I877" t="s">
        <v>2596</v>
      </c>
      <c r="J877" t="s">
        <v>143</v>
      </c>
      <c r="K877" t="s">
        <v>150</v>
      </c>
      <c r="L877" t="s">
        <v>150</v>
      </c>
      <c r="M877" t="s">
        <v>167</v>
      </c>
      <c r="N877" t="s">
        <v>2244</v>
      </c>
      <c r="O877" t="s">
        <v>2245</v>
      </c>
      <c r="P877" s="108">
        <v>42130</v>
      </c>
      <c r="Q877" s="108">
        <v>42131</v>
      </c>
      <c r="R877" s="108">
        <v>42160</v>
      </c>
      <c r="S877" t="s">
        <v>206</v>
      </c>
      <c r="T877">
        <v>2</v>
      </c>
      <c r="U877" t="s">
        <v>2596</v>
      </c>
      <c r="V877">
        <v>2</v>
      </c>
      <c r="W877" t="s">
        <v>2596</v>
      </c>
      <c r="X877">
        <v>2</v>
      </c>
      <c r="Y877">
        <f>VLOOKUP(Table_clu7sql1_ssdb_REPORT_vw_IE_External_MI_SON[[#This Row],[URN]],[1]Data!$D$2:$BB$1084,31,)</f>
        <v>2</v>
      </c>
      <c r="Z877">
        <v>9</v>
      </c>
      <c r="AA877">
        <v>9</v>
      </c>
      <c r="AB877" t="s">
        <v>2598</v>
      </c>
      <c r="AC877" t="s">
        <v>2596</v>
      </c>
      <c r="AD877" t="s">
        <v>2596</v>
      </c>
      <c r="AE877" s="108" t="s">
        <v>2596</v>
      </c>
      <c r="AF877" t="s">
        <v>2596</v>
      </c>
      <c r="AG877" s="108" t="s">
        <v>2596</v>
      </c>
      <c r="AH877" t="s">
        <v>2596</v>
      </c>
    </row>
    <row r="878" spans="1:34" x14ac:dyDescent="0.25">
      <c r="A878" s="111" t="str">
        <f>HYPERLINK("http://www.ofsted.gov.uk/inspection-reports/find-inspection-report/provider/ELS/141247 ","Ofsted School Webpage")</f>
        <v>Ofsted School Webpage</v>
      </c>
      <c r="B878">
        <v>141247</v>
      </c>
      <c r="C878">
        <v>3086003</v>
      </c>
      <c r="D878" t="s">
        <v>419</v>
      </c>
      <c r="E878" t="s">
        <v>36</v>
      </c>
      <c r="F878" t="s">
        <v>142</v>
      </c>
      <c r="G878" t="s">
        <v>142</v>
      </c>
      <c r="H878" t="s">
        <v>2595</v>
      </c>
      <c r="I878" t="s">
        <v>2596</v>
      </c>
      <c r="J878" t="s">
        <v>143</v>
      </c>
      <c r="K878" t="s">
        <v>189</v>
      </c>
      <c r="L878" t="s">
        <v>189</v>
      </c>
      <c r="M878" t="s">
        <v>216</v>
      </c>
      <c r="N878" t="s">
        <v>420</v>
      </c>
      <c r="O878">
        <v>10035814</v>
      </c>
      <c r="P878" s="108">
        <v>42990</v>
      </c>
      <c r="Q878" s="108">
        <v>42992</v>
      </c>
      <c r="R878" s="108">
        <v>43021</v>
      </c>
      <c r="S878" t="s">
        <v>153</v>
      </c>
      <c r="T878">
        <v>2</v>
      </c>
      <c r="U878" t="s">
        <v>123</v>
      </c>
      <c r="V878">
        <v>2</v>
      </c>
      <c r="W878">
        <v>2</v>
      </c>
      <c r="X878">
        <v>2</v>
      </c>
      <c r="Y878">
        <f>VLOOKUP(Table_clu7sql1_ssdb_REPORT_vw_IE_External_MI_SON[[#This Row],[URN]],[1]Data!$D$2:$BB$1084,31,)</f>
        <v>2</v>
      </c>
      <c r="Z878" t="s">
        <v>2596</v>
      </c>
      <c r="AA878" t="s">
        <v>2596</v>
      </c>
      <c r="AB878" t="s">
        <v>2598</v>
      </c>
      <c r="AC878" t="s">
        <v>2596</v>
      </c>
      <c r="AD878" t="s">
        <v>2596</v>
      </c>
      <c r="AE878" s="108" t="s">
        <v>2596</v>
      </c>
      <c r="AF878" t="s">
        <v>2596</v>
      </c>
      <c r="AG878" s="108" t="s">
        <v>2596</v>
      </c>
      <c r="AH878" t="s">
        <v>2596</v>
      </c>
    </row>
    <row r="879" spans="1:34" x14ac:dyDescent="0.25">
      <c r="A879" s="111" t="str">
        <f>HYPERLINK("http://www.ofsted.gov.uk/inspection-reports/find-inspection-report/provider/ELS/141249 ","Ofsted School Webpage")</f>
        <v>Ofsted School Webpage</v>
      </c>
      <c r="B879">
        <v>141249</v>
      </c>
      <c r="C879">
        <v>8506091</v>
      </c>
      <c r="D879" t="s">
        <v>2266</v>
      </c>
      <c r="E879" t="s">
        <v>36</v>
      </c>
      <c r="F879" t="s">
        <v>142</v>
      </c>
      <c r="G879" t="s">
        <v>142</v>
      </c>
      <c r="H879" t="s">
        <v>2595</v>
      </c>
      <c r="I879" t="s">
        <v>2596</v>
      </c>
      <c r="J879" t="s">
        <v>143</v>
      </c>
      <c r="K879" t="s">
        <v>139</v>
      </c>
      <c r="L879" t="s">
        <v>139</v>
      </c>
      <c r="M879" t="s">
        <v>158</v>
      </c>
      <c r="N879" t="s">
        <v>2267</v>
      </c>
      <c r="O879" t="s">
        <v>2268</v>
      </c>
      <c r="P879" s="108">
        <v>42158</v>
      </c>
      <c r="Q879" s="108">
        <v>42160</v>
      </c>
      <c r="R879" s="108">
        <v>42193</v>
      </c>
      <c r="S879" t="s">
        <v>206</v>
      </c>
      <c r="T879">
        <v>2</v>
      </c>
      <c r="U879" t="s">
        <v>2596</v>
      </c>
      <c r="V879">
        <v>2</v>
      </c>
      <c r="W879" t="s">
        <v>2596</v>
      </c>
      <c r="X879">
        <v>2</v>
      </c>
      <c r="Y879">
        <f>VLOOKUP(Table_clu7sql1_ssdb_REPORT_vw_IE_External_MI_SON[[#This Row],[URN]],[1]Data!$D$2:$BB$1084,31,)</f>
        <v>2</v>
      </c>
      <c r="Z879">
        <v>2</v>
      </c>
      <c r="AA879">
        <v>9</v>
      </c>
      <c r="AB879" t="s">
        <v>2598</v>
      </c>
      <c r="AC879" t="s">
        <v>2596</v>
      </c>
      <c r="AD879" t="s">
        <v>2596</v>
      </c>
      <c r="AE879" s="108" t="s">
        <v>2596</v>
      </c>
      <c r="AF879" t="s">
        <v>2596</v>
      </c>
      <c r="AG879" s="108" t="s">
        <v>2596</v>
      </c>
      <c r="AH879" t="s">
        <v>2596</v>
      </c>
    </row>
    <row r="880" spans="1:34" x14ac:dyDescent="0.25">
      <c r="A880" s="111" t="str">
        <f>HYPERLINK("http://www.ofsted.gov.uk/inspection-reports/find-inspection-report/provider/ELS/141315 ","Ofsted School Webpage")</f>
        <v>Ofsted School Webpage</v>
      </c>
      <c r="B880">
        <v>141315</v>
      </c>
      <c r="C880">
        <v>2036004</v>
      </c>
      <c r="D880" t="s">
        <v>465</v>
      </c>
      <c r="E880" t="s">
        <v>36</v>
      </c>
      <c r="F880" t="s">
        <v>142</v>
      </c>
      <c r="G880" t="s">
        <v>142</v>
      </c>
      <c r="H880" t="s">
        <v>2595</v>
      </c>
      <c r="I880" t="s">
        <v>2596</v>
      </c>
      <c r="J880" t="s">
        <v>143</v>
      </c>
      <c r="K880" t="s">
        <v>189</v>
      </c>
      <c r="L880" t="s">
        <v>189</v>
      </c>
      <c r="M880" t="s">
        <v>437</v>
      </c>
      <c r="N880" t="s">
        <v>466</v>
      </c>
      <c r="O880">
        <v>10035815</v>
      </c>
      <c r="P880" s="108">
        <v>43011</v>
      </c>
      <c r="Q880" s="108">
        <v>43013</v>
      </c>
      <c r="R880" s="108">
        <v>43061</v>
      </c>
      <c r="S880" t="s">
        <v>153</v>
      </c>
      <c r="T880">
        <v>3</v>
      </c>
      <c r="U880" t="s">
        <v>123</v>
      </c>
      <c r="V880">
        <v>3</v>
      </c>
      <c r="W880">
        <v>2</v>
      </c>
      <c r="X880">
        <v>3</v>
      </c>
      <c r="Y880">
        <f>VLOOKUP(Table_clu7sql1_ssdb_REPORT_vw_IE_External_MI_SON[[#This Row],[URN]],[1]Data!$D$2:$BB$1084,31,)</f>
        <v>3</v>
      </c>
      <c r="Z880" t="s">
        <v>2596</v>
      </c>
      <c r="AA880" t="s">
        <v>2596</v>
      </c>
      <c r="AB880" t="s">
        <v>2598</v>
      </c>
      <c r="AC880" t="s">
        <v>2596</v>
      </c>
      <c r="AD880" t="s">
        <v>2596</v>
      </c>
      <c r="AE880" t="s">
        <v>2596</v>
      </c>
      <c r="AF880" t="s">
        <v>2596</v>
      </c>
      <c r="AG880" t="s">
        <v>2596</v>
      </c>
      <c r="AH880" t="s">
        <v>2596</v>
      </c>
    </row>
    <row r="881" spans="1:34" x14ac:dyDescent="0.25">
      <c r="A881" s="111" t="str">
        <f>HYPERLINK("http://www.ofsted.gov.uk/inspection-reports/find-inspection-report/provider/ELS/141316 ","Ofsted School Webpage")</f>
        <v>Ofsted School Webpage</v>
      </c>
      <c r="B881">
        <v>141316</v>
      </c>
      <c r="C881">
        <v>3806010</v>
      </c>
      <c r="D881" t="s">
        <v>294</v>
      </c>
      <c r="E881" t="s">
        <v>36</v>
      </c>
      <c r="F881" t="s">
        <v>142</v>
      </c>
      <c r="G881" t="s">
        <v>180</v>
      </c>
      <c r="H881" t="s">
        <v>2595</v>
      </c>
      <c r="I881" t="s">
        <v>2596</v>
      </c>
      <c r="J881" t="s">
        <v>143</v>
      </c>
      <c r="K881" t="s">
        <v>202</v>
      </c>
      <c r="L881" t="s">
        <v>203</v>
      </c>
      <c r="M881" t="s">
        <v>295</v>
      </c>
      <c r="N881" t="s">
        <v>296</v>
      </c>
      <c r="O881">
        <v>10040147</v>
      </c>
      <c r="P881" s="108">
        <v>42997</v>
      </c>
      <c r="Q881" s="108">
        <v>42999</v>
      </c>
      <c r="R881" s="108">
        <v>43024</v>
      </c>
      <c r="S881" t="s">
        <v>153</v>
      </c>
      <c r="T881">
        <v>3</v>
      </c>
      <c r="U881" t="s">
        <v>123</v>
      </c>
      <c r="V881">
        <v>3</v>
      </c>
      <c r="W881">
        <v>2</v>
      </c>
      <c r="X881">
        <v>3</v>
      </c>
      <c r="Y881">
        <f>VLOOKUP(Table_clu7sql1_ssdb_REPORT_vw_IE_External_MI_SON[[#This Row],[URN]],[1]Data!$D$2:$BB$1084,31,)</f>
        <v>3</v>
      </c>
      <c r="Z881" t="s">
        <v>2596</v>
      </c>
      <c r="AA881" t="s">
        <v>2596</v>
      </c>
      <c r="AB881" t="s">
        <v>2599</v>
      </c>
      <c r="AC881" t="s">
        <v>2596</v>
      </c>
      <c r="AD881" t="s">
        <v>2596</v>
      </c>
      <c r="AE881" t="s">
        <v>2596</v>
      </c>
      <c r="AF881" t="s">
        <v>2596</v>
      </c>
      <c r="AG881" t="s">
        <v>2596</v>
      </c>
      <c r="AH881" t="s">
        <v>2596</v>
      </c>
    </row>
    <row r="882" spans="1:34" x14ac:dyDescent="0.25">
      <c r="A882" s="111" t="str">
        <f>HYPERLINK("http://www.ofsted.gov.uk/inspection-reports/find-inspection-report/provider/ELS/141411 ","Ofsted School Webpage")</f>
        <v>Ofsted School Webpage</v>
      </c>
      <c r="B882">
        <v>141411</v>
      </c>
      <c r="C882">
        <v>3206005</v>
      </c>
      <c r="D882" t="s">
        <v>1535</v>
      </c>
      <c r="E882" t="s">
        <v>36</v>
      </c>
      <c r="F882" t="s">
        <v>142</v>
      </c>
      <c r="G882" t="s">
        <v>142</v>
      </c>
      <c r="H882" t="s">
        <v>2595</v>
      </c>
      <c r="I882" t="s">
        <v>2596</v>
      </c>
      <c r="J882" t="s">
        <v>143</v>
      </c>
      <c r="K882" t="s">
        <v>189</v>
      </c>
      <c r="L882" t="s">
        <v>189</v>
      </c>
      <c r="M882" t="s">
        <v>662</v>
      </c>
      <c r="N882" t="s">
        <v>2911</v>
      </c>
      <c r="O882">
        <v>10006032</v>
      </c>
      <c r="P882" s="108">
        <v>42437</v>
      </c>
      <c r="Q882" s="108">
        <v>42439</v>
      </c>
      <c r="R882" s="108">
        <v>42478</v>
      </c>
      <c r="S882" t="s">
        <v>206</v>
      </c>
      <c r="T882">
        <v>2</v>
      </c>
      <c r="U882" t="s">
        <v>123</v>
      </c>
      <c r="V882">
        <v>2</v>
      </c>
      <c r="W882">
        <v>2</v>
      </c>
      <c r="X882">
        <v>2</v>
      </c>
      <c r="Y882">
        <f>VLOOKUP(Table_clu7sql1_ssdb_REPORT_vw_IE_External_MI_SON[[#This Row],[URN]],[1]Data!$D$2:$BB$1084,31,)</f>
        <v>2</v>
      </c>
      <c r="Z882" t="s">
        <v>2596</v>
      </c>
      <c r="AA882" t="s">
        <v>2596</v>
      </c>
      <c r="AB882" t="s">
        <v>2598</v>
      </c>
      <c r="AC882" t="s">
        <v>2596</v>
      </c>
      <c r="AD882" t="s">
        <v>2596</v>
      </c>
      <c r="AE882" s="108" t="s">
        <v>2596</v>
      </c>
      <c r="AF882" t="s">
        <v>2596</v>
      </c>
      <c r="AG882" s="108" t="s">
        <v>2596</v>
      </c>
      <c r="AH882" t="s">
        <v>2596</v>
      </c>
    </row>
    <row r="883" spans="1:34" x14ac:dyDescent="0.25">
      <c r="A883" s="111" t="str">
        <f>HYPERLINK("http://www.ofsted.gov.uk/inspection-reports/find-inspection-report/provider/ELS/141490 ","Ofsted School Webpage")</f>
        <v>Ofsted School Webpage</v>
      </c>
      <c r="B883">
        <v>141490</v>
      </c>
      <c r="C883">
        <v>9256006</v>
      </c>
      <c r="D883" t="s">
        <v>636</v>
      </c>
      <c r="E883" t="s">
        <v>36</v>
      </c>
      <c r="F883" t="s">
        <v>142</v>
      </c>
      <c r="G883" t="s">
        <v>142</v>
      </c>
      <c r="H883" t="s">
        <v>2595</v>
      </c>
      <c r="I883" t="s">
        <v>2596</v>
      </c>
      <c r="J883" t="s">
        <v>143</v>
      </c>
      <c r="K883" t="s">
        <v>171</v>
      </c>
      <c r="L883" t="s">
        <v>171</v>
      </c>
      <c r="M883" t="s">
        <v>637</v>
      </c>
      <c r="N883" t="s">
        <v>638</v>
      </c>
      <c r="O883" t="s">
        <v>639</v>
      </c>
      <c r="P883" s="108">
        <v>42186</v>
      </c>
      <c r="Q883" s="108">
        <v>42188</v>
      </c>
      <c r="R883" s="108">
        <v>42266</v>
      </c>
      <c r="S883" t="s">
        <v>206</v>
      </c>
      <c r="T883">
        <v>2</v>
      </c>
      <c r="U883" t="s">
        <v>2596</v>
      </c>
      <c r="V883">
        <v>2</v>
      </c>
      <c r="W883" t="s">
        <v>2596</v>
      </c>
      <c r="X883">
        <v>2</v>
      </c>
      <c r="Y883">
        <f>VLOOKUP(Table_clu7sql1_ssdb_REPORT_vw_IE_External_MI_SON[[#This Row],[URN]],[1]Data!$D$2:$BB$1084,31,)</f>
        <v>2</v>
      </c>
      <c r="Z883">
        <v>9</v>
      </c>
      <c r="AA883">
        <v>2</v>
      </c>
      <c r="AB883" t="s">
        <v>2598</v>
      </c>
      <c r="AC883" t="s">
        <v>2596</v>
      </c>
      <c r="AD883" t="s">
        <v>2596</v>
      </c>
      <c r="AE883" t="s">
        <v>2596</v>
      </c>
      <c r="AF883" t="s">
        <v>2596</v>
      </c>
      <c r="AG883" t="s">
        <v>2596</v>
      </c>
      <c r="AH883" t="s">
        <v>2596</v>
      </c>
    </row>
    <row r="884" spans="1:34" x14ac:dyDescent="0.25">
      <c r="A884" s="111" t="str">
        <f>HYPERLINK("http://www.ofsted.gov.uk/inspection-reports/find-inspection-report/provider/ELS/141501 ","Ofsted School Webpage")</f>
        <v>Ofsted School Webpage</v>
      </c>
      <c r="B884">
        <v>141501</v>
      </c>
      <c r="C884">
        <v>3336007</v>
      </c>
      <c r="D884" t="s">
        <v>2183</v>
      </c>
      <c r="E884" t="s">
        <v>37</v>
      </c>
      <c r="F884" t="s">
        <v>644</v>
      </c>
      <c r="G884" t="s">
        <v>169</v>
      </c>
      <c r="H884" t="s">
        <v>2595</v>
      </c>
      <c r="I884" t="s">
        <v>2596</v>
      </c>
      <c r="J884" t="s">
        <v>143</v>
      </c>
      <c r="K884" t="s">
        <v>150</v>
      </c>
      <c r="L884" t="s">
        <v>150</v>
      </c>
      <c r="M884" t="s">
        <v>310</v>
      </c>
      <c r="N884" t="s">
        <v>2184</v>
      </c>
      <c r="O884">
        <v>10006307</v>
      </c>
      <c r="P884" s="108">
        <v>42480</v>
      </c>
      <c r="Q884" s="108">
        <v>42481</v>
      </c>
      <c r="R884" s="108">
        <v>42551</v>
      </c>
      <c r="S884" t="s">
        <v>206</v>
      </c>
      <c r="T884">
        <v>4</v>
      </c>
      <c r="U884" t="s">
        <v>124</v>
      </c>
      <c r="V884">
        <v>4</v>
      </c>
      <c r="W884">
        <v>4</v>
      </c>
      <c r="X884">
        <v>2</v>
      </c>
      <c r="Y884">
        <f>VLOOKUP(Table_clu7sql1_ssdb_REPORT_vw_IE_External_MI_SON[[#This Row],[URN]],[1]Data!$D$2:$BB$1084,31,)</f>
        <v>2</v>
      </c>
      <c r="Z884" t="s">
        <v>2596</v>
      </c>
      <c r="AA884" t="s">
        <v>2596</v>
      </c>
      <c r="AB884" t="s">
        <v>2599</v>
      </c>
      <c r="AC884">
        <v>10033635</v>
      </c>
      <c r="AD884" t="s">
        <v>144</v>
      </c>
      <c r="AE884" s="108">
        <v>42802</v>
      </c>
      <c r="AF884" t="s">
        <v>2634</v>
      </c>
      <c r="AG884" s="108">
        <v>42828</v>
      </c>
      <c r="AH884" t="s">
        <v>146</v>
      </c>
    </row>
    <row r="885" spans="1:34" x14ac:dyDescent="0.25">
      <c r="A885" s="111" t="str">
        <f>HYPERLINK("http://www.ofsted.gov.uk/inspection-reports/find-inspection-report/provider/ELS/141502 ","Ofsted School Webpage")</f>
        <v>Ofsted School Webpage</v>
      </c>
      <c r="B885">
        <v>141502</v>
      </c>
      <c r="C885">
        <v>8956001</v>
      </c>
      <c r="D885" t="s">
        <v>1386</v>
      </c>
      <c r="E885" t="s">
        <v>37</v>
      </c>
      <c r="F885" t="s">
        <v>142</v>
      </c>
      <c r="G885" t="s">
        <v>142</v>
      </c>
      <c r="H885" t="s">
        <v>2595</v>
      </c>
      <c r="I885" t="s">
        <v>2596</v>
      </c>
      <c r="J885" t="s">
        <v>143</v>
      </c>
      <c r="K885" t="s">
        <v>162</v>
      </c>
      <c r="L885" t="s">
        <v>162</v>
      </c>
      <c r="M885" t="s">
        <v>801</v>
      </c>
      <c r="N885" t="s">
        <v>1252</v>
      </c>
      <c r="O885">
        <v>10006313</v>
      </c>
      <c r="P885" s="108">
        <v>42451</v>
      </c>
      <c r="Q885" s="108">
        <v>42453</v>
      </c>
      <c r="R885" s="108">
        <v>42499</v>
      </c>
      <c r="S885" t="s">
        <v>206</v>
      </c>
      <c r="T885">
        <v>2</v>
      </c>
      <c r="U885" t="s">
        <v>123</v>
      </c>
      <c r="V885">
        <v>2</v>
      </c>
      <c r="W885">
        <v>2</v>
      </c>
      <c r="X885">
        <v>2</v>
      </c>
      <c r="Y885">
        <f>VLOOKUP(Table_clu7sql1_ssdb_REPORT_vw_IE_External_MI_SON[[#This Row],[URN]],[1]Data!$D$2:$BB$1084,31,)</f>
        <v>2</v>
      </c>
      <c r="Z885" t="s">
        <v>2596</v>
      </c>
      <c r="AA885" t="s">
        <v>2596</v>
      </c>
      <c r="AB885" t="s">
        <v>2598</v>
      </c>
      <c r="AC885" t="s">
        <v>2596</v>
      </c>
      <c r="AD885" t="s">
        <v>2596</v>
      </c>
      <c r="AE885" t="s">
        <v>2596</v>
      </c>
      <c r="AF885" t="s">
        <v>2596</v>
      </c>
      <c r="AG885" t="s">
        <v>2596</v>
      </c>
      <c r="AH885" t="s">
        <v>2596</v>
      </c>
    </row>
    <row r="886" spans="1:34" x14ac:dyDescent="0.25">
      <c r="A886" s="111" t="str">
        <f>HYPERLINK("http://www.ofsted.gov.uk/inspection-reports/find-inspection-report/provider/ELS/141515 ","Ofsted School Webpage")</f>
        <v>Ofsted School Webpage</v>
      </c>
      <c r="B886">
        <v>141515</v>
      </c>
      <c r="C886">
        <v>8786064</v>
      </c>
      <c r="D886" t="s">
        <v>1163</v>
      </c>
      <c r="E886" t="s">
        <v>37</v>
      </c>
      <c r="F886" t="s">
        <v>142</v>
      </c>
      <c r="G886" t="s">
        <v>142</v>
      </c>
      <c r="H886" t="s">
        <v>2595</v>
      </c>
      <c r="I886" t="s">
        <v>2596</v>
      </c>
      <c r="J886" t="s">
        <v>143</v>
      </c>
      <c r="K886" t="s">
        <v>182</v>
      </c>
      <c r="L886" t="s">
        <v>182</v>
      </c>
      <c r="M886" t="s">
        <v>323</v>
      </c>
      <c r="N886" t="s">
        <v>1164</v>
      </c>
      <c r="O886">
        <v>10006312</v>
      </c>
      <c r="P886" s="108">
        <v>42381</v>
      </c>
      <c r="Q886" s="108">
        <v>42383</v>
      </c>
      <c r="R886" s="108">
        <v>42430</v>
      </c>
      <c r="S886" t="s">
        <v>206</v>
      </c>
      <c r="T886">
        <v>3</v>
      </c>
      <c r="U886" t="s">
        <v>123</v>
      </c>
      <c r="V886">
        <v>3</v>
      </c>
      <c r="W886">
        <v>3</v>
      </c>
      <c r="X886">
        <v>3</v>
      </c>
      <c r="Y886">
        <f>VLOOKUP(Table_clu7sql1_ssdb_REPORT_vw_IE_External_MI_SON[[#This Row],[URN]],[1]Data!$D$2:$BB$1084,31,)</f>
        <v>3</v>
      </c>
      <c r="Z886" t="s">
        <v>2596</v>
      </c>
      <c r="AA886" t="s">
        <v>2596</v>
      </c>
      <c r="AB886" t="s">
        <v>2599</v>
      </c>
      <c r="AC886" t="s">
        <v>2596</v>
      </c>
      <c r="AD886" t="s">
        <v>2596</v>
      </c>
      <c r="AE886" t="s">
        <v>2596</v>
      </c>
      <c r="AF886" t="s">
        <v>2596</v>
      </c>
      <c r="AG886" t="s">
        <v>2596</v>
      </c>
      <c r="AH886" t="s">
        <v>2596</v>
      </c>
    </row>
    <row r="887" spans="1:34" x14ac:dyDescent="0.25">
      <c r="A887" s="111" t="str">
        <f>HYPERLINK("http://www.ofsted.gov.uk/inspection-reports/find-inspection-report/provider/ELS/141560 ","Ofsted School Webpage")</f>
        <v>Ofsted School Webpage</v>
      </c>
      <c r="B887">
        <v>141560</v>
      </c>
      <c r="C887">
        <v>3336008</v>
      </c>
      <c r="D887" t="s">
        <v>1698</v>
      </c>
      <c r="E887" t="s">
        <v>36</v>
      </c>
      <c r="F887" t="s">
        <v>142</v>
      </c>
      <c r="G887" t="s">
        <v>142</v>
      </c>
      <c r="H887" t="s">
        <v>2595</v>
      </c>
      <c r="I887" t="s">
        <v>2596</v>
      </c>
      <c r="J887" t="s">
        <v>143</v>
      </c>
      <c r="K887" t="s">
        <v>150</v>
      </c>
      <c r="L887" t="s">
        <v>150</v>
      </c>
      <c r="M887" t="s">
        <v>310</v>
      </c>
      <c r="N887" t="s">
        <v>1699</v>
      </c>
      <c r="O887">
        <v>10006308</v>
      </c>
      <c r="P887" s="108">
        <v>42858</v>
      </c>
      <c r="Q887" s="108">
        <v>42860</v>
      </c>
      <c r="R887" s="108">
        <v>42902</v>
      </c>
      <c r="S887" t="s">
        <v>206</v>
      </c>
      <c r="T887">
        <v>3</v>
      </c>
      <c r="U887" t="s">
        <v>123</v>
      </c>
      <c r="V887">
        <v>3</v>
      </c>
      <c r="W887">
        <v>2</v>
      </c>
      <c r="X887">
        <v>3</v>
      </c>
      <c r="Y887">
        <f>VLOOKUP(Table_clu7sql1_ssdb_REPORT_vw_IE_External_MI_SON[[#This Row],[URN]],[1]Data!$D$2:$BB$1084,31,)</f>
        <v>3</v>
      </c>
      <c r="Z887" t="s">
        <v>2596</v>
      </c>
      <c r="AA887" t="s">
        <v>2596</v>
      </c>
      <c r="AB887" t="s">
        <v>2598</v>
      </c>
      <c r="AC887" t="s">
        <v>2596</v>
      </c>
      <c r="AD887" t="s">
        <v>2596</v>
      </c>
      <c r="AE887" s="108" t="s">
        <v>2596</v>
      </c>
      <c r="AF887" t="s">
        <v>2596</v>
      </c>
      <c r="AG887" s="108" t="s">
        <v>2596</v>
      </c>
      <c r="AH887" t="s">
        <v>2596</v>
      </c>
    </row>
    <row r="888" spans="1:34" x14ac:dyDescent="0.25">
      <c r="A888" s="111" t="str">
        <f>HYPERLINK("http://www.ofsted.gov.uk/inspection-reports/find-inspection-report/provider/ELS/141562 ","Ofsted School Webpage")</f>
        <v>Ofsted School Webpage</v>
      </c>
      <c r="B888">
        <v>141562</v>
      </c>
      <c r="C888">
        <v>2106006</v>
      </c>
      <c r="D888" t="s">
        <v>1284</v>
      </c>
      <c r="E888" t="s">
        <v>36</v>
      </c>
      <c r="F888" t="s">
        <v>142</v>
      </c>
      <c r="G888" t="s">
        <v>169</v>
      </c>
      <c r="H888" t="s">
        <v>2595</v>
      </c>
      <c r="I888" t="s">
        <v>2596</v>
      </c>
      <c r="J888" t="s">
        <v>143</v>
      </c>
      <c r="K888" t="s">
        <v>189</v>
      </c>
      <c r="L888" t="s">
        <v>189</v>
      </c>
      <c r="M888" t="s">
        <v>505</v>
      </c>
      <c r="N888" t="s">
        <v>1285</v>
      </c>
      <c r="O888">
        <v>10006137</v>
      </c>
      <c r="P888" s="108">
        <v>42703</v>
      </c>
      <c r="Q888" s="108">
        <v>42705</v>
      </c>
      <c r="R888" s="108">
        <v>42752</v>
      </c>
      <c r="S888" t="s">
        <v>206</v>
      </c>
      <c r="T888">
        <v>2</v>
      </c>
      <c r="U888" t="s">
        <v>123</v>
      </c>
      <c r="V888">
        <v>2</v>
      </c>
      <c r="W888">
        <v>2</v>
      </c>
      <c r="X888">
        <v>2</v>
      </c>
      <c r="Y888">
        <f>VLOOKUP(Table_clu7sql1_ssdb_REPORT_vw_IE_External_MI_SON[[#This Row],[URN]],[1]Data!$D$2:$BB$1084,31,)</f>
        <v>2</v>
      </c>
      <c r="Z888" t="s">
        <v>2596</v>
      </c>
      <c r="AA888">
        <v>2</v>
      </c>
      <c r="AB888" t="s">
        <v>2598</v>
      </c>
      <c r="AC888" t="s">
        <v>2596</v>
      </c>
      <c r="AD888" t="s">
        <v>2596</v>
      </c>
      <c r="AE888" t="s">
        <v>2596</v>
      </c>
      <c r="AF888" t="s">
        <v>2596</v>
      </c>
      <c r="AG888" t="s">
        <v>2596</v>
      </c>
      <c r="AH888" t="s">
        <v>2596</v>
      </c>
    </row>
    <row r="889" spans="1:34" x14ac:dyDescent="0.25">
      <c r="A889" s="111" t="str">
        <f>HYPERLINK("http://www.ofsted.gov.uk/inspection-reports/find-inspection-report/provider/ELS/141603 ","Ofsted School Webpage")</f>
        <v>Ofsted School Webpage</v>
      </c>
      <c r="B889">
        <v>141603</v>
      </c>
      <c r="C889">
        <v>3806011</v>
      </c>
      <c r="D889" t="s">
        <v>1249</v>
      </c>
      <c r="E889" t="s">
        <v>37</v>
      </c>
      <c r="F889" t="s">
        <v>142</v>
      </c>
      <c r="G889" t="s">
        <v>142</v>
      </c>
      <c r="H889" t="s">
        <v>2595</v>
      </c>
      <c r="I889" t="s">
        <v>2596</v>
      </c>
      <c r="J889" t="s">
        <v>143</v>
      </c>
      <c r="K889" t="s">
        <v>202</v>
      </c>
      <c r="L889" t="s">
        <v>203</v>
      </c>
      <c r="M889" t="s">
        <v>295</v>
      </c>
      <c r="N889" t="s">
        <v>1250</v>
      </c>
      <c r="O889">
        <v>10006310</v>
      </c>
      <c r="P889" s="108">
        <v>42549</v>
      </c>
      <c r="Q889" s="108">
        <v>42551</v>
      </c>
      <c r="R889" s="108">
        <v>42625</v>
      </c>
      <c r="S889" t="s">
        <v>206</v>
      </c>
      <c r="T889">
        <v>3</v>
      </c>
      <c r="U889" t="s">
        <v>123</v>
      </c>
      <c r="V889">
        <v>3</v>
      </c>
      <c r="W889">
        <v>2</v>
      </c>
      <c r="X889">
        <v>2</v>
      </c>
      <c r="Y889">
        <f>VLOOKUP(Table_clu7sql1_ssdb_REPORT_vw_IE_External_MI_SON[[#This Row],[URN]],[1]Data!$D$2:$BB$1084,31,)</f>
        <v>3</v>
      </c>
      <c r="Z889" t="s">
        <v>2596</v>
      </c>
      <c r="AA889" t="s">
        <v>2596</v>
      </c>
      <c r="AB889" t="s">
        <v>2599</v>
      </c>
      <c r="AC889" t="s">
        <v>2596</v>
      </c>
      <c r="AD889" t="s">
        <v>2596</v>
      </c>
      <c r="AE889" t="s">
        <v>2596</v>
      </c>
      <c r="AF889" t="s">
        <v>2596</v>
      </c>
      <c r="AG889" t="s">
        <v>2596</v>
      </c>
      <c r="AH889" t="s">
        <v>2596</v>
      </c>
    </row>
    <row r="890" spans="1:34" x14ac:dyDescent="0.25">
      <c r="A890" s="111" t="str">
        <f>HYPERLINK("http://www.ofsted.gov.uk/inspection-reports/find-inspection-report/provider/ELS/141607 ","Ofsted School Webpage")</f>
        <v>Ofsted School Webpage</v>
      </c>
      <c r="B890">
        <v>141607</v>
      </c>
      <c r="C890">
        <v>3086004</v>
      </c>
      <c r="D890" t="s">
        <v>1290</v>
      </c>
      <c r="E890" t="s">
        <v>37</v>
      </c>
      <c r="F890" t="s">
        <v>142</v>
      </c>
      <c r="G890" t="s">
        <v>142</v>
      </c>
      <c r="H890" t="s">
        <v>2595</v>
      </c>
      <c r="I890" t="s">
        <v>2596</v>
      </c>
      <c r="J890" t="s">
        <v>143</v>
      </c>
      <c r="K890" t="s">
        <v>189</v>
      </c>
      <c r="L890" t="s">
        <v>189</v>
      </c>
      <c r="M890" t="s">
        <v>216</v>
      </c>
      <c r="N890" t="s">
        <v>1291</v>
      </c>
      <c r="O890">
        <v>10006305</v>
      </c>
      <c r="P890" s="108">
        <v>42403</v>
      </c>
      <c r="Q890" s="108">
        <v>42405</v>
      </c>
      <c r="R890" s="108">
        <v>42443</v>
      </c>
      <c r="S890" t="s">
        <v>206</v>
      </c>
      <c r="T890">
        <v>3</v>
      </c>
      <c r="U890" t="s">
        <v>123</v>
      </c>
      <c r="V890">
        <v>3</v>
      </c>
      <c r="W890">
        <v>2</v>
      </c>
      <c r="X890">
        <v>3</v>
      </c>
      <c r="Y890">
        <f>VLOOKUP(Table_clu7sql1_ssdb_REPORT_vw_IE_External_MI_SON[[#This Row],[URN]],[1]Data!$D$2:$BB$1084,31,)</f>
        <v>3</v>
      </c>
      <c r="Z890" t="s">
        <v>2596</v>
      </c>
      <c r="AA890" t="s">
        <v>2596</v>
      </c>
      <c r="AB890" t="s">
        <v>2598</v>
      </c>
      <c r="AC890" t="s">
        <v>2596</v>
      </c>
      <c r="AD890" t="s">
        <v>2596</v>
      </c>
      <c r="AE890" t="s">
        <v>2596</v>
      </c>
      <c r="AF890" t="s">
        <v>2596</v>
      </c>
      <c r="AG890" t="s">
        <v>2596</v>
      </c>
      <c r="AH890" t="s">
        <v>2596</v>
      </c>
    </row>
    <row r="891" spans="1:34" x14ac:dyDescent="0.25">
      <c r="A891" s="111" t="str">
        <f>HYPERLINK("http://www.ofsted.gov.uk/inspection-reports/find-inspection-report/provider/ELS/141608 ","Ofsted School Webpage")</f>
        <v>Ofsted School Webpage</v>
      </c>
      <c r="B891">
        <v>141608</v>
      </c>
      <c r="C891">
        <v>3816015</v>
      </c>
      <c r="D891" t="s">
        <v>1744</v>
      </c>
      <c r="E891" t="s">
        <v>37</v>
      </c>
      <c r="F891" t="s">
        <v>142</v>
      </c>
      <c r="G891" t="s">
        <v>142</v>
      </c>
      <c r="H891" t="s">
        <v>2595</v>
      </c>
      <c r="I891" t="s">
        <v>2596</v>
      </c>
      <c r="J891" t="s">
        <v>143</v>
      </c>
      <c r="K891" t="s">
        <v>202</v>
      </c>
      <c r="L891" t="s">
        <v>203</v>
      </c>
      <c r="M891" t="s">
        <v>1307</v>
      </c>
      <c r="N891" t="s">
        <v>1745</v>
      </c>
      <c r="O891">
        <v>10006311</v>
      </c>
      <c r="P891" s="108">
        <v>42430</v>
      </c>
      <c r="Q891" s="108">
        <v>42431</v>
      </c>
      <c r="R891" s="108">
        <v>42473</v>
      </c>
      <c r="S891" t="s">
        <v>206</v>
      </c>
      <c r="T891">
        <v>2</v>
      </c>
      <c r="U891" t="s">
        <v>123</v>
      </c>
      <c r="V891">
        <v>2</v>
      </c>
      <c r="W891">
        <v>2</v>
      </c>
      <c r="X891">
        <v>2</v>
      </c>
      <c r="Y891">
        <f>VLOOKUP(Table_clu7sql1_ssdb_REPORT_vw_IE_External_MI_SON[[#This Row],[URN]],[1]Data!$D$2:$BB$1084,31,)</f>
        <v>2</v>
      </c>
      <c r="Z891" t="s">
        <v>2596</v>
      </c>
      <c r="AA891" t="s">
        <v>2596</v>
      </c>
      <c r="AB891" t="s">
        <v>2598</v>
      </c>
      <c r="AC891" t="s">
        <v>2596</v>
      </c>
      <c r="AD891" t="s">
        <v>2596</v>
      </c>
      <c r="AE891" t="s">
        <v>2596</v>
      </c>
      <c r="AF891" t="s">
        <v>2596</v>
      </c>
      <c r="AG891" t="s">
        <v>2596</v>
      </c>
      <c r="AH891" t="s">
        <v>2596</v>
      </c>
    </row>
    <row r="892" spans="1:34" x14ac:dyDescent="0.25">
      <c r="A892" s="111" t="str">
        <f>HYPERLINK("http://www.ofsted.gov.uk/inspection-reports/find-inspection-report/provider/ELS/141680 ","Ofsted School Webpage")</f>
        <v>Ofsted School Webpage</v>
      </c>
      <c r="B892">
        <v>141680</v>
      </c>
      <c r="C892">
        <v>3526010</v>
      </c>
      <c r="D892" t="s">
        <v>488</v>
      </c>
      <c r="E892" t="s">
        <v>36</v>
      </c>
      <c r="F892" t="s">
        <v>142</v>
      </c>
      <c r="G892" t="s">
        <v>142</v>
      </c>
      <c r="H892" t="s">
        <v>2595</v>
      </c>
      <c r="I892" t="s">
        <v>2596</v>
      </c>
      <c r="J892" t="s">
        <v>143</v>
      </c>
      <c r="K892" t="s">
        <v>162</v>
      </c>
      <c r="L892" t="s">
        <v>162</v>
      </c>
      <c r="M892" t="s">
        <v>263</v>
      </c>
      <c r="N892" t="s">
        <v>489</v>
      </c>
      <c r="O892">
        <v>10006309</v>
      </c>
      <c r="P892" s="108">
        <v>42710</v>
      </c>
      <c r="Q892" s="108">
        <v>42712</v>
      </c>
      <c r="R892" s="108">
        <v>43007</v>
      </c>
      <c r="S892" t="s">
        <v>206</v>
      </c>
      <c r="T892">
        <v>4</v>
      </c>
      <c r="U892" t="s">
        <v>123</v>
      </c>
      <c r="V892">
        <v>4</v>
      </c>
      <c r="W892">
        <v>4</v>
      </c>
      <c r="X892">
        <v>3</v>
      </c>
      <c r="Y892">
        <f>VLOOKUP(Table_clu7sql1_ssdb_REPORT_vw_IE_External_MI_SON[[#This Row],[URN]],[1]Data!$D$2:$BB$1084,31,)</f>
        <v>3</v>
      </c>
      <c r="Z892" t="s">
        <v>2596</v>
      </c>
      <c r="AA892" t="s">
        <v>2596</v>
      </c>
      <c r="AB892" t="s">
        <v>2599</v>
      </c>
      <c r="AC892">
        <v>10040201</v>
      </c>
      <c r="AD892" t="s">
        <v>144</v>
      </c>
      <c r="AE892" s="108">
        <v>43005</v>
      </c>
      <c r="AF892" t="s">
        <v>2636</v>
      </c>
      <c r="AG892" s="108">
        <v>43039</v>
      </c>
      <c r="AH892" t="s">
        <v>174</v>
      </c>
    </row>
    <row r="893" spans="1:34" x14ac:dyDescent="0.25">
      <c r="A893" s="111" t="str">
        <f>HYPERLINK("http://www.ofsted.gov.uk/inspection-reports/find-inspection-report/provider/ELS/141697 ","Ofsted School Webpage")</f>
        <v>Ofsted School Webpage</v>
      </c>
      <c r="B893">
        <v>141697</v>
      </c>
      <c r="C893">
        <v>3056013</v>
      </c>
      <c r="D893" t="s">
        <v>539</v>
      </c>
      <c r="E893" t="s">
        <v>37</v>
      </c>
      <c r="F893" t="s">
        <v>142</v>
      </c>
      <c r="G893" t="s">
        <v>142</v>
      </c>
      <c r="H893" t="s">
        <v>2595</v>
      </c>
      <c r="I893" t="s">
        <v>2596</v>
      </c>
      <c r="J893" t="s">
        <v>143</v>
      </c>
      <c r="K893" t="s">
        <v>189</v>
      </c>
      <c r="L893" t="s">
        <v>189</v>
      </c>
      <c r="M893" t="s">
        <v>540</v>
      </c>
      <c r="N893" t="s">
        <v>541</v>
      </c>
      <c r="O893">
        <v>10006303</v>
      </c>
      <c r="P893" s="108">
        <v>42486</v>
      </c>
      <c r="Q893" s="108">
        <v>42488</v>
      </c>
      <c r="R893" s="108">
        <v>42557</v>
      </c>
      <c r="S893" t="s">
        <v>206</v>
      </c>
      <c r="T893">
        <v>2</v>
      </c>
      <c r="U893" t="s">
        <v>123</v>
      </c>
      <c r="V893">
        <v>2</v>
      </c>
      <c r="W893">
        <v>2</v>
      </c>
      <c r="X893">
        <v>2</v>
      </c>
      <c r="Y893">
        <f>VLOOKUP(Table_clu7sql1_ssdb_REPORT_vw_IE_External_MI_SON[[#This Row],[URN]],[1]Data!$D$2:$BB$1084,31,)</f>
        <v>2</v>
      </c>
      <c r="Z893" t="s">
        <v>2596</v>
      </c>
      <c r="AA893">
        <v>2</v>
      </c>
      <c r="AB893" t="s">
        <v>2598</v>
      </c>
      <c r="AC893" t="s">
        <v>2596</v>
      </c>
      <c r="AD893" t="s">
        <v>2596</v>
      </c>
      <c r="AE893" s="108" t="s">
        <v>2596</v>
      </c>
      <c r="AF893" t="s">
        <v>2596</v>
      </c>
      <c r="AG893" s="108" t="s">
        <v>2596</v>
      </c>
      <c r="AH893" t="s">
        <v>2596</v>
      </c>
    </row>
    <row r="894" spans="1:34" x14ac:dyDescent="0.25">
      <c r="A894" s="111" t="str">
        <f>HYPERLINK("http://www.ofsted.gov.uk/inspection-reports/find-inspection-report/provider/ELS/141701 ","Ofsted School Webpage")</f>
        <v>Ofsted School Webpage</v>
      </c>
      <c r="B894">
        <v>141701</v>
      </c>
      <c r="C894">
        <v>2106007</v>
      </c>
      <c r="D894" t="s">
        <v>1154</v>
      </c>
      <c r="E894" t="s">
        <v>37</v>
      </c>
      <c r="F894" t="s">
        <v>142</v>
      </c>
      <c r="G894" t="s">
        <v>142</v>
      </c>
      <c r="H894" t="s">
        <v>2595</v>
      </c>
      <c r="I894" t="s">
        <v>2596</v>
      </c>
      <c r="J894" t="s">
        <v>143</v>
      </c>
      <c r="K894" t="s">
        <v>189</v>
      </c>
      <c r="L894" t="s">
        <v>189</v>
      </c>
      <c r="M894" t="s">
        <v>505</v>
      </c>
      <c r="N894" t="s">
        <v>1155</v>
      </c>
      <c r="O894">
        <v>10006183</v>
      </c>
      <c r="P894" s="108">
        <v>42494</v>
      </c>
      <c r="Q894" s="108">
        <v>42496</v>
      </c>
      <c r="R894" s="108">
        <v>42562</v>
      </c>
      <c r="S894" t="s">
        <v>206</v>
      </c>
      <c r="T894">
        <v>4</v>
      </c>
      <c r="U894" t="s">
        <v>123</v>
      </c>
      <c r="V894">
        <v>4</v>
      </c>
      <c r="W894">
        <v>4</v>
      </c>
      <c r="X894">
        <v>4</v>
      </c>
      <c r="Y894">
        <f>VLOOKUP(Table_clu7sql1_ssdb_REPORT_vw_IE_External_MI_SON[[#This Row],[URN]],[1]Data!$D$2:$BB$1084,31,)</f>
        <v>4</v>
      </c>
      <c r="Z894" t="s">
        <v>2596</v>
      </c>
      <c r="AA894">
        <v>4</v>
      </c>
      <c r="AB894" t="s">
        <v>2599</v>
      </c>
      <c r="AC894">
        <v>10034016</v>
      </c>
      <c r="AD894" t="s">
        <v>144</v>
      </c>
      <c r="AE894" s="108">
        <v>42845</v>
      </c>
      <c r="AF894" t="s">
        <v>2634</v>
      </c>
      <c r="AG894" s="108">
        <v>42874</v>
      </c>
      <c r="AH894" t="s">
        <v>146</v>
      </c>
    </row>
    <row r="895" spans="1:34" x14ac:dyDescent="0.25">
      <c r="A895" s="111" t="str">
        <f>HYPERLINK("http://www.ofsted.gov.uk/inspection-reports/find-inspection-report/provider/ELS/141737 ","Ofsted School Webpage")</f>
        <v>Ofsted School Webpage</v>
      </c>
      <c r="B895">
        <v>141737</v>
      </c>
      <c r="C895">
        <v>2046011</v>
      </c>
      <c r="D895" t="s">
        <v>1638</v>
      </c>
      <c r="E895" t="s">
        <v>36</v>
      </c>
      <c r="F895" t="s">
        <v>142</v>
      </c>
      <c r="G895" t="s">
        <v>142</v>
      </c>
      <c r="H895" t="s">
        <v>2595</v>
      </c>
      <c r="I895" t="s">
        <v>2596</v>
      </c>
      <c r="J895" t="s">
        <v>143</v>
      </c>
      <c r="K895" t="s">
        <v>189</v>
      </c>
      <c r="L895" t="s">
        <v>189</v>
      </c>
      <c r="M895" t="s">
        <v>434</v>
      </c>
      <c r="N895" t="s">
        <v>1639</v>
      </c>
      <c r="O895">
        <v>10008634</v>
      </c>
      <c r="P895" s="108">
        <v>42395</v>
      </c>
      <c r="Q895" s="108">
        <v>42397</v>
      </c>
      <c r="R895" s="108">
        <v>42478</v>
      </c>
      <c r="S895" t="s">
        <v>206</v>
      </c>
      <c r="T895">
        <v>4</v>
      </c>
      <c r="U895" t="s">
        <v>124</v>
      </c>
      <c r="V895">
        <v>4</v>
      </c>
      <c r="W895">
        <v>4</v>
      </c>
      <c r="X895">
        <v>3</v>
      </c>
      <c r="Y895">
        <f>VLOOKUP(Table_clu7sql1_ssdb_REPORT_vw_IE_External_MI_SON[[#This Row],[URN]],[1]Data!$D$2:$BB$1084,31,)</f>
        <v>3</v>
      </c>
      <c r="Z895" t="s">
        <v>2596</v>
      </c>
      <c r="AA895">
        <v>4</v>
      </c>
      <c r="AB895" t="s">
        <v>2599</v>
      </c>
      <c r="AC895">
        <v>10022109</v>
      </c>
      <c r="AD895" t="s">
        <v>144</v>
      </c>
      <c r="AE895" s="108">
        <v>42663</v>
      </c>
      <c r="AF895" t="s">
        <v>2634</v>
      </c>
      <c r="AG895" s="108">
        <v>43014</v>
      </c>
      <c r="AH895" t="s">
        <v>146</v>
      </c>
    </row>
    <row r="896" spans="1:34" x14ac:dyDescent="0.25">
      <c r="A896" s="111" t="str">
        <f>HYPERLINK("http://www.ofsted.gov.uk/inspection-reports/find-inspection-report/provider/ELS/141753 ","Ofsted School Webpage")</f>
        <v>Ofsted School Webpage</v>
      </c>
      <c r="B896">
        <v>141753</v>
      </c>
      <c r="C896">
        <v>2076010</v>
      </c>
      <c r="D896" t="s">
        <v>2493</v>
      </c>
      <c r="E896" t="s">
        <v>36</v>
      </c>
      <c r="F896" t="s">
        <v>142</v>
      </c>
      <c r="G896" t="s">
        <v>142</v>
      </c>
      <c r="H896" t="s">
        <v>2595</v>
      </c>
      <c r="I896" t="s">
        <v>2596</v>
      </c>
      <c r="J896" t="s">
        <v>143</v>
      </c>
      <c r="K896" t="s">
        <v>189</v>
      </c>
      <c r="L896" t="s">
        <v>189</v>
      </c>
      <c r="M896" t="s">
        <v>251</v>
      </c>
      <c r="N896" t="s">
        <v>2494</v>
      </c>
      <c r="O896">
        <v>10008620</v>
      </c>
      <c r="P896" s="108">
        <v>42409</v>
      </c>
      <c r="Q896" s="108">
        <v>42411</v>
      </c>
      <c r="R896" s="108">
        <v>42438</v>
      </c>
      <c r="S896" t="s">
        <v>206</v>
      </c>
      <c r="T896">
        <v>2</v>
      </c>
      <c r="U896" t="s">
        <v>123</v>
      </c>
      <c r="V896">
        <v>2</v>
      </c>
      <c r="W896">
        <v>2</v>
      </c>
      <c r="X896">
        <v>2</v>
      </c>
      <c r="Y896">
        <f>VLOOKUP(Table_clu7sql1_ssdb_REPORT_vw_IE_External_MI_SON[[#This Row],[URN]],[1]Data!$D$2:$BB$1084,31,)</f>
        <v>2</v>
      </c>
      <c r="Z896">
        <v>2</v>
      </c>
      <c r="AA896" t="s">
        <v>2596</v>
      </c>
      <c r="AB896" t="s">
        <v>2598</v>
      </c>
      <c r="AC896" t="s">
        <v>2596</v>
      </c>
      <c r="AD896" t="s">
        <v>2596</v>
      </c>
      <c r="AE896" s="108" t="s">
        <v>2596</v>
      </c>
      <c r="AF896" t="s">
        <v>2596</v>
      </c>
      <c r="AG896" s="108" t="s">
        <v>2596</v>
      </c>
      <c r="AH896" t="s">
        <v>2596</v>
      </c>
    </row>
    <row r="897" spans="1:34" x14ac:dyDescent="0.25">
      <c r="A897" s="111" t="str">
        <f>HYPERLINK("http://www.ofsted.gov.uk/inspection-reports/find-inspection-report/provider/ELS/141859 ","Ofsted School Webpage")</f>
        <v>Ofsted School Webpage</v>
      </c>
      <c r="B897">
        <v>141859</v>
      </c>
      <c r="C897">
        <v>3096004</v>
      </c>
      <c r="D897" t="s">
        <v>649</v>
      </c>
      <c r="E897" t="s">
        <v>36</v>
      </c>
      <c r="F897" t="s">
        <v>142</v>
      </c>
      <c r="G897" t="s">
        <v>142</v>
      </c>
      <c r="H897" t="s">
        <v>2595</v>
      </c>
      <c r="I897" t="s">
        <v>2596</v>
      </c>
      <c r="J897" t="s">
        <v>143</v>
      </c>
      <c r="K897" t="s">
        <v>189</v>
      </c>
      <c r="L897" t="s">
        <v>189</v>
      </c>
      <c r="M897" t="s">
        <v>650</v>
      </c>
      <c r="N897" t="s">
        <v>651</v>
      </c>
      <c r="O897">
        <v>10041405</v>
      </c>
      <c r="P897" s="108">
        <v>43130</v>
      </c>
      <c r="Q897" s="108">
        <v>43132</v>
      </c>
      <c r="R897" s="108">
        <v>43157</v>
      </c>
      <c r="S897" t="s">
        <v>153</v>
      </c>
      <c r="T897">
        <v>2</v>
      </c>
      <c r="U897" t="s">
        <v>123</v>
      </c>
      <c r="V897">
        <v>2</v>
      </c>
      <c r="W897">
        <v>2</v>
      </c>
      <c r="X897">
        <v>2</v>
      </c>
      <c r="Y897">
        <f>VLOOKUP(Table_clu7sql1_ssdb_REPORT_vw_IE_External_MI_SON[[#This Row],[URN]],[1]Data!$D$2:$BB$1084,31,)</f>
        <v>2</v>
      </c>
      <c r="Z897" t="s">
        <v>2596</v>
      </c>
      <c r="AA897" t="s">
        <v>2596</v>
      </c>
      <c r="AB897" t="s">
        <v>2598</v>
      </c>
      <c r="AC897" t="s">
        <v>2596</v>
      </c>
      <c r="AD897" t="s">
        <v>2596</v>
      </c>
      <c r="AE897" t="s">
        <v>2596</v>
      </c>
      <c r="AF897" t="s">
        <v>2596</v>
      </c>
      <c r="AG897" t="s">
        <v>2596</v>
      </c>
      <c r="AH897" t="s">
        <v>2596</v>
      </c>
    </row>
    <row r="898" spans="1:34" x14ac:dyDescent="0.25">
      <c r="A898" s="111" t="str">
        <f>HYPERLINK("http://www.ofsted.gov.uk/inspection-reports/find-inspection-report/provider/ELS/141860 ","Ofsted School Webpage")</f>
        <v>Ofsted School Webpage</v>
      </c>
      <c r="B898">
        <v>141860</v>
      </c>
      <c r="C898">
        <v>3846003</v>
      </c>
      <c r="D898" t="s">
        <v>2228</v>
      </c>
      <c r="E898" t="s">
        <v>36</v>
      </c>
      <c r="F898" t="s">
        <v>142</v>
      </c>
      <c r="G898" t="s">
        <v>142</v>
      </c>
      <c r="H898" t="s">
        <v>2595</v>
      </c>
      <c r="I898" t="s">
        <v>2596</v>
      </c>
      <c r="J898" t="s">
        <v>143</v>
      </c>
      <c r="K898" t="s">
        <v>202</v>
      </c>
      <c r="L898" t="s">
        <v>203</v>
      </c>
      <c r="M898" t="s">
        <v>518</v>
      </c>
      <c r="N898" t="s">
        <v>2229</v>
      </c>
      <c r="O898">
        <v>10008622</v>
      </c>
      <c r="P898" s="108">
        <v>42409</v>
      </c>
      <c r="Q898" s="108">
        <v>42411</v>
      </c>
      <c r="R898" s="108">
        <v>42453</v>
      </c>
      <c r="S898" t="s">
        <v>206</v>
      </c>
      <c r="T898">
        <v>2</v>
      </c>
      <c r="U898" t="s">
        <v>123</v>
      </c>
      <c r="V898">
        <v>2</v>
      </c>
      <c r="W898">
        <v>2</v>
      </c>
      <c r="X898">
        <v>2</v>
      </c>
      <c r="Y898">
        <f>VLOOKUP(Table_clu7sql1_ssdb_REPORT_vw_IE_External_MI_SON[[#This Row],[URN]],[1]Data!$D$2:$BB$1084,31,)</f>
        <v>2</v>
      </c>
      <c r="Z898" t="s">
        <v>2596</v>
      </c>
      <c r="AA898" t="s">
        <v>2596</v>
      </c>
      <c r="AB898" t="s">
        <v>2598</v>
      </c>
      <c r="AC898" t="s">
        <v>2596</v>
      </c>
      <c r="AD898" t="s">
        <v>2596</v>
      </c>
      <c r="AE898" t="s">
        <v>2596</v>
      </c>
      <c r="AF898" t="s">
        <v>2596</v>
      </c>
      <c r="AG898" t="s">
        <v>2596</v>
      </c>
      <c r="AH898" t="s">
        <v>2596</v>
      </c>
    </row>
    <row r="899" spans="1:34" x14ac:dyDescent="0.25">
      <c r="A899" s="111" t="str">
        <f>HYPERLINK("http://www.ofsted.gov.uk/inspection-reports/find-inspection-report/provider/ELS/141861 ","Ofsted School Webpage")</f>
        <v>Ofsted School Webpage</v>
      </c>
      <c r="B899">
        <v>141861</v>
      </c>
      <c r="C899">
        <v>9266010</v>
      </c>
      <c r="D899" t="s">
        <v>542</v>
      </c>
      <c r="E899" t="s">
        <v>37</v>
      </c>
      <c r="F899" t="s">
        <v>142</v>
      </c>
      <c r="G899" t="s">
        <v>142</v>
      </c>
      <c r="H899" t="s">
        <v>2595</v>
      </c>
      <c r="I899" t="s">
        <v>2596</v>
      </c>
      <c r="J899" t="s">
        <v>143</v>
      </c>
      <c r="K899" t="s">
        <v>177</v>
      </c>
      <c r="L899" t="s">
        <v>177</v>
      </c>
      <c r="M899" t="s">
        <v>401</v>
      </c>
      <c r="N899" t="s">
        <v>543</v>
      </c>
      <c r="O899">
        <v>10008624</v>
      </c>
      <c r="P899" s="108">
        <v>42550</v>
      </c>
      <c r="Q899" s="108">
        <v>42552</v>
      </c>
      <c r="R899" s="108">
        <v>42621</v>
      </c>
      <c r="S899" t="s">
        <v>206</v>
      </c>
      <c r="T899">
        <v>2</v>
      </c>
      <c r="U899" t="s">
        <v>123</v>
      </c>
      <c r="V899">
        <v>2</v>
      </c>
      <c r="W899">
        <v>2</v>
      </c>
      <c r="X899">
        <v>2</v>
      </c>
      <c r="Y899">
        <f>VLOOKUP(Table_clu7sql1_ssdb_REPORT_vw_IE_External_MI_SON[[#This Row],[URN]],[1]Data!$D$2:$BB$1084,31,)</f>
        <v>2</v>
      </c>
      <c r="Z899" t="s">
        <v>2596</v>
      </c>
      <c r="AA899">
        <v>2</v>
      </c>
      <c r="AB899" t="s">
        <v>2598</v>
      </c>
      <c r="AC899" t="s">
        <v>2596</v>
      </c>
      <c r="AD899" t="s">
        <v>2596</v>
      </c>
      <c r="AE899" t="s">
        <v>2596</v>
      </c>
      <c r="AF899" t="s">
        <v>2596</v>
      </c>
      <c r="AG899" t="s">
        <v>2596</v>
      </c>
      <c r="AH899" t="s">
        <v>2596</v>
      </c>
    </row>
    <row r="900" spans="1:34" x14ac:dyDescent="0.25">
      <c r="A900" s="111" t="str">
        <f>HYPERLINK("http://www.ofsted.gov.uk/inspection-reports/find-inspection-report/provider/ELS/141864 ","Ofsted School Webpage")</f>
        <v>Ofsted School Webpage</v>
      </c>
      <c r="B900">
        <v>141864</v>
      </c>
      <c r="C900">
        <v>8886059</v>
      </c>
      <c r="D900" t="s">
        <v>1740</v>
      </c>
      <c r="E900" t="s">
        <v>37</v>
      </c>
      <c r="F900" t="s">
        <v>142</v>
      </c>
      <c r="G900" t="s">
        <v>142</v>
      </c>
      <c r="H900" t="s">
        <v>2595</v>
      </c>
      <c r="I900" t="s">
        <v>2596</v>
      </c>
      <c r="J900" t="s">
        <v>143</v>
      </c>
      <c r="K900" t="s">
        <v>162</v>
      </c>
      <c r="L900" t="s">
        <v>162</v>
      </c>
      <c r="M900" t="s">
        <v>163</v>
      </c>
      <c r="N900" t="s">
        <v>1741</v>
      </c>
      <c r="O900">
        <v>10008943</v>
      </c>
      <c r="P900" s="108">
        <v>42822</v>
      </c>
      <c r="Q900" s="108">
        <v>42824</v>
      </c>
      <c r="R900" s="108">
        <v>42859</v>
      </c>
      <c r="S900" t="s">
        <v>206</v>
      </c>
      <c r="T900">
        <v>2</v>
      </c>
      <c r="U900" t="s">
        <v>123</v>
      </c>
      <c r="V900">
        <v>1</v>
      </c>
      <c r="W900">
        <v>2</v>
      </c>
      <c r="X900">
        <v>2</v>
      </c>
      <c r="Y900">
        <f>VLOOKUP(Table_clu7sql1_ssdb_REPORT_vw_IE_External_MI_SON[[#This Row],[URN]],[1]Data!$D$2:$BB$1084,31,)</f>
        <v>2</v>
      </c>
      <c r="Z900" t="s">
        <v>2596</v>
      </c>
      <c r="AA900" t="s">
        <v>2596</v>
      </c>
      <c r="AB900" t="s">
        <v>2598</v>
      </c>
      <c r="AC900" t="s">
        <v>2596</v>
      </c>
      <c r="AD900" t="s">
        <v>2596</v>
      </c>
      <c r="AE900" t="s">
        <v>2596</v>
      </c>
      <c r="AF900" t="s">
        <v>2596</v>
      </c>
      <c r="AG900" t="s">
        <v>2596</v>
      </c>
      <c r="AH900" t="s">
        <v>2596</v>
      </c>
    </row>
    <row r="901" spans="1:34" x14ac:dyDescent="0.25">
      <c r="A901" s="111" t="str">
        <f>HYPERLINK("http://www.ofsted.gov.uk/inspection-reports/find-inspection-report/provider/ELS/141879 ","Ofsted School Webpage")</f>
        <v>Ofsted School Webpage</v>
      </c>
      <c r="B901">
        <v>141879</v>
      </c>
      <c r="C901">
        <v>8736052</v>
      </c>
      <c r="D901" t="s">
        <v>944</v>
      </c>
      <c r="E901" t="s">
        <v>37</v>
      </c>
      <c r="F901" t="s">
        <v>142</v>
      </c>
      <c r="G901" t="s">
        <v>142</v>
      </c>
      <c r="H901" t="s">
        <v>2595</v>
      </c>
      <c r="I901" t="s">
        <v>2596</v>
      </c>
      <c r="J901" t="s">
        <v>143</v>
      </c>
      <c r="K901" t="s">
        <v>177</v>
      </c>
      <c r="L901" t="s">
        <v>177</v>
      </c>
      <c r="M901" t="s">
        <v>241</v>
      </c>
      <c r="N901" t="s">
        <v>945</v>
      </c>
      <c r="O901">
        <v>10018105</v>
      </c>
      <c r="P901" s="108">
        <v>42528</v>
      </c>
      <c r="Q901" s="108">
        <v>42530</v>
      </c>
      <c r="R901" s="108">
        <v>42563</v>
      </c>
      <c r="S901" t="s">
        <v>206</v>
      </c>
      <c r="T901">
        <v>2</v>
      </c>
      <c r="U901" t="s">
        <v>123</v>
      </c>
      <c r="V901">
        <v>2</v>
      </c>
      <c r="W901">
        <v>2</v>
      </c>
      <c r="X901">
        <v>2</v>
      </c>
      <c r="Y901">
        <f>VLOOKUP(Table_clu7sql1_ssdb_REPORT_vw_IE_External_MI_SON[[#This Row],[URN]],[1]Data!$D$2:$BB$1084,31,)</f>
        <v>2</v>
      </c>
      <c r="Z901" t="s">
        <v>2596</v>
      </c>
      <c r="AA901">
        <v>2</v>
      </c>
      <c r="AB901" t="s">
        <v>2598</v>
      </c>
      <c r="AC901" t="s">
        <v>2596</v>
      </c>
      <c r="AD901" t="s">
        <v>2596</v>
      </c>
      <c r="AE901" t="s">
        <v>2596</v>
      </c>
      <c r="AF901" t="s">
        <v>2596</v>
      </c>
      <c r="AG901" t="s">
        <v>2596</v>
      </c>
      <c r="AH901" t="s">
        <v>2596</v>
      </c>
    </row>
    <row r="902" spans="1:34" x14ac:dyDescent="0.25">
      <c r="A902" s="111" t="str">
        <f>HYPERLINK("http://www.ofsted.gov.uk/inspection-reports/find-inspection-report/provider/ELS/141888 ","Ofsted School Webpage")</f>
        <v>Ofsted School Webpage</v>
      </c>
      <c r="B902">
        <v>141888</v>
      </c>
      <c r="C902">
        <v>3406003</v>
      </c>
      <c r="D902" t="s">
        <v>1344</v>
      </c>
      <c r="E902" t="s">
        <v>37</v>
      </c>
      <c r="F902" t="s">
        <v>142</v>
      </c>
      <c r="G902" t="s">
        <v>142</v>
      </c>
      <c r="H902" t="s">
        <v>2595</v>
      </c>
      <c r="I902" t="s">
        <v>2596</v>
      </c>
      <c r="J902" t="s">
        <v>143</v>
      </c>
      <c r="K902" t="s">
        <v>162</v>
      </c>
      <c r="L902" t="s">
        <v>162</v>
      </c>
      <c r="M902" t="s">
        <v>856</v>
      </c>
      <c r="N902" t="s">
        <v>1345</v>
      </c>
      <c r="O902">
        <v>10008626</v>
      </c>
      <c r="P902" s="108">
        <v>42648</v>
      </c>
      <c r="Q902" s="108">
        <v>42650</v>
      </c>
      <c r="R902" s="108">
        <v>42695</v>
      </c>
      <c r="S902" t="s">
        <v>206</v>
      </c>
      <c r="T902">
        <v>2</v>
      </c>
      <c r="U902" t="s">
        <v>123</v>
      </c>
      <c r="V902">
        <v>2</v>
      </c>
      <c r="W902">
        <v>2</v>
      </c>
      <c r="X902">
        <v>2</v>
      </c>
      <c r="Y902">
        <f>VLOOKUP(Table_clu7sql1_ssdb_REPORT_vw_IE_External_MI_SON[[#This Row],[URN]],[1]Data!$D$2:$BB$1084,31,)</f>
        <v>2</v>
      </c>
      <c r="Z902" t="s">
        <v>2596</v>
      </c>
      <c r="AA902" t="s">
        <v>2596</v>
      </c>
      <c r="AB902" t="s">
        <v>2598</v>
      </c>
      <c r="AC902" t="s">
        <v>2596</v>
      </c>
      <c r="AD902" t="s">
        <v>2596</v>
      </c>
      <c r="AE902" t="s">
        <v>2596</v>
      </c>
      <c r="AF902" t="s">
        <v>2596</v>
      </c>
      <c r="AG902" t="s">
        <v>2596</v>
      </c>
      <c r="AH902" t="s">
        <v>2596</v>
      </c>
    </row>
    <row r="903" spans="1:34" x14ac:dyDescent="0.25">
      <c r="A903" s="111" t="str">
        <f>HYPERLINK("http://www.ofsted.gov.uk/inspection-reports/find-inspection-report/provider/ELS/141954 ","Ofsted School Webpage")</f>
        <v>Ofsted School Webpage</v>
      </c>
      <c r="B903">
        <v>141954</v>
      </c>
      <c r="C903">
        <v>8416007</v>
      </c>
      <c r="D903" t="s">
        <v>544</v>
      </c>
      <c r="E903" t="s">
        <v>37</v>
      </c>
      <c r="F903" t="s">
        <v>142</v>
      </c>
      <c r="G903" t="s">
        <v>142</v>
      </c>
      <c r="H903" t="s">
        <v>2595</v>
      </c>
      <c r="I903" t="s">
        <v>2596</v>
      </c>
      <c r="J903" t="s">
        <v>143</v>
      </c>
      <c r="K903" t="s">
        <v>202</v>
      </c>
      <c r="L903" t="s">
        <v>234</v>
      </c>
      <c r="M903" t="s">
        <v>545</v>
      </c>
      <c r="N903" t="s">
        <v>546</v>
      </c>
      <c r="O903">
        <v>10008945</v>
      </c>
      <c r="P903" s="108">
        <v>42395</v>
      </c>
      <c r="Q903" s="108">
        <v>42397</v>
      </c>
      <c r="R903" s="108">
        <v>42438</v>
      </c>
      <c r="S903" t="s">
        <v>206</v>
      </c>
      <c r="T903">
        <v>1</v>
      </c>
      <c r="U903" t="s">
        <v>123</v>
      </c>
      <c r="V903">
        <v>1</v>
      </c>
      <c r="W903">
        <v>1</v>
      </c>
      <c r="X903">
        <v>1</v>
      </c>
      <c r="Y903">
        <f>VLOOKUP(Table_clu7sql1_ssdb_REPORT_vw_IE_External_MI_SON[[#This Row],[URN]],[1]Data!$D$2:$BB$1084,31,)</f>
        <v>1</v>
      </c>
      <c r="Z903" t="s">
        <v>2596</v>
      </c>
      <c r="AA903" t="s">
        <v>2596</v>
      </c>
      <c r="AB903" t="s">
        <v>2598</v>
      </c>
      <c r="AC903" t="s">
        <v>2596</v>
      </c>
      <c r="AD903" t="s">
        <v>2596</v>
      </c>
      <c r="AE903" t="s">
        <v>2596</v>
      </c>
      <c r="AF903" t="s">
        <v>2596</v>
      </c>
      <c r="AG903" t="s">
        <v>2596</v>
      </c>
      <c r="AH903" t="s">
        <v>2596</v>
      </c>
    </row>
    <row r="904" spans="1:34" x14ac:dyDescent="0.25">
      <c r="A904" s="111" t="str">
        <f>HYPERLINK("http://www.ofsted.gov.uk/inspection-reports/find-inspection-report/provider/ELS/141968 ","Ofsted School Webpage")</f>
        <v>Ofsted School Webpage</v>
      </c>
      <c r="B904">
        <v>141968</v>
      </c>
      <c r="C904">
        <v>3556002</v>
      </c>
      <c r="D904" t="s">
        <v>2260</v>
      </c>
      <c r="E904" t="s">
        <v>36</v>
      </c>
      <c r="F904" t="s">
        <v>142</v>
      </c>
      <c r="G904" t="s">
        <v>275</v>
      </c>
      <c r="H904" t="s">
        <v>2595</v>
      </c>
      <c r="I904" t="s">
        <v>2596</v>
      </c>
      <c r="J904" t="s">
        <v>143</v>
      </c>
      <c r="K904" t="s">
        <v>162</v>
      </c>
      <c r="L904" t="s">
        <v>162</v>
      </c>
      <c r="M904" t="s">
        <v>804</v>
      </c>
      <c r="N904" t="s">
        <v>2261</v>
      </c>
      <c r="O904">
        <v>10008628</v>
      </c>
      <c r="P904" s="108">
        <v>42556</v>
      </c>
      <c r="Q904" s="108">
        <v>42558</v>
      </c>
      <c r="R904" s="108">
        <v>42627</v>
      </c>
      <c r="S904" t="s">
        <v>206</v>
      </c>
      <c r="T904">
        <v>2</v>
      </c>
      <c r="U904" t="s">
        <v>123</v>
      </c>
      <c r="V904">
        <v>2</v>
      </c>
      <c r="W904">
        <v>1</v>
      </c>
      <c r="X904">
        <v>2</v>
      </c>
      <c r="Y904">
        <f>VLOOKUP(Table_clu7sql1_ssdb_REPORT_vw_IE_External_MI_SON[[#This Row],[URN]],[1]Data!$D$2:$BB$1084,31,)</f>
        <v>2</v>
      </c>
      <c r="Z904" t="s">
        <v>2596</v>
      </c>
      <c r="AA904" t="s">
        <v>2596</v>
      </c>
      <c r="AB904" t="s">
        <v>2598</v>
      </c>
      <c r="AC904" t="s">
        <v>2596</v>
      </c>
      <c r="AD904" t="s">
        <v>2596</v>
      </c>
      <c r="AE904" s="108" t="s">
        <v>2596</v>
      </c>
      <c r="AF904" t="s">
        <v>2596</v>
      </c>
      <c r="AG904" s="108" t="s">
        <v>2596</v>
      </c>
      <c r="AH904" t="s">
        <v>2596</v>
      </c>
    </row>
    <row r="905" spans="1:34" x14ac:dyDescent="0.25">
      <c r="A905" s="111" t="str">
        <f>HYPERLINK("http://www.ofsted.gov.uk/inspection-reports/find-inspection-report/provider/ELS/141994 ","Ofsted School Webpage")</f>
        <v>Ofsted School Webpage</v>
      </c>
      <c r="B905">
        <v>141994</v>
      </c>
      <c r="C905">
        <v>8306043</v>
      </c>
      <c r="D905" t="s">
        <v>923</v>
      </c>
      <c r="E905" t="s">
        <v>37</v>
      </c>
      <c r="F905" t="s">
        <v>142</v>
      </c>
      <c r="G905" t="s">
        <v>142</v>
      </c>
      <c r="H905" t="s">
        <v>2595</v>
      </c>
      <c r="I905" t="s">
        <v>2596</v>
      </c>
      <c r="J905" t="s">
        <v>143</v>
      </c>
      <c r="K905" t="s">
        <v>171</v>
      </c>
      <c r="L905" t="s">
        <v>171</v>
      </c>
      <c r="M905" t="s">
        <v>320</v>
      </c>
      <c r="N905" t="s">
        <v>924</v>
      </c>
      <c r="O905">
        <v>10008629</v>
      </c>
      <c r="P905" s="108">
        <v>42451</v>
      </c>
      <c r="Q905" s="108">
        <v>42453</v>
      </c>
      <c r="R905" s="108">
        <v>42488</v>
      </c>
      <c r="S905" t="s">
        <v>206</v>
      </c>
      <c r="T905">
        <v>1</v>
      </c>
      <c r="U905" t="s">
        <v>123</v>
      </c>
      <c r="V905">
        <v>1</v>
      </c>
      <c r="W905">
        <v>1</v>
      </c>
      <c r="X905">
        <v>1</v>
      </c>
      <c r="Y905">
        <f>VLOOKUP(Table_clu7sql1_ssdb_REPORT_vw_IE_External_MI_SON[[#This Row],[URN]],[1]Data!$D$2:$BB$1084,31,)</f>
        <v>1</v>
      </c>
      <c r="Z905" t="s">
        <v>2596</v>
      </c>
      <c r="AA905" t="s">
        <v>2596</v>
      </c>
      <c r="AB905" t="s">
        <v>2598</v>
      </c>
      <c r="AC905" t="s">
        <v>2596</v>
      </c>
      <c r="AD905" t="s">
        <v>2596</v>
      </c>
      <c r="AE905" t="s">
        <v>2596</v>
      </c>
      <c r="AF905" t="s">
        <v>2596</v>
      </c>
      <c r="AG905" t="s">
        <v>2596</v>
      </c>
      <c r="AH905" t="s">
        <v>2596</v>
      </c>
    </row>
    <row r="906" spans="1:34" x14ac:dyDescent="0.25">
      <c r="A906" s="111" t="str">
        <f>HYPERLINK("http://www.ofsted.gov.uk/inspection-reports/find-inspection-report/provider/ELS/142011 ","Ofsted School Webpage")</f>
        <v>Ofsted School Webpage</v>
      </c>
      <c r="B906">
        <v>142011</v>
      </c>
      <c r="C906">
        <v>8856043</v>
      </c>
      <c r="D906" t="s">
        <v>841</v>
      </c>
      <c r="E906" t="s">
        <v>37</v>
      </c>
      <c r="F906" t="s">
        <v>142</v>
      </c>
      <c r="G906" t="s">
        <v>142</v>
      </c>
      <c r="H906" t="s">
        <v>2595</v>
      </c>
      <c r="I906" t="s">
        <v>2596</v>
      </c>
      <c r="J906" t="s">
        <v>143</v>
      </c>
      <c r="K906" t="s">
        <v>150</v>
      </c>
      <c r="L906" t="s">
        <v>150</v>
      </c>
      <c r="M906" t="s">
        <v>842</v>
      </c>
      <c r="N906" t="s">
        <v>843</v>
      </c>
      <c r="O906">
        <v>10008631</v>
      </c>
      <c r="P906" s="108">
        <v>42472</v>
      </c>
      <c r="Q906" s="108">
        <v>42474</v>
      </c>
      <c r="R906" s="108">
        <v>42508</v>
      </c>
      <c r="S906" t="s">
        <v>206</v>
      </c>
      <c r="T906">
        <v>2</v>
      </c>
      <c r="U906" t="s">
        <v>123</v>
      </c>
      <c r="V906">
        <v>2</v>
      </c>
      <c r="W906">
        <v>1</v>
      </c>
      <c r="X906">
        <v>2</v>
      </c>
      <c r="Y906">
        <f>VLOOKUP(Table_clu7sql1_ssdb_REPORT_vw_IE_External_MI_SON[[#This Row],[URN]],[1]Data!$D$2:$BB$1084,31,)</f>
        <v>2</v>
      </c>
      <c r="Z906" t="s">
        <v>2596</v>
      </c>
      <c r="AA906">
        <v>2</v>
      </c>
      <c r="AB906" t="s">
        <v>2598</v>
      </c>
      <c r="AC906" t="s">
        <v>2596</v>
      </c>
      <c r="AD906" t="s">
        <v>2596</v>
      </c>
      <c r="AE906" t="s">
        <v>2596</v>
      </c>
      <c r="AF906" t="s">
        <v>2596</v>
      </c>
      <c r="AG906" t="s">
        <v>2596</v>
      </c>
      <c r="AH906" t="s">
        <v>2596</v>
      </c>
    </row>
    <row r="907" spans="1:34" x14ac:dyDescent="0.25">
      <c r="A907" s="111" t="str">
        <f>HYPERLINK("http://www.ofsted.gov.uk/inspection-reports/find-inspection-report/provider/ELS/142013 ","Ofsted School Webpage")</f>
        <v>Ofsted School Webpage</v>
      </c>
      <c r="B907">
        <v>142013</v>
      </c>
      <c r="C907">
        <v>8606041</v>
      </c>
      <c r="D907" t="s">
        <v>844</v>
      </c>
      <c r="E907" t="s">
        <v>37</v>
      </c>
      <c r="F907" t="s">
        <v>142</v>
      </c>
      <c r="G907" t="s">
        <v>142</v>
      </c>
      <c r="H907" t="s">
        <v>2595</v>
      </c>
      <c r="I907" t="s">
        <v>2596</v>
      </c>
      <c r="J907" t="s">
        <v>143</v>
      </c>
      <c r="K907" t="s">
        <v>150</v>
      </c>
      <c r="L907" t="s">
        <v>150</v>
      </c>
      <c r="M907" t="s">
        <v>271</v>
      </c>
      <c r="N907" t="s">
        <v>845</v>
      </c>
      <c r="O907">
        <v>10008632</v>
      </c>
      <c r="P907" s="108">
        <v>42438</v>
      </c>
      <c r="Q907" s="108">
        <v>42440</v>
      </c>
      <c r="R907" s="108">
        <v>42486</v>
      </c>
      <c r="S907" t="s">
        <v>206</v>
      </c>
      <c r="T907">
        <v>2</v>
      </c>
      <c r="U907" t="s">
        <v>123</v>
      </c>
      <c r="V907">
        <v>2</v>
      </c>
      <c r="W907">
        <v>1</v>
      </c>
      <c r="X907">
        <v>2</v>
      </c>
      <c r="Y907">
        <f>VLOOKUP(Table_clu7sql1_ssdb_REPORT_vw_IE_External_MI_SON[[#This Row],[URN]],[1]Data!$D$2:$BB$1084,31,)</f>
        <v>2</v>
      </c>
      <c r="Z907" t="s">
        <v>2596</v>
      </c>
      <c r="AA907">
        <v>2</v>
      </c>
      <c r="AB907" t="s">
        <v>2598</v>
      </c>
      <c r="AC907" t="s">
        <v>2596</v>
      </c>
      <c r="AD907" t="s">
        <v>2596</v>
      </c>
      <c r="AE907" t="s">
        <v>2596</v>
      </c>
      <c r="AF907" t="s">
        <v>2596</v>
      </c>
      <c r="AG907" t="s">
        <v>2596</v>
      </c>
      <c r="AH907" t="s">
        <v>2596</v>
      </c>
    </row>
    <row r="908" spans="1:34" x14ac:dyDescent="0.25">
      <c r="A908" s="111" t="str">
        <f>HYPERLINK("http://www.ofsted.gov.uk/inspection-reports/find-inspection-report/provider/ELS/142068 ","Ofsted School Webpage")</f>
        <v>Ofsted School Webpage</v>
      </c>
      <c r="B908">
        <v>142068</v>
      </c>
      <c r="C908">
        <v>3836003</v>
      </c>
      <c r="D908" t="s">
        <v>2912</v>
      </c>
      <c r="E908" t="s">
        <v>37</v>
      </c>
      <c r="F908" t="s">
        <v>142</v>
      </c>
      <c r="G908" t="s">
        <v>142</v>
      </c>
      <c r="H908" t="s">
        <v>2595</v>
      </c>
      <c r="I908" t="s">
        <v>2596</v>
      </c>
      <c r="J908" t="s">
        <v>143</v>
      </c>
      <c r="K908" t="s">
        <v>202</v>
      </c>
      <c r="L908" t="s">
        <v>203</v>
      </c>
      <c r="M908" t="s">
        <v>667</v>
      </c>
      <c r="N908" t="s">
        <v>817</v>
      </c>
      <c r="O908">
        <v>10008633</v>
      </c>
      <c r="P908" s="108">
        <v>42423</v>
      </c>
      <c r="Q908" s="108">
        <v>42424</v>
      </c>
      <c r="R908" s="108">
        <v>42453</v>
      </c>
      <c r="S908" t="s">
        <v>206</v>
      </c>
      <c r="T908">
        <v>2</v>
      </c>
      <c r="U908" t="s">
        <v>123</v>
      </c>
      <c r="V908">
        <v>2</v>
      </c>
      <c r="W908">
        <v>2</v>
      </c>
      <c r="X908">
        <v>2</v>
      </c>
      <c r="Y908">
        <f>VLOOKUP(Table_clu7sql1_ssdb_REPORT_vw_IE_External_MI_SON[[#This Row],[URN]],[1]Data!$D$2:$BB$1084,31,)</f>
        <v>2</v>
      </c>
      <c r="Z908" t="s">
        <v>2596</v>
      </c>
      <c r="AA908" t="s">
        <v>2596</v>
      </c>
      <c r="AB908" t="s">
        <v>2598</v>
      </c>
      <c r="AC908" t="s">
        <v>2596</v>
      </c>
      <c r="AD908" t="s">
        <v>2596</v>
      </c>
      <c r="AE908" t="s">
        <v>2596</v>
      </c>
      <c r="AF908" t="s">
        <v>2596</v>
      </c>
      <c r="AG908" t="s">
        <v>2596</v>
      </c>
      <c r="AH908" t="s">
        <v>2596</v>
      </c>
    </row>
    <row r="909" spans="1:34" x14ac:dyDescent="0.25">
      <c r="A909" s="111" t="str">
        <f>HYPERLINK("http://www.ofsted.gov.uk/inspection-reports/find-inspection-report/provider/ELS/142069 ","Ofsted School Webpage")</f>
        <v>Ofsted School Webpage</v>
      </c>
      <c r="B909">
        <v>142069</v>
      </c>
      <c r="C909">
        <v>8256044</v>
      </c>
      <c r="D909" t="s">
        <v>2913</v>
      </c>
      <c r="E909" t="s">
        <v>36</v>
      </c>
      <c r="F909" t="s">
        <v>142</v>
      </c>
      <c r="G909" t="s">
        <v>142</v>
      </c>
      <c r="H909" t="s">
        <v>2595</v>
      </c>
      <c r="I909" t="s">
        <v>2596</v>
      </c>
      <c r="J909" t="s">
        <v>143</v>
      </c>
      <c r="K909" t="s">
        <v>139</v>
      </c>
      <c r="L909" t="s">
        <v>139</v>
      </c>
      <c r="M909" t="s">
        <v>208</v>
      </c>
      <c r="N909" t="s">
        <v>1724</v>
      </c>
      <c r="O909">
        <v>10010521</v>
      </c>
      <c r="P909" s="108">
        <v>42696</v>
      </c>
      <c r="Q909" s="108">
        <v>42698</v>
      </c>
      <c r="R909" s="108">
        <v>42751</v>
      </c>
      <c r="S909" t="s">
        <v>206</v>
      </c>
      <c r="T909">
        <v>2</v>
      </c>
      <c r="U909" t="s">
        <v>123</v>
      </c>
      <c r="V909">
        <v>2</v>
      </c>
      <c r="W909">
        <v>2</v>
      </c>
      <c r="X909">
        <v>2</v>
      </c>
      <c r="Y909">
        <f>VLOOKUP(Table_clu7sql1_ssdb_REPORT_vw_IE_External_MI_SON[[#This Row],[URN]],[1]Data!$D$2:$BB$1084,31,)</f>
        <v>2</v>
      </c>
      <c r="Z909" t="s">
        <v>2596</v>
      </c>
      <c r="AA909" t="s">
        <v>2596</v>
      </c>
      <c r="AB909" t="s">
        <v>2598</v>
      </c>
      <c r="AC909" t="s">
        <v>2596</v>
      </c>
      <c r="AD909" t="s">
        <v>2596</v>
      </c>
      <c r="AE909" t="s">
        <v>2596</v>
      </c>
      <c r="AF909" t="s">
        <v>2596</v>
      </c>
      <c r="AG909" t="s">
        <v>2596</v>
      </c>
      <c r="AH909" t="s">
        <v>2596</v>
      </c>
    </row>
    <row r="910" spans="1:34" x14ac:dyDescent="0.25">
      <c r="A910" s="111" t="str">
        <f>HYPERLINK("http://www.ofsted.gov.uk/inspection-reports/find-inspection-report/provider/ELS/142115 ","Ofsted School Webpage")</f>
        <v>Ofsted School Webpage</v>
      </c>
      <c r="B910">
        <v>142115</v>
      </c>
      <c r="C910">
        <v>3306018</v>
      </c>
      <c r="D910" t="s">
        <v>2070</v>
      </c>
      <c r="E910" t="s">
        <v>36</v>
      </c>
      <c r="F910" t="s">
        <v>142</v>
      </c>
      <c r="G910" t="s">
        <v>142</v>
      </c>
      <c r="H910" t="s">
        <v>2595</v>
      </c>
      <c r="I910" t="s">
        <v>2596</v>
      </c>
      <c r="J910" t="s">
        <v>143</v>
      </c>
      <c r="K910" t="s">
        <v>150</v>
      </c>
      <c r="L910" t="s">
        <v>150</v>
      </c>
      <c r="M910" t="s">
        <v>167</v>
      </c>
      <c r="N910" t="s">
        <v>2071</v>
      </c>
      <c r="O910">
        <v>10012881</v>
      </c>
      <c r="P910" s="108">
        <v>42906</v>
      </c>
      <c r="Q910" s="108">
        <v>42908</v>
      </c>
      <c r="R910" s="108">
        <v>42937</v>
      </c>
      <c r="S910" t="s">
        <v>206</v>
      </c>
      <c r="T910">
        <v>2</v>
      </c>
      <c r="U910" t="s">
        <v>123</v>
      </c>
      <c r="V910">
        <v>2</v>
      </c>
      <c r="W910">
        <v>2</v>
      </c>
      <c r="X910">
        <v>2</v>
      </c>
      <c r="Y910">
        <f>VLOOKUP(Table_clu7sql1_ssdb_REPORT_vw_IE_External_MI_SON[[#This Row],[URN]],[1]Data!$D$2:$BB$1084,31,)</f>
        <v>2</v>
      </c>
      <c r="Z910" t="s">
        <v>2596</v>
      </c>
      <c r="AA910" t="s">
        <v>2596</v>
      </c>
      <c r="AB910" t="s">
        <v>2598</v>
      </c>
      <c r="AC910" t="s">
        <v>2596</v>
      </c>
      <c r="AD910" t="s">
        <v>2596</v>
      </c>
      <c r="AE910" t="s">
        <v>2596</v>
      </c>
      <c r="AF910" t="s">
        <v>2596</v>
      </c>
      <c r="AG910" t="s">
        <v>2596</v>
      </c>
      <c r="AH910" t="s">
        <v>2596</v>
      </c>
    </row>
    <row r="911" spans="1:34" x14ac:dyDescent="0.25">
      <c r="A911" s="111" t="str">
        <f>HYPERLINK("http://www.ofsted.gov.uk/inspection-reports/find-inspection-report/provider/ELS/142224 ","Ofsted School Webpage")</f>
        <v>Ofsted School Webpage</v>
      </c>
      <c r="B911">
        <v>142224</v>
      </c>
      <c r="C911">
        <v>3526011</v>
      </c>
      <c r="D911" t="s">
        <v>2072</v>
      </c>
      <c r="E911" t="s">
        <v>36</v>
      </c>
      <c r="F911" t="s">
        <v>142</v>
      </c>
      <c r="G911" t="s">
        <v>142</v>
      </c>
      <c r="H911" t="s">
        <v>2595</v>
      </c>
      <c r="I911" t="s">
        <v>2596</v>
      </c>
      <c r="J911" t="s">
        <v>143</v>
      </c>
      <c r="K911" t="s">
        <v>162</v>
      </c>
      <c r="L911" t="s">
        <v>162</v>
      </c>
      <c r="M911" t="s">
        <v>263</v>
      </c>
      <c r="N911" t="s">
        <v>2073</v>
      </c>
      <c r="O911">
        <v>10012848</v>
      </c>
      <c r="P911" s="108">
        <v>42501</v>
      </c>
      <c r="Q911" s="108">
        <v>42502</v>
      </c>
      <c r="R911" s="108">
        <v>42534</v>
      </c>
      <c r="S911" t="s">
        <v>206</v>
      </c>
      <c r="T911">
        <v>3</v>
      </c>
      <c r="U911" t="s">
        <v>123</v>
      </c>
      <c r="V911">
        <v>3</v>
      </c>
      <c r="W911">
        <v>3</v>
      </c>
      <c r="X911">
        <v>3</v>
      </c>
      <c r="Y911">
        <f>VLOOKUP(Table_clu7sql1_ssdb_REPORT_vw_IE_External_MI_SON[[#This Row],[URN]],[1]Data!$D$2:$BB$1084,31,)</f>
        <v>3</v>
      </c>
      <c r="Z911" t="s">
        <v>2596</v>
      </c>
      <c r="AA911" t="s">
        <v>2596</v>
      </c>
      <c r="AB911" t="s">
        <v>2599</v>
      </c>
      <c r="AC911" t="s">
        <v>2596</v>
      </c>
      <c r="AD911" t="s">
        <v>2596</v>
      </c>
      <c r="AE911" s="108" t="s">
        <v>2596</v>
      </c>
      <c r="AF911" t="s">
        <v>2596</v>
      </c>
      <c r="AG911" s="108" t="s">
        <v>2596</v>
      </c>
      <c r="AH911" t="s">
        <v>2596</v>
      </c>
    </row>
    <row r="912" spans="1:34" x14ac:dyDescent="0.25">
      <c r="A912" s="111" t="str">
        <f>HYPERLINK("http://www.ofsted.gov.uk/inspection-reports/find-inspection-report/provider/ELS/142225 ","Ofsted School Webpage")</f>
        <v>Ofsted School Webpage</v>
      </c>
      <c r="B912">
        <v>142225</v>
      </c>
      <c r="C912">
        <v>3566000</v>
      </c>
      <c r="D912" t="s">
        <v>2914</v>
      </c>
      <c r="E912" t="s">
        <v>37</v>
      </c>
      <c r="F912" t="s">
        <v>142</v>
      </c>
      <c r="G912" t="s">
        <v>142</v>
      </c>
      <c r="H912" t="s">
        <v>2595</v>
      </c>
      <c r="I912" t="s">
        <v>2596</v>
      </c>
      <c r="J912" t="s">
        <v>143</v>
      </c>
      <c r="K912" t="s">
        <v>162</v>
      </c>
      <c r="L912" t="s">
        <v>162</v>
      </c>
      <c r="M912" t="s">
        <v>302</v>
      </c>
      <c r="N912" t="s">
        <v>2074</v>
      </c>
      <c r="O912">
        <v>10012844</v>
      </c>
      <c r="P912" s="108">
        <v>42563</v>
      </c>
      <c r="Q912" s="108">
        <v>42565</v>
      </c>
      <c r="R912" s="108">
        <v>42627</v>
      </c>
      <c r="S912" t="s">
        <v>206</v>
      </c>
      <c r="T912">
        <v>2</v>
      </c>
      <c r="U912" t="s">
        <v>123</v>
      </c>
      <c r="V912">
        <v>2</v>
      </c>
      <c r="W912">
        <v>2</v>
      </c>
      <c r="X912">
        <v>2</v>
      </c>
      <c r="Y912">
        <f>VLOOKUP(Table_clu7sql1_ssdb_REPORT_vw_IE_External_MI_SON[[#This Row],[URN]],[1]Data!$D$2:$BB$1084,31,)</f>
        <v>2</v>
      </c>
      <c r="Z912" t="s">
        <v>2596</v>
      </c>
      <c r="AA912" t="s">
        <v>2596</v>
      </c>
      <c r="AB912" t="s">
        <v>2598</v>
      </c>
      <c r="AC912" t="s">
        <v>2596</v>
      </c>
      <c r="AD912" t="s">
        <v>2596</v>
      </c>
      <c r="AE912" s="108" t="s">
        <v>2596</v>
      </c>
      <c r="AF912" t="s">
        <v>2596</v>
      </c>
      <c r="AG912" s="108" t="s">
        <v>2596</v>
      </c>
      <c r="AH912" t="s">
        <v>2596</v>
      </c>
    </row>
    <row r="913" spans="1:34" x14ac:dyDescent="0.25">
      <c r="A913" s="111" t="str">
        <f>HYPERLINK("http://www.ofsted.gov.uk/inspection-reports/find-inspection-report/provider/ELS/142320 ","Ofsted School Webpage")</f>
        <v>Ofsted School Webpage</v>
      </c>
      <c r="B913">
        <v>142320</v>
      </c>
      <c r="C913">
        <v>3706000</v>
      </c>
      <c r="D913" t="s">
        <v>1224</v>
      </c>
      <c r="E913" t="s">
        <v>37</v>
      </c>
      <c r="F913" t="s">
        <v>142</v>
      </c>
      <c r="G913" t="s">
        <v>142</v>
      </c>
      <c r="H913" t="s">
        <v>2595</v>
      </c>
      <c r="I913" t="s">
        <v>2596</v>
      </c>
      <c r="J913" t="s">
        <v>143</v>
      </c>
      <c r="K913" t="s">
        <v>202</v>
      </c>
      <c r="L913" t="s">
        <v>203</v>
      </c>
      <c r="M913" t="s">
        <v>521</v>
      </c>
      <c r="N913" t="s">
        <v>2075</v>
      </c>
      <c r="O913">
        <v>10012849</v>
      </c>
      <c r="P913" s="108">
        <v>42472</v>
      </c>
      <c r="Q913" s="108">
        <v>42474</v>
      </c>
      <c r="R913" s="108">
        <v>42521</v>
      </c>
      <c r="S913" t="s">
        <v>206</v>
      </c>
      <c r="T913">
        <v>2</v>
      </c>
      <c r="U913" t="s">
        <v>123</v>
      </c>
      <c r="V913">
        <v>2</v>
      </c>
      <c r="W913">
        <v>2</v>
      </c>
      <c r="X913">
        <v>2</v>
      </c>
      <c r="Y913">
        <f>VLOOKUP(Table_clu7sql1_ssdb_REPORT_vw_IE_External_MI_SON[[#This Row],[URN]],[1]Data!$D$2:$BB$1084,31,)</f>
        <v>2</v>
      </c>
      <c r="Z913" t="s">
        <v>2596</v>
      </c>
      <c r="AA913" t="s">
        <v>2596</v>
      </c>
      <c r="AB913" t="s">
        <v>2598</v>
      </c>
      <c r="AC913" t="s">
        <v>2596</v>
      </c>
      <c r="AD913" t="s">
        <v>2596</v>
      </c>
      <c r="AE913" t="s">
        <v>2596</v>
      </c>
      <c r="AF913" t="s">
        <v>2596</v>
      </c>
      <c r="AG913" t="s">
        <v>2596</v>
      </c>
      <c r="AH913" t="s">
        <v>2596</v>
      </c>
    </row>
    <row r="914" spans="1:34" x14ac:dyDescent="0.25">
      <c r="A914" s="111" t="str">
        <f>HYPERLINK("http://www.ofsted.gov.uk/inspection-reports/find-inspection-report/provider/ELS/142322 ","Ofsted School Webpage")</f>
        <v>Ofsted School Webpage</v>
      </c>
      <c r="B914">
        <v>142322</v>
      </c>
      <c r="C914">
        <v>8266015</v>
      </c>
      <c r="D914" t="s">
        <v>2076</v>
      </c>
      <c r="E914" t="s">
        <v>37</v>
      </c>
      <c r="F914" t="s">
        <v>142</v>
      </c>
      <c r="G914" t="s">
        <v>142</v>
      </c>
      <c r="H914" t="s">
        <v>2595</v>
      </c>
      <c r="I914" t="s">
        <v>2596</v>
      </c>
      <c r="J914" t="s">
        <v>143</v>
      </c>
      <c r="K914" t="s">
        <v>139</v>
      </c>
      <c r="L914" t="s">
        <v>139</v>
      </c>
      <c r="M914" t="s">
        <v>2077</v>
      </c>
      <c r="N914" t="s">
        <v>2078</v>
      </c>
      <c r="O914">
        <v>10012899</v>
      </c>
      <c r="P914" s="108">
        <v>42654</v>
      </c>
      <c r="Q914" s="108">
        <v>42656</v>
      </c>
      <c r="R914" s="108">
        <v>42681</v>
      </c>
      <c r="S914" t="s">
        <v>206</v>
      </c>
      <c r="T914">
        <v>2</v>
      </c>
      <c r="U914" t="s">
        <v>123</v>
      </c>
      <c r="V914">
        <v>2</v>
      </c>
      <c r="W914">
        <v>2</v>
      </c>
      <c r="X914">
        <v>2</v>
      </c>
      <c r="Y914">
        <f>VLOOKUP(Table_clu7sql1_ssdb_REPORT_vw_IE_External_MI_SON[[#This Row],[URN]],[1]Data!$D$2:$BB$1084,31,)</f>
        <v>2</v>
      </c>
      <c r="Z914" t="s">
        <v>2596</v>
      </c>
      <c r="AA914" t="s">
        <v>2596</v>
      </c>
      <c r="AB914" t="s">
        <v>2598</v>
      </c>
      <c r="AC914" t="s">
        <v>2596</v>
      </c>
      <c r="AD914" t="s">
        <v>2596</v>
      </c>
      <c r="AE914" s="108" t="s">
        <v>2596</v>
      </c>
      <c r="AF914" t="s">
        <v>2596</v>
      </c>
      <c r="AG914" s="108" t="s">
        <v>2596</v>
      </c>
      <c r="AH914" t="s">
        <v>2596</v>
      </c>
    </row>
    <row r="915" spans="1:34" x14ac:dyDescent="0.25">
      <c r="A915" s="111" t="str">
        <f>HYPERLINK("http://www.ofsted.gov.uk/inspection-reports/find-inspection-report/provider/ELS/142324 ","Ofsted School Webpage")</f>
        <v>Ofsted School Webpage</v>
      </c>
      <c r="B915">
        <v>142324</v>
      </c>
      <c r="C915">
        <v>3816016</v>
      </c>
      <c r="D915" t="s">
        <v>2331</v>
      </c>
      <c r="E915" t="s">
        <v>37</v>
      </c>
      <c r="F915" t="s">
        <v>142</v>
      </c>
      <c r="G915" t="s">
        <v>142</v>
      </c>
      <c r="H915" t="s">
        <v>2595</v>
      </c>
      <c r="I915" t="s">
        <v>2596</v>
      </c>
      <c r="J915" t="s">
        <v>143</v>
      </c>
      <c r="K915" t="s">
        <v>202</v>
      </c>
      <c r="L915" t="s">
        <v>203</v>
      </c>
      <c r="M915" t="s">
        <v>1307</v>
      </c>
      <c r="N915" t="s">
        <v>2332</v>
      </c>
      <c r="O915">
        <v>10012870</v>
      </c>
      <c r="P915" s="108">
        <v>42549</v>
      </c>
      <c r="Q915" s="108">
        <v>42551</v>
      </c>
      <c r="R915" s="108">
        <v>42634</v>
      </c>
      <c r="S915" t="s">
        <v>206</v>
      </c>
      <c r="T915">
        <v>2</v>
      </c>
      <c r="U915" t="s">
        <v>123</v>
      </c>
      <c r="V915">
        <v>2</v>
      </c>
      <c r="W915">
        <v>2</v>
      </c>
      <c r="X915">
        <v>2</v>
      </c>
      <c r="Y915">
        <f>VLOOKUP(Table_clu7sql1_ssdb_REPORT_vw_IE_External_MI_SON[[#This Row],[URN]],[1]Data!$D$2:$BB$1084,31,)</f>
        <v>2</v>
      </c>
      <c r="Z915" t="s">
        <v>2596</v>
      </c>
      <c r="AA915" t="s">
        <v>2596</v>
      </c>
      <c r="AB915" t="s">
        <v>2598</v>
      </c>
      <c r="AC915" t="s">
        <v>2596</v>
      </c>
      <c r="AD915" t="s">
        <v>2596</v>
      </c>
      <c r="AE915" t="s">
        <v>2596</v>
      </c>
      <c r="AF915" t="s">
        <v>2596</v>
      </c>
      <c r="AG915" t="s">
        <v>2596</v>
      </c>
      <c r="AH915" t="s">
        <v>2596</v>
      </c>
    </row>
    <row r="916" spans="1:34" x14ac:dyDescent="0.25">
      <c r="A916" s="111" t="str">
        <f>HYPERLINK("http://www.ofsted.gov.uk/inspection-reports/find-inspection-report/provider/ELS/142325 ","Ofsted School Webpage")</f>
        <v>Ofsted School Webpage</v>
      </c>
      <c r="B916">
        <v>142325</v>
      </c>
      <c r="C916">
        <v>8686023</v>
      </c>
      <c r="D916" t="s">
        <v>2333</v>
      </c>
      <c r="E916" t="s">
        <v>37</v>
      </c>
      <c r="F916" t="s">
        <v>142</v>
      </c>
      <c r="G916" t="s">
        <v>142</v>
      </c>
      <c r="H916" t="s">
        <v>2595</v>
      </c>
      <c r="I916" t="s">
        <v>2596</v>
      </c>
      <c r="J916" t="s">
        <v>143</v>
      </c>
      <c r="K916" t="s">
        <v>139</v>
      </c>
      <c r="L916" t="s">
        <v>139</v>
      </c>
      <c r="M916" t="s">
        <v>1436</v>
      </c>
      <c r="N916" t="s">
        <v>2334</v>
      </c>
      <c r="O916">
        <v>10012889</v>
      </c>
      <c r="P916" s="108">
        <v>42556</v>
      </c>
      <c r="Q916" s="108">
        <v>42558</v>
      </c>
      <c r="R916" s="108">
        <v>42618</v>
      </c>
      <c r="S916" t="s">
        <v>206</v>
      </c>
      <c r="T916">
        <v>2</v>
      </c>
      <c r="U916" t="s">
        <v>123</v>
      </c>
      <c r="V916">
        <v>2</v>
      </c>
      <c r="W916">
        <v>2</v>
      </c>
      <c r="X916">
        <v>2</v>
      </c>
      <c r="Y916">
        <f>VLOOKUP(Table_clu7sql1_ssdb_REPORT_vw_IE_External_MI_SON[[#This Row],[URN]],[1]Data!$D$2:$BB$1084,31,)</f>
        <v>2</v>
      </c>
      <c r="Z916" t="s">
        <v>2596</v>
      </c>
      <c r="AA916">
        <v>3</v>
      </c>
      <c r="AB916" t="s">
        <v>2598</v>
      </c>
      <c r="AC916" t="s">
        <v>2596</v>
      </c>
      <c r="AD916" t="s">
        <v>2596</v>
      </c>
      <c r="AE916" t="s">
        <v>2596</v>
      </c>
      <c r="AF916" t="s">
        <v>2596</v>
      </c>
      <c r="AG916" t="s">
        <v>2596</v>
      </c>
      <c r="AH916" t="s">
        <v>2596</v>
      </c>
    </row>
    <row r="917" spans="1:34" x14ac:dyDescent="0.25">
      <c r="A917" s="111" t="str">
        <f>HYPERLINK("http://www.ofsted.gov.uk/inspection-reports/find-inspection-report/provider/ELS/142328 ","Ofsted School Webpage")</f>
        <v>Ofsted School Webpage</v>
      </c>
      <c r="B917">
        <v>142328</v>
      </c>
      <c r="C917">
        <v>9366005</v>
      </c>
      <c r="D917" t="s">
        <v>2335</v>
      </c>
      <c r="E917" t="s">
        <v>37</v>
      </c>
      <c r="F917" t="s">
        <v>142</v>
      </c>
      <c r="G917" t="s">
        <v>142</v>
      </c>
      <c r="H917" t="s">
        <v>2595</v>
      </c>
      <c r="I917" t="s">
        <v>2596</v>
      </c>
      <c r="J917" t="s">
        <v>143</v>
      </c>
      <c r="K917" t="s">
        <v>139</v>
      </c>
      <c r="L917" t="s">
        <v>139</v>
      </c>
      <c r="M917" t="s">
        <v>535</v>
      </c>
      <c r="N917" t="s">
        <v>352</v>
      </c>
      <c r="O917">
        <v>10034346</v>
      </c>
      <c r="P917" s="108">
        <v>42899</v>
      </c>
      <c r="Q917" s="108">
        <v>42900</v>
      </c>
      <c r="R917" s="108">
        <v>42930</v>
      </c>
      <c r="S917" t="s">
        <v>206</v>
      </c>
      <c r="T917">
        <v>3</v>
      </c>
      <c r="U917" t="s">
        <v>123</v>
      </c>
      <c r="V917">
        <v>3</v>
      </c>
      <c r="W917">
        <v>2</v>
      </c>
      <c r="X917">
        <v>0</v>
      </c>
      <c r="Y917">
        <f>VLOOKUP(Table_clu7sql1_ssdb_REPORT_vw_IE_External_MI_SON[[#This Row],[URN]],[1]Data!$D$2:$BB$1084,31,)</f>
        <v>0</v>
      </c>
      <c r="Z917" t="s">
        <v>2596</v>
      </c>
      <c r="AA917" t="s">
        <v>2596</v>
      </c>
      <c r="AB917" t="s">
        <v>2598</v>
      </c>
      <c r="AC917" t="s">
        <v>2596</v>
      </c>
      <c r="AD917" t="s">
        <v>2596</v>
      </c>
      <c r="AE917" s="108" t="s">
        <v>2596</v>
      </c>
      <c r="AF917" t="s">
        <v>2596</v>
      </c>
      <c r="AG917" s="108" t="s">
        <v>2596</v>
      </c>
      <c r="AH917" t="s">
        <v>2596</v>
      </c>
    </row>
    <row r="918" spans="1:34" x14ac:dyDescent="0.25">
      <c r="A918" s="111" t="str">
        <f>HYPERLINK("http://www.ofsted.gov.uk/inspection-reports/find-inspection-report/provider/ELS/142329 ","Ofsted School Webpage")</f>
        <v>Ofsted School Webpage</v>
      </c>
      <c r="B918">
        <v>142329</v>
      </c>
      <c r="C918">
        <v>3046001</v>
      </c>
      <c r="D918" t="s">
        <v>2336</v>
      </c>
      <c r="E918" t="s">
        <v>36</v>
      </c>
      <c r="F918" t="s">
        <v>142</v>
      </c>
      <c r="G918" t="s">
        <v>142</v>
      </c>
      <c r="H918" t="s">
        <v>2595</v>
      </c>
      <c r="I918" t="s">
        <v>2596</v>
      </c>
      <c r="J918" t="s">
        <v>143</v>
      </c>
      <c r="K918" t="s">
        <v>189</v>
      </c>
      <c r="L918" t="s">
        <v>189</v>
      </c>
      <c r="M918" t="s">
        <v>702</v>
      </c>
      <c r="N918" t="s">
        <v>2337</v>
      </c>
      <c r="O918">
        <v>10012797</v>
      </c>
      <c r="P918" s="108">
        <v>42759</v>
      </c>
      <c r="Q918" s="108">
        <v>42761</v>
      </c>
      <c r="R918" s="108">
        <v>42801</v>
      </c>
      <c r="S918" t="s">
        <v>206</v>
      </c>
      <c r="T918">
        <v>3</v>
      </c>
      <c r="U918" t="s">
        <v>123</v>
      </c>
      <c r="V918">
        <v>3</v>
      </c>
      <c r="W918">
        <v>2</v>
      </c>
      <c r="X918">
        <v>3</v>
      </c>
      <c r="Y918">
        <f>VLOOKUP(Table_clu7sql1_ssdb_REPORT_vw_IE_External_MI_SON[[#This Row],[URN]],[1]Data!$D$2:$BB$1084,31,)</f>
        <v>3</v>
      </c>
      <c r="Z918" t="s">
        <v>2596</v>
      </c>
      <c r="AA918">
        <v>2</v>
      </c>
      <c r="AB918" t="s">
        <v>2598</v>
      </c>
      <c r="AC918" t="s">
        <v>2596</v>
      </c>
      <c r="AD918" t="s">
        <v>2596</v>
      </c>
      <c r="AE918" s="108" t="s">
        <v>2596</v>
      </c>
      <c r="AF918" t="s">
        <v>2596</v>
      </c>
      <c r="AG918" s="108" t="s">
        <v>2596</v>
      </c>
      <c r="AH918" t="s">
        <v>2596</v>
      </c>
    </row>
    <row r="919" spans="1:34" x14ac:dyDescent="0.25">
      <c r="A919" s="111" t="str">
        <f>HYPERLINK("http://www.ofsted.gov.uk/inspection-reports/find-inspection-report/provider/ELS/142330 ","Ofsted School Webpage")</f>
        <v>Ofsted School Webpage</v>
      </c>
      <c r="B919">
        <v>142330</v>
      </c>
      <c r="C919">
        <v>3826004</v>
      </c>
      <c r="D919" t="s">
        <v>738</v>
      </c>
      <c r="E919" t="s">
        <v>36</v>
      </c>
      <c r="F919" t="s">
        <v>142</v>
      </c>
      <c r="G919" t="s">
        <v>180</v>
      </c>
      <c r="H919" t="s">
        <v>2595</v>
      </c>
      <c r="I919" t="s">
        <v>2596</v>
      </c>
      <c r="J919" t="s">
        <v>143</v>
      </c>
      <c r="K919" t="s">
        <v>202</v>
      </c>
      <c r="L919" t="s">
        <v>203</v>
      </c>
      <c r="M919" t="s">
        <v>720</v>
      </c>
      <c r="N919" t="s">
        <v>739</v>
      </c>
      <c r="O919">
        <v>10012860</v>
      </c>
      <c r="P919" s="108">
        <v>42633</v>
      </c>
      <c r="Q919" s="108">
        <v>42635</v>
      </c>
      <c r="R919" s="108">
        <v>42683</v>
      </c>
      <c r="S919" t="s">
        <v>206</v>
      </c>
      <c r="T919">
        <v>4</v>
      </c>
      <c r="U919" t="s">
        <v>123</v>
      </c>
      <c r="V919">
        <v>4</v>
      </c>
      <c r="W919">
        <v>3</v>
      </c>
      <c r="X919">
        <v>4</v>
      </c>
      <c r="Y919">
        <f>VLOOKUP(Table_clu7sql1_ssdb_REPORT_vw_IE_External_MI_SON[[#This Row],[URN]],[1]Data!$D$2:$BB$1084,31,)</f>
        <v>4</v>
      </c>
      <c r="Z919" t="s">
        <v>2596</v>
      </c>
      <c r="AA919" t="s">
        <v>2596</v>
      </c>
      <c r="AB919" t="s">
        <v>2599</v>
      </c>
      <c r="AC919">
        <v>10034649</v>
      </c>
      <c r="AD919" t="s">
        <v>144</v>
      </c>
      <c r="AE919" s="108">
        <v>42919</v>
      </c>
      <c r="AF919" t="s">
        <v>2634</v>
      </c>
      <c r="AG919" s="108">
        <v>42989</v>
      </c>
      <c r="AH919" t="s">
        <v>174</v>
      </c>
    </row>
    <row r="920" spans="1:34" x14ac:dyDescent="0.25">
      <c r="A920" s="111" t="str">
        <f>HYPERLINK("http://www.ofsted.gov.uk/inspection-reports/find-inspection-report/provider/ELS/142332 ","Ofsted School Webpage")</f>
        <v>Ofsted School Webpage</v>
      </c>
      <c r="B920">
        <v>142332</v>
      </c>
      <c r="C920">
        <v>8966002</v>
      </c>
      <c r="D920" t="s">
        <v>740</v>
      </c>
      <c r="E920" t="s">
        <v>36</v>
      </c>
      <c r="F920" t="s">
        <v>142</v>
      </c>
      <c r="G920" t="s">
        <v>142</v>
      </c>
      <c r="H920" t="s">
        <v>2595</v>
      </c>
      <c r="I920" t="s">
        <v>2596</v>
      </c>
      <c r="J920" t="s">
        <v>143</v>
      </c>
      <c r="K920" t="s">
        <v>162</v>
      </c>
      <c r="L920" t="s">
        <v>162</v>
      </c>
      <c r="M920" t="s">
        <v>328</v>
      </c>
      <c r="N920" t="s">
        <v>741</v>
      </c>
      <c r="O920">
        <v>10012942</v>
      </c>
      <c r="P920" s="108">
        <v>42703</v>
      </c>
      <c r="Q920" s="108">
        <v>42705</v>
      </c>
      <c r="R920" s="108">
        <v>42752</v>
      </c>
      <c r="S920" t="s">
        <v>206</v>
      </c>
      <c r="T920">
        <v>2</v>
      </c>
      <c r="U920" t="s">
        <v>123</v>
      </c>
      <c r="V920">
        <v>2</v>
      </c>
      <c r="W920">
        <v>2</v>
      </c>
      <c r="X920">
        <v>2</v>
      </c>
      <c r="Y920">
        <f>VLOOKUP(Table_clu7sql1_ssdb_REPORT_vw_IE_External_MI_SON[[#This Row],[URN]],[1]Data!$D$2:$BB$1084,31,)</f>
        <v>2</v>
      </c>
      <c r="Z920" t="s">
        <v>2596</v>
      </c>
      <c r="AA920" t="s">
        <v>2596</v>
      </c>
      <c r="AB920" t="s">
        <v>2598</v>
      </c>
      <c r="AC920" t="s">
        <v>2596</v>
      </c>
      <c r="AD920" t="s">
        <v>2596</v>
      </c>
      <c r="AE920" t="s">
        <v>2596</v>
      </c>
      <c r="AF920" t="s">
        <v>2596</v>
      </c>
      <c r="AG920" t="s">
        <v>2596</v>
      </c>
      <c r="AH920" t="s">
        <v>2596</v>
      </c>
    </row>
    <row r="921" spans="1:34" x14ac:dyDescent="0.25">
      <c r="A921" s="111" t="str">
        <f>HYPERLINK("http://www.ofsted.gov.uk/inspection-reports/find-inspection-report/provider/ELS/142333 ","Ofsted School Webpage")</f>
        <v>Ofsted School Webpage</v>
      </c>
      <c r="B921">
        <v>142333</v>
      </c>
      <c r="C921">
        <v>8886062</v>
      </c>
      <c r="D921" t="s">
        <v>742</v>
      </c>
      <c r="E921" t="s">
        <v>36</v>
      </c>
      <c r="F921" t="s">
        <v>142</v>
      </c>
      <c r="G921" t="s">
        <v>142</v>
      </c>
      <c r="H921" t="s">
        <v>2595</v>
      </c>
      <c r="I921" t="s">
        <v>2596</v>
      </c>
      <c r="J921" t="s">
        <v>143</v>
      </c>
      <c r="K921" t="s">
        <v>162</v>
      </c>
      <c r="L921" t="s">
        <v>162</v>
      </c>
      <c r="M921" t="s">
        <v>163</v>
      </c>
      <c r="N921" t="s">
        <v>743</v>
      </c>
      <c r="O921">
        <v>10012972</v>
      </c>
      <c r="P921" s="108">
        <v>42633</v>
      </c>
      <c r="Q921" s="108">
        <v>42634</v>
      </c>
      <c r="R921" s="108">
        <v>42657</v>
      </c>
      <c r="S921" t="s">
        <v>206</v>
      </c>
      <c r="T921">
        <v>2</v>
      </c>
      <c r="U921" t="s">
        <v>123</v>
      </c>
      <c r="V921">
        <v>2</v>
      </c>
      <c r="W921">
        <v>2</v>
      </c>
      <c r="X921">
        <v>2</v>
      </c>
      <c r="Y921">
        <f>VLOOKUP(Table_clu7sql1_ssdb_REPORT_vw_IE_External_MI_SON[[#This Row],[URN]],[1]Data!$D$2:$BB$1084,31,)</f>
        <v>2</v>
      </c>
      <c r="Z921" t="s">
        <v>2596</v>
      </c>
      <c r="AA921">
        <v>2</v>
      </c>
      <c r="AB921" t="s">
        <v>2598</v>
      </c>
      <c r="AC921" t="s">
        <v>2596</v>
      </c>
      <c r="AD921" t="s">
        <v>2596</v>
      </c>
      <c r="AE921" t="s">
        <v>2596</v>
      </c>
      <c r="AF921" t="s">
        <v>2596</v>
      </c>
      <c r="AG921" t="s">
        <v>2596</v>
      </c>
      <c r="AH921" t="s">
        <v>2596</v>
      </c>
    </row>
    <row r="922" spans="1:34" x14ac:dyDescent="0.25">
      <c r="A922" s="111" t="str">
        <f>HYPERLINK("http://www.ofsted.gov.uk/inspection-reports/find-inspection-report/provider/ELS/142334 ","Ofsted School Webpage")</f>
        <v>Ofsted School Webpage</v>
      </c>
      <c r="B922">
        <v>142334</v>
      </c>
      <c r="C922">
        <v>3116001</v>
      </c>
      <c r="D922" t="s">
        <v>744</v>
      </c>
      <c r="E922" t="s">
        <v>37</v>
      </c>
      <c r="F922" t="s">
        <v>142</v>
      </c>
      <c r="G922" t="s">
        <v>142</v>
      </c>
      <c r="H922" t="s">
        <v>2595</v>
      </c>
      <c r="I922" t="s">
        <v>2596</v>
      </c>
      <c r="J922" t="s">
        <v>143</v>
      </c>
      <c r="K922" t="s">
        <v>189</v>
      </c>
      <c r="L922" t="s">
        <v>189</v>
      </c>
      <c r="M922" t="s">
        <v>745</v>
      </c>
      <c r="N922" t="s">
        <v>746</v>
      </c>
      <c r="O922">
        <v>10041270</v>
      </c>
      <c r="P922" s="108">
        <v>43018</v>
      </c>
      <c r="Q922" s="108">
        <v>43020</v>
      </c>
      <c r="R922" s="108">
        <v>43077</v>
      </c>
      <c r="S922" t="s">
        <v>153</v>
      </c>
      <c r="T922">
        <v>3</v>
      </c>
      <c r="U922" t="s">
        <v>123</v>
      </c>
      <c r="V922">
        <v>3</v>
      </c>
      <c r="W922">
        <v>2</v>
      </c>
      <c r="X922">
        <v>3</v>
      </c>
      <c r="Y922">
        <f>VLOOKUP(Table_clu7sql1_ssdb_REPORT_vw_IE_External_MI_SON[[#This Row],[URN]],[1]Data!$D$2:$BB$1084,31,)</f>
        <v>3</v>
      </c>
      <c r="Z922" t="s">
        <v>2596</v>
      </c>
      <c r="AA922" t="s">
        <v>2596</v>
      </c>
      <c r="AB922" t="s">
        <v>2598</v>
      </c>
      <c r="AC922" t="s">
        <v>2596</v>
      </c>
      <c r="AD922" t="s">
        <v>2596</v>
      </c>
      <c r="AE922" t="s">
        <v>2596</v>
      </c>
      <c r="AF922" t="s">
        <v>2596</v>
      </c>
      <c r="AG922" t="s">
        <v>2596</v>
      </c>
      <c r="AH922" t="s">
        <v>2596</v>
      </c>
    </row>
    <row r="923" spans="1:34" x14ac:dyDescent="0.25">
      <c r="A923" s="111" t="str">
        <f>HYPERLINK("http://www.ofsted.gov.uk/inspection-reports/find-inspection-report/provider/ELS/142338 ","Ofsted School Webpage")</f>
        <v>Ofsted School Webpage</v>
      </c>
      <c r="B923">
        <v>142338</v>
      </c>
      <c r="C923">
        <v>3306019</v>
      </c>
      <c r="D923" t="s">
        <v>747</v>
      </c>
      <c r="E923" t="s">
        <v>36</v>
      </c>
      <c r="F923" t="s">
        <v>142</v>
      </c>
      <c r="G923" t="s">
        <v>142</v>
      </c>
      <c r="H923" t="s">
        <v>2595</v>
      </c>
      <c r="I923" t="s">
        <v>2596</v>
      </c>
      <c r="J923" t="s">
        <v>143</v>
      </c>
      <c r="K923" t="s">
        <v>150</v>
      </c>
      <c r="L923" t="s">
        <v>150</v>
      </c>
      <c r="M923" t="s">
        <v>167</v>
      </c>
      <c r="N923" t="s">
        <v>748</v>
      </c>
      <c r="O923">
        <v>10012983</v>
      </c>
      <c r="P923" s="108">
        <v>42892</v>
      </c>
      <c r="Q923" s="108">
        <v>42894</v>
      </c>
      <c r="R923" s="108">
        <v>42983</v>
      </c>
      <c r="S923" t="s">
        <v>206</v>
      </c>
      <c r="T923">
        <v>3</v>
      </c>
      <c r="U923" t="s">
        <v>123</v>
      </c>
      <c r="V923">
        <v>2</v>
      </c>
      <c r="W923">
        <v>2</v>
      </c>
      <c r="X923">
        <v>3</v>
      </c>
      <c r="Y923">
        <f>VLOOKUP(Table_clu7sql1_ssdb_REPORT_vw_IE_External_MI_SON[[#This Row],[URN]],[1]Data!$D$2:$BB$1084,31,)</f>
        <v>3</v>
      </c>
      <c r="Z923" t="s">
        <v>2596</v>
      </c>
      <c r="AA923">
        <v>3</v>
      </c>
      <c r="AB923" t="s">
        <v>2598</v>
      </c>
      <c r="AC923" t="s">
        <v>2596</v>
      </c>
      <c r="AD923" t="s">
        <v>2596</v>
      </c>
      <c r="AE923" t="s">
        <v>2596</v>
      </c>
      <c r="AF923" t="s">
        <v>2596</v>
      </c>
      <c r="AG923" t="s">
        <v>2596</v>
      </c>
      <c r="AH923" t="s">
        <v>2596</v>
      </c>
    </row>
    <row r="924" spans="1:34" x14ac:dyDescent="0.25">
      <c r="A924" s="111" t="str">
        <f>HYPERLINK("http://www.ofsted.gov.uk/inspection-reports/find-inspection-report/provider/ELS/142408 ","Ofsted School Webpage")</f>
        <v>Ofsted School Webpage</v>
      </c>
      <c r="B924">
        <v>142408</v>
      </c>
      <c r="C924">
        <v>2026004</v>
      </c>
      <c r="D924" t="s">
        <v>2338</v>
      </c>
      <c r="E924" t="s">
        <v>36</v>
      </c>
      <c r="F924" t="s">
        <v>142</v>
      </c>
      <c r="G924" t="s">
        <v>142</v>
      </c>
      <c r="H924" t="s">
        <v>2595</v>
      </c>
      <c r="I924" t="s">
        <v>2596</v>
      </c>
      <c r="J924" t="s">
        <v>143</v>
      </c>
      <c r="K924" t="s">
        <v>189</v>
      </c>
      <c r="L924" t="s">
        <v>189</v>
      </c>
      <c r="M924" t="s">
        <v>491</v>
      </c>
      <c r="N924" t="s">
        <v>2339</v>
      </c>
      <c r="O924">
        <v>10012978</v>
      </c>
      <c r="P924" s="108">
        <v>42717</v>
      </c>
      <c r="Q924" s="108">
        <v>42719</v>
      </c>
      <c r="R924" s="108">
        <v>42766</v>
      </c>
      <c r="S924" t="s">
        <v>206</v>
      </c>
      <c r="T924">
        <v>2</v>
      </c>
      <c r="U924" t="s">
        <v>123</v>
      </c>
      <c r="V924">
        <v>2</v>
      </c>
      <c r="W924">
        <v>2</v>
      </c>
      <c r="X924">
        <v>2</v>
      </c>
      <c r="Y924">
        <f>VLOOKUP(Table_clu7sql1_ssdb_REPORT_vw_IE_External_MI_SON[[#This Row],[URN]],[1]Data!$D$2:$BB$1084,31,)</f>
        <v>2</v>
      </c>
      <c r="Z924">
        <v>2</v>
      </c>
      <c r="AA924" t="s">
        <v>2596</v>
      </c>
      <c r="AB924" t="s">
        <v>2598</v>
      </c>
      <c r="AC924" t="s">
        <v>2596</v>
      </c>
      <c r="AD924" t="s">
        <v>2596</v>
      </c>
      <c r="AE924" t="s">
        <v>2596</v>
      </c>
      <c r="AF924" t="s">
        <v>2596</v>
      </c>
      <c r="AG924" t="s">
        <v>2596</v>
      </c>
      <c r="AH924" t="s">
        <v>2596</v>
      </c>
    </row>
    <row r="925" spans="1:34" x14ac:dyDescent="0.25">
      <c r="A925" s="111" t="str">
        <f>HYPERLINK("http://www.ofsted.gov.uk/inspection-reports/find-inspection-report/provider/ELS/142411 ","Ofsted School Webpage")</f>
        <v>Ofsted School Webpage</v>
      </c>
      <c r="B925">
        <v>142411</v>
      </c>
      <c r="C925">
        <v>8876009</v>
      </c>
      <c r="D925" t="s">
        <v>2513</v>
      </c>
      <c r="E925" t="s">
        <v>37</v>
      </c>
      <c r="F925" t="s">
        <v>142</v>
      </c>
      <c r="G925" t="s">
        <v>142</v>
      </c>
      <c r="H925" t="s">
        <v>2595</v>
      </c>
      <c r="I925" t="s">
        <v>2596</v>
      </c>
      <c r="J925" t="s">
        <v>143</v>
      </c>
      <c r="K925" t="s">
        <v>139</v>
      </c>
      <c r="L925" t="s">
        <v>139</v>
      </c>
      <c r="M925" t="s">
        <v>229</v>
      </c>
      <c r="N925" t="s">
        <v>2514</v>
      </c>
      <c r="O925">
        <v>10013000</v>
      </c>
      <c r="P925" s="108">
        <v>42535</v>
      </c>
      <c r="Q925" s="108">
        <v>42536</v>
      </c>
      <c r="R925" s="108">
        <v>42570</v>
      </c>
      <c r="S925" t="s">
        <v>206</v>
      </c>
      <c r="T925">
        <v>3</v>
      </c>
      <c r="U925" t="s">
        <v>123</v>
      </c>
      <c r="V925">
        <v>3</v>
      </c>
      <c r="W925">
        <v>2</v>
      </c>
      <c r="X925">
        <v>3</v>
      </c>
      <c r="Y925">
        <f>VLOOKUP(Table_clu7sql1_ssdb_REPORT_vw_IE_External_MI_SON[[#This Row],[URN]],[1]Data!$D$2:$BB$1084,31,)</f>
        <v>3</v>
      </c>
      <c r="Z925" t="s">
        <v>2596</v>
      </c>
      <c r="AA925" t="s">
        <v>2596</v>
      </c>
      <c r="AB925" t="s">
        <v>2598</v>
      </c>
      <c r="AC925" t="s">
        <v>2596</v>
      </c>
      <c r="AD925" t="s">
        <v>2596</v>
      </c>
      <c r="AE925" t="s">
        <v>2596</v>
      </c>
      <c r="AF925" t="s">
        <v>2596</v>
      </c>
      <c r="AG925" t="s">
        <v>2596</v>
      </c>
      <c r="AH925" t="s">
        <v>2596</v>
      </c>
    </row>
    <row r="926" spans="1:34" x14ac:dyDescent="0.25">
      <c r="A926" s="111" t="str">
        <f>HYPERLINK("http://www.ofsted.gov.uk/inspection-reports/find-inspection-report/provider/ELS/142413 ","Ofsted School Webpage")</f>
        <v>Ofsted School Webpage</v>
      </c>
      <c r="B926">
        <v>142413</v>
      </c>
      <c r="C926">
        <v>9196001</v>
      </c>
      <c r="D926" t="s">
        <v>2515</v>
      </c>
      <c r="E926" t="s">
        <v>36</v>
      </c>
      <c r="F926" t="s">
        <v>142</v>
      </c>
      <c r="G926" t="s">
        <v>142</v>
      </c>
      <c r="H926" t="s">
        <v>2595</v>
      </c>
      <c r="I926" t="s">
        <v>2596</v>
      </c>
      <c r="J926" t="s">
        <v>143</v>
      </c>
      <c r="K926" t="s">
        <v>177</v>
      </c>
      <c r="L926" t="s">
        <v>177</v>
      </c>
      <c r="M926" t="s">
        <v>773</v>
      </c>
      <c r="N926" t="s">
        <v>2516</v>
      </c>
      <c r="O926">
        <v>10012985</v>
      </c>
      <c r="P926" s="108">
        <v>42787</v>
      </c>
      <c r="Q926" s="108">
        <v>42789</v>
      </c>
      <c r="R926" s="108">
        <v>42822</v>
      </c>
      <c r="S926" t="s">
        <v>206</v>
      </c>
      <c r="T926">
        <v>3</v>
      </c>
      <c r="U926" t="s">
        <v>123</v>
      </c>
      <c r="V926">
        <v>3</v>
      </c>
      <c r="W926">
        <v>2</v>
      </c>
      <c r="X926">
        <v>3</v>
      </c>
      <c r="Y926">
        <f>VLOOKUP(Table_clu7sql1_ssdb_REPORT_vw_IE_External_MI_SON[[#This Row],[URN]],[1]Data!$D$2:$BB$1084,31,)</f>
        <v>3</v>
      </c>
      <c r="Z926">
        <v>2</v>
      </c>
      <c r="AA926" t="s">
        <v>2596</v>
      </c>
      <c r="AB926" t="s">
        <v>2599</v>
      </c>
      <c r="AC926">
        <v>10043074</v>
      </c>
      <c r="AD926" t="s">
        <v>144</v>
      </c>
      <c r="AE926" s="108">
        <v>43056</v>
      </c>
      <c r="AF926" t="s">
        <v>2636</v>
      </c>
      <c r="AG926" s="108">
        <v>43082</v>
      </c>
      <c r="AH926" t="s">
        <v>146</v>
      </c>
    </row>
    <row r="927" spans="1:34" x14ac:dyDescent="0.25">
      <c r="A927" s="111" t="str">
        <f>HYPERLINK("http://www.ofsted.gov.uk/inspection-reports/find-inspection-report/provider/ELS/142416 ","Ofsted School Webpage")</f>
        <v>Ofsted School Webpage</v>
      </c>
      <c r="B927">
        <v>142416</v>
      </c>
      <c r="C927">
        <v>9366006</v>
      </c>
      <c r="D927" t="s">
        <v>2517</v>
      </c>
      <c r="E927" t="s">
        <v>36</v>
      </c>
      <c r="F927" t="s">
        <v>142</v>
      </c>
      <c r="G927" t="s">
        <v>142</v>
      </c>
      <c r="H927" t="s">
        <v>2595</v>
      </c>
      <c r="I927" t="s">
        <v>2596</v>
      </c>
      <c r="J927" t="s">
        <v>143</v>
      </c>
      <c r="K927" t="s">
        <v>139</v>
      </c>
      <c r="L927" t="s">
        <v>139</v>
      </c>
      <c r="M927" t="s">
        <v>535</v>
      </c>
      <c r="N927" t="s">
        <v>2518</v>
      </c>
      <c r="O927">
        <v>10025994</v>
      </c>
      <c r="P927" s="108">
        <v>42864</v>
      </c>
      <c r="Q927" s="108">
        <v>42865</v>
      </c>
      <c r="R927" s="108">
        <v>42888</v>
      </c>
      <c r="S927" t="s">
        <v>206</v>
      </c>
      <c r="T927">
        <v>2</v>
      </c>
      <c r="U927" t="s">
        <v>123</v>
      </c>
      <c r="V927">
        <v>2</v>
      </c>
      <c r="W927">
        <v>2</v>
      </c>
      <c r="X927">
        <v>1</v>
      </c>
      <c r="Y927">
        <f>VLOOKUP(Table_clu7sql1_ssdb_REPORT_vw_IE_External_MI_SON[[#This Row],[URN]],[1]Data!$D$2:$BB$1084,31,)</f>
        <v>1</v>
      </c>
      <c r="Z927" t="s">
        <v>2596</v>
      </c>
      <c r="AA927" t="s">
        <v>2596</v>
      </c>
      <c r="AB927" t="s">
        <v>2598</v>
      </c>
      <c r="AC927" t="s">
        <v>2596</v>
      </c>
      <c r="AD927" t="s">
        <v>2596</v>
      </c>
      <c r="AE927" t="s">
        <v>2596</v>
      </c>
      <c r="AF927" t="s">
        <v>2596</v>
      </c>
      <c r="AG927" t="s">
        <v>2596</v>
      </c>
      <c r="AH927" t="s">
        <v>2596</v>
      </c>
    </row>
    <row r="928" spans="1:34" x14ac:dyDescent="0.25">
      <c r="A928" s="111" t="str">
        <f>HYPERLINK("http://www.ofsted.gov.uk/inspection-reports/find-inspection-report/provider/ELS/142474 ","Ofsted School Webpage")</f>
        <v>Ofsted School Webpage</v>
      </c>
      <c r="B928">
        <v>142474</v>
      </c>
      <c r="C928">
        <v>8406014</v>
      </c>
      <c r="D928" t="s">
        <v>2519</v>
      </c>
      <c r="E928" t="s">
        <v>36</v>
      </c>
      <c r="F928" t="s">
        <v>142</v>
      </c>
      <c r="G928" t="s">
        <v>142</v>
      </c>
      <c r="H928" t="s">
        <v>2595</v>
      </c>
      <c r="I928" t="s">
        <v>2596</v>
      </c>
      <c r="J928" t="s">
        <v>143</v>
      </c>
      <c r="K928" t="s">
        <v>202</v>
      </c>
      <c r="L928" t="s">
        <v>234</v>
      </c>
      <c r="M928" t="s">
        <v>1066</v>
      </c>
      <c r="N928" t="s">
        <v>2520</v>
      </c>
      <c r="O928">
        <v>10020870</v>
      </c>
      <c r="P928" s="108">
        <v>42717</v>
      </c>
      <c r="Q928" s="108">
        <v>42719</v>
      </c>
      <c r="R928" s="108">
        <v>42761</v>
      </c>
      <c r="S928" t="s">
        <v>206</v>
      </c>
      <c r="T928">
        <v>3</v>
      </c>
      <c r="U928" t="s">
        <v>123</v>
      </c>
      <c r="V928">
        <v>3</v>
      </c>
      <c r="W928">
        <v>2</v>
      </c>
      <c r="X928">
        <v>3</v>
      </c>
      <c r="Y928">
        <f>VLOOKUP(Table_clu7sql1_ssdb_REPORT_vw_IE_External_MI_SON[[#This Row],[URN]],[1]Data!$D$2:$BB$1084,31,)</f>
        <v>3</v>
      </c>
      <c r="Z928" t="s">
        <v>2596</v>
      </c>
      <c r="AA928" t="s">
        <v>2596</v>
      </c>
      <c r="AB928" t="s">
        <v>2598</v>
      </c>
      <c r="AC928" t="s">
        <v>2596</v>
      </c>
      <c r="AD928" t="s">
        <v>2596</v>
      </c>
      <c r="AE928" s="108" t="s">
        <v>2596</v>
      </c>
      <c r="AF928" t="s">
        <v>2596</v>
      </c>
      <c r="AG928" s="108" t="s">
        <v>2596</v>
      </c>
      <c r="AH928" t="s">
        <v>2596</v>
      </c>
    </row>
    <row r="929" spans="1:34" x14ac:dyDescent="0.25">
      <c r="A929" s="111" t="str">
        <f>HYPERLINK("http://www.ofsted.gov.uk/inspection-reports/find-inspection-report/provider/ELS/142516 ","Ofsted School Webpage")</f>
        <v>Ofsted School Webpage</v>
      </c>
      <c r="B929">
        <v>142516</v>
      </c>
      <c r="C929">
        <v>8606042</v>
      </c>
      <c r="D929" t="s">
        <v>2136</v>
      </c>
      <c r="E929" t="s">
        <v>37</v>
      </c>
      <c r="F929" t="s">
        <v>142</v>
      </c>
      <c r="G929" t="s">
        <v>142</v>
      </c>
      <c r="H929" t="s">
        <v>2595</v>
      </c>
      <c r="I929" t="s">
        <v>2596</v>
      </c>
      <c r="J929" t="s">
        <v>143</v>
      </c>
      <c r="K929" t="s">
        <v>150</v>
      </c>
      <c r="L929" t="s">
        <v>150</v>
      </c>
      <c r="M929" t="s">
        <v>271</v>
      </c>
      <c r="N929" t="s">
        <v>2137</v>
      </c>
      <c r="O929">
        <v>10033585</v>
      </c>
      <c r="P929" s="108">
        <v>42878</v>
      </c>
      <c r="Q929" s="108">
        <v>42879</v>
      </c>
      <c r="R929" s="108">
        <v>42912</v>
      </c>
      <c r="S929" t="s">
        <v>206</v>
      </c>
      <c r="T929">
        <v>2</v>
      </c>
      <c r="U929" t="s">
        <v>123</v>
      </c>
      <c r="V929">
        <v>2</v>
      </c>
      <c r="W929">
        <v>2</v>
      </c>
      <c r="X929">
        <v>2</v>
      </c>
      <c r="Y929">
        <f>VLOOKUP(Table_clu7sql1_ssdb_REPORT_vw_IE_External_MI_SON[[#This Row],[URN]],[1]Data!$D$2:$BB$1084,31,)</f>
        <v>2</v>
      </c>
      <c r="Z929" t="s">
        <v>2596</v>
      </c>
      <c r="AA929">
        <v>2</v>
      </c>
      <c r="AB929" t="s">
        <v>2598</v>
      </c>
      <c r="AC929" t="s">
        <v>2596</v>
      </c>
      <c r="AD929" t="s">
        <v>2596</v>
      </c>
      <c r="AE929" t="s">
        <v>2596</v>
      </c>
      <c r="AF929" t="s">
        <v>2596</v>
      </c>
      <c r="AG929" t="s">
        <v>2596</v>
      </c>
      <c r="AH929" t="s">
        <v>2596</v>
      </c>
    </row>
    <row r="930" spans="1:34" x14ac:dyDescent="0.25">
      <c r="A930" s="111" t="str">
        <f>HYPERLINK("http://www.ofsted.gov.uk/inspection-reports/find-inspection-report/provider/ELS/142524 ","Ofsted School Webpage")</f>
        <v>Ofsted School Webpage</v>
      </c>
      <c r="B930">
        <v>142524</v>
      </c>
      <c r="C930">
        <v>3566006</v>
      </c>
      <c r="D930" t="s">
        <v>2138</v>
      </c>
      <c r="E930" t="s">
        <v>36</v>
      </c>
      <c r="F930" t="s">
        <v>142</v>
      </c>
      <c r="G930" t="s">
        <v>142</v>
      </c>
      <c r="H930" t="s">
        <v>2595</v>
      </c>
      <c r="I930" t="s">
        <v>2596</v>
      </c>
      <c r="J930" t="s">
        <v>143</v>
      </c>
      <c r="K930" t="s">
        <v>162</v>
      </c>
      <c r="L930" t="s">
        <v>162</v>
      </c>
      <c r="M930" t="s">
        <v>302</v>
      </c>
      <c r="N930" t="s">
        <v>2139</v>
      </c>
      <c r="O930">
        <v>10020877</v>
      </c>
      <c r="P930" s="108">
        <v>42654</v>
      </c>
      <c r="Q930" s="108">
        <v>42656</v>
      </c>
      <c r="R930" s="108">
        <v>42696</v>
      </c>
      <c r="S930" t="s">
        <v>206</v>
      </c>
      <c r="T930">
        <v>2</v>
      </c>
      <c r="U930" t="s">
        <v>123</v>
      </c>
      <c r="V930">
        <v>2</v>
      </c>
      <c r="W930">
        <v>2</v>
      </c>
      <c r="X930">
        <v>2</v>
      </c>
      <c r="Y930">
        <f>VLOOKUP(Table_clu7sql1_ssdb_REPORT_vw_IE_External_MI_SON[[#This Row],[URN]],[1]Data!$D$2:$BB$1084,31,)</f>
        <v>2</v>
      </c>
      <c r="Z930" t="s">
        <v>2596</v>
      </c>
      <c r="AA930" t="s">
        <v>2596</v>
      </c>
      <c r="AB930" t="s">
        <v>2598</v>
      </c>
      <c r="AC930" t="s">
        <v>2596</v>
      </c>
      <c r="AD930" t="s">
        <v>2596</v>
      </c>
      <c r="AE930" t="s">
        <v>2596</v>
      </c>
      <c r="AF930" t="s">
        <v>2596</v>
      </c>
      <c r="AG930" t="s">
        <v>2596</v>
      </c>
      <c r="AH930" t="s">
        <v>2596</v>
      </c>
    </row>
    <row r="931" spans="1:34" x14ac:dyDescent="0.25">
      <c r="A931" s="111" t="str">
        <f>HYPERLINK("http://www.ofsted.gov.uk/inspection-reports/find-inspection-report/provider/ELS/142531 ","Ofsted School Webpage")</f>
        <v>Ofsted School Webpage</v>
      </c>
      <c r="B931">
        <v>142531</v>
      </c>
      <c r="C931">
        <v>8896014</v>
      </c>
      <c r="D931" t="s">
        <v>2140</v>
      </c>
      <c r="E931" t="s">
        <v>37</v>
      </c>
      <c r="F931" t="s">
        <v>142</v>
      </c>
      <c r="G931" t="s">
        <v>142</v>
      </c>
      <c r="H931" t="s">
        <v>2595</v>
      </c>
      <c r="I931" t="s">
        <v>2596</v>
      </c>
      <c r="J931" t="s">
        <v>143</v>
      </c>
      <c r="K931" t="s">
        <v>162</v>
      </c>
      <c r="L931" t="s">
        <v>162</v>
      </c>
      <c r="M931" t="s">
        <v>440</v>
      </c>
      <c r="N931" t="s">
        <v>2141</v>
      </c>
      <c r="O931">
        <v>10020878</v>
      </c>
      <c r="P931" s="108">
        <v>42647</v>
      </c>
      <c r="Q931" s="108">
        <v>42649</v>
      </c>
      <c r="R931" s="108">
        <v>42689</v>
      </c>
      <c r="S931" t="s">
        <v>206</v>
      </c>
      <c r="T931">
        <v>3</v>
      </c>
      <c r="U931" t="s">
        <v>123</v>
      </c>
      <c r="V931">
        <v>3</v>
      </c>
      <c r="W931">
        <v>2</v>
      </c>
      <c r="X931">
        <v>3</v>
      </c>
      <c r="Y931">
        <f>VLOOKUP(Table_clu7sql1_ssdb_REPORT_vw_IE_External_MI_SON[[#This Row],[URN]],[1]Data!$D$2:$BB$1084,31,)</f>
        <v>3</v>
      </c>
      <c r="Z931" t="s">
        <v>2596</v>
      </c>
      <c r="AA931" t="s">
        <v>2596</v>
      </c>
      <c r="AB931" t="s">
        <v>2598</v>
      </c>
      <c r="AC931" t="s">
        <v>2596</v>
      </c>
      <c r="AD931" t="s">
        <v>2596</v>
      </c>
      <c r="AE931" s="108" t="s">
        <v>2596</v>
      </c>
      <c r="AF931" t="s">
        <v>2596</v>
      </c>
      <c r="AG931" s="108" t="s">
        <v>2596</v>
      </c>
      <c r="AH931" t="s">
        <v>2596</v>
      </c>
    </row>
    <row r="932" spans="1:34" x14ac:dyDescent="0.25">
      <c r="A932" s="111" t="str">
        <f>HYPERLINK("http://www.ofsted.gov.uk/inspection-reports/find-inspection-report/provider/ELS/142534 ","Ofsted School Webpage")</f>
        <v>Ofsted School Webpage</v>
      </c>
      <c r="B932">
        <v>142534</v>
      </c>
      <c r="C932">
        <v>3086005</v>
      </c>
      <c r="D932" t="s">
        <v>2142</v>
      </c>
      <c r="E932" t="s">
        <v>36</v>
      </c>
      <c r="F932" t="s">
        <v>142</v>
      </c>
      <c r="G932" t="s">
        <v>142</v>
      </c>
      <c r="H932" t="s">
        <v>2595</v>
      </c>
      <c r="I932" t="s">
        <v>2596</v>
      </c>
      <c r="J932" t="s">
        <v>143</v>
      </c>
      <c r="K932" t="s">
        <v>189</v>
      </c>
      <c r="L932" t="s">
        <v>189</v>
      </c>
      <c r="M932" t="s">
        <v>216</v>
      </c>
      <c r="N932" t="s">
        <v>2143</v>
      </c>
      <c r="O932">
        <v>10020882</v>
      </c>
      <c r="P932" s="108">
        <v>42661</v>
      </c>
      <c r="Q932" s="108">
        <v>42663</v>
      </c>
      <c r="R932" s="108">
        <v>42710</v>
      </c>
      <c r="S932" t="s">
        <v>206</v>
      </c>
      <c r="T932">
        <v>2</v>
      </c>
      <c r="U932" t="s">
        <v>123</v>
      </c>
      <c r="V932">
        <v>2</v>
      </c>
      <c r="W932">
        <v>2</v>
      </c>
      <c r="X932">
        <v>2</v>
      </c>
      <c r="Y932">
        <f>VLOOKUP(Table_clu7sql1_ssdb_REPORT_vw_IE_External_MI_SON[[#This Row],[URN]],[1]Data!$D$2:$BB$1084,31,)</f>
        <v>2</v>
      </c>
      <c r="Z932" t="s">
        <v>2596</v>
      </c>
      <c r="AA932">
        <v>2</v>
      </c>
      <c r="AB932" t="s">
        <v>2598</v>
      </c>
      <c r="AC932" t="s">
        <v>2596</v>
      </c>
      <c r="AD932" t="s">
        <v>2596</v>
      </c>
      <c r="AE932" s="108" t="s">
        <v>2596</v>
      </c>
      <c r="AF932" t="s">
        <v>2596</v>
      </c>
      <c r="AG932" s="108" t="s">
        <v>2596</v>
      </c>
      <c r="AH932" t="s">
        <v>2596</v>
      </c>
    </row>
    <row r="933" spans="1:34" x14ac:dyDescent="0.25">
      <c r="A933" s="111" t="str">
        <f>HYPERLINK("http://www.ofsted.gov.uk/inspection-reports/find-inspection-report/provider/ELS/142535 ","Ofsted School Webpage")</f>
        <v>Ofsted School Webpage</v>
      </c>
      <c r="B933">
        <v>142535</v>
      </c>
      <c r="C933">
        <v>3506003</v>
      </c>
      <c r="D933" t="s">
        <v>2144</v>
      </c>
      <c r="E933" t="s">
        <v>36</v>
      </c>
      <c r="F933" t="s">
        <v>142</v>
      </c>
      <c r="G933" t="s">
        <v>169</v>
      </c>
      <c r="H933" t="s">
        <v>2595</v>
      </c>
      <c r="I933" t="s">
        <v>2596</v>
      </c>
      <c r="J933" t="s">
        <v>143</v>
      </c>
      <c r="K933" t="s">
        <v>162</v>
      </c>
      <c r="L933" t="s">
        <v>162</v>
      </c>
      <c r="M933" t="s">
        <v>1202</v>
      </c>
      <c r="N933" t="s">
        <v>2145</v>
      </c>
      <c r="O933">
        <v>10034040</v>
      </c>
      <c r="P933" s="108">
        <v>42871</v>
      </c>
      <c r="Q933" s="108">
        <v>42872</v>
      </c>
      <c r="R933" s="108">
        <v>42996</v>
      </c>
      <c r="S933" t="s">
        <v>206</v>
      </c>
      <c r="T933">
        <v>4</v>
      </c>
      <c r="U933" t="s">
        <v>124</v>
      </c>
      <c r="V933">
        <v>4</v>
      </c>
      <c r="W933">
        <v>4</v>
      </c>
      <c r="X933">
        <v>3</v>
      </c>
      <c r="Y933">
        <f>VLOOKUP(Table_clu7sql1_ssdb_REPORT_vw_IE_External_MI_SON[[#This Row],[URN]],[1]Data!$D$2:$BB$1084,31,)</f>
        <v>3</v>
      </c>
      <c r="Z933" t="s">
        <v>2596</v>
      </c>
      <c r="AA933" t="s">
        <v>2596</v>
      </c>
      <c r="AB933" t="s">
        <v>2599</v>
      </c>
      <c r="AC933" t="s">
        <v>2596</v>
      </c>
      <c r="AD933" t="s">
        <v>2596</v>
      </c>
      <c r="AE933" s="108" t="s">
        <v>2596</v>
      </c>
      <c r="AF933" t="s">
        <v>2596</v>
      </c>
      <c r="AG933" s="108" t="s">
        <v>2596</v>
      </c>
      <c r="AH933" t="s">
        <v>2596</v>
      </c>
    </row>
    <row r="934" spans="1:34" x14ac:dyDescent="0.25">
      <c r="A934" s="111" t="str">
        <f>HYPERLINK("http://www.ofsted.gov.uk/inspection-reports/find-inspection-report/provider/ELS/142536 ","Ofsted School Webpage")</f>
        <v>Ofsted School Webpage</v>
      </c>
      <c r="B934">
        <v>142536</v>
      </c>
      <c r="C934">
        <v>3566012</v>
      </c>
      <c r="D934" t="s">
        <v>2001</v>
      </c>
      <c r="E934" t="s">
        <v>37</v>
      </c>
      <c r="F934" t="s">
        <v>142</v>
      </c>
      <c r="G934" t="s">
        <v>142</v>
      </c>
      <c r="H934" t="s">
        <v>2595</v>
      </c>
      <c r="I934" t="s">
        <v>2596</v>
      </c>
      <c r="J934" t="s">
        <v>143</v>
      </c>
      <c r="K934" t="s">
        <v>162</v>
      </c>
      <c r="L934" t="s">
        <v>162</v>
      </c>
      <c r="M934" t="s">
        <v>302</v>
      </c>
      <c r="N934" t="s">
        <v>2002</v>
      </c>
      <c r="O934">
        <v>10020876</v>
      </c>
      <c r="P934" s="108">
        <v>42696</v>
      </c>
      <c r="Q934" s="108">
        <v>42698</v>
      </c>
      <c r="R934" s="108">
        <v>42752</v>
      </c>
      <c r="S934" t="s">
        <v>206</v>
      </c>
      <c r="T934">
        <v>1</v>
      </c>
      <c r="U934" t="s">
        <v>123</v>
      </c>
      <c r="V934">
        <v>1</v>
      </c>
      <c r="W934">
        <v>1</v>
      </c>
      <c r="X934">
        <v>1</v>
      </c>
      <c r="Y934">
        <f>VLOOKUP(Table_clu7sql1_ssdb_REPORT_vw_IE_External_MI_SON[[#This Row],[URN]],[1]Data!$D$2:$BB$1084,31,)</f>
        <v>1</v>
      </c>
      <c r="Z934" t="s">
        <v>2596</v>
      </c>
      <c r="AA934" t="s">
        <v>2596</v>
      </c>
      <c r="AB934" t="s">
        <v>2598</v>
      </c>
      <c r="AC934" t="s">
        <v>2596</v>
      </c>
      <c r="AD934" t="s">
        <v>2596</v>
      </c>
      <c r="AE934" t="s">
        <v>2596</v>
      </c>
      <c r="AF934" t="s">
        <v>2596</v>
      </c>
      <c r="AG934" t="s">
        <v>2596</v>
      </c>
      <c r="AH934" t="s">
        <v>2596</v>
      </c>
    </row>
    <row r="935" spans="1:34" x14ac:dyDescent="0.25">
      <c r="A935" s="111" t="str">
        <f>HYPERLINK("http://www.ofsted.gov.uk/inspection-reports/find-inspection-report/provider/ELS/142537 ","Ofsted School Webpage")</f>
        <v>Ofsted School Webpage</v>
      </c>
      <c r="B935">
        <v>142537</v>
      </c>
      <c r="C935">
        <v>8816065</v>
      </c>
      <c r="D935" t="s">
        <v>2003</v>
      </c>
      <c r="E935" t="s">
        <v>36</v>
      </c>
      <c r="F935" t="s">
        <v>142</v>
      </c>
      <c r="G935" t="s">
        <v>142</v>
      </c>
      <c r="H935" t="s">
        <v>2595</v>
      </c>
      <c r="I935" t="s">
        <v>2596</v>
      </c>
      <c r="J935" t="s">
        <v>143</v>
      </c>
      <c r="K935" t="s">
        <v>177</v>
      </c>
      <c r="L935" t="s">
        <v>177</v>
      </c>
      <c r="M935" t="s">
        <v>280</v>
      </c>
      <c r="N935" t="s">
        <v>2004</v>
      </c>
      <c r="O935">
        <v>10026075</v>
      </c>
      <c r="P935" s="108">
        <v>42801</v>
      </c>
      <c r="Q935" s="108">
        <v>42803</v>
      </c>
      <c r="R935" s="108">
        <v>42849</v>
      </c>
      <c r="S935" t="s">
        <v>206</v>
      </c>
      <c r="T935">
        <v>1</v>
      </c>
      <c r="U935" t="s">
        <v>123</v>
      </c>
      <c r="V935">
        <v>1</v>
      </c>
      <c r="W935">
        <v>1</v>
      </c>
      <c r="X935">
        <v>1</v>
      </c>
      <c r="Y935">
        <f>VLOOKUP(Table_clu7sql1_ssdb_REPORT_vw_IE_External_MI_SON[[#This Row],[URN]],[1]Data!$D$2:$BB$1084,31,)</f>
        <v>1</v>
      </c>
      <c r="Z935" t="s">
        <v>2596</v>
      </c>
      <c r="AA935">
        <v>1</v>
      </c>
      <c r="AB935" t="s">
        <v>2598</v>
      </c>
      <c r="AC935" t="s">
        <v>2596</v>
      </c>
      <c r="AD935" t="s">
        <v>2596</v>
      </c>
      <c r="AE935" t="s">
        <v>2596</v>
      </c>
      <c r="AF935" t="s">
        <v>2596</v>
      </c>
      <c r="AG935" t="s">
        <v>2596</v>
      </c>
      <c r="AH935" t="s">
        <v>2596</v>
      </c>
    </row>
    <row r="936" spans="1:34" x14ac:dyDescent="0.25">
      <c r="A936" s="111" t="str">
        <f>HYPERLINK("http://www.ofsted.gov.uk/inspection-reports/find-inspection-report/provider/ELS/142538 ","Ofsted School Webpage")</f>
        <v>Ofsted School Webpage</v>
      </c>
      <c r="B936">
        <v>142538</v>
      </c>
      <c r="C936">
        <v>8916037</v>
      </c>
      <c r="D936" t="s">
        <v>2005</v>
      </c>
      <c r="E936" t="s">
        <v>37</v>
      </c>
      <c r="F936" t="s">
        <v>142</v>
      </c>
      <c r="G936" t="s">
        <v>142</v>
      </c>
      <c r="H936" t="s">
        <v>2595</v>
      </c>
      <c r="I936" t="s">
        <v>2596</v>
      </c>
      <c r="J936" t="s">
        <v>143</v>
      </c>
      <c r="K936" t="s">
        <v>171</v>
      </c>
      <c r="L936" t="s">
        <v>171</v>
      </c>
      <c r="M936" t="s">
        <v>277</v>
      </c>
      <c r="N936" t="s">
        <v>2006</v>
      </c>
      <c r="O936">
        <v>10020879</v>
      </c>
      <c r="P936" s="108">
        <v>42675</v>
      </c>
      <c r="Q936" s="108">
        <v>42677</v>
      </c>
      <c r="R936" s="108">
        <v>42717</v>
      </c>
      <c r="S936" t="s">
        <v>206</v>
      </c>
      <c r="T936">
        <v>2</v>
      </c>
      <c r="U936" t="s">
        <v>123</v>
      </c>
      <c r="V936">
        <v>2</v>
      </c>
      <c r="W936">
        <v>2</v>
      </c>
      <c r="X936">
        <v>2</v>
      </c>
      <c r="Y936">
        <f>VLOOKUP(Table_clu7sql1_ssdb_REPORT_vw_IE_External_MI_SON[[#This Row],[URN]],[1]Data!$D$2:$BB$1084,31,)</f>
        <v>2</v>
      </c>
      <c r="Z936" t="s">
        <v>2596</v>
      </c>
      <c r="AA936">
        <v>2</v>
      </c>
      <c r="AB936" t="s">
        <v>2598</v>
      </c>
      <c r="AC936" t="s">
        <v>2596</v>
      </c>
      <c r="AD936" t="s">
        <v>2596</v>
      </c>
      <c r="AE936" s="108" t="s">
        <v>2596</v>
      </c>
      <c r="AF936" t="s">
        <v>2596</v>
      </c>
      <c r="AG936" s="108" t="s">
        <v>2596</v>
      </c>
      <c r="AH936" t="s">
        <v>2596</v>
      </c>
    </row>
    <row r="937" spans="1:34" x14ac:dyDescent="0.25">
      <c r="A937" s="111" t="str">
        <f>HYPERLINK("http://www.ofsted.gov.uk/inspection-reports/find-inspection-report/provider/ELS/142568 ","Ofsted School Webpage")</f>
        <v>Ofsted School Webpage</v>
      </c>
      <c r="B937">
        <v>142568</v>
      </c>
      <c r="C937">
        <v>8876010</v>
      </c>
      <c r="D937" t="s">
        <v>2007</v>
      </c>
      <c r="E937" t="s">
        <v>36</v>
      </c>
      <c r="F937" t="s">
        <v>142</v>
      </c>
      <c r="G937" t="s">
        <v>142</v>
      </c>
      <c r="H937" t="s">
        <v>2595</v>
      </c>
      <c r="I937" t="s">
        <v>2596</v>
      </c>
      <c r="J937" t="s">
        <v>143</v>
      </c>
      <c r="K937" t="s">
        <v>139</v>
      </c>
      <c r="L937" t="s">
        <v>139</v>
      </c>
      <c r="M937" t="s">
        <v>229</v>
      </c>
      <c r="N937" t="s">
        <v>2008</v>
      </c>
      <c r="O937">
        <v>10044261</v>
      </c>
      <c r="P937" s="108">
        <v>43116</v>
      </c>
      <c r="Q937" s="108">
        <v>43118</v>
      </c>
      <c r="R937" s="108">
        <v>43137</v>
      </c>
      <c r="S937" t="s">
        <v>153</v>
      </c>
      <c r="T937">
        <v>3</v>
      </c>
      <c r="U937" t="s">
        <v>123</v>
      </c>
      <c r="V937">
        <v>3</v>
      </c>
      <c r="W937">
        <v>2</v>
      </c>
      <c r="X937">
        <v>3</v>
      </c>
      <c r="Y937">
        <f>VLOOKUP(Table_clu7sql1_ssdb_REPORT_vw_IE_External_MI_SON[[#This Row],[URN]],[1]Data!$D$2:$BB$1084,31,)</f>
        <v>3</v>
      </c>
      <c r="Z937" t="s">
        <v>2596</v>
      </c>
      <c r="AA937" t="s">
        <v>2596</v>
      </c>
      <c r="AB937" t="s">
        <v>2598</v>
      </c>
      <c r="AC937" t="s">
        <v>2596</v>
      </c>
      <c r="AD937" t="s">
        <v>2596</v>
      </c>
      <c r="AE937" t="s">
        <v>2596</v>
      </c>
      <c r="AF937" t="s">
        <v>2596</v>
      </c>
      <c r="AG937" t="s">
        <v>2596</v>
      </c>
      <c r="AH937" t="s">
        <v>2596</v>
      </c>
    </row>
    <row r="938" spans="1:34" x14ac:dyDescent="0.25">
      <c r="A938" s="111" t="str">
        <f>HYPERLINK("http://www.ofsted.gov.uk/inspection-reports/find-inspection-report/provider/ELS/142572 ","Ofsted School Webpage")</f>
        <v>Ofsted School Webpage</v>
      </c>
      <c r="B938">
        <v>142572</v>
      </c>
      <c r="C938">
        <v>2046012</v>
      </c>
      <c r="D938" t="s">
        <v>2009</v>
      </c>
      <c r="E938" t="s">
        <v>36</v>
      </c>
      <c r="F938" t="s">
        <v>142</v>
      </c>
      <c r="G938" t="s">
        <v>275</v>
      </c>
      <c r="H938" t="s">
        <v>2595</v>
      </c>
      <c r="I938" t="s">
        <v>2596</v>
      </c>
      <c r="J938" t="s">
        <v>143</v>
      </c>
      <c r="K938" t="s">
        <v>189</v>
      </c>
      <c r="L938" t="s">
        <v>189</v>
      </c>
      <c r="M938" t="s">
        <v>434</v>
      </c>
      <c r="N938" t="s">
        <v>1217</v>
      </c>
      <c r="O938">
        <v>10026300</v>
      </c>
      <c r="P938" s="108">
        <v>42913</v>
      </c>
      <c r="Q938" s="108">
        <v>42915</v>
      </c>
      <c r="R938" s="108">
        <v>43033</v>
      </c>
      <c r="S938" t="s">
        <v>206</v>
      </c>
      <c r="T938">
        <v>4</v>
      </c>
      <c r="U938" t="s">
        <v>123</v>
      </c>
      <c r="V938">
        <v>4</v>
      </c>
      <c r="W938">
        <v>3</v>
      </c>
      <c r="X938">
        <v>3</v>
      </c>
      <c r="Y938">
        <f>VLOOKUP(Table_clu7sql1_ssdb_REPORT_vw_IE_External_MI_SON[[#This Row],[URN]],[1]Data!$D$2:$BB$1084,31,)</f>
        <v>3</v>
      </c>
      <c r="Z938" t="s">
        <v>2596</v>
      </c>
      <c r="AA938" t="s">
        <v>2596</v>
      </c>
      <c r="AB938" t="s">
        <v>2599</v>
      </c>
      <c r="AC938" t="s">
        <v>2596</v>
      </c>
      <c r="AD938" t="s">
        <v>2596</v>
      </c>
      <c r="AE938" s="108" t="s">
        <v>2596</v>
      </c>
      <c r="AF938" t="s">
        <v>2596</v>
      </c>
      <c r="AG938" s="108" t="s">
        <v>2596</v>
      </c>
      <c r="AH938" t="s">
        <v>2596</v>
      </c>
    </row>
    <row r="939" spans="1:34" x14ac:dyDescent="0.25">
      <c r="A939" s="111" t="str">
        <f>HYPERLINK("http://www.ofsted.gov.uk/inspection-reports/find-inspection-report/provider/ELS/142603 ","Ofsted School Webpage")</f>
        <v>Ofsted School Webpage</v>
      </c>
      <c r="B939">
        <v>142603</v>
      </c>
      <c r="C939">
        <v>3366001</v>
      </c>
      <c r="D939" t="s">
        <v>2521</v>
      </c>
      <c r="E939" t="s">
        <v>37</v>
      </c>
      <c r="F939" t="s">
        <v>142</v>
      </c>
      <c r="G939" t="s">
        <v>142</v>
      </c>
      <c r="H939" t="s">
        <v>2595</v>
      </c>
      <c r="I939" t="s">
        <v>2596</v>
      </c>
      <c r="J939" t="s">
        <v>143</v>
      </c>
      <c r="K939" t="s">
        <v>150</v>
      </c>
      <c r="L939" t="s">
        <v>150</v>
      </c>
      <c r="M939" t="s">
        <v>2192</v>
      </c>
      <c r="N939" t="s">
        <v>2522</v>
      </c>
      <c r="O939">
        <v>10039279</v>
      </c>
      <c r="P939" s="108">
        <v>43074</v>
      </c>
      <c r="Q939" s="108">
        <v>43076</v>
      </c>
      <c r="R939" s="108">
        <v>43118</v>
      </c>
      <c r="S939" t="s">
        <v>206</v>
      </c>
      <c r="T939">
        <v>1</v>
      </c>
      <c r="U939" t="s">
        <v>123</v>
      </c>
      <c r="V939">
        <v>1</v>
      </c>
      <c r="W939">
        <v>1</v>
      </c>
      <c r="X939">
        <v>1</v>
      </c>
      <c r="Y939">
        <f>VLOOKUP(Table_clu7sql1_ssdb_REPORT_vw_IE_External_MI_SON[[#This Row],[URN]],[1]Data!$D$2:$BB$1084,31,)</f>
        <v>1</v>
      </c>
      <c r="Z939" t="s">
        <v>2596</v>
      </c>
      <c r="AA939" t="s">
        <v>2596</v>
      </c>
      <c r="AB939" t="s">
        <v>2598</v>
      </c>
      <c r="AC939" t="s">
        <v>2596</v>
      </c>
      <c r="AD939" t="s">
        <v>2596</v>
      </c>
      <c r="AE939" t="s">
        <v>2596</v>
      </c>
      <c r="AF939" t="s">
        <v>2596</v>
      </c>
      <c r="AG939" t="s">
        <v>2596</v>
      </c>
      <c r="AH939" t="s">
        <v>2596</v>
      </c>
    </row>
    <row r="940" spans="1:34" x14ac:dyDescent="0.25">
      <c r="A940" s="111" t="str">
        <f>HYPERLINK("http://www.ofsted.gov.uk/inspection-reports/find-inspection-report/provider/ELS/142621 ","Ofsted School Webpage")</f>
        <v>Ofsted School Webpage</v>
      </c>
      <c r="B940">
        <v>142621</v>
      </c>
      <c r="C940">
        <v>3066016</v>
      </c>
      <c r="D940" t="s">
        <v>2472</v>
      </c>
      <c r="E940" t="s">
        <v>37</v>
      </c>
      <c r="F940" t="s">
        <v>142</v>
      </c>
      <c r="G940" t="s">
        <v>142</v>
      </c>
      <c r="H940" t="s">
        <v>2595</v>
      </c>
      <c r="I940" t="s">
        <v>2596</v>
      </c>
      <c r="J940" t="s">
        <v>143</v>
      </c>
      <c r="K940" t="s">
        <v>189</v>
      </c>
      <c r="L940" t="s">
        <v>189</v>
      </c>
      <c r="M940" t="s">
        <v>676</v>
      </c>
      <c r="N940" t="s">
        <v>2473</v>
      </c>
      <c r="O940">
        <v>10035816</v>
      </c>
      <c r="P940" s="108">
        <v>43046</v>
      </c>
      <c r="Q940" s="108">
        <v>43048</v>
      </c>
      <c r="R940" s="108">
        <v>43077</v>
      </c>
      <c r="S940" t="s">
        <v>206</v>
      </c>
      <c r="T940">
        <v>3</v>
      </c>
      <c r="U940" t="s">
        <v>123</v>
      </c>
      <c r="V940">
        <v>2</v>
      </c>
      <c r="W940">
        <v>2</v>
      </c>
      <c r="X940">
        <v>3</v>
      </c>
      <c r="Y940">
        <f>VLOOKUP(Table_clu7sql1_ssdb_REPORT_vw_IE_External_MI_SON[[#This Row],[URN]],[1]Data!$D$2:$BB$1084,31,)</f>
        <v>3</v>
      </c>
      <c r="Z940" t="s">
        <v>2596</v>
      </c>
      <c r="AA940" t="s">
        <v>2596</v>
      </c>
      <c r="AB940" t="s">
        <v>2598</v>
      </c>
      <c r="AC940" t="s">
        <v>2596</v>
      </c>
      <c r="AD940" t="s">
        <v>2596</v>
      </c>
      <c r="AE940" t="s">
        <v>2596</v>
      </c>
      <c r="AF940" t="s">
        <v>2596</v>
      </c>
      <c r="AG940" t="s">
        <v>2596</v>
      </c>
      <c r="AH940" t="s">
        <v>2596</v>
      </c>
    </row>
    <row r="941" spans="1:34" x14ac:dyDescent="0.25">
      <c r="A941" s="111" t="str">
        <f>HYPERLINK("http://www.ofsted.gov.uk/inspection-reports/find-inspection-report/provider/ELS/142623 ","Ofsted School Webpage")</f>
        <v>Ofsted School Webpage</v>
      </c>
      <c r="B941">
        <v>142623</v>
      </c>
      <c r="C941">
        <v>3306025</v>
      </c>
      <c r="D941" t="s">
        <v>467</v>
      </c>
      <c r="E941" t="s">
        <v>36</v>
      </c>
      <c r="F941" t="s">
        <v>142</v>
      </c>
      <c r="G941" t="s">
        <v>142</v>
      </c>
      <c r="H941" t="s">
        <v>2595</v>
      </c>
      <c r="I941" t="s">
        <v>2596</v>
      </c>
      <c r="J941" t="s">
        <v>143</v>
      </c>
      <c r="K941" t="s">
        <v>150</v>
      </c>
      <c r="L941" t="s">
        <v>150</v>
      </c>
      <c r="M941" t="s">
        <v>167</v>
      </c>
      <c r="N941" t="s">
        <v>468</v>
      </c>
      <c r="O941">
        <v>10020883</v>
      </c>
      <c r="P941" s="108">
        <v>42997</v>
      </c>
      <c r="Q941" s="108">
        <v>42999</v>
      </c>
      <c r="R941" s="108">
        <v>43028</v>
      </c>
      <c r="S941" t="s">
        <v>206</v>
      </c>
      <c r="T941">
        <v>2</v>
      </c>
      <c r="U941" t="s">
        <v>123</v>
      </c>
      <c r="V941">
        <v>2</v>
      </c>
      <c r="W941">
        <v>2</v>
      </c>
      <c r="X941">
        <v>2</v>
      </c>
      <c r="Y941">
        <f>VLOOKUP(Table_clu7sql1_ssdb_REPORT_vw_IE_External_MI_SON[[#This Row],[URN]],[1]Data!$D$2:$BB$1084,31,)</f>
        <v>2</v>
      </c>
      <c r="Z941" t="s">
        <v>2596</v>
      </c>
      <c r="AA941">
        <v>2</v>
      </c>
      <c r="AB941" t="s">
        <v>2598</v>
      </c>
      <c r="AC941" t="s">
        <v>2596</v>
      </c>
      <c r="AD941" t="s">
        <v>2596</v>
      </c>
      <c r="AE941" s="108" t="s">
        <v>2596</v>
      </c>
      <c r="AF941" t="s">
        <v>2596</v>
      </c>
      <c r="AG941" s="108" t="s">
        <v>2596</v>
      </c>
      <c r="AH941" t="s">
        <v>2596</v>
      </c>
    </row>
    <row r="942" spans="1:34" x14ac:dyDescent="0.25">
      <c r="A942" s="111" t="str">
        <f>HYPERLINK("http://www.ofsted.gov.uk/inspection-reports/find-inspection-report/provider/ELS/142625 ","Ofsted School Webpage")</f>
        <v>Ofsted School Webpage</v>
      </c>
      <c r="B942">
        <v>142625</v>
      </c>
      <c r="C942">
        <v>8736053</v>
      </c>
      <c r="D942" t="s">
        <v>477</v>
      </c>
      <c r="E942" t="s">
        <v>36</v>
      </c>
      <c r="F942" t="s">
        <v>142</v>
      </c>
      <c r="G942" t="s">
        <v>142</v>
      </c>
      <c r="H942" t="s">
        <v>2595</v>
      </c>
      <c r="I942" t="s">
        <v>2596</v>
      </c>
      <c r="J942" t="s">
        <v>143</v>
      </c>
      <c r="K942" t="s">
        <v>177</v>
      </c>
      <c r="L942" t="s">
        <v>177</v>
      </c>
      <c r="M942" t="s">
        <v>241</v>
      </c>
      <c r="N942" t="s">
        <v>478</v>
      </c>
      <c r="O942">
        <v>10033609</v>
      </c>
      <c r="P942" s="108">
        <v>43011</v>
      </c>
      <c r="Q942" s="108">
        <v>43013</v>
      </c>
      <c r="R942" s="108">
        <v>43052</v>
      </c>
      <c r="S942" t="s">
        <v>206</v>
      </c>
      <c r="T942">
        <v>3</v>
      </c>
      <c r="U942" t="s">
        <v>123</v>
      </c>
      <c r="V942">
        <v>3</v>
      </c>
      <c r="W942">
        <v>2</v>
      </c>
      <c r="X942">
        <v>3</v>
      </c>
      <c r="Y942">
        <f>VLOOKUP(Table_clu7sql1_ssdb_REPORT_vw_IE_External_MI_SON[[#This Row],[URN]],[1]Data!$D$2:$BB$1084,31,)</f>
        <v>3</v>
      </c>
      <c r="Z942" t="s">
        <v>2596</v>
      </c>
      <c r="AA942">
        <v>3</v>
      </c>
      <c r="AB942" t="s">
        <v>2599</v>
      </c>
      <c r="AC942" t="s">
        <v>2596</v>
      </c>
      <c r="AD942" t="s">
        <v>2596</v>
      </c>
      <c r="AE942" s="108" t="s">
        <v>2596</v>
      </c>
      <c r="AF942" t="s">
        <v>2596</v>
      </c>
      <c r="AG942" s="108" t="s">
        <v>2596</v>
      </c>
      <c r="AH942" t="s">
        <v>2596</v>
      </c>
    </row>
    <row r="943" spans="1:34" x14ac:dyDescent="0.25">
      <c r="A943" s="111" t="str">
        <f>HYPERLINK("http://www.ofsted.gov.uk/inspection-reports/find-inspection-report/provider/ELS/142635 ","Ofsted School Webpage")</f>
        <v>Ofsted School Webpage</v>
      </c>
      <c r="B943">
        <v>142635</v>
      </c>
      <c r="C943">
        <v>8576006</v>
      </c>
      <c r="D943" t="s">
        <v>2474</v>
      </c>
      <c r="E943" t="s">
        <v>37</v>
      </c>
      <c r="F943" t="s">
        <v>142</v>
      </c>
      <c r="G943" t="s">
        <v>142</v>
      </c>
      <c r="H943" t="s">
        <v>2595</v>
      </c>
      <c r="I943" t="s">
        <v>2596</v>
      </c>
      <c r="J943" t="s">
        <v>143</v>
      </c>
      <c r="K943" t="s">
        <v>171</v>
      </c>
      <c r="L943" t="s">
        <v>171</v>
      </c>
      <c r="M943" t="s">
        <v>581</v>
      </c>
      <c r="N943" t="s">
        <v>2475</v>
      </c>
      <c r="O943">
        <v>10026055</v>
      </c>
      <c r="P943" s="108">
        <v>42815</v>
      </c>
      <c r="Q943" s="108">
        <v>42817</v>
      </c>
      <c r="R943" s="108">
        <v>42849</v>
      </c>
      <c r="S943" t="s">
        <v>153</v>
      </c>
      <c r="T943">
        <v>1</v>
      </c>
      <c r="U943" t="s">
        <v>123</v>
      </c>
      <c r="V943">
        <v>1</v>
      </c>
      <c r="W943">
        <v>1</v>
      </c>
      <c r="X943">
        <v>1</v>
      </c>
      <c r="Y943">
        <f>VLOOKUP(Table_clu7sql1_ssdb_REPORT_vw_IE_External_MI_SON[[#This Row],[URN]],[1]Data!$D$2:$BB$1084,31,)</f>
        <v>1</v>
      </c>
      <c r="Z943" t="s">
        <v>2596</v>
      </c>
      <c r="AA943">
        <v>1</v>
      </c>
      <c r="AB943" t="s">
        <v>2598</v>
      </c>
      <c r="AC943" t="s">
        <v>2596</v>
      </c>
      <c r="AD943" t="s">
        <v>2596</v>
      </c>
      <c r="AE943" s="108" t="s">
        <v>2596</v>
      </c>
      <c r="AF943" t="s">
        <v>2596</v>
      </c>
      <c r="AG943" s="108" t="s">
        <v>2596</v>
      </c>
      <c r="AH943" t="s">
        <v>2596</v>
      </c>
    </row>
    <row r="944" spans="1:34" x14ac:dyDescent="0.25">
      <c r="A944" s="111" t="str">
        <f>HYPERLINK("http://www.ofsted.gov.uk/inspection-reports/find-inspection-report/provider/ELS/142657 ","Ofsted School Webpage")</f>
        <v>Ofsted School Webpage</v>
      </c>
      <c r="B944">
        <v>142657</v>
      </c>
      <c r="C944">
        <v>8606043</v>
      </c>
      <c r="D944" t="s">
        <v>2476</v>
      </c>
      <c r="E944" t="s">
        <v>36</v>
      </c>
      <c r="F944" t="s">
        <v>142</v>
      </c>
      <c r="G944" t="s">
        <v>142</v>
      </c>
      <c r="H944" t="s">
        <v>2595</v>
      </c>
      <c r="I944" t="s">
        <v>2596</v>
      </c>
      <c r="J944" t="s">
        <v>143</v>
      </c>
      <c r="K944" t="s">
        <v>150</v>
      </c>
      <c r="L944" t="s">
        <v>150</v>
      </c>
      <c r="M944" t="s">
        <v>271</v>
      </c>
      <c r="N944" t="s">
        <v>2477</v>
      </c>
      <c r="O944">
        <v>10039280</v>
      </c>
      <c r="P944" s="108">
        <v>43074</v>
      </c>
      <c r="Q944" s="108">
        <v>43076</v>
      </c>
      <c r="R944" s="108">
        <v>43122</v>
      </c>
      <c r="S944" t="s">
        <v>206</v>
      </c>
      <c r="T944">
        <v>2</v>
      </c>
      <c r="U944" t="s">
        <v>123</v>
      </c>
      <c r="V944">
        <v>2</v>
      </c>
      <c r="W944">
        <v>2</v>
      </c>
      <c r="X944">
        <v>2</v>
      </c>
      <c r="Y944">
        <f>VLOOKUP(Table_clu7sql1_ssdb_REPORT_vw_IE_External_MI_SON[[#This Row],[URN]],[1]Data!$D$2:$BB$1084,31,)</f>
        <v>2</v>
      </c>
      <c r="Z944" t="s">
        <v>2596</v>
      </c>
      <c r="AA944" t="s">
        <v>2596</v>
      </c>
      <c r="AB944" t="s">
        <v>2598</v>
      </c>
      <c r="AC944" t="s">
        <v>2596</v>
      </c>
      <c r="AD944" t="s">
        <v>2596</v>
      </c>
      <c r="AE944" s="108" t="s">
        <v>2596</v>
      </c>
      <c r="AF944" t="s">
        <v>2596</v>
      </c>
      <c r="AG944" s="108" t="s">
        <v>2596</v>
      </c>
      <c r="AH944" t="s">
        <v>2596</v>
      </c>
    </row>
    <row r="945" spans="1:34" x14ac:dyDescent="0.25">
      <c r="A945" s="111" t="str">
        <f>HYPERLINK("http://www.ofsted.gov.uk/inspection-reports/find-inspection-report/provider/ELS/142659 ","Ofsted School Webpage")</f>
        <v>Ofsted School Webpage</v>
      </c>
      <c r="B945">
        <v>142659</v>
      </c>
      <c r="C945">
        <v>8556036</v>
      </c>
      <c r="D945" t="s">
        <v>307</v>
      </c>
      <c r="E945" t="s">
        <v>37</v>
      </c>
      <c r="F945" t="s">
        <v>142</v>
      </c>
      <c r="G945" t="s">
        <v>142</v>
      </c>
      <c r="H945" t="s">
        <v>2595</v>
      </c>
      <c r="I945" t="s">
        <v>2596</v>
      </c>
      <c r="J945" t="s">
        <v>143</v>
      </c>
      <c r="K945" t="s">
        <v>171</v>
      </c>
      <c r="L945" t="s">
        <v>171</v>
      </c>
      <c r="M945" t="s">
        <v>238</v>
      </c>
      <c r="N945" t="s">
        <v>308</v>
      </c>
      <c r="O945">
        <v>10039199</v>
      </c>
      <c r="P945" s="108">
        <v>42990</v>
      </c>
      <c r="Q945" s="108">
        <v>42991</v>
      </c>
      <c r="R945" s="108">
        <v>43018</v>
      </c>
      <c r="S945" t="s">
        <v>206</v>
      </c>
      <c r="T945">
        <v>2</v>
      </c>
      <c r="U945" t="s">
        <v>123</v>
      </c>
      <c r="V945">
        <v>2</v>
      </c>
      <c r="W945">
        <v>2</v>
      </c>
      <c r="X945">
        <v>2</v>
      </c>
      <c r="Y945">
        <f>VLOOKUP(Table_clu7sql1_ssdb_REPORT_vw_IE_External_MI_SON[[#This Row],[URN]],[1]Data!$D$2:$BB$1084,31,)</f>
        <v>2</v>
      </c>
      <c r="Z945" t="s">
        <v>2596</v>
      </c>
      <c r="AA945" t="s">
        <v>2596</v>
      </c>
      <c r="AB945" t="s">
        <v>2598</v>
      </c>
      <c r="AC945" t="s">
        <v>2596</v>
      </c>
      <c r="AD945" t="s">
        <v>2596</v>
      </c>
      <c r="AE945" t="s">
        <v>2596</v>
      </c>
      <c r="AF945" t="s">
        <v>2596</v>
      </c>
      <c r="AG945" t="s">
        <v>2596</v>
      </c>
      <c r="AH945" t="s">
        <v>2596</v>
      </c>
    </row>
    <row r="946" spans="1:34" x14ac:dyDescent="0.25">
      <c r="A946" s="111" t="str">
        <f>HYPERLINK("http://www.ofsted.gov.uk/inspection-reports/find-inspection-report/provider/ELS/142660 ","Ofsted School Webpage")</f>
        <v>Ofsted School Webpage</v>
      </c>
      <c r="B946">
        <v>142660</v>
      </c>
      <c r="C946">
        <v>8256047</v>
      </c>
      <c r="D946" t="s">
        <v>2340</v>
      </c>
      <c r="E946" t="s">
        <v>36</v>
      </c>
      <c r="F946" t="s">
        <v>142</v>
      </c>
      <c r="G946" t="s">
        <v>169</v>
      </c>
      <c r="H946" t="s">
        <v>2595</v>
      </c>
      <c r="I946" t="s">
        <v>2596</v>
      </c>
      <c r="J946" t="s">
        <v>143</v>
      </c>
      <c r="K946" t="s">
        <v>139</v>
      </c>
      <c r="L946" t="s">
        <v>139</v>
      </c>
      <c r="M946" t="s">
        <v>208</v>
      </c>
      <c r="N946" t="s">
        <v>2341</v>
      </c>
      <c r="O946">
        <v>10039169</v>
      </c>
      <c r="P946" s="108">
        <v>43067</v>
      </c>
      <c r="Q946" s="108">
        <v>43069</v>
      </c>
      <c r="R946" s="108">
        <v>43112</v>
      </c>
      <c r="S946" t="s">
        <v>206</v>
      </c>
      <c r="T946">
        <v>2</v>
      </c>
      <c r="U946" t="s">
        <v>123</v>
      </c>
      <c r="V946">
        <v>2</v>
      </c>
      <c r="W946">
        <v>1</v>
      </c>
      <c r="X946">
        <v>2</v>
      </c>
      <c r="Y946">
        <f>VLOOKUP(Table_clu7sql1_ssdb_REPORT_vw_IE_External_MI_SON[[#This Row],[URN]],[1]Data!$D$2:$BB$1084,31,)</f>
        <v>2</v>
      </c>
      <c r="Z946" t="s">
        <v>2596</v>
      </c>
      <c r="AA946">
        <v>1</v>
      </c>
      <c r="AB946" t="s">
        <v>2598</v>
      </c>
      <c r="AC946" t="s">
        <v>2596</v>
      </c>
      <c r="AD946" t="s">
        <v>2596</v>
      </c>
      <c r="AE946" t="s">
        <v>2596</v>
      </c>
      <c r="AF946" t="s">
        <v>2596</v>
      </c>
      <c r="AG946" t="s">
        <v>2596</v>
      </c>
      <c r="AH946" t="s">
        <v>2596</v>
      </c>
    </row>
    <row r="947" spans="1:34" x14ac:dyDescent="0.25">
      <c r="A947" s="111" t="str">
        <f>HYPERLINK("http://www.ofsted.gov.uk/inspection-reports/find-inspection-report/provider/ELS/142672 ","Ofsted School Webpage")</f>
        <v>Ofsted School Webpage</v>
      </c>
      <c r="B947">
        <v>142672</v>
      </c>
      <c r="C947">
        <v>8216013</v>
      </c>
      <c r="D947" t="s">
        <v>2342</v>
      </c>
      <c r="E947" t="s">
        <v>37</v>
      </c>
      <c r="F947" t="s">
        <v>142</v>
      </c>
      <c r="G947" t="s">
        <v>142</v>
      </c>
      <c r="H947" t="s">
        <v>2595</v>
      </c>
      <c r="I947" t="s">
        <v>2596</v>
      </c>
      <c r="J947" t="s">
        <v>143</v>
      </c>
      <c r="K947" t="s">
        <v>177</v>
      </c>
      <c r="L947" t="s">
        <v>177</v>
      </c>
      <c r="M947" t="s">
        <v>178</v>
      </c>
      <c r="N947" t="s">
        <v>2343</v>
      </c>
      <c r="O947">
        <v>10043522</v>
      </c>
      <c r="P947" s="108">
        <v>43123</v>
      </c>
      <c r="Q947" s="108">
        <v>43125</v>
      </c>
      <c r="R947" s="108">
        <v>43164</v>
      </c>
      <c r="S947" t="s">
        <v>206</v>
      </c>
      <c r="T947">
        <v>2</v>
      </c>
      <c r="U947" t="s">
        <v>123</v>
      </c>
      <c r="V947">
        <v>2</v>
      </c>
      <c r="W947">
        <v>2</v>
      </c>
      <c r="X947">
        <v>2</v>
      </c>
      <c r="Y947">
        <f>VLOOKUP(Table_clu7sql1_ssdb_REPORT_vw_IE_External_MI_SON[[#This Row],[URN]],[1]Data!$D$2:$BB$1084,31,)</f>
        <v>2</v>
      </c>
      <c r="Z947" t="s">
        <v>2596</v>
      </c>
      <c r="AA947" t="s">
        <v>2596</v>
      </c>
      <c r="AB947" t="s">
        <v>2598</v>
      </c>
      <c r="AC947" t="s">
        <v>2596</v>
      </c>
      <c r="AD947" t="s">
        <v>2596</v>
      </c>
      <c r="AE947" s="108" t="s">
        <v>2596</v>
      </c>
      <c r="AF947" t="s">
        <v>2596</v>
      </c>
      <c r="AG947" s="108" t="s">
        <v>2596</v>
      </c>
      <c r="AH947" t="s">
        <v>2596</v>
      </c>
    </row>
    <row r="948" spans="1:34" x14ac:dyDescent="0.25">
      <c r="A948" s="111" t="str">
        <f>HYPERLINK("http://www.ofsted.gov.uk/inspection-reports/find-inspection-report/provider/ELS/142674 ","Ofsted School Webpage")</f>
        <v>Ofsted School Webpage</v>
      </c>
      <c r="B948">
        <v>142674</v>
      </c>
      <c r="C948">
        <v>3846004</v>
      </c>
      <c r="D948" t="s">
        <v>2344</v>
      </c>
      <c r="E948" t="s">
        <v>37</v>
      </c>
      <c r="F948" t="s">
        <v>142</v>
      </c>
      <c r="G948" t="s">
        <v>142</v>
      </c>
      <c r="H948" t="s">
        <v>2595</v>
      </c>
      <c r="I948" t="s">
        <v>2596</v>
      </c>
      <c r="J948" t="s">
        <v>143</v>
      </c>
      <c r="K948" t="s">
        <v>202</v>
      </c>
      <c r="L948" t="s">
        <v>203</v>
      </c>
      <c r="M948" t="s">
        <v>518</v>
      </c>
      <c r="N948" t="s">
        <v>2345</v>
      </c>
      <c r="O948">
        <v>10025964</v>
      </c>
      <c r="P948" s="108">
        <v>42766</v>
      </c>
      <c r="Q948" s="108">
        <v>42768</v>
      </c>
      <c r="R948" s="108">
        <v>42810</v>
      </c>
      <c r="S948" t="s">
        <v>206</v>
      </c>
      <c r="T948">
        <v>2</v>
      </c>
      <c r="U948" t="s">
        <v>123</v>
      </c>
      <c r="V948">
        <v>1</v>
      </c>
      <c r="W948">
        <v>2</v>
      </c>
      <c r="X948">
        <v>2</v>
      </c>
      <c r="Y948">
        <f>VLOOKUP(Table_clu7sql1_ssdb_REPORT_vw_IE_External_MI_SON[[#This Row],[URN]],[1]Data!$D$2:$BB$1084,31,)</f>
        <v>2</v>
      </c>
      <c r="Z948" t="s">
        <v>2596</v>
      </c>
      <c r="AA948" t="s">
        <v>2596</v>
      </c>
      <c r="AB948" t="s">
        <v>2598</v>
      </c>
      <c r="AC948" t="s">
        <v>2596</v>
      </c>
      <c r="AD948" t="s">
        <v>2596</v>
      </c>
      <c r="AE948" t="s">
        <v>2596</v>
      </c>
      <c r="AF948" t="s">
        <v>2596</v>
      </c>
      <c r="AG948" t="s">
        <v>2596</v>
      </c>
      <c r="AH948" t="s">
        <v>2596</v>
      </c>
    </row>
    <row r="949" spans="1:34" x14ac:dyDescent="0.25">
      <c r="A949" s="111" t="str">
        <f>HYPERLINK("http://www.ofsted.gov.uk/inspection-reports/find-inspection-report/provider/ELS/142675 ","Ofsted School Webpage")</f>
        <v>Ofsted School Webpage</v>
      </c>
      <c r="B949">
        <v>142675</v>
      </c>
      <c r="C949">
        <v>3516004</v>
      </c>
      <c r="D949" t="s">
        <v>2346</v>
      </c>
      <c r="E949" t="s">
        <v>37</v>
      </c>
      <c r="F949" t="s">
        <v>142</v>
      </c>
      <c r="G949" t="s">
        <v>142</v>
      </c>
      <c r="H949" t="s">
        <v>2595</v>
      </c>
      <c r="I949" t="s">
        <v>2596</v>
      </c>
      <c r="J949" t="s">
        <v>143</v>
      </c>
      <c r="K949" t="s">
        <v>162</v>
      </c>
      <c r="L949" t="s">
        <v>162</v>
      </c>
      <c r="M949" t="s">
        <v>409</v>
      </c>
      <c r="N949" t="s">
        <v>2347</v>
      </c>
      <c r="O949">
        <v>10034042</v>
      </c>
      <c r="P949" s="108">
        <v>42912</v>
      </c>
      <c r="Q949" s="108">
        <v>42914</v>
      </c>
      <c r="R949" s="108">
        <v>42940</v>
      </c>
      <c r="S949" t="s">
        <v>206</v>
      </c>
      <c r="T949">
        <v>2</v>
      </c>
      <c r="U949" t="s">
        <v>123</v>
      </c>
      <c r="V949">
        <v>2</v>
      </c>
      <c r="W949">
        <v>2</v>
      </c>
      <c r="X949">
        <v>2</v>
      </c>
      <c r="Y949">
        <f>VLOOKUP(Table_clu7sql1_ssdb_REPORT_vw_IE_External_MI_SON[[#This Row],[URN]],[1]Data!$D$2:$BB$1084,31,)</f>
        <v>2</v>
      </c>
      <c r="Z949" t="s">
        <v>2596</v>
      </c>
      <c r="AA949">
        <v>2</v>
      </c>
      <c r="AB949" t="s">
        <v>2598</v>
      </c>
      <c r="AC949" t="s">
        <v>2596</v>
      </c>
      <c r="AD949" t="s">
        <v>2596</v>
      </c>
      <c r="AE949" t="s">
        <v>2596</v>
      </c>
      <c r="AF949" t="s">
        <v>2596</v>
      </c>
      <c r="AG949" t="s">
        <v>2596</v>
      </c>
      <c r="AH949" t="s">
        <v>2596</v>
      </c>
    </row>
    <row r="950" spans="1:34" x14ac:dyDescent="0.25">
      <c r="A950" s="111" t="str">
        <f>HYPERLINK("http://www.ofsted.gov.uk/inspection-reports/find-inspection-report/provider/ELS/142763 ","Ofsted School Webpage")</f>
        <v>Ofsted School Webpage</v>
      </c>
      <c r="B950">
        <v>142763</v>
      </c>
      <c r="C950">
        <v>8786065</v>
      </c>
      <c r="D950" t="s">
        <v>469</v>
      </c>
      <c r="E950" t="s">
        <v>37</v>
      </c>
      <c r="F950" t="s">
        <v>142</v>
      </c>
      <c r="G950" t="s">
        <v>142</v>
      </c>
      <c r="H950" t="s">
        <v>2595</v>
      </c>
      <c r="I950" t="s">
        <v>2596</v>
      </c>
      <c r="J950" t="s">
        <v>143</v>
      </c>
      <c r="K950" t="s">
        <v>182</v>
      </c>
      <c r="L950" t="s">
        <v>182</v>
      </c>
      <c r="M950" t="s">
        <v>323</v>
      </c>
      <c r="N950" t="s">
        <v>470</v>
      </c>
      <c r="O950">
        <v>10033896</v>
      </c>
      <c r="P950" s="108">
        <v>43026</v>
      </c>
      <c r="Q950" s="108">
        <v>43028</v>
      </c>
      <c r="R950" s="108">
        <v>43052</v>
      </c>
      <c r="S950" t="s">
        <v>206</v>
      </c>
      <c r="T950">
        <v>2</v>
      </c>
      <c r="U950" t="s">
        <v>123</v>
      </c>
      <c r="V950">
        <v>2</v>
      </c>
      <c r="W950">
        <v>2</v>
      </c>
      <c r="X950">
        <v>2</v>
      </c>
      <c r="Y950">
        <f>VLOOKUP(Table_clu7sql1_ssdb_REPORT_vw_IE_External_MI_SON[[#This Row],[URN]],[1]Data!$D$2:$BB$1084,31,)</f>
        <v>2</v>
      </c>
      <c r="Z950" t="s">
        <v>2596</v>
      </c>
      <c r="AA950" t="s">
        <v>2596</v>
      </c>
      <c r="AB950" t="s">
        <v>2598</v>
      </c>
      <c r="AC950" t="s">
        <v>2596</v>
      </c>
      <c r="AD950" t="s">
        <v>2596</v>
      </c>
      <c r="AE950" t="s">
        <v>2596</v>
      </c>
      <c r="AF950" t="s">
        <v>2596</v>
      </c>
      <c r="AG950" t="s">
        <v>2596</v>
      </c>
      <c r="AH950" t="s">
        <v>2596</v>
      </c>
    </row>
    <row r="951" spans="1:34" x14ac:dyDescent="0.25">
      <c r="A951" s="111" t="str">
        <f>HYPERLINK("http://www.ofsted.gov.uk/inspection-reports/find-inspection-report/provider/ELS/142773 ","Ofsted School Webpage")</f>
        <v>Ofsted School Webpage</v>
      </c>
      <c r="B951">
        <v>142773</v>
      </c>
      <c r="C951">
        <v>3536003</v>
      </c>
      <c r="D951" t="s">
        <v>749</v>
      </c>
      <c r="E951" t="s">
        <v>36</v>
      </c>
      <c r="F951" t="s">
        <v>142</v>
      </c>
      <c r="G951" t="s">
        <v>261</v>
      </c>
      <c r="H951" t="s">
        <v>2595</v>
      </c>
      <c r="I951" t="s">
        <v>2596</v>
      </c>
      <c r="J951" t="s">
        <v>143</v>
      </c>
      <c r="K951" t="s">
        <v>162</v>
      </c>
      <c r="L951" t="s">
        <v>162</v>
      </c>
      <c r="M951" t="s">
        <v>423</v>
      </c>
      <c r="N951" t="s">
        <v>750</v>
      </c>
      <c r="O951">
        <v>10021744</v>
      </c>
      <c r="P951" s="108">
        <v>42822</v>
      </c>
      <c r="Q951" s="108">
        <v>42824</v>
      </c>
      <c r="R951" s="108">
        <v>42867</v>
      </c>
      <c r="S951" t="s">
        <v>206</v>
      </c>
      <c r="T951">
        <v>4</v>
      </c>
      <c r="U951" t="s">
        <v>124</v>
      </c>
      <c r="V951">
        <v>4</v>
      </c>
      <c r="W951">
        <v>4</v>
      </c>
      <c r="X951">
        <v>3</v>
      </c>
      <c r="Y951">
        <f>VLOOKUP(Table_clu7sql1_ssdb_REPORT_vw_IE_External_MI_SON[[#This Row],[URN]],[1]Data!$D$2:$BB$1084,31,)</f>
        <v>3</v>
      </c>
      <c r="Z951" t="s">
        <v>2596</v>
      </c>
      <c r="AA951" t="s">
        <v>2596</v>
      </c>
      <c r="AB951" t="s">
        <v>2599</v>
      </c>
      <c r="AC951">
        <v>10043777</v>
      </c>
      <c r="AD951" t="s">
        <v>144</v>
      </c>
      <c r="AE951" s="108">
        <v>43111</v>
      </c>
      <c r="AF951" t="s">
        <v>2636</v>
      </c>
      <c r="AG951" s="108">
        <v>43143</v>
      </c>
      <c r="AH951" t="s">
        <v>146</v>
      </c>
    </row>
    <row r="952" spans="1:34" x14ac:dyDescent="0.25">
      <c r="A952" s="111" t="str">
        <f>HYPERLINK("http://www.ofsted.gov.uk/inspection-reports/find-inspection-report/provider/ELS/142776 ","Ofsted School Webpage")</f>
        <v>Ofsted School Webpage</v>
      </c>
      <c r="B952">
        <v>142776</v>
      </c>
      <c r="C952">
        <v>8736054</v>
      </c>
      <c r="D952" t="s">
        <v>751</v>
      </c>
      <c r="E952" t="s">
        <v>36</v>
      </c>
      <c r="F952" t="s">
        <v>142</v>
      </c>
      <c r="G952" t="s">
        <v>142</v>
      </c>
      <c r="H952" t="s">
        <v>2595</v>
      </c>
      <c r="I952" t="s">
        <v>2596</v>
      </c>
      <c r="J952" t="s">
        <v>143</v>
      </c>
      <c r="K952" t="s">
        <v>177</v>
      </c>
      <c r="L952" t="s">
        <v>177</v>
      </c>
      <c r="M952" t="s">
        <v>241</v>
      </c>
      <c r="N952" t="s">
        <v>752</v>
      </c>
      <c r="O952">
        <v>10033610</v>
      </c>
      <c r="P952" s="108">
        <v>42815</v>
      </c>
      <c r="Q952" s="108">
        <v>42817</v>
      </c>
      <c r="R952" s="108">
        <v>42858</v>
      </c>
      <c r="S952" t="s">
        <v>206</v>
      </c>
      <c r="T952">
        <v>2</v>
      </c>
      <c r="U952" t="s">
        <v>123</v>
      </c>
      <c r="V952">
        <v>2</v>
      </c>
      <c r="W952">
        <v>2</v>
      </c>
      <c r="X952">
        <v>2</v>
      </c>
      <c r="Y952">
        <f>VLOOKUP(Table_clu7sql1_ssdb_REPORT_vw_IE_External_MI_SON[[#This Row],[URN]],[1]Data!$D$2:$BB$1084,31,)</f>
        <v>2</v>
      </c>
      <c r="Z952" t="s">
        <v>2596</v>
      </c>
      <c r="AA952" t="s">
        <v>2596</v>
      </c>
      <c r="AB952" t="s">
        <v>2598</v>
      </c>
      <c r="AC952" t="s">
        <v>2596</v>
      </c>
      <c r="AD952" t="s">
        <v>2596</v>
      </c>
      <c r="AE952" t="s">
        <v>2596</v>
      </c>
      <c r="AF952" t="s">
        <v>2596</v>
      </c>
      <c r="AG952" t="s">
        <v>2596</v>
      </c>
      <c r="AH952" t="s">
        <v>2596</v>
      </c>
    </row>
    <row r="953" spans="1:34" x14ac:dyDescent="0.25">
      <c r="A953" s="111" t="str">
        <f>HYPERLINK("http://www.ofsted.gov.uk/inspection-reports/find-inspection-report/provider/ELS/142779 ","Ofsted School Webpage")</f>
        <v>Ofsted School Webpage</v>
      </c>
      <c r="B953">
        <v>142779</v>
      </c>
      <c r="C953">
        <v>8556037</v>
      </c>
      <c r="D953" t="s">
        <v>753</v>
      </c>
      <c r="E953" t="s">
        <v>37</v>
      </c>
      <c r="F953" t="s">
        <v>142</v>
      </c>
      <c r="G953" t="s">
        <v>142</v>
      </c>
      <c r="H953" t="s">
        <v>2595</v>
      </c>
      <c r="I953" t="s">
        <v>2596</v>
      </c>
      <c r="J953" t="s">
        <v>143</v>
      </c>
      <c r="K953" t="s">
        <v>171</v>
      </c>
      <c r="L953" t="s">
        <v>171</v>
      </c>
      <c r="M953" t="s">
        <v>238</v>
      </c>
      <c r="N953" t="s">
        <v>754</v>
      </c>
      <c r="O953" t="s">
        <v>2596</v>
      </c>
      <c r="P953" s="108" t="s">
        <v>2596</v>
      </c>
      <c r="Q953" s="108" t="s">
        <v>2596</v>
      </c>
      <c r="R953" s="108" t="s">
        <v>2596</v>
      </c>
      <c r="S953" t="s">
        <v>2596</v>
      </c>
      <c r="T953" t="s">
        <v>2596</v>
      </c>
      <c r="U953" t="s">
        <v>2596</v>
      </c>
      <c r="V953" t="s">
        <v>2596</v>
      </c>
      <c r="W953" t="s">
        <v>2596</v>
      </c>
      <c r="X953" t="s">
        <v>2596</v>
      </c>
      <c r="Y953" t="str">
        <f>VLOOKUP(Table_clu7sql1_ssdb_REPORT_vw_IE_External_MI_SON[[#This Row],[URN]],[1]Data!$D$2:$BB$1084,31,)</f>
        <v>NULL</v>
      </c>
      <c r="Z953" t="s">
        <v>2596</v>
      </c>
      <c r="AA953" t="s">
        <v>2596</v>
      </c>
      <c r="AB953" t="s">
        <v>2596</v>
      </c>
      <c r="AC953" t="s">
        <v>2596</v>
      </c>
      <c r="AD953" t="s">
        <v>2596</v>
      </c>
      <c r="AE953" t="s">
        <v>2596</v>
      </c>
      <c r="AF953" t="s">
        <v>2596</v>
      </c>
      <c r="AG953" t="s">
        <v>2596</v>
      </c>
      <c r="AH953" t="s">
        <v>2596</v>
      </c>
    </row>
    <row r="954" spans="1:34" x14ac:dyDescent="0.25">
      <c r="A954" s="111" t="str">
        <f>HYPERLINK("http://www.ofsted.gov.uk/inspection-reports/find-inspection-report/provider/ELS/142784 ","Ofsted School Webpage")</f>
        <v>Ofsted School Webpage</v>
      </c>
      <c r="B954">
        <v>142784</v>
      </c>
      <c r="C954">
        <v>3806013</v>
      </c>
      <c r="D954" t="s">
        <v>2079</v>
      </c>
      <c r="E954" t="s">
        <v>37</v>
      </c>
      <c r="F954" t="s">
        <v>142</v>
      </c>
      <c r="G954" t="s">
        <v>142</v>
      </c>
      <c r="H954" t="s">
        <v>2595</v>
      </c>
      <c r="I954" t="s">
        <v>2596</v>
      </c>
      <c r="J954" t="s">
        <v>143</v>
      </c>
      <c r="K954" t="s">
        <v>202</v>
      </c>
      <c r="L954" t="s">
        <v>203</v>
      </c>
      <c r="M954" t="s">
        <v>295</v>
      </c>
      <c r="N954" t="s">
        <v>2080</v>
      </c>
      <c r="O954">
        <v>10033925</v>
      </c>
      <c r="P954" s="108">
        <v>42864</v>
      </c>
      <c r="Q954" s="108">
        <v>42866</v>
      </c>
      <c r="R954" s="108">
        <v>42909</v>
      </c>
      <c r="S954" t="s">
        <v>206</v>
      </c>
      <c r="T954">
        <v>2</v>
      </c>
      <c r="U954" t="s">
        <v>123</v>
      </c>
      <c r="V954">
        <v>1</v>
      </c>
      <c r="W954">
        <v>1</v>
      </c>
      <c r="X954">
        <v>2</v>
      </c>
      <c r="Y954">
        <f>VLOOKUP(Table_clu7sql1_ssdb_REPORT_vw_IE_External_MI_SON[[#This Row],[URN]],[1]Data!$D$2:$BB$1084,31,)</f>
        <v>2</v>
      </c>
      <c r="Z954" t="s">
        <v>2596</v>
      </c>
      <c r="AA954" t="s">
        <v>2596</v>
      </c>
      <c r="AB954" t="s">
        <v>2598</v>
      </c>
      <c r="AC954" t="s">
        <v>2596</v>
      </c>
      <c r="AD954" t="s">
        <v>2596</v>
      </c>
      <c r="AE954" t="s">
        <v>2596</v>
      </c>
      <c r="AF954" t="s">
        <v>2596</v>
      </c>
      <c r="AG954" t="s">
        <v>2596</v>
      </c>
      <c r="AH954" t="s">
        <v>2596</v>
      </c>
    </row>
    <row r="955" spans="1:34" x14ac:dyDescent="0.25">
      <c r="A955" s="111" t="str">
        <f>HYPERLINK("http://www.ofsted.gov.uk/inspection-reports/find-inspection-report/provider/ELS/142828 ","Ofsted School Webpage")</f>
        <v>Ofsted School Webpage</v>
      </c>
      <c r="B955">
        <v>142828</v>
      </c>
      <c r="C955">
        <v>8126004</v>
      </c>
      <c r="D955" t="s">
        <v>201</v>
      </c>
      <c r="E955" t="s">
        <v>37</v>
      </c>
      <c r="F955" t="s">
        <v>142</v>
      </c>
      <c r="G955" t="s">
        <v>142</v>
      </c>
      <c r="H955" t="s">
        <v>2595</v>
      </c>
      <c r="I955" t="s">
        <v>2596</v>
      </c>
      <c r="J955" t="s">
        <v>143</v>
      </c>
      <c r="K955" t="s">
        <v>202</v>
      </c>
      <c r="L955" t="s">
        <v>203</v>
      </c>
      <c r="M955" t="s">
        <v>204</v>
      </c>
      <c r="N955" t="s">
        <v>205</v>
      </c>
      <c r="O955">
        <v>10040148</v>
      </c>
      <c r="P955" s="108">
        <v>43018</v>
      </c>
      <c r="Q955" s="108">
        <v>43019</v>
      </c>
      <c r="R955" s="108">
        <v>43063</v>
      </c>
      <c r="S955" t="s">
        <v>206</v>
      </c>
      <c r="T955">
        <v>3</v>
      </c>
      <c r="U955" t="s">
        <v>123</v>
      </c>
      <c r="V955">
        <v>3</v>
      </c>
      <c r="W955">
        <v>3</v>
      </c>
      <c r="X955">
        <v>3</v>
      </c>
      <c r="Y955">
        <f>VLOOKUP(Table_clu7sql1_ssdb_REPORT_vw_IE_External_MI_SON[[#This Row],[URN]],[1]Data!$D$2:$BB$1084,31,)</f>
        <v>3</v>
      </c>
      <c r="Z955" t="s">
        <v>2596</v>
      </c>
      <c r="AA955" t="s">
        <v>2596</v>
      </c>
      <c r="AB955" t="s">
        <v>2599</v>
      </c>
      <c r="AC955" t="s">
        <v>2596</v>
      </c>
      <c r="AD955" t="s">
        <v>2596</v>
      </c>
      <c r="AE955" t="s">
        <v>2596</v>
      </c>
      <c r="AF955" t="s">
        <v>2596</v>
      </c>
      <c r="AG955" t="s">
        <v>2596</v>
      </c>
      <c r="AH955" t="s">
        <v>2596</v>
      </c>
    </row>
    <row r="956" spans="1:34" x14ac:dyDescent="0.25">
      <c r="A956" s="111" t="str">
        <f>HYPERLINK("http://www.ofsted.gov.uk/inspection-reports/find-inspection-report/provider/ELS/142829 ","Ofsted School Webpage")</f>
        <v>Ofsted School Webpage</v>
      </c>
      <c r="B956">
        <v>142829</v>
      </c>
      <c r="C956">
        <v>8116014</v>
      </c>
      <c r="D956" t="s">
        <v>2081</v>
      </c>
      <c r="E956" t="s">
        <v>37</v>
      </c>
      <c r="F956" t="s">
        <v>142</v>
      </c>
      <c r="G956" t="s">
        <v>142</v>
      </c>
      <c r="H956" t="s">
        <v>2595</v>
      </c>
      <c r="I956" t="s">
        <v>2596</v>
      </c>
      <c r="J956" t="s">
        <v>143</v>
      </c>
      <c r="K956" t="s">
        <v>202</v>
      </c>
      <c r="L956" t="s">
        <v>203</v>
      </c>
      <c r="M956" t="s">
        <v>657</v>
      </c>
      <c r="N956" t="s">
        <v>2082</v>
      </c>
      <c r="O956">
        <v>10033926</v>
      </c>
      <c r="P956" s="108">
        <v>42906</v>
      </c>
      <c r="Q956" s="108">
        <v>42908</v>
      </c>
      <c r="R956" s="108">
        <v>43000</v>
      </c>
      <c r="S956" t="s">
        <v>206</v>
      </c>
      <c r="T956">
        <v>4</v>
      </c>
      <c r="U956" t="s">
        <v>123</v>
      </c>
      <c r="V956">
        <v>4</v>
      </c>
      <c r="W956">
        <v>3</v>
      </c>
      <c r="X956">
        <v>4</v>
      </c>
      <c r="Y956">
        <f>VLOOKUP(Table_clu7sql1_ssdb_REPORT_vw_IE_External_MI_SON[[#This Row],[URN]],[1]Data!$D$2:$BB$1084,31,)</f>
        <v>4</v>
      </c>
      <c r="Z956" t="s">
        <v>2596</v>
      </c>
      <c r="AA956" t="s">
        <v>2596</v>
      </c>
      <c r="AB956" t="s">
        <v>2599</v>
      </c>
      <c r="AC956" t="s">
        <v>2596</v>
      </c>
      <c r="AD956" t="s">
        <v>2596</v>
      </c>
      <c r="AE956" s="108" t="s">
        <v>2596</v>
      </c>
      <c r="AF956" t="s">
        <v>2596</v>
      </c>
      <c r="AG956" s="108" t="s">
        <v>2596</v>
      </c>
      <c r="AH956" t="s">
        <v>2596</v>
      </c>
    </row>
    <row r="957" spans="1:34" x14ac:dyDescent="0.25">
      <c r="A957" s="111" t="str">
        <f>HYPERLINK("http://www.ofsted.gov.uk/inspection-reports/find-inspection-report/provider/ELS/142832 ","Ofsted School Webpage")</f>
        <v>Ofsted School Webpage</v>
      </c>
      <c r="B957">
        <v>142832</v>
      </c>
      <c r="C957">
        <v>3046003</v>
      </c>
      <c r="D957" t="s">
        <v>2083</v>
      </c>
      <c r="E957" t="s">
        <v>36</v>
      </c>
      <c r="F957" t="s">
        <v>142</v>
      </c>
      <c r="G957" t="s">
        <v>169</v>
      </c>
      <c r="H957" t="s">
        <v>2595</v>
      </c>
      <c r="I957" t="s">
        <v>2596</v>
      </c>
      <c r="J957" t="s">
        <v>143</v>
      </c>
      <c r="K957" t="s">
        <v>189</v>
      </c>
      <c r="L957" t="s">
        <v>189</v>
      </c>
      <c r="M957" t="s">
        <v>702</v>
      </c>
      <c r="N957" t="s">
        <v>2084</v>
      </c>
      <c r="O957">
        <v>10041406</v>
      </c>
      <c r="P957" s="108">
        <v>43116</v>
      </c>
      <c r="Q957" s="108">
        <v>43118</v>
      </c>
      <c r="R957" s="108">
        <v>43146</v>
      </c>
      <c r="S957" t="s">
        <v>206</v>
      </c>
      <c r="T957">
        <v>3</v>
      </c>
      <c r="U957" t="s">
        <v>123</v>
      </c>
      <c r="V957">
        <v>3</v>
      </c>
      <c r="W957">
        <v>3</v>
      </c>
      <c r="X957">
        <v>3</v>
      </c>
      <c r="Y957">
        <f>VLOOKUP(Table_clu7sql1_ssdb_REPORT_vw_IE_External_MI_SON[[#This Row],[URN]],[1]Data!$D$2:$BB$1084,31,)</f>
        <v>3</v>
      </c>
      <c r="Z957" t="s">
        <v>2596</v>
      </c>
      <c r="AA957" t="s">
        <v>2596</v>
      </c>
      <c r="AB957" t="s">
        <v>2598</v>
      </c>
      <c r="AC957" t="s">
        <v>2596</v>
      </c>
      <c r="AD957" t="s">
        <v>2596</v>
      </c>
      <c r="AE957" t="s">
        <v>2596</v>
      </c>
      <c r="AF957" t="s">
        <v>2596</v>
      </c>
      <c r="AG957" t="s">
        <v>2596</v>
      </c>
      <c r="AH957" t="s">
        <v>2596</v>
      </c>
    </row>
    <row r="958" spans="1:34" x14ac:dyDescent="0.25">
      <c r="A958" s="111" t="str">
        <f>HYPERLINK("http://www.ofsted.gov.uk/inspection-reports/find-inspection-report/provider/ELS/142833 ","Ofsted School Webpage")</f>
        <v>Ofsted School Webpage</v>
      </c>
      <c r="B958">
        <v>142833</v>
      </c>
      <c r="C958">
        <v>8856044</v>
      </c>
      <c r="D958" t="s">
        <v>2085</v>
      </c>
      <c r="E958" t="s">
        <v>36</v>
      </c>
      <c r="F958" t="s">
        <v>142</v>
      </c>
      <c r="G958" t="s">
        <v>142</v>
      </c>
      <c r="H958" t="s">
        <v>2595</v>
      </c>
      <c r="I958" t="s">
        <v>2596</v>
      </c>
      <c r="J958" t="s">
        <v>143</v>
      </c>
      <c r="K958" t="s">
        <v>150</v>
      </c>
      <c r="L958" t="s">
        <v>150</v>
      </c>
      <c r="M958" t="s">
        <v>842</v>
      </c>
      <c r="N958" t="s">
        <v>2086</v>
      </c>
      <c r="O958">
        <v>10033586</v>
      </c>
      <c r="P958" s="108">
        <v>42899</v>
      </c>
      <c r="Q958" s="108">
        <v>42901</v>
      </c>
      <c r="R958" s="108">
        <v>42950</v>
      </c>
      <c r="S958" t="s">
        <v>206</v>
      </c>
      <c r="T958">
        <v>1</v>
      </c>
      <c r="U958" t="s">
        <v>123</v>
      </c>
      <c r="V958">
        <v>1</v>
      </c>
      <c r="W958">
        <v>1</v>
      </c>
      <c r="X958">
        <v>1</v>
      </c>
      <c r="Y958">
        <f>VLOOKUP(Table_clu7sql1_ssdb_REPORT_vw_IE_External_MI_SON[[#This Row],[URN]],[1]Data!$D$2:$BB$1084,31,)</f>
        <v>1</v>
      </c>
      <c r="Z958" t="s">
        <v>2596</v>
      </c>
      <c r="AA958">
        <v>1</v>
      </c>
      <c r="AB958" t="s">
        <v>2598</v>
      </c>
      <c r="AC958" t="s">
        <v>2596</v>
      </c>
      <c r="AD958" t="s">
        <v>2596</v>
      </c>
      <c r="AE958" t="s">
        <v>2596</v>
      </c>
      <c r="AF958" t="s">
        <v>2596</v>
      </c>
      <c r="AG958" t="s">
        <v>2596</v>
      </c>
      <c r="AH958" t="s">
        <v>2596</v>
      </c>
    </row>
    <row r="959" spans="1:34" x14ac:dyDescent="0.25">
      <c r="A959" s="111" t="str">
        <f>HYPERLINK("http://www.ofsted.gov.uk/inspection-reports/find-inspection-report/provider/ELS/142859 ","Ofsted School Webpage")</f>
        <v>Ofsted School Webpage</v>
      </c>
      <c r="B959">
        <v>142859</v>
      </c>
      <c r="C959">
        <v>8866143</v>
      </c>
      <c r="D959" t="s">
        <v>2523</v>
      </c>
      <c r="E959" t="s">
        <v>37</v>
      </c>
      <c r="F959" t="s">
        <v>142</v>
      </c>
      <c r="G959" t="s">
        <v>142</v>
      </c>
      <c r="H959" t="s">
        <v>2595</v>
      </c>
      <c r="I959" t="s">
        <v>2596</v>
      </c>
      <c r="J959" t="s">
        <v>143</v>
      </c>
      <c r="K959" t="s">
        <v>139</v>
      </c>
      <c r="L959" t="s">
        <v>139</v>
      </c>
      <c r="M959" t="s">
        <v>140</v>
      </c>
      <c r="N959" t="s">
        <v>2524</v>
      </c>
      <c r="O959" t="s">
        <v>2596</v>
      </c>
      <c r="P959" s="108" t="s">
        <v>2596</v>
      </c>
      <c r="Q959" s="108" t="s">
        <v>2596</v>
      </c>
      <c r="R959" s="108" t="s">
        <v>2596</v>
      </c>
      <c r="S959" t="s">
        <v>2596</v>
      </c>
      <c r="T959" t="s">
        <v>2596</v>
      </c>
      <c r="U959" t="s">
        <v>2596</v>
      </c>
      <c r="V959" t="s">
        <v>2596</v>
      </c>
      <c r="W959" t="s">
        <v>2596</v>
      </c>
      <c r="X959" t="s">
        <v>2596</v>
      </c>
      <c r="Y959" t="str">
        <f>VLOOKUP(Table_clu7sql1_ssdb_REPORT_vw_IE_External_MI_SON[[#This Row],[URN]],[1]Data!$D$2:$BB$1084,31,)</f>
        <v>NULL</v>
      </c>
      <c r="Z959" t="s">
        <v>2596</v>
      </c>
      <c r="AA959" t="s">
        <v>2596</v>
      </c>
      <c r="AB959" t="s">
        <v>2596</v>
      </c>
      <c r="AC959" t="s">
        <v>2596</v>
      </c>
      <c r="AD959" t="s">
        <v>2596</v>
      </c>
      <c r="AE959" t="s">
        <v>2596</v>
      </c>
      <c r="AF959" t="s">
        <v>2596</v>
      </c>
      <c r="AG959" t="s">
        <v>2596</v>
      </c>
      <c r="AH959" t="s">
        <v>2596</v>
      </c>
    </row>
    <row r="960" spans="1:34" x14ac:dyDescent="0.25">
      <c r="A960" s="111" t="str">
        <f>HYPERLINK("http://www.ofsted.gov.uk/inspection-reports/find-inspection-report/provider/ELS/142911 ","Ofsted School Webpage")</f>
        <v>Ofsted School Webpage</v>
      </c>
      <c r="B960">
        <v>142911</v>
      </c>
      <c r="C960">
        <v>8156034</v>
      </c>
      <c r="D960" t="s">
        <v>2525</v>
      </c>
      <c r="E960" t="s">
        <v>37</v>
      </c>
      <c r="F960" t="s">
        <v>142</v>
      </c>
      <c r="G960" t="s">
        <v>142</v>
      </c>
      <c r="H960" t="s">
        <v>2595</v>
      </c>
      <c r="I960" t="s">
        <v>2596</v>
      </c>
      <c r="J960" t="s">
        <v>143</v>
      </c>
      <c r="K960" t="s">
        <v>202</v>
      </c>
      <c r="L960" t="s">
        <v>203</v>
      </c>
      <c r="M960" t="s">
        <v>509</v>
      </c>
      <c r="N960" t="s">
        <v>2526</v>
      </c>
      <c r="O960">
        <v>10033927</v>
      </c>
      <c r="P960" s="108">
        <v>42912</v>
      </c>
      <c r="Q960" s="108">
        <v>42914</v>
      </c>
      <c r="R960" s="108">
        <v>42985</v>
      </c>
      <c r="S960" t="s">
        <v>206</v>
      </c>
      <c r="T960">
        <v>2</v>
      </c>
      <c r="U960" t="s">
        <v>123</v>
      </c>
      <c r="V960">
        <v>2</v>
      </c>
      <c r="W960">
        <v>2</v>
      </c>
      <c r="X960">
        <v>2</v>
      </c>
      <c r="Y960">
        <f>VLOOKUP(Table_clu7sql1_ssdb_REPORT_vw_IE_External_MI_SON[[#This Row],[URN]],[1]Data!$D$2:$BB$1084,31,)</f>
        <v>2</v>
      </c>
      <c r="Z960" t="s">
        <v>2596</v>
      </c>
      <c r="AA960" t="s">
        <v>2596</v>
      </c>
      <c r="AB960" t="s">
        <v>2598</v>
      </c>
      <c r="AC960" t="s">
        <v>2596</v>
      </c>
      <c r="AD960" t="s">
        <v>2596</v>
      </c>
      <c r="AE960" s="108" t="s">
        <v>2596</v>
      </c>
      <c r="AF960" t="s">
        <v>2596</v>
      </c>
      <c r="AG960" s="108" t="s">
        <v>2596</v>
      </c>
      <c r="AH960" t="s">
        <v>2596</v>
      </c>
    </row>
    <row r="961" spans="1:34" x14ac:dyDescent="0.25">
      <c r="A961" s="111" t="str">
        <f>HYPERLINK("http://www.ofsted.gov.uk/inspection-reports/find-inspection-report/provider/ELS/142912 ","Ofsted School Webpage")</f>
        <v>Ofsted School Webpage</v>
      </c>
      <c r="B961">
        <v>142912</v>
      </c>
      <c r="C961">
        <v>3736006</v>
      </c>
      <c r="D961" t="s">
        <v>2527</v>
      </c>
      <c r="E961" t="s">
        <v>37</v>
      </c>
      <c r="F961" t="s">
        <v>142</v>
      </c>
      <c r="G961" t="s">
        <v>142</v>
      </c>
      <c r="H961" t="s">
        <v>2595</v>
      </c>
      <c r="I961" t="s">
        <v>2596</v>
      </c>
      <c r="J961" t="s">
        <v>143</v>
      </c>
      <c r="K961" t="s">
        <v>202</v>
      </c>
      <c r="L961" t="s">
        <v>203</v>
      </c>
      <c r="M961" t="s">
        <v>617</v>
      </c>
      <c r="N961" t="s">
        <v>2528</v>
      </c>
      <c r="O961">
        <v>10033928</v>
      </c>
      <c r="P961" s="108">
        <v>42920</v>
      </c>
      <c r="Q961" s="108">
        <v>42922</v>
      </c>
      <c r="R961" s="108">
        <v>43000</v>
      </c>
      <c r="S961" t="s">
        <v>206</v>
      </c>
      <c r="T961">
        <v>2</v>
      </c>
      <c r="U961" t="s">
        <v>123</v>
      </c>
      <c r="V961">
        <v>2</v>
      </c>
      <c r="W961">
        <v>1</v>
      </c>
      <c r="X961">
        <v>2</v>
      </c>
      <c r="Y961">
        <f>VLOOKUP(Table_clu7sql1_ssdb_REPORT_vw_IE_External_MI_SON[[#This Row],[URN]],[1]Data!$D$2:$BB$1084,31,)</f>
        <v>2</v>
      </c>
      <c r="Z961" t="s">
        <v>2596</v>
      </c>
      <c r="AA961" t="s">
        <v>2596</v>
      </c>
      <c r="AB961" t="s">
        <v>2598</v>
      </c>
      <c r="AC961" t="s">
        <v>2596</v>
      </c>
      <c r="AD961" t="s">
        <v>2596</v>
      </c>
      <c r="AE961" s="108" t="s">
        <v>2596</v>
      </c>
      <c r="AF961" t="s">
        <v>2596</v>
      </c>
      <c r="AG961" s="108" t="s">
        <v>2596</v>
      </c>
      <c r="AH961" t="s">
        <v>2596</v>
      </c>
    </row>
    <row r="962" spans="1:34" x14ac:dyDescent="0.25">
      <c r="A962" s="111" t="str">
        <f>HYPERLINK("http://www.ofsted.gov.uk/inspection-reports/find-inspection-report/provider/ELS/142925 ","Ofsted School Webpage")</f>
        <v>Ofsted School Webpage</v>
      </c>
      <c r="B962">
        <v>142925</v>
      </c>
      <c r="C962">
        <v>8456062</v>
      </c>
      <c r="D962" t="s">
        <v>2529</v>
      </c>
      <c r="E962" t="s">
        <v>36</v>
      </c>
      <c r="F962" t="s">
        <v>142</v>
      </c>
      <c r="G962" t="s">
        <v>142</v>
      </c>
      <c r="H962" t="s">
        <v>2595</v>
      </c>
      <c r="I962" t="s">
        <v>2596</v>
      </c>
      <c r="J962" t="s">
        <v>143</v>
      </c>
      <c r="K962" t="s">
        <v>139</v>
      </c>
      <c r="L962" t="s">
        <v>139</v>
      </c>
      <c r="M962" t="s">
        <v>394</v>
      </c>
      <c r="N962" t="s">
        <v>2530</v>
      </c>
      <c r="O962">
        <v>10033965</v>
      </c>
      <c r="P962" s="108">
        <v>42850</v>
      </c>
      <c r="Q962" s="108">
        <v>42852</v>
      </c>
      <c r="R962" s="108">
        <v>42873</v>
      </c>
      <c r="S962" t="s">
        <v>206</v>
      </c>
      <c r="T962">
        <v>2</v>
      </c>
      <c r="U962" t="s">
        <v>123</v>
      </c>
      <c r="V962">
        <v>1</v>
      </c>
      <c r="W962">
        <v>2</v>
      </c>
      <c r="X962">
        <v>2</v>
      </c>
      <c r="Y962">
        <f>VLOOKUP(Table_clu7sql1_ssdb_REPORT_vw_IE_External_MI_SON[[#This Row],[URN]],[1]Data!$D$2:$BB$1084,31,)</f>
        <v>2</v>
      </c>
      <c r="Z962" t="s">
        <v>2596</v>
      </c>
      <c r="AA962">
        <v>2</v>
      </c>
      <c r="AB962" t="s">
        <v>2598</v>
      </c>
      <c r="AC962" t="s">
        <v>2596</v>
      </c>
      <c r="AD962" t="s">
        <v>2596</v>
      </c>
      <c r="AE962" s="108" t="s">
        <v>2596</v>
      </c>
      <c r="AF962" t="s">
        <v>2596</v>
      </c>
      <c r="AG962" s="108" t="s">
        <v>2596</v>
      </c>
      <c r="AH962" t="s">
        <v>2596</v>
      </c>
    </row>
    <row r="963" spans="1:34" x14ac:dyDescent="0.25">
      <c r="A963" s="111" t="str">
        <f>HYPERLINK("http://www.ofsted.gov.uk/inspection-reports/find-inspection-report/provider/ELS/142930 ","Ofsted School Webpage")</f>
        <v>Ofsted School Webpage</v>
      </c>
      <c r="B963">
        <v>142930</v>
      </c>
      <c r="C963">
        <v>8926021</v>
      </c>
      <c r="D963" t="s">
        <v>2146</v>
      </c>
      <c r="E963" t="s">
        <v>36</v>
      </c>
      <c r="F963" t="s">
        <v>142</v>
      </c>
      <c r="G963" t="s">
        <v>142</v>
      </c>
      <c r="H963" t="s">
        <v>2595</v>
      </c>
      <c r="I963" t="s">
        <v>2596</v>
      </c>
      <c r="J963" t="s">
        <v>143</v>
      </c>
      <c r="K963" t="s">
        <v>171</v>
      </c>
      <c r="L963" t="s">
        <v>171</v>
      </c>
      <c r="M963" t="s">
        <v>244</v>
      </c>
      <c r="N963" t="s">
        <v>2147</v>
      </c>
      <c r="O963">
        <v>10043805</v>
      </c>
      <c r="P963" s="108">
        <v>43130</v>
      </c>
      <c r="Q963" s="108">
        <v>43132</v>
      </c>
      <c r="R963" s="108">
        <v>43165</v>
      </c>
      <c r="S963" t="s">
        <v>206</v>
      </c>
      <c r="T963">
        <v>2</v>
      </c>
      <c r="U963" t="s">
        <v>123</v>
      </c>
      <c r="V963">
        <v>2</v>
      </c>
      <c r="W963">
        <v>2</v>
      </c>
      <c r="X963">
        <v>2</v>
      </c>
      <c r="Y963">
        <f>VLOOKUP(Table_clu7sql1_ssdb_REPORT_vw_IE_External_MI_SON[[#This Row],[URN]],[1]Data!$D$2:$BB$1084,31,)</f>
        <v>2</v>
      </c>
      <c r="Z963" t="s">
        <v>2596</v>
      </c>
      <c r="AA963" t="s">
        <v>2596</v>
      </c>
      <c r="AB963" t="s">
        <v>2598</v>
      </c>
      <c r="AC963" t="s">
        <v>2596</v>
      </c>
      <c r="AD963" t="s">
        <v>2596</v>
      </c>
      <c r="AE963" t="s">
        <v>2596</v>
      </c>
      <c r="AF963" t="s">
        <v>2596</v>
      </c>
      <c r="AG963" t="s">
        <v>2596</v>
      </c>
      <c r="AH963" t="s">
        <v>2596</v>
      </c>
    </row>
    <row r="964" spans="1:34" x14ac:dyDescent="0.25">
      <c r="A964" s="111" t="str">
        <f>HYPERLINK("http://www.ofsted.gov.uk/inspection-reports/find-inspection-report/provider/ELS/142931 ","Ofsted School Webpage")</f>
        <v>Ofsted School Webpage</v>
      </c>
      <c r="B964">
        <v>142931</v>
      </c>
      <c r="C964">
        <v>8896015</v>
      </c>
      <c r="D964" t="s">
        <v>2148</v>
      </c>
      <c r="E964" t="s">
        <v>36</v>
      </c>
      <c r="F964" t="s">
        <v>142</v>
      </c>
      <c r="G964" t="s">
        <v>261</v>
      </c>
      <c r="H964" t="s">
        <v>2595</v>
      </c>
      <c r="I964" t="s">
        <v>2596</v>
      </c>
      <c r="J964" t="s">
        <v>143</v>
      </c>
      <c r="K964" t="s">
        <v>162</v>
      </c>
      <c r="L964" t="s">
        <v>162</v>
      </c>
      <c r="M964" t="s">
        <v>440</v>
      </c>
      <c r="N964" t="s">
        <v>2149</v>
      </c>
      <c r="O964" t="s">
        <v>2596</v>
      </c>
      <c r="P964" s="108" t="s">
        <v>2596</v>
      </c>
      <c r="Q964" s="108" t="s">
        <v>2596</v>
      </c>
      <c r="R964" s="108" t="s">
        <v>2596</v>
      </c>
      <c r="S964" t="s">
        <v>2596</v>
      </c>
      <c r="T964" t="s">
        <v>2596</v>
      </c>
      <c r="U964" t="s">
        <v>2596</v>
      </c>
      <c r="V964" t="s">
        <v>2596</v>
      </c>
      <c r="W964" t="s">
        <v>2596</v>
      </c>
      <c r="X964" t="s">
        <v>2596</v>
      </c>
      <c r="Y964" t="str">
        <f>VLOOKUP(Table_clu7sql1_ssdb_REPORT_vw_IE_External_MI_SON[[#This Row],[URN]],[1]Data!$D$2:$BB$1084,31,)</f>
        <v>NULL</v>
      </c>
      <c r="Z964" t="s">
        <v>2596</v>
      </c>
      <c r="AA964" t="s">
        <v>2596</v>
      </c>
      <c r="AB964" t="s">
        <v>2596</v>
      </c>
      <c r="AC964" t="s">
        <v>2596</v>
      </c>
      <c r="AD964" t="s">
        <v>2596</v>
      </c>
      <c r="AE964" s="108" t="s">
        <v>2596</v>
      </c>
      <c r="AF964" t="s">
        <v>2596</v>
      </c>
      <c r="AG964" s="108" t="s">
        <v>2596</v>
      </c>
      <c r="AH964" t="s">
        <v>2596</v>
      </c>
    </row>
    <row r="965" spans="1:34" x14ac:dyDescent="0.25">
      <c r="A965" s="111" t="str">
        <f>HYPERLINK("http://www.ofsted.gov.uk/inspection-reports/find-inspection-report/provider/ELS/142939 ","Ofsted School Webpage")</f>
        <v>Ofsted School Webpage</v>
      </c>
      <c r="B965">
        <v>142939</v>
      </c>
      <c r="C965">
        <v>8556038</v>
      </c>
      <c r="D965" t="s">
        <v>2150</v>
      </c>
      <c r="E965" t="s">
        <v>36</v>
      </c>
      <c r="F965" t="s">
        <v>142</v>
      </c>
      <c r="G965" t="s">
        <v>142</v>
      </c>
      <c r="H965" t="s">
        <v>2595</v>
      </c>
      <c r="I965" t="s">
        <v>2596</v>
      </c>
      <c r="J965" t="s">
        <v>143</v>
      </c>
      <c r="K965" t="s">
        <v>171</v>
      </c>
      <c r="L965" t="s">
        <v>171</v>
      </c>
      <c r="M965" t="s">
        <v>238</v>
      </c>
      <c r="N965" t="s">
        <v>2151</v>
      </c>
      <c r="O965">
        <v>10039198</v>
      </c>
      <c r="P965" s="108">
        <v>43116</v>
      </c>
      <c r="Q965" s="108">
        <v>43118</v>
      </c>
      <c r="R965" s="108">
        <v>43143</v>
      </c>
      <c r="S965" t="s">
        <v>206</v>
      </c>
      <c r="T965">
        <v>2</v>
      </c>
      <c r="U965" t="s">
        <v>123</v>
      </c>
      <c r="V965">
        <v>2</v>
      </c>
      <c r="W965">
        <v>2</v>
      </c>
      <c r="X965">
        <v>2</v>
      </c>
      <c r="Y965">
        <f>VLOOKUP(Table_clu7sql1_ssdb_REPORT_vw_IE_External_MI_SON[[#This Row],[URN]],[1]Data!$D$2:$BB$1084,31,)</f>
        <v>2</v>
      </c>
      <c r="Z965" t="s">
        <v>2596</v>
      </c>
      <c r="AA965" t="s">
        <v>2596</v>
      </c>
      <c r="AB965" t="s">
        <v>2598</v>
      </c>
      <c r="AC965" t="s">
        <v>2596</v>
      </c>
      <c r="AD965" t="s">
        <v>2596</v>
      </c>
      <c r="AE965" t="s">
        <v>2596</v>
      </c>
      <c r="AF965" t="s">
        <v>2596</v>
      </c>
      <c r="AG965" t="s">
        <v>2596</v>
      </c>
      <c r="AH965" t="s">
        <v>2596</v>
      </c>
    </row>
    <row r="966" spans="1:34" x14ac:dyDescent="0.25">
      <c r="A966" s="111" t="str">
        <f>HYPERLINK("http://www.ofsted.gov.uk/inspection-reports/find-inspection-report/provider/ELS/143018 ","Ofsted School Webpage")</f>
        <v>Ofsted School Webpage</v>
      </c>
      <c r="B966">
        <v>143018</v>
      </c>
      <c r="C966">
        <v>9166006</v>
      </c>
      <c r="D966" t="s">
        <v>2152</v>
      </c>
      <c r="E966" t="s">
        <v>36</v>
      </c>
      <c r="F966" t="s">
        <v>142</v>
      </c>
      <c r="G966" t="s">
        <v>142</v>
      </c>
      <c r="H966" t="s">
        <v>2595</v>
      </c>
      <c r="I966" t="s">
        <v>2596</v>
      </c>
      <c r="J966" t="s">
        <v>143</v>
      </c>
      <c r="K966" t="s">
        <v>182</v>
      </c>
      <c r="L966" t="s">
        <v>182</v>
      </c>
      <c r="M966" t="s">
        <v>222</v>
      </c>
      <c r="N966" t="s">
        <v>2153</v>
      </c>
      <c r="O966">
        <v>10035559</v>
      </c>
      <c r="P966" s="108">
        <v>43067</v>
      </c>
      <c r="Q966" s="108">
        <v>43069</v>
      </c>
      <c r="R966" s="108">
        <v>43123</v>
      </c>
      <c r="S966" t="s">
        <v>206</v>
      </c>
      <c r="T966">
        <v>4</v>
      </c>
      <c r="U966" t="s">
        <v>124</v>
      </c>
      <c r="V966">
        <v>4</v>
      </c>
      <c r="W966">
        <v>4</v>
      </c>
      <c r="X966">
        <v>4</v>
      </c>
      <c r="Y966">
        <f>VLOOKUP(Table_clu7sql1_ssdb_REPORT_vw_IE_External_MI_SON[[#This Row],[URN]],[1]Data!$D$2:$BB$1084,31,)</f>
        <v>4</v>
      </c>
      <c r="Z966" t="s">
        <v>2596</v>
      </c>
      <c r="AA966" t="s">
        <v>2596</v>
      </c>
      <c r="AB966" t="s">
        <v>2599</v>
      </c>
      <c r="AC966" t="s">
        <v>2596</v>
      </c>
      <c r="AD966" t="s">
        <v>2596</v>
      </c>
      <c r="AE966" t="s">
        <v>2596</v>
      </c>
      <c r="AF966" t="s">
        <v>2596</v>
      </c>
      <c r="AG966" t="s">
        <v>2596</v>
      </c>
      <c r="AH966" t="s">
        <v>2596</v>
      </c>
    </row>
    <row r="967" spans="1:34" x14ac:dyDescent="0.25">
      <c r="A967" s="111" t="str">
        <f>HYPERLINK("http://www.ofsted.gov.uk/inspection-reports/find-inspection-report/provider/ELS/143019 ","Ofsted School Webpage")</f>
        <v>Ofsted School Webpage</v>
      </c>
      <c r="B967">
        <v>143019</v>
      </c>
      <c r="C967">
        <v>3016005</v>
      </c>
      <c r="D967" t="s">
        <v>2154</v>
      </c>
      <c r="E967" t="s">
        <v>36</v>
      </c>
      <c r="F967" t="s">
        <v>142</v>
      </c>
      <c r="G967" t="s">
        <v>142</v>
      </c>
      <c r="H967" t="s">
        <v>2595</v>
      </c>
      <c r="I967" t="s">
        <v>2596</v>
      </c>
      <c r="J967" t="s">
        <v>143</v>
      </c>
      <c r="K967" t="s">
        <v>189</v>
      </c>
      <c r="L967" t="s">
        <v>189</v>
      </c>
      <c r="M967" t="s">
        <v>1103</v>
      </c>
      <c r="N967" t="s">
        <v>2155</v>
      </c>
      <c r="O967">
        <v>10035817</v>
      </c>
      <c r="P967" s="108">
        <v>43039</v>
      </c>
      <c r="Q967" s="108">
        <v>43041</v>
      </c>
      <c r="R967" s="108">
        <v>43070</v>
      </c>
      <c r="S967" t="s">
        <v>206</v>
      </c>
      <c r="T967">
        <v>2</v>
      </c>
      <c r="U967" t="s">
        <v>123</v>
      </c>
      <c r="V967">
        <v>2</v>
      </c>
      <c r="W967">
        <v>2</v>
      </c>
      <c r="X967">
        <v>2</v>
      </c>
      <c r="Y967">
        <f>VLOOKUP(Table_clu7sql1_ssdb_REPORT_vw_IE_External_MI_SON[[#This Row],[URN]],[1]Data!$D$2:$BB$1084,31,)</f>
        <v>2</v>
      </c>
      <c r="Z967" t="s">
        <v>2596</v>
      </c>
      <c r="AA967" t="s">
        <v>2596</v>
      </c>
      <c r="AB967" t="s">
        <v>2598</v>
      </c>
      <c r="AC967" t="s">
        <v>2596</v>
      </c>
      <c r="AD967" t="s">
        <v>2596</v>
      </c>
      <c r="AE967" t="s">
        <v>2596</v>
      </c>
      <c r="AF967" t="s">
        <v>2596</v>
      </c>
      <c r="AG967" t="s">
        <v>2596</v>
      </c>
      <c r="AH967" t="s">
        <v>2596</v>
      </c>
    </row>
    <row r="968" spans="1:34" x14ac:dyDescent="0.25">
      <c r="A968" s="111" t="str">
        <f>HYPERLINK("http://www.ofsted.gov.uk/inspection-reports/find-inspection-report/provider/ELS/143026 ","Ofsted School Webpage")</f>
        <v>Ofsted School Webpage</v>
      </c>
      <c r="B968">
        <v>143026</v>
      </c>
      <c r="C968">
        <v>3506004</v>
      </c>
      <c r="D968" t="s">
        <v>1894</v>
      </c>
      <c r="E968" t="s">
        <v>37</v>
      </c>
      <c r="F968" t="s">
        <v>142</v>
      </c>
      <c r="G968" t="s">
        <v>142</v>
      </c>
      <c r="H968" t="s">
        <v>2595</v>
      </c>
      <c r="I968" t="s">
        <v>2596</v>
      </c>
      <c r="J968" t="s">
        <v>143</v>
      </c>
      <c r="K968" t="s">
        <v>162</v>
      </c>
      <c r="L968" t="s">
        <v>162</v>
      </c>
      <c r="M968" t="s">
        <v>1202</v>
      </c>
      <c r="N968" t="s">
        <v>1895</v>
      </c>
      <c r="O968">
        <v>10034043</v>
      </c>
      <c r="P968" s="108">
        <v>42920</v>
      </c>
      <c r="Q968" s="108">
        <v>42922</v>
      </c>
      <c r="R968" s="108">
        <v>42940</v>
      </c>
      <c r="S968" t="s">
        <v>206</v>
      </c>
      <c r="T968">
        <v>2</v>
      </c>
      <c r="U968" t="s">
        <v>123</v>
      </c>
      <c r="V968">
        <v>2</v>
      </c>
      <c r="W968">
        <v>1</v>
      </c>
      <c r="X968">
        <v>2</v>
      </c>
      <c r="Y968">
        <f>VLOOKUP(Table_clu7sql1_ssdb_REPORT_vw_IE_External_MI_SON[[#This Row],[URN]],[1]Data!$D$2:$BB$1084,31,)</f>
        <v>2</v>
      </c>
      <c r="Z968" t="s">
        <v>2596</v>
      </c>
      <c r="AA968">
        <v>2</v>
      </c>
      <c r="AB968" t="s">
        <v>2598</v>
      </c>
      <c r="AC968" t="s">
        <v>2596</v>
      </c>
      <c r="AD968" t="s">
        <v>2596</v>
      </c>
      <c r="AE968" t="s">
        <v>2596</v>
      </c>
      <c r="AF968" t="s">
        <v>2596</v>
      </c>
      <c r="AG968" t="s">
        <v>2596</v>
      </c>
      <c r="AH968" t="s">
        <v>2596</v>
      </c>
    </row>
    <row r="969" spans="1:34" x14ac:dyDescent="0.25">
      <c r="A969" s="111" t="str">
        <f>HYPERLINK("http://www.ofsted.gov.uk/inspection-reports/find-inspection-report/provider/ELS/143036 ","Ofsted School Webpage")</f>
        <v>Ofsted School Webpage</v>
      </c>
      <c r="B969">
        <v>143036</v>
      </c>
      <c r="C969">
        <v>3086006</v>
      </c>
      <c r="D969" t="s">
        <v>215</v>
      </c>
      <c r="E969" t="s">
        <v>36</v>
      </c>
      <c r="F969" t="s">
        <v>142</v>
      </c>
      <c r="G969" t="s">
        <v>142</v>
      </c>
      <c r="H969" t="s">
        <v>2595</v>
      </c>
      <c r="I969" t="s">
        <v>2596</v>
      </c>
      <c r="J969" t="s">
        <v>143</v>
      </c>
      <c r="K969" t="s">
        <v>189</v>
      </c>
      <c r="L969" t="s">
        <v>189</v>
      </c>
      <c r="M969" t="s">
        <v>216</v>
      </c>
      <c r="N969" t="s">
        <v>217</v>
      </c>
      <c r="O969">
        <v>10035818</v>
      </c>
      <c r="P969" s="108">
        <v>43039</v>
      </c>
      <c r="Q969" s="108">
        <v>43041</v>
      </c>
      <c r="R969" s="108">
        <v>43069</v>
      </c>
      <c r="S969" t="s">
        <v>206</v>
      </c>
      <c r="T969">
        <v>2</v>
      </c>
      <c r="U969" t="s">
        <v>123</v>
      </c>
      <c r="V969">
        <v>2</v>
      </c>
      <c r="W969">
        <v>2</v>
      </c>
      <c r="X969">
        <v>2</v>
      </c>
      <c r="Y969">
        <f>VLOOKUP(Table_clu7sql1_ssdb_REPORT_vw_IE_External_MI_SON[[#This Row],[URN]],[1]Data!$D$2:$BB$1084,31,)</f>
        <v>2</v>
      </c>
      <c r="Z969" t="s">
        <v>2596</v>
      </c>
      <c r="AA969" t="s">
        <v>2596</v>
      </c>
      <c r="AB969" t="s">
        <v>2598</v>
      </c>
      <c r="AC969" t="s">
        <v>2596</v>
      </c>
      <c r="AD969" t="s">
        <v>2596</v>
      </c>
      <c r="AE969" t="s">
        <v>2596</v>
      </c>
      <c r="AF969" t="s">
        <v>2596</v>
      </c>
      <c r="AG969" t="s">
        <v>2596</v>
      </c>
      <c r="AH969" t="s">
        <v>2596</v>
      </c>
    </row>
    <row r="970" spans="1:34" x14ac:dyDescent="0.25">
      <c r="A970" s="111" t="str">
        <f>HYPERLINK("http://www.ofsted.gov.uk/inspection-reports/find-inspection-report/provider/ELS/143037 ","Ofsted School Webpage")</f>
        <v>Ofsted School Webpage</v>
      </c>
      <c r="B970">
        <v>143037</v>
      </c>
      <c r="C970">
        <v>3026008</v>
      </c>
      <c r="D970" t="s">
        <v>1896</v>
      </c>
      <c r="E970" t="s">
        <v>36</v>
      </c>
      <c r="F970" t="s">
        <v>142</v>
      </c>
      <c r="G970" t="s">
        <v>369</v>
      </c>
      <c r="H970" t="s">
        <v>2595</v>
      </c>
      <c r="I970" t="s">
        <v>2596</v>
      </c>
      <c r="J970" t="s">
        <v>143</v>
      </c>
      <c r="K970" t="s">
        <v>189</v>
      </c>
      <c r="L970" t="s">
        <v>189</v>
      </c>
      <c r="M970" t="s">
        <v>268</v>
      </c>
      <c r="N970" t="s">
        <v>1897</v>
      </c>
      <c r="O970">
        <v>10026629</v>
      </c>
      <c r="P970" s="108">
        <v>43046</v>
      </c>
      <c r="Q970" s="108">
        <v>43048</v>
      </c>
      <c r="R970" s="108">
        <v>43084</v>
      </c>
      <c r="S970" t="s">
        <v>206</v>
      </c>
      <c r="T970">
        <v>1</v>
      </c>
      <c r="U970" t="s">
        <v>123</v>
      </c>
      <c r="V970">
        <v>1</v>
      </c>
      <c r="W970">
        <v>1</v>
      </c>
      <c r="X970">
        <v>1</v>
      </c>
      <c r="Y970">
        <f>VLOOKUP(Table_clu7sql1_ssdb_REPORT_vw_IE_External_MI_SON[[#This Row],[URN]],[1]Data!$D$2:$BB$1084,31,)</f>
        <v>1</v>
      </c>
      <c r="Z970">
        <v>1</v>
      </c>
      <c r="AA970" t="s">
        <v>2596</v>
      </c>
      <c r="AB970" t="s">
        <v>2598</v>
      </c>
      <c r="AC970" t="s">
        <v>2596</v>
      </c>
      <c r="AD970" t="s">
        <v>2596</v>
      </c>
      <c r="AE970" t="s">
        <v>2596</v>
      </c>
      <c r="AF970" t="s">
        <v>2596</v>
      </c>
      <c r="AG970" t="s">
        <v>2596</v>
      </c>
      <c r="AH970" t="s">
        <v>2596</v>
      </c>
    </row>
    <row r="971" spans="1:34" x14ac:dyDescent="0.25">
      <c r="A971" s="111" t="str">
        <f>HYPERLINK("http://www.ofsted.gov.uk/inspection-reports/find-inspection-report/provider/ELS/143038 ","Ofsted School Webpage")</f>
        <v>Ofsted School Webpage</v>
      </c>
      <c r="B971">
        <v>143038</v>
      </c>
      <c r="C971">
        <v>3336011</v>
      </c>
      <c r="D971" t="s">
        <v>309</v>
      </c>
      <c r="E971" t="s">
        <v>36</v>
      </c>
      <c r="F971" t="s">
        <v>142</v>
      </c>
      <c r="G971" t="s">
        <v>142</v>
      </c>
      <c r="H971" t="s">
        <v>2595</v>
      </c>
      <c r="I971" t="s">
        <v>2596</v>
      </c>
      <c r="J971" t="s">
        <v>143</v>
      </c>
      <c r="K971" t="s">
        <v>150</v>
      </c>
      <c r="L971" t="s">
        <v>150</v>
      </c>
      <c r="M971" t="s">
        <v>310</v>
      </c>
      <c r="N971" t="s">
        <v>311</v>
      </c>
      <c r="O971">
        <v>10033587</v>
      </c>
      <c r="P971" s="108">
        <v>43018</v>
      </c>
      <c r="Q971" s="108">
        <v>43020</v>
      </c>
      <c r="R971" s="108">
        <v>43060</v>
      </c>
      <c r="S971" t="s">
        <v>206</v>
      </c>
      <c r="T971">
        <v>2</v>
      </c>
      <c r="U971" t="s">
        <v>123</v>
      </c>
      <c r="V971">
        <v>2</v>
      </c>
      <c r="W971">
        <v>2</v>
      </c>
      <c r="X971">
        <v>2</v>
      </c>
      <c r="Y971">
        <f>VLOOKUP(Table_clu7sql1_ssdb_REPORT_vw_IE_External_MI_SON[[#This Row],[URN]],[1]Data!$D$2:$BB$1084,31,)</f>
        <v>2</v>
      </c>
      <c r="Z971" t="s">
        <v>2596</v>
      </c>
      <c r="AA971">
        <v>2</v>
      </c>
      <c r="AB971" t="s">
        <v>2598</v>
      </c>
      <c r="AC971" t="s">
        <v>2596</v>
      </c>
      <c r="AD971" t="s">
        <v>2596</v>
      </c>
      <c r="AE971" t="s">
        <v>2596</v>
      </c>
      <c r="AF971" t="s">
        <v>2596</v>
      </c>
      <c r="AG971" t="s">
        <v>2596</v>
      </c>
      <c r="AH971" t="s">
        <v>2596</v>
      </c>
    </row>
    <row r="972" spans="1:34" x14ac:dyDescent="0.25">
      <c r="A972" s="111" t="str">
        <f>HYPERLINK("http://www.ofsted.gov.uk/inspection-reports/find-inspection-report/provider/ELS/143039 ","Ofsted School Webpage")</f>
        <v>Ofsted School Webpage</v>
      </c>
      <c r="B972">
        <v>143039</v>
      </c>
      <c r="C972">
        <v>3306026</v>
      </c>
      <c r="D972" t="s">
        <v>1900</v>
      </c>
      <c r="E972" t="s">
        <v>36</v>
      </c>
      <c r="F972" t="s">
        <v>142</v>
      </c>
      <c r="G972" t="s">
        <v>142</v>
      </c>
      <c r="H972" t="s">
        <v>2595</v>
      </c>
      <c r="I972" t="s">
        <v>2596</v>
      </c>
      <c r="J972" t="s">
        <v>143</v>
      </c>
      <c r="K972" t="s">
        <v>150</v>
      </c>
      <c r="L972" t="s">
        <v>150</v>
      </c>
      <c r="M972" t="s">
        <v>167</v>
      </c>
      <c r="N972" t="s">
        <v>1901</v>
      </c>
      <c r="O972" t="s">
        <v>2596</v>
      </c>
      <c r="P972" s="108" t="s">
        <v>2596</v>
      </c>
      <c r="Q972" s="108" t="s">
        <v>2596</v>
      </c>
      <c r="R972" s="108" t="s">
        <v>2596</v>
      </c>
      <c r="S972" t="s">
        <v>2596</v>
      </c>
      <c r="T972" t="s">
        <v>2596</v>
      </c>
      <c r="U972" t="s">
        <v>2596</v>
      </c>
      <c r="V972" t="s">
        <v>2596</v>
      </c>
      <c r="W972" t="s">
        <v>2596</v>
      </c>
      <c r="X972" t="s">
        <v>2596</v>
      </c>
      <c r="Y972" t="str">
        <f>VLOOKUP(Table_clu7sql1_ssdb_REPORT_vw_IE_External_MI_SON[[#This Row],[URN]],[1]Data!$D$2:$BB$1084,31,)</f>
        <v>NULL</v>
      </c>
      <c r="Z972" t="s">
        <v>2596</v>
      </c>
      <c r="AA972" t="s">
        <v>2596</v>
      </c>
      <c r="AB972" t="s">
        <v>2596</v>
      </c>
      <c r="AC972" t="s">
        <v>2596</v>
      </c>
      <c r="AD972" t="s">
        <v>2596</v>
      </c>
      <c r="AE972" t="s">
        <v>2596</v>
      </c>
      <c r="AF972" t="s">
        <v>2596</v>
      </c>
      <c r="AG972" t="s">
        <v>2596</v>
      </c>
      <c r="AH972" t="s">
        <v>2596</v>
      </c>
    </row>
    <row r="973" spans="1:34" x14ac:dyDescent="0.25">
      <c r="A973" s="111" t="str">
        <f>HYPERLINK("http://www.ofsted.gov.uk/inspection-reports/find-inspection-report/provider/ELS/143040 ","Ofsted School Webpage")</f>
        <v>Ofsted School Webpage</v>
      </c>
      <c r="B973">
        <v>143040</v>
      </c>
      <c r="C973">
        <v>3306030</v>
      </c>
      <c r="D973" t="s">
        <v>2478</v>
      </c>
      <c r="E973" t="s">
        <v>36</v>
      </c>
      <c r="F973" t="s">
        <v>142</v>
      </c>
      <c r="G973" t="s">
        <v>142</v>
      </c>
      <c r="H973" t="s">
        <v>2595</v>
      </c>
      <c r="I973" t="s">
        <v>2596</v>
      </c>
      <c r="J973" t="s">
        <v>143</v>
      </c>
      <c r="K973" t="s">
        <v>150</v>
      </c>
      <c r="L973" t="s">
        <v>150</v>
      </c>
      <c r="M973" t="s">
        <v>167</v>
      </c>
      <c r="N973" t="s">
        <v>2479</v>
      </c>
      <c r="O973" t="s">
        <v>2596</v>
      </c>
      <c r="P973" s="108" t="s">
        <v>2596</v>
      </c>
      <c r="Q973" s="108" t="s">
        <v>2596</v>
      </c>
      <c r="R973" s="108" t="s">
        <v>2596</v>
      </c>
      <c r="S973" t="s">
        <v>2596</v>
      </c>
      <c r="T973" t="s">
        <v>2596</v>
      </c>
      <c r="U973" t="s">
        <v>2596</v>
      </c>
      <c r="V973" t="s">
        <v>2596</v>
      </c>
      <c r="W973" t="s">
        <v>2596</v>
      </c>
      <c r="X973" t="s">
        <v>2596</v>
      </c>
      <c r="Y973" t="str">
        <f>VLOOKUP(Table_clu7sql1_ssdb_REPORT_vw_IE_External_MI_SON[[#This Row],[URN]],[1]Data!$D$2:$BB$1084,31,)</f>
        <v>NULL</v>
      </c>
      <c r="Z973" t="s">
        <v>2596</v>
      </c>
      <c r="AA973" t="s">
        <v>2596</v>
      </c>
      <c r="AB973" t="s">
        <v>2596</v>
      </c>
      <c r="AC973" t="s">
        <v>2596</v>
      </c>
      <c r="AD973" t="s">
        <v>2596</v>
      </c>
      <c r="AE973" t="s">
        <v>2596</v>
      </c>
      <c r="AF973" t="s">
        <v>2596</v>
      </c>
      <c r="AG973" t="s">
        <v>2596</v>
      </c>
      <c r="AH973" t="s">
        <v>2596</v>
      </c>
    </row>
    <row r="974" spans="1:34" x14ac:dyDescent="0.25">
      <c r="A974" s="111" t="str">
        <f>HYPERLINK("http://www.ofsted.gov.uk/inspection-reports/find-inspection-report/provider/ELS/143041 ","Ofsted School Webpage")</f>
        <v>Ofsted School Webpage</v>
      </c>
      <c r="B974">
        <v>143041</v>
      </c>
      <c r="C974">
        <v>8886064</v>
      </c>
      <c r="D974" t="s">
        <v>479</v>
      </c>
      <c r="E974" t="s">
        <v>36</v>
      </c>
      <c r="F974" t="s">
        <v>142</v>
      </c>
      <c r="G974" t="s">
        <v>142</v>
      </c>
      <c r="H974" t="s">
        <v>2595</v>
      </c>
      <c r="I974" t="s">
        <v>2596</v>
      </c>
      <c r="J974" t="s">
        <v>143</v>
      </c>
      <c r="K974" t="s">
        <v>162</v>
      </c>
      <c r="L974" t="s">
        <v>162</v>
      </c>
      <c r="M974" t="s">
        <v>163</v>
      </c>
      <c r="N974" t="s">
        <v>480</v>
      </c>
      <c r="O974">
        <v>10038937</v>
      </c>
      <c r="P974" s="108">
        <v>43004</v>
      </c>
      <c r="Q974" s="108">
        <v>43005</v>
      </c>
      <c r="R974" s="108">
        <v>43027</v>
      </c>
      <c r="S974" t="s">
        <v>153</v>
      </c>
      <c r="T974">
        <v>2</v>
      </c>
      <c r="U974" t="s">
        <v>123</v>
      </c>
      <c r="V974">
        <v>2</v>
      </c>
      <c r="W974">
        <v>2</v>
      </c>
      <c r="X974">
        <v>2</v>
      </c>
      <c r="Y974">
        <f>VLOOKUP(Table_clu7sql1_ssdb_REPORT_vw_IE_External_MI_SON[[#This Row],[URN]],[1]Data!$D$2:$BB$1084,31,)</f>
        <v>2</v>
      </c>
      <c r="Z974" t="s">
        <v>2596</v>
      </c>
      <c r="AA974" t="s">
        <v>2596</v>
      </c>
      <c r="AB974" t="s">
        <v>2598</v>
      </c>
      <c r="AC974" t="s">
        <v>2596</v>
      </c>
      <c r="AD974" t="s">
        <v>2596</v>
      </c>
      <c r="AE974" t="s">
        <v>2596</v>
      </c>
      <c r="AF974" t="s">
        <v>2596</v>
      </c>
      <c r="AG974" t="s">
        <v>2596</v>
      </c>
      <c r="AH974" t="s">
        <v>2596</v>
      </c>
    </row>
    <row r="975" spans="1:34" x14ac:dyDescent="0.25">
      <c r="A975" s="111" t="str">
        <f>HYPERLINK("http://www.ofsted.gov.uk/inspection-reports/find-inspection-report/provider/ELS/143042 ","Ofsted School Webpage")</f>
        <v>Ofsted School Webpage</v>
      </c>
      <c r="B975">
        <v>143042</v>
      </c>
      <c r="C975">
        <v>9316016</v>
      </c>
      <c r="D975" t="s">
        <v>471</v>
      </c>
      <c r="E975" t="s">
        <v>36</v>
      </c>
      <c r="F975" t="s">
        <v>142</v>
      </c>
      <c r="G975" t="s">
        <v>142</v>
      </c>
      <c r="H975" t="s">
        <v>2595</v>
      </c>
      <c r="I975" t="s">
        <v>2596</v>
      </c>
      <c r="J975" t="s">
        <v>143</v>
      </c>
      <c r="K975" t="s">
        <v>139</v>
      </c>
      <c r="L975" t="s">
        <v>139</v>
      </c>
      <c r="M975" t="s">
        <v>199</v>
      </c>
      <c r="N975" t="s">
        <v>472</v>
      </c>
      <c r="O975">
        <v>10039170</v>
      </c>
      <c r="P975" s="108">
        <v>43004</v>
      </c>
      <c r="Q975" s="108">
        <v>43006</v>
      </c>
      <c r="R975" s="108">
        <v>43041</v>
      </c>
      <c r="S975" t="s">
        <v>206</v>
      </c>
      <c r="T975">
        <v>2</v>
      </c>
      <c r="U975" t="s">
        <v>123</v>
      </c>
      <c r="V975">
        <v>2</v>
      </c>
      <c r="W975">
        <v>2</v>
      </c>
      <c r="X975">
        <v>2</v>
      </c>
      <c r="Y975">
        <f>VLOOKUP(Table_clu7sql1_ssdb_REPORT_vw_IE_External_MI_SON[[#This Row],[URN]],[1]Data!$D$2:$BB$1084,31,)</f>
        <v>2</v>
      </c>
      <c r="Z975" t="s">
        <v>2596</v>
      </c>
      <c r="AA975">
        <v>2</v>
      </c>
      <c r="AB975" t="s">
        <v>2598</v>
      </c>
      <c r="AC975" t="s">
        <v>2596</v>
      </c>
      <c r="AD975" t="s">
        <v>2596</v>
      </c>
      <c r="AE975" s="108" t="s">
        <v>2596</v>
      </c>
      <c r="AF975" t="s">
        <v>2596</v>
      </c>
      <c r="AG975" s="108" t="s">
        <v>2596</v>
      </c>
      <c r="AH975" t="s">
        <v>2596</v>
      </c>
    </row>
    <row r="976" spans="1:34" x14ac:dyDescent="0.25">
      <c r="A976" s="111" t="str">
        <f>HYPERLINK("http://www.ofsted.gov.uk/inspection-reports/find-inspection-report/provider/ELS/143046 ","Ofsted School Webpage")</f>
        <v>Ofsted School Webpage</v>
      </c>
      <c r="B976">
        <v>143046</v>
      </c>
      <c r="C976">
        <v>8466024</v>
      </c>
      <c r="D976" t="s">
        <v>2556</v>
      </c>
      <c r="E976" t="s">
        <v>36</v>
      </c>
      <c r="F976" t="s">
        <v>142</v>
      </c>
      <c r="G976" t="s">
        <v>142</v>
      </c>
      <c r="H976" t="s">
        <v>2595</v>
      </c>
      <c r="I976" t="s">
        <v>2596</v>
      </c>
      <c r="J976" t="s">
        <v>143</v>
      </c>
      <c r="K976" t="s">
        <v>139</v>
      </c>
      <c r="L976" t="s">
        <v>139</v>
      </c>
      <c r="M976" t="s">
        <v>365</v>
      </c>
      <c r="N976" t="s">
        <v>2557</v>
      </c>
      <c r="O976" t="s">
        <v>2596</v>
      </c>
      <c r="P976" s="108" t="s">
        <v>2596</v>
      </c>
      <c r="Q976" s="108" t="s">
        <v>2596</v>
      </c>
      <c r="R976" s="108" t="s">
        <v>2596</v>
      </c>
      <c r="S976" t="s">
        <v>2596</v>
      </c>
      <c r="T976" t="s">
        <v>2596</v>
      </c>
      <c r="U976" t="s">
        <v>2596</v>
      </c>
      <c r="V976" t="s">
        <v>2596</v>
      </c>
      <c r="W976" t="s">
        <v>2596</v>
      </c>
      <c r="X976" t="s">
        <v>2596</v>
      </c>
      <c r="Y976" t="str">
        <f>VLOOKUP(Table_clu7sql1_ssdb_REPORT_vw_IE_External_MI_SON[[#This Row],[URN]],[1]Data!$D$2:$BB$1084,31,)</f>
        <v>NULL</v>
      </c>
      <c r="Z976" t="s">
        <v>2596</v>
      </c>
      <c r="AA976" t="s">
        <v>2596</v>
      </c>
      <c r="AB976" t="s">
        <v>2596</v>
      </c>
      <c r="AC976" t="s">
        <v>2596</v>
      </c>
      <c r="AD976" t="s">
        <v>2596</v>
      </c>
      <c r="AE976" s="108" t="s">
        <v>2596</v>
      </c>
      <c r="AF976" t="s">
        <v>2596</v>
      </c>
      <c r="AG976" s="108" t="s">
        <v>2596</v>
      </c>
      <c r="AH976" t="s">
        <v>2596</v>
      </c>
    </row>
    <row r="977" spans="1:34" x14ac:dyDescent="0.25">
      <c r="A977" s="111" t="str">
        <f>HYPERLINK("http://www.ofsted.gov.uk/inspection-reports/find-inspection-report/provider/ELS/143048 ","Ofsted School Webpage")</f>
        <v>Ofsted School Webpage</v>
      </c>
      <c r="B977">
        <v>143048</v>
      </c>
      <c r="C977">
        <v>3186007</v>
      </c>
      <c r="D977" t="s">
        <v>2558</v>
      </c>
      <c r="E977" t="s">
        <v>36</v>
      </c>
      <c r="F977" t="s">
        <v>142</v>
      </c>
      <c r="G977" t="s">
        <v>142</v>
      </c>
      <c r="H977" t="s">
        <v>2595</v>
      </c>
      <c r="I977" t="s">
        <v>2596</v>
      </c>
      <c r="J977" t="s">
        <v>143</v>
      </c>
      <c r="K977" t="s">
        <v>189</v>
      </c>
      <c r="L977" t="s">
        <v>189</v>
      </c>
      <c r="M977" t="s">
        <v>190</v>
      </c>
      <c r="N977" t="s">
        <v>2559</v>
      </c>
      <c r="O977">
        <v>10041013</v>
      </c>
      <c r="P977" s="108">
        <v>43060</v>
      </c>
      <c r="Q977" s="108">
        <v>43062</v>
      </c>
      <c r="R977" s="108">
        <v>43091</v>
      </c>
      <c r="S977" t="s">
        <v>206</v>
      </c>
      <c r="T977">
        <v>2</v>
      </c>
      <c r="U977" t="s">
        <v>123</v>
      </c>
      <c r="V977">
        <v>2</v>
      </c>
      <c r="W977">
        <v>2</v>
      </c>
      <c r="X977">
        <v>2</v>
      </c>
      <c r="Y977">
        <f>VLOOKUP(Table_clu7sql1_ssdb_REPORT_vw_IE_External_MI_SON[[#This Row],[URN]],[1]Data!$D$2:$BB$1084,31,)</f>
        <v>2</v>
      </c>
      <c r="Z977" t="s">
        <v>2596</v>
      </c>
      <c r="AA977" t="s">
        <v>2596</v>
      </c>
      <c r="AB977" t="s">
        <v>2598</v>
      </c>
      <c r="AC977" t="s">
        <v>2596</v>
      </c>
      <c r="AD977" t="s">
        <v>2596</v>
      </c>
      <c r="AE977" t="s">
        <v>2596</v>
      </c>
      <c r="AF977" t="s">
        <v>2596</v>
      </c>
      <c r="AG977" t="s">
        <v>2596</v>
      </c>
      <c r="AH977" t="s">
        <v>2596</v>
      </c>
    </row>
    <row r="978" spans="1:34" x14ac:dyDescent="0.25">
      <c r="A978" s="111" t="str">
        <f>HYPERLINK("http://www.ofsted.gov.uk/inspection-reports/find-inspection-report/provider/ELS/143049 ","Ofsted School Webpage")</f>
        <v>Ofsted School Webpage</v>
      </c>
      <c r="B978">
        <v>143049</v>
      </c>
      <c r="C978">
        <v>3926005</v>
      </c>
      <c r="D978" t="s">
        <v>2560</v>
      </c>
      <c r="E978" t="s">
        <v>36</v>
      </c>
      <c r="F978" t="s">
        <v>142</v>
      </c>
      <c r="G978" t="s">
        <v>142</v>
      </c>
      <c r="H978" t="s">
        <v>2595</v>
      </c>
      <c r="I978" t="s">
        <v>2596</v>
      </c>
      <c r="J978" t="s">
        <v>143</v>
      </c>
      <c r="K978" t="s">
        <v>202</v>
      </c>
      <c r="L978" t="s">
        <v>234</v>
      </c>
      <c r="M978" t="s">
        <v>789</v>
      </c>
      <c r="N978" t="s">
        <v>2561</v>
      </c>
      <c r="O978">
        <v>10043660</v>
      </c>
      <c r="P978" s="108">
        <v>43137</v>
      </c>
      <c r="Q978" s="108">
        <v>43138</v>
      </c>
      <c r="R978" s="108">
        <v>43174</v>
      </c>
      <c r="S978" t="s">
        <v>206</v>
      </c>
      <c r="T978">
        <v>2</v>
      </c>
      <c r="U978" t="s">
        <v>123</v>
      </c>
      <c r="V978">
        <v>1</v>
      </c>
      <c r="W978">
        <v>2</v>
      </c>
      <c r="X978">
        <v>2</v>
      </c>
      <c r="Y978">
        <f>VLOOKUP(Table_clu7sql1_ssdb_REPORT_vw_IE_External_MI_SON[[#This Row],[URN]],[1]Data!$D$2:$BB$1084,31,)</f>
        <v>2</v>
      </c>
      <c r="Z978" t="s">
        <v>2596</v>
      </c>
      <c r="AA978" t="s">
        <v>2596</v>
      </c>
      <c r="AB978" t="s">
        <v>2598</v>
      </c>
      <c r="AC978" t="s">
        <v>2596</v>
      </c>
      <c r="AD978" t="s">
        <v>2596</v>
      </c>
      <c r="AE978" t="s">
        <v>2596</v>
      </c>
      <c r="AF978" t="s">
        <v>2596</v>
      </c>
      <c r="AG978" t="s">
        <v>2596</v>
      </c>
      <c r="AH978" t="s">
        <v>2596</v>
      </c>
    </row>
    <row r="979" spans="1:34" x14ac:dyDescent="0.25">
      <c r="A979" s="111" t="str">
        <f>HYPERLINK("http://www.ofsted.gov.uk/inspection-reports/find-inspection-report/provider/ELS/143081 ","Ofsted School Webpage")</f>
        <v>Ofsted School Webpage</v>
      </c>
      <c r="B979">
        <v>143081</v>
      </c>
      <c r="C979">
        <v>9356009</v>
      </c>
      <c r="D979" t="s">
        <v>2348</v>
      </c>
      <c r="E979" t="s">
        <v>36</v>
      </c>
      <c r="F979" t="s">
        <v>142</v>
      </c>
      <c r="G979" t="s">
        <v>142</v>
      </c>
      <c r="H979" t="s">
        <v>2595</v>
      </c>
      <c r="I979" t="s">
        <v>2596</v>
      </c>
      <c r="J979" t="s">
        <v>143</v>
      </c>
      <c r="K979" t="s">
        <v>177</v>
      </c>
      <c r="L979" t="s">
        <v>177</v>
      </c>
      <c r="M979" t="s">
        <v>254</v>
      </c>
      <c r="N979" t="s">
        <v>2349</v>
      </c>
      <c r="O979">
        <v>10033611</v>
      </c>
      <c r="P979" s="108">
        <v>42899</v>
      </c>
      <c r="Q979" s="108">
        <v>42901</v>
      </c>
      <c r="R979" s="108">
        <v>42936</v>
      </c>
      <c r="S979" t="s">
        <v>206</v>
      </c>
      <c r="T979">
        <v>3</v>
      </c>
      <c r="U979" t="s">
        <v>123</v>
      </c>
      <c r="V979">
        <v>3</v>
      </c>
      <c r="W979">
        <v>3</v>
      </c>
      <c r="X979">
        <v>3</v>
      </c>
      <c r="Y979">
        <f>VLOOKUP(Table_clu7sql1_ssdb_REPORT_vw_IE_External_MI_SON[[#This Row],[URN]],[1]Data!$D$2:$BB$1084,31,)</f>
        <v>3</v>
      </c>
      <c r="Z979" t="s">
        <v>2596</v>
      </c>
      <c r="AA979" t="s">
        <v>2596</v>
      </c>
      <c r="AB979" t="s">
        <v>2599</v>
      </c>
      <c r="AC979" t="s">
        <v>2596</v>
      </c>
      <c r="AD979" t="s">
        <v>2596</v>
      </c>
      <c r="AE979" t="s">
        <v>2596</v>
      </c>
      <c r="AF979" t="s">
        <v>2596</v>
      </c>
      <c r="AG979" t="s">
        <v>2596</v>
      </c>
      <c r="AH979" t="s">
        <v>2596</v>
      </c>
    </row>
    <row r="980" spans="1:34" x14ac:dyDescent="0.25">
      <c r="A980" s="111" t="str">
        <f>HYPERLINK("http://www.ofsted.gov.uk/inspection-reports/find-inspection-report/provider/ELS/143098 ","Ofsted School Webpage")</f>
        <v>Ofsted School Webpage</v>
      </c>
      <c r="B980">
        <v>143098</v>
      </c>
      <c r="C980">
        <v>3816018</v>
      </c>
      <c r="D980" t="s">
        <v>2350</v>
      </c>
      <c r="E980" t="s">
        <v>36</v>
      </c>
      <c r="F980" t="s">
        <v>142</v>
      </c>
      <c r="G980" t="s">
        <v>142</v>
      </c>
      <c r="H980" t="s">
        <v>2595</v>
      </c>
      <c r="I980" t="s">
        <v>2596</v>
      </c>
      <c r="J980" t="s">
        <v>143</v>
      </c>
      <c r="K980" t="s">
        <v>202</v>
      </c>
      <c r="L980" t="s">
        <v>203</v>
      </c>
      <c r="M980" t="s">
        <v>1307</v>
      </c>
      <c r="N980" t="s">
        <v>2351</v>
      </c>
      <c r="O980">
        <v>10025946</v>
      </c>
      <c r="P980" s="108">
        <v>42703</v>
      </c>
      <c r="Q980" s="108">
        <v>42705</v>
      </c>
      <c r="R980" s="108">
        <v>42751</v>
      </c>
      <c r="S980" t="s">
        <v>206</v>
      </c>
      <c r="T980">
        <v>3</v>
      </c>
      <c r="U980" t="s">
        <v>123</v>
      </c>
      <c r="V980">
        <v>3</v>
      </c>
      <c r="W980">
        <v>2</v>
      </c>
      <c r="X980">
        <v>3</v>
      </c>
      <c r="Y980">
        <f>VLOOKUP(Table_clu7sql1_ssdb_REPORT_vw_IE_External_MI_SON[[#This Row],[URN]],[1]Data!$D$2:$BB$1084,31,)</f>
        <v>3</v>
      </c>
      <c r="Z980" t="s">
        <v>2596</v>
      </c>
      <c r="AA980" t="s">
        <v>2596</v>
      </c>
      <c r="AB980" t="s">
        <v>2599</v>
      </c>
      <c r="AC980">
        <v>10038730</v>
      </c>
      <c r="AD980" t="s">
        <v>144</v>
      </c>
      <c r="AE980" s="108">
        <v>42906</v>
      </c>
      <c r="AF980" t="s">
        <v>2634</v>
      </c>
      <c r="AG980" s="108">
        <v>42940</v>
      </c>
      <c r="AH980" t="s">
        <v>146</v>
      </c>
    </row>
    <row r="981" spans="1:34" x14ac:dyDescent="0.25">
      <c r="A981" s="111" t="str">
        <f>HYPERLINK("http://www.ofsted.gov.uk/inspection-reports/find-inspection-report/provider/ELS/143102 ","Ofsted School Webpage")</f>
        <v>Ofsted School Webpage</v>
      </c>
      <c r="B981">
        <v>143102</v>
      </c>
      <c r="C981">
        <v>3846005</v>
      </c>
      <c r="D981" t="s">
        <v>2352</v>
      </c>
      <c r="E981" t="s">
        <v>36</v>
      </c>
      <c r="F981" t="s">
        <v>169</v>
      </c>
      <c r="G981" t="s">
        <v>142</v>
      </c>
      <c r="H981" t="s">
        <v>2595</v>
      </c>
      <c r="I981" t="s">
        <v>2596</v>
      </c>
      <c r="J981" t="s">
        <v>143</v>
      </c>
      <c r="K981" t="s">
        <v>202</v>
      </c>
      <c r="L981" t="s">
        <v>203</v>
      </c>
      <c r="M981" t="s">
        <v>518</v>
      </c>
      <c r="N981" t="s">
        <v>2353</v>
      </c>
      <c r="O981" t="s">
        <v>2596</v>
      </c>
      <c r="P981" s="108" t="s">
        <v>2596</v>
      </c>
      <c r="Q981" s="108" t="s">
        <v>2596</v>
      </c>
      <c r="R981" s="108" t="s">
        <v>2596</v>
      </c>
      <c r="S981" t="s">
        <v>2596</v>
      </c>
      <c r="T981" t="s">
        <v>2596</v>
      </c>
      <c r="U981" t="s">
        <v>2596</v>
      </c>
      <c r="V981" t="s">
        <v>2596</v>
      </c>
      <c r="W981" t="s">
        <v>2596</v>
      </c>
      <c r="X981" t="s">
        <v>2596</v>
      </c>
      <c r="Y981" t="str">
        <f>VLOOKUP(Table_clu7sql1_ssdb_REPORT_vw_IE_External_MI_SON[[#This Row],[URN]],[1]Data!$D$2:$BB$1084,31,)</f>
        <v>NULL</v>
      </c>
      <c r="Z981" t="s">
        <v>2596</v>
      </c>
      <c r="AA981" t="s">
        <v>2596</v>
      </c>
      <c r="AB981" t="s">
        <v>2596</v>
      </c>
      <c r="AC981" t="s">
        <v>2596</v>
      </c>
      <c r="AD981" t="s">
        <v>2596</v>
      </c>
      <c r="AE981" t="s">
        <v>2596</v>
      </c>
      <c r="AF981" t="s">
        <v>2596</v>
      </c>
      <c r="AG981" t="s">
        <v>2596</v>
      </c>
      <c r="AH981" t="s">
        <v>2596</v>
      </c>
    </row>
    <row r="982" spans="1:34" x14ac:dyDescent="0.25">
      <c r="A982" s="111" t="str">
        <f>HYPERLINK("http://www.ofsted.gov.uk/inspection-reports/find-inspection-report/provider/ELS/143105 ","Ofsted School Webpage")</f>
        <v>Ofsted School Webpage</v>
      </c>
      <c r="B982">
        <v>143105</v>
      </c>
      <c r="C982">
        <v>3316004</v>
      </c>
      <c r="D982" t="s">
        <v>2354</v>
      </c>
      <c r="E982" t="s">
        <v>36</v>
      </c>
      <c r="F982" t="s">
        <v>142</v>
      </c>
      <c r="G982" t="s">
        <v>142</v>
      </c>
      <c r="H982" t="s">
        <v>2595</v>
      </c>
      <c r="I982" t="s">
        <v>2596</v>
      </c>
      <c r="J982" t="s">
        <v>143</v>
      </c>
      <c r="K982" t="s">
        <v>150</v>
      </c>
      <c r="L982" t="s">
        <v>150</v>
      </c>
      <c r="M982" t="s">
        <v>415</v>
      </c>
      <c r="N982" t="s">
        <v>2355</v>
      </c>
      <c r="O982" t="s">
        <v>2596</v>
      </c>
      <c r="P982" s="108" t="s">
        <v>2596</v>
      </c>
      <c r="Q982" s="108" t="s">
        <v>2596</v>
      </c>
      <c r="R982" s="108" t="s">
        <v>2596</v>
      </c>
      <c r="S982" t="s">
        <v>2596</v>
      </c>
      <c r="T982" t="s">
        <v>2596</v>
      </c>
      <c r="U982" t="s">
        <v>2596</v>
      </c>
      <c r="V982" t="s">
        <v>2596</v>
      </c>
      <c r="W982" t="s">
        <v>2596</v>
      </c>
      <c r="X982" t="s">
        <v>2596</v>
      </c>
      <c r="Y982" t="str">
        <f>VLOOKUP(Table_clu7sql1_ssdb_REPORT_vw_IE_External_MI_SON[[#This Row],[URN]],[1]Data!$D$2:$BB$1084,31,)</f>
        <v>NULL</v>
      </c>
      <c r="Z982" t="s">
        <v>2596</v>
      </c>
      <c r="AA982" t="s">
        <v>2596</v>
      </c>
      <c r="AB982" t="s">
        <v>2596</v>
      </c>
      <c r="AC982" t="s">
        <v>2596</v>
      </c>
      <c r="AD982" t="s">
        <v>2596</v>
      </c>
      <c r="AE982" t="s">
        <v>2596</v>
      </c>
      <c r="AF982" t="s">
        <v>2596</v>
      </c>
      <c r="AG982" t="s">
        <v>2596</v>
      </c>
      <c r="AH982" t="s">
        <v>2596</v>
      </c>
    </row>
    <row r="983" spans="1:34" x14ac:dyDescent="0.25">
      <c r="A983" s="111" t="str">
        <f>HYPERLINK("http://www.ofsted.gov.uk/inspection-reports/find-inspection-report/provider/ELS/143106 ","Ofsted School Webpage")</f>
        <v>Ofsted School Webpage</v>
      </c>
      <c r="B983">
        <v>143106</v>
      </c>
      <c r="C983">
        <v>8856045</v>
      </c>
      <c r="D983" t="s">
        <v>2356</v>
      </c>
      <c r="E983" t="s">
        <v>37</v>
      </c>
      <c r="F983" t="s">
        <v>142</v>
      </c>
      <c r="G983" t="s">
        <v>142</v>
      </c>
      <c r="H983" t="s">
        <v>2595</v>
      </c>
      <c r="I983" t="s">
        <v>2596</v>
      </c>
      <c r="J983" t="s">
        <v>143</v>
      </c>
      <c r="K983" t="s">
        <v>150</v>
      </c>
      <c r="L983" t="s">
        <v>150</v>
      </c>
      <c r="M983" t="s">
        <v>842</v>
      </c>
      <c r="N983" t="s">
        <v>2357</v>
      </c>
      <c r="O983">
        <v>10041368</v>
      </c>
      <c r="P983" s="108">
        <v>43144</v>
      </c>
      <c r="Q983" s="108">
        <v>43146</v>
      </c>
      <c r="R983" s="108">
        <v>43181</v>
      </c>
      <c r="S983" t="s">
        <v>206</v>
      </c>
      <c r="T983">
        <v>2</v>
      </c>
      <c r="U983" t="s">
        <v>123</v>
      </c>
      <c r="V983">
        <v>2</v>
      </c>
      <c r="W983">
        <v>2</v>
      </c>
      <c r="X983">
        <v>2</v>
      </c>
      <c r="Y983">
        <f>VLOOKUP(Table_clu7sql1_ssdb_REPORT_vw_IE_External_MI_SON[[#This Row],[URN]],[1]Data!$D$2:$BB$1084,31,)</f>
        <v>3</v>
      </c>
      <c r="Z983" t="s">
        <v>2596</v>
      </c>
      <c r="AA983" t="s">
        <v>2596</v>
      </c>
      <c r="AB983" t="s">
        <v>2598</v>
      </c>
      <c r="AC983" t="s">
        <v>2596</v>
      </c>
      <c r="AD983" t="s">
        <v>2596</v>
      </c>
      <c r="AE983" s="108" t="s">
        <v>2596</v>
      </c>
      <c r="AF983" t="s">
        <v>2596</v>
      </c>
      <c r="AG983" s="108" t="s">
        <v>2596</v>
      </c>
      <c r="AH983" t="s">
        <v>2596</v>
      </c>
    </row>
    <row r="984" spans="1:34" x14ac:dyDescent="0.25">
      <c r="A984" s="111" t="str">
        <f>HYPERLINK("http://www.ofsted.gov.uk/inspection-reports/find-inspection-report/provider/ELS/143174 ","Ofsted School Webpage")</f>
        <v>Ofsted School Webpage</v>
      </c>
      <c r="B984">
        <v>143174</v>
      </c>
      <c r="C984">
        <v>3306031</v>
      </c>
      <c r="D984" t="s">
        <v>2358</v>
      </c>
      <c r="E984" t="s">
        <v>36</v>
      </c>
      <c r="F984" t="s">
        <v>142</v>
      </c>
      <c r="G984" t="s">
        <v>142</v>
      </c>
      <c r="H984" t="s">
        <v>2595</v>
      </c>
      <c r="I984" t="s">
        <v>2596</v>
      </c>
      <c r="J984" t="s">
        <v>143</v>
      </c>
      <c r="K984" t="s">
        <v>150</v>
      </c>
      <c r="L984" t="s">
        <v>150</v>
      </c>
      <c r="M984" t="s">
        <v>167</v>
      </c>
      <c r="N984" t="s">
        <v>2359</v>
      </c>
      <c r="O984">
        <v>10039277</v>
      </c>
      <c r="P984" s="108">
        <v>43060</v>
      </c>
      <c r="Q984" s="108">
        <v>43062</v>
      </c>
      <c r="R984" s="108">
        <v>43137</v>
      </c>
      <c r="S984" t="s">
        <v>206</v>
      </c>
      <c r="T984">
        <v>4</v>
      </c>
      <c r="U984" t="s">
        <v>124</v>
      </c>
      <c r="V984">
        <v>4</v>
      </c>
      <c r="W984">
        <v>4</v>
      </c>
      <c r="X984">
        <v>4</v>
      </c>
      <c r="Y984">
        <f>VLOOKUP(Table_clu7sql1_ssdb_REPORT_vw_IE_External_MI_SON[[#This Row],[URN]],[1]Data!$D$2:$BB$1084,31,)</f>
        <v>4</v>
      </c>
      <c r="Z984" t="s">
        <v>2596</v>
      </c>
      <c r="AA984">
        <v>4</v>
      </c>
      <c r="AB984" t="s">
        <v>2599</v>
      </c>
      <c r="AC984" t="s">
        <v>2596</v>
      </c>
      <c r="AD984" t="s">
        <v>2596</v>
      </c>
      <c r="AE984" s="108" t="s">
        <v>2596</v>
      </c>
      <c r="AF984" t="s">
        <v>2596</v>
      </c>
      <c r="AG984" s="108" t="s">
        <v>2596</v>
      </c>
      <c r="AH984" t="s">
        <v>2596</v>
      </c>
    </row>
    <row r="985" spans="1:34" x14ac:dyDescent="0.25">
      <c r="A985" s="111" t="str">
        <f>HYPERLINK("http://www.ofsted.gov.uk/inspection-reports/find-inspection-report/provider/ELS/143400 ","Ofsted School Webpage")</f>
        <v>Ofsted School Webpage</v>
      </c>
      <c r="B985">
        <v>143400</v>
      </c>
      <c r="C985">
        <v>9386002</v>
      </c>
      <c r="D985" t="s">
        <v>1898</v>
      </c>
      <c r="E985" t="s">
        <v>37</v>
      </c>
      <c r="F985" t="s">
        <v>142</v>
      </c>
      <c r="G985" t="s">
        <v>142</v>
      </c>
      <c r="H985" t="s">
        <v>2595</v>
      </c>
      <c r="I985" t="s">
        <v>2596</v>
      </c>
      <c r="J985" t="s">
        <v>143</v>
      </c>
      <c r="K985" t="s">
        <v>139</v>
      </c>
      <c r="L985" t="s">
        <v>139</v>
      </c>
      <c r="M985" t="s">
        <v>351</v>
      </c>
      <c r="N985" t="s">
        <v>1899</v>
      </c>
      <c r="O985" t="s">
        <v>2596</v>
      </c>
      <c r="P985" s="108" t="s">
        <v>2596</v>
      </c>
      <c r="Q985" s="108" t="s">
        <v>2596</v>
      </c>
      <c r="R985" s="108" t="s">
        <v>2596</v>
      </c>
      <c r="S985" t="s">
        <v>2596</v>
      </c>
      <c r="T985" t="s">
        <v>2596</v>
      </c>
      <c r="U985" t="s">
        <v>2596</v>
      </c>
      <c r="V985" t="s">
        <v>2596</v>
      </c>
      <c r="W985" t="s">
        <v>2596</v>
      </c>
      <c r="X985" t="s">
        <v>2596</v>
      </c>
      <c r="Y985" t="str">
        <f>VLOOKUP(Table_clu7sql1_ssdb_REPORT_vw_IE_External_MI_SON[[#This Row],[URN]],[1]Data!$D$2:$BB$1084,31,)</f>
        <v>NULL</v>
      </c>
      <c r="Z985" t="s">
        <v>2596</v>
      </c>
      <c r="AA985" t="s">
        <v>2596</v>
      </c>
      <c r="AB985" t="s">
        <v>2596</v>
      </c>
      <c r="AC985" t="s">
        <v>2596</v>
      </c>
      <c r="AD985" t="s">
        <v>2596</v>
      </c>
      <c r="AE985" t="s">
        <v>2596</v>
      </c>
      <c r="AF985" t="s">
        <v>2596</v>
      </c>
      <c r="AG985" t="s">
        <v>2596</v>
      </c>
      <c r="AH985" t="s">
        <v>2596</v>
      </c>
    </row>
    <row r="986" spans="1:34" x14ac:dyDescent="0.25">
      <c r="A986" s="111" t="str">
        <f>HYPERLINK("http://www.ofsted.gov.uk/inspection-reports/find-inspection-report/provider/ELS/143406 ","Ofsted School Webpage")</f>
        <v>Ofsted School Webpage</v>
      </c>
      <c r="B986">
        <v>143406</v>
      </c>
      <c r="C986">
        <v>3176005</v>
      </c>
      <c r="D986" t="s">
        <v>755</v>
      </c>
      <c r="E986" t="s">
        <v>37</v>
      </c>
      <c r="F986" t="s">
        <v>142</v>
      </c>
      <c r="G986" t="s">
        <v>142</v>
      </c>
      <c r="H986" t="s">
        <v>2595</v>
      </c>
      <c r="I986" t="s">
        <v>2596</v>
      </c>
      <c r="J986" t="s">
        <v>143</v>
      </c>
      <c r="K986" t="s">
        <v>189</v>
      </c>
      <c r="L986" t="s">
        <v>189</v>
      </c>
      <c r="M986" t="s">
        <v>756</v>
      </c>
      <c r="N986" t="s">
        <v>757</v>
      </c>
      <c r="O986">
        <v>10035820</v>
      </c>
      <c r="P986" s="108">
        <v>43018</v>
      </c>
      <c r="Q986" s="108">
        <v>43020</v>
      </c>
      <c r="R986" s="108">
        <v>43077</v>
      </c>
      <c r="S986" t="s">
        <v>206</v>
      </c>
      <c r="T986">
        <v>4</v>
      </c>
      <c r="U986" t="s">
        <v>124</v>
      </c>
      <c r="V986">
        <v>4</v>
      </c>
      <c r="W986">
        <v>4</v>
      </c>
      <c r="X986">
        <v>0</v>
      </c>
      <c r="Y986">
        <f>VLOOKUP(Table_clu7sql1_ssdb_REPORT_vw_IE_External_MI_SON[[#This Row],[URN]],[1]Data!$D$2:$BB$1084,31,)</f>
        <v>0</v>
      </c>
      <c r="Z986" t="s">
        <v>2596</v>
      </c>
      <c r="AA986" t="s">
        <v>2596</v>
      </c>
      <c r="AB986" t="s">
        <v>2599</v>
      </c>
      <c r="AC986" t="s">
        <v>2596</v>
      </c>
      <c r="AD986" t="s">
        <v>2596</v>
      </c>
      <c r="AE986" t="s">
        <v>2596</v>
      </c>
      <c r="AF986" t="s">
        <v>2596</v>
      </c>
      <c r="AG986" t="s">
        <v>2596</v>
      </c>
      <c r="AH986" t="s">
        <v>2596</v>
      </c>
    </row>
    <row r="987" spans="1:34" x14ac:dyDescent="0.25">
      <c r="A987" s="111" t="str">
        <f>HYPERLINK("http://www.ofsted.gov.uk/inspection-reports/find-inspection-report/provider/ELS/143407 ","Ofsted School Webpage")</f>
        <v>Ofsted School Webpage</v>
      </c>
      <c r="B987">
        <v>143407</v>
      </c>
      <c r="C987">
        <v>8786066</v>
      </c>
      <c r="D987" t="s">
        <v>758</v>
      </c>
      <c r="E987" t="s">
        <v>36</v>
      </c>
      <c r="F987" t="s">
        <v>142</v>
      </c>
      <c r="G987" t="s">
        <v>142</v>
      </c>
      <c r="H987" t="s">
        <v>2595</v>
      </c>
      <c r="I987" t="s">
        <v>2596</v>
      </c>
      <c r="J987" t="s">
        <v>143</v>
      </c>
      <c r="K987" t="s">
        <v>182</v>
      </c>
      <c r="L987" t="s">
        <v>182</v>
      </c>
      <c r="M987" t="s">
        <v>323</v>
      </c>
      <c r="N987" t="s">
        <v>759</v>
      </c>
      <c r="O987" t="s">
        <v>2596</v>
      </c>
      <c r="P987" s="108" t="s">
        <v>2596</v>
      </c>
      <c r="Q987" s="108" t="s">
        <v>2596</v>
      </c>
      <c r="R987" s="108" t="s">
        <v>2596</v>
      </c>
      <c r="S987" t="s">
        <v>2596</v>
      </c>
      <c r="T987" t="s">
        <v>2596</v>
      </c>
      <c r="U987" t="s">
        <v>2596</v>
      </c>
      <c r="V987" t="s">
        <v>2596</v>
      </c>
      <c r="W987" t="s">
        <v>2596</v>
      </c>
      <c r="X987" t="s">
        <v>2596</v>
      </c>
      <c r="Y987" t="str">
        <f>VLOOKUP(Table_clu7sql1_ssdb_REPORT_vw_IE_External_MI_SON[[#This Row],[URN]],[1]Data!$D$2:$BB$1084,31,)</f>
        <v>NULL</v>
      </c>
      <c r="Z987" t="s">
        <v>2596</v>
      </c>
      <c r="AA987" t="s">
        <v>2596</v>
      </c>
      <c r="AB987" t="s">
        <v>2596</v>
      </c>
      <c r="AC987" t="s">
        <v>2596</v>
      </c>
      <c r="AD987" t="s">
        <v>2596</v>
      </c>
      <c r="AE987" t="s">
        <v>2596</v>
      </c>
      <c r="AF987" t="s">
        <v>2596</v>
      </c>
      <c r="AG987" t="s">
        <v>2596</v>
      </c>
      <c r="AH987" t="s">
        <v>2596</v>
      </c>
    </row>
    <row r="988" spans="1:34" x14ac:dyDescent="0.25">
      <c r="A988" s="111" t="str">
        <f>HYPERLINK("http://www.ofsted.gov.uk/inspection-reports/find-inspection-report/provider/ELS/143418 ","Ofsted School Webpage")</f>
        <v>Ofsted School Webpage</v>
      </c>
      <c r="B988">
        <v>143418</v>
      </c>
      <c r="C988">
        <v>3306032</v>
      </c>
      <c r="D988" t="s">
        <v>760</v>
      </c>
      <c r="E988" t="s">
        <v>36</v>
      </c>
      <c r="F988" t="s">
        <v>142</v>
      </c>
      <c r="G988" t="s">
        <v>142</v>
      </c>
      <c r="H988" t="s">
        <v>2595</v>
      </c>
      <c r="I988" t="s">
        <v>2596</v>
      </c>
      <c r="J988" t="s">
        <v>143</v>
      </c>
      <c r="K988" t="s">
        <v>150</v>
      </c>
      <c r="L988" t="s">
        <v>150</v>
      </c>
      <c r="M988" t="s">
        <v>167</v>
      </c>
      <c r="N988" t="s">
        <v>761</v>
      </c>
      <c r="O988">
        <v>10033591</v>
      </c>
      <c r="P988" s="108">
        <v>42899</v>
      </c>
      <c r="Q988" s="108">
        <v>42901</v>
      </c>
      <c r="R988" s="108">
        <v>42937</v>
      </c>
      <c r="S988" t="s">
        <v>206</v>
      </c>
      <c r="T988">
        <v>2</v>
      </c>
      <c r="U988" t="s">
        <v>123</v>
      </c>
      <c r="V988">
        <v>2</v>
      </c>
      <c r="W988">
        <v>1</v>
      </c>
      <c r="X988">
        <v>2</v>
      </c>
      <c r="Y988">
        <f>VLOOKUP(Table_clu7sql1_ssdb_REPORT_vw_IE_External_MI_SON[[#This Row],[URN]],[1]Data!$D$2:$BB$1084,31,)</f>
        <v>2</v>
      </c>
      <c r="Z988" t="s">
        <v>2596</v>
      </c>
      <c r="AA988" t="s">
        <v>2596</v>
      </c>
      <c r="AB988" t="s">
        <v>2598</v>
      </c>
      <c r="AC988" t="s">
        <v>2596</v>
      </c>
      <c r="AD988" t="s">
        <v>2596</v>
      </c>
      <c r="AE988" t="s">
        <v>2596</v>
      </c>
      <c r="AF988" t="s">
        <v>2596</v>
      </c>
      <c r="AG988" t="s">
        <v>2596</v>
      </c>
      <c r="AH988" t="s">
        <v>2596</v>
      </c>
    </row>
    <row r="989" spans="1:34" x14ac:dyDescent="0.25">
      <c r="A989" s="111" t="str">
        <f>HYPERLINK("http://www.ofsted.gov.uk/inspection-reports/find-inspection-report/provider/ELS/143425 ","Ofsted School Webpage")</f>
        <v>Ofsted School Webpage</v>
      </c>
      <c r="B989">
        <v>143425</v>
      </c>
      <c r="C989">
        <v>3146000</v>
      </c>
      <c r="D989" t="s">
        <v>762</v>
      </c>
      <c r="E989" t="s">
        <v>36</v>
      </c>
      <c r="F989" t="s">
        <v>142</v>
      </c>
      <c r="G989" t="s">
        <v>142</v>
      </c>
      <c r="H989" t="s">
        <v>2595</v>
      </c>
      <c r="I989" t="s">
        <v>2596</v>
      </c>
      <c r="J989" t="s">
        <v>143</v>
      </c>
      <c r="K989" t="s">
        <v>189</v>
      </c>
      <c r="L989" t="s">
        <v>189</v>
      </c>
      <c r="M989" t="s">
        <v>196</v>
      </c>
      <c r="N989" t="s">
        <v>763</v>
      </c>
      <c r="O989" t="s">
        <v>2596</v>
      </c>
      <c r="P989" s="108" t="s">
        <v>2596</v>
      </c>
      <c r="Q989" s="108" t="s">
        <v>2596</v>
      </c>
      <c r="R989" s="108" t="s">
        <v>2596</v>
      </c>
      <c r="S989" t="s">
        <v>2596</v>
      </c>
      <c r="T989" t="s">
        <v>2596</v>
      </c>
      <c r="U989" t="s">
        <v>2596</v>
      </c>
      <c r="V989" t="s">
        <v>2596</v>
      </c>
      <c r="W989" t="s">
        <v>2596</v>
      </c>
      <c r="X989" t="s">
        <v>2596</v>
      </c>
      <c r="Y989" t="str">
        <f>VLOOKUP(Table_clu7sql1_ssdb_REPORT_vw_IE_External_MI_SON[[#This Row],[URN]],[1]Data!$D$2:$BB$1084,31,)</f>
        <v>NULL</v>
      </c>
      <c r="Z989" t="s">
        <v>2596</v>
      </c>
      <c r="AA989" t="s">
        <v>2596</v>
      </c>
      <c r="AB989" t="s">
        <v>2596</v>
      </c>
      <c r="AC989" t="s">
        <v>2596</v>
      </c>
      <c r="AD989" t="s">
        <v>2596</v>
      </c>
      <c r="AE989" t="s">
        <v>2596</v>
      </c>
      <c r="AF989" t="s">
        <v>2596</v>
      </c>
      <c r="AG989" t="s">
        <v>2596</v>
      </c>
      <c r="AH989" t="s">
        <v>2596</v>
      </c>
    </row>
    <row r="990" spans="1:34" x14ac:dyDescent="0.25">
      <c r="A990" s="111" t="str">
        <f>HYPERLINK("http://www.ofsted.gov.uk/inspection-reports/find-inspection-report/provider/ELS/143429 ","Ofsted School Webpage")</f>
        <v>Ofsted School Webpage</v>
      </c>
      <c r="B990">
        <v>143429</v>
      </c>
      <c r="C990">
        <v>8076001</v>
      </c>
      <c r="D990" t="s">
        <v>764</v>
      </c>
      <c r="E990" t="s">
        <v>36</v>
      </c>
      <c r="F990" t="s">
        <v>142</v>
      </c>
      <c r="G990" t="s">
        <v>142</v>
      </c>
      <c r="H990" t="s">
        <v>2595</v>
      </c>
      <c r="I990" t="s">
        <v>2596</v>
      </c>
      <c r="J990" t="s">
        <v>143</v>
      </c>
      <c r="K990" t="s">
        <v>202</v>
      </c>
      <c r="L990" t="s">
        <v>234</v>
      </c>
      <c r="M990" t="s">
        <v>765</v>
      </c>
      <c r="N990" t="s">
        <v>766</v>
      </c>
      <c r="O990">
        <v>10040149</v>
      </c>
      <c r="P990" s="108">
        <v>43074</v>
      </c>
      <c r="Q990" s="108">
        <v>43076</v>
      </c>
      <c r="R990" s="108">
        <v>43124</v>
      </c>
      <c r="S990" t="s">
        <v>206</v>
      </c>
      <c r="T990">
        <v>2</v>
      </c>
      <c r="U990" t="s">
        <v>123</v>
      </c>
      <c r="V990">
        <v>2</v>
      </c>
      <c r="W990">
        <v>2</v>
      </c>
      <c r="X990">
        <v>2</v>
      </c>
      <c r="Y990">
        <f>VLOOKUP(Table_clu7sql1_ssdb_REPORT_vw_IE_External_MI_SON[[#This Row],[URN]],[1]Data!$D$2:$BB$1084,31,)</f>
        <v>2</v>
      </c>
      <c r="Z990" t="s">
        <v>2596</v>
      </c>
      <c r="AA990" t="s">
        <v>2596</v>
      </c>
      <c r="AB990" t="s">
        <v>2598</v>
      </c>
      <c r="AC990" t="s">
        <v>2596</v>
      </c>
      <c r="AD990" t="s">
        <v>2596</v>
      </c>
      <c r="AE990" t="s">
        <v>2596</v>
      </c>
      <c r="AF990" t="s">
        <v>2596</v>
      </c>
      <c r="AG990" t="s">
        <v>2596</v>
      </c>
      <c r="AH990" t="s">
        <v>2596</v>
      </c>
    </row>
    <row r="991" spans="1:34" x14ac:dyDescent="0.25">
      <c r="A991" s="111" t="str">
        <f>HYPERLINK("http://www.ofsted.gov.uk/inspection-reports/find-inspection-report/provider/ELS/143521 ","Ofsted School Webpage")</f>
        <v>Ofsted School Webpage</v>
      </c>
      <c r="B991">
        <v>143521</v>
      </c>
      <c r="C991">
        <v>8816066</v>
      </c>
      <c r="D991" t="s">
        <v>767</v>
      </c>
      <c r="E991" t="s">
        <v>36</v>
      </c>
      <c r="F991" t="s">
        <v>142</v>
      </c>
      <c r="G991" t="s">
        <v>169</v>
      </c>
      <c r="H991" t="s">
        <v>2595</v>
      </c>
      <c r="I991" t="s">
        <v>2596</v>
      </c>
      <c r="J991" t="s">
        <v>143</v>
      </c>
      <c r="K991" t="s">
        <v>177</v>
      </c>
      <c r="L991" t="s">
        <v>177</v>
      </c>
      <c r="M991" t="s">
        <v>280</v>
      </c>
      <c r="N991" t="s">
        <v>768</v>
      </c>
      <c r="O991">
        <v>10043523</v>
      </c>
      <c r="P991" s="108">
        <v>43138</v>
      </c>
      <c r="Q991" s="108">
        <v>43140</v>
      </c>
      <c r="R991" s="108">
        <v>43171</v>
      </c>
      <c r="S991" t="s">
        <v>206</v>
      </c>
      <c r="T991">
        <v>2</v>
      </c>
      <c r="U991" t="s">
        <v>123</v>
      </c>
      <c r="V991">
        <v>2</v>
      </c>
      <c r="W991">
        <v>2</v>
      </c>
      <c r="X991">
        <v>2</v>
      </c>
      <c r="Y991">
        <f>VLOOKUP(Table_clu7sql1_ssdb_REPORT_vw_IE_External_MI_SON[[#This Row],[URN]],[1]Data!$D$2:$BB$1084,31,)</f>
        <v>2</v>
      </c>
      <c r="Z991" t="s">
        <v>2596</v>
      </c>
      <c r="AA991" t="s">
        <v>2596</v>
      </c>
      <c r="AB991" t="s">
        <v>2598</v>
      </c>
      <c r="AC991" t="s">
        <v>2596</v>
      </c>
      <c r="AD991" t="s">
        <v>2596</v>
      </c>
      <c r="AE991" t="s">
        <v>2596</v>
      </c>
      <c r="AF991" t="s">
        <v>2596</v>
      </c>
      <c r="AG991" t="s">
        <v>2596</v>
      </c>
      <c r="AH991" t="s">
        <v>2596</v>
      </c>
    </row>
    <row r="992" spans="1:34" x14ac:dyDescent="0.25">
      <c r="A992" s="111" t="str">
        <f>HYPERLINK("http://www.ofsted.gov.uk/inspection-reports/find-inspection-report/provider/ELS/143525 ","Ofsted School Webpage")</f>
        <v>Ofsted School Webpage</v>
      </c>
      <c r="B992">
        <v>143525</v>
      </c>
      <c r="C992">
        <v>3906009</v>
      </c>
      <c r="D992" t="s">
        <v>2362</v>
      </c>
      <c r="E992" t="s">
        <v>36</v>
      </c>
      <c r="F992" t="s">
        <v>142</v>
      </c>
      <c r="G992" t="s">
        <v>776</v>
      </c>
      <c r="H992" t="s">
        <v>2595</v>
      </c>
      <c r="I992" t="s">
        <v>2596</v>
      </c>
      <c r="J992" t="s">
        <v>143</v>
      </c>
      <c r="K992" t="s">
        <v>202</v>
      </c>
      <c r="L992" t="s">
        <v>234</v>
      </c>
      <c r="M992" t="s">
        <v>604</v>
      </c>
      <c r="N992" t="s">
        <v>2363</v>
      </c>
      <c r="O992">
        <v>10033929</v>
      </c>
      <c r="P992" s="108">
        <v>42864</v>
      </c>
      <c r="Q992" s="108">
        <v>42866</v>
      </c>
      <c r="R992" s="108">
        <v>42986</v>
      </c>
      <c r="S992" t="s">
        <v>206</v>
      </c>
      <c r="T992">
        <v>4</v>
      </c>
      <c r="U992" t="s">
        <v>124</v>
      </c>
      <c r="V992">
        <v>4</v>
      </c>
      <c r="W992">
        <v>4</v>
      </c>
      <c r="X992">
        <v>4</v>
      </c>
      <c r="Y992">
        <f>VLOOKUP(Table_clu7sql1_ssdb_REPORT_vw_IE_External_MI_SON[[#This Row],[URN]],[1]Data!$D$2:$BB$1084,31,)</f>
        <v>4</v>
      </c>
      <c r="Z992" t="s">
        <v>2596</v>
      </c>
      <c r="AA992" t="s">
        <v>2596</v>
      </c>
      <c r="AB992" t="s">
        <v>2599</v>
      </c>
      <c r="AC992" t="s">
        <v>2596</v>
      </c>
      <c r="AD992" t="s">
        <v>2596</v>
      </c>
      <c r="AE992" s="108" t="s">
        <v>2596</v>
      </c>
      <c r="AF992" t="s">
        <v>2596</v>
      </c>
      <c r="AG992" s="108" t="s">
        <v>2596</v>
      </c>
      <c r="AH992" t="s">
        <v>2596</v>
      </c>
    </row>
    <row r="993" spans="1:34" x14ac:dyDescent="0.25">
      <c r="A993" s="111" t="str">
        <f>HYPERLINK("http://www.ofsted.gov.uk/inspection-reports/find-inspection-report/provider/ELS/143531 ","Ofsted School Webpage")</f>
        <v>Ofsted School Webpage</v>
      </c>
      <c r="B993">
        <v>143531</v>
      </c>
      <c r="C993">
        <v>8956003</v>
      </c>
      <c r="D993" t="s">
        <v>2364</v>
      </c>
      <c r="E993" t="s">
        <v>37</v>
      </c>
      <c r="F993" t="s">
        <v>142</v>
      </c>
      <c r="G993" t="s">
        <v>142</v>
      </c>
      <c r="H993" t="s">
        <v>2595</v>
      </c>
      <c r="I993" t="s">
        <v>2596</v>
      </c>
      <c r="J993" t="s">
        <v>143</v>
      </c>
      <c r="K993" t="s">
        <v>162</v>
      </c>
      <c r="L993" t="s">
        <v>162</v>
      </c>
      <c r="M993" t="s">
        <v>801</v>
      </c>
      <c r="N993" t="s">
        <v>2365</v>
      </c>
      <c r="O993" t="s">
        <v>2596</v>
      </c>
      <c r="P993" s="108" t="s">
        <v>2596</v>
      </c>
      <c r="Q993" s="108" t="s">
        <v>2596</v>
      </c>
      <c r="R993" s="108" t="s">
        <v>2596</v>
      </c>
      <c r="S993" t="s">
        <v>2596</v>
      </c>
      <c r="T993" t="s">
        <v>2596</v>
      </c>
      <c r="U993" t="s">
        <v>2596</v>
      </c>
      <c r="V993" t="s">
        <v>2596</v>
      </c>
      <c r="W993" t="s">
        <v>2596</v>
      </c>
      <c r="X993" t="s">
        <v>2596</v>
      </c>
      <c r="Y993" t="str">
        <f>VLOOKUP(Table_clu7sql1_ssdb_REPORT_vw_IE_External_MI_SON[[#This Row],[URN]],[1]Data!$D$2:$BB$1084,31,)</f>
        <v>NULL</v>
      </c>
      <c r="Z993" t="s">
        <v>2596</v>
      </c>
      <c r="AA993" t="s">
        <v>2596</v>
      </c>
      <c r="AB993" t="s">
        <v>2596</v>
      </c>
      <c r="AC993" t="s">
        <v>2596</v>
      </c>
      <c r="AD993" t="s">
        <v>2596</v>
      </c>
      <c r="AE993" s="108" t="s">
        <v>2596</v>
      </c>
      <c r="AF993" t="s">
        <v>2596</v>
      </c>
      <c r="AG993" s="108" t="s">
        <v>2596</v>
      </c>
      <c r="AH993" t="s">
        <v>2596</v>
      </c>
    </row>
    <row r="994" spans="1:34" x14ac:dyDescent="0.25">
      <c r="A994" s="111" t="str">
        <f>HYPERLINK("http://www.ofsted.gov.uk/inspection-reports/find-inspection-report/provider/ELS/143532 ","Ofsted School Webpage")</f>
        <v>Ofsted School Webpage</v>
      </c>
      <c r="B994">
        <v>143532</v>
      </c>
      <c r="C994">
        <v>3946000</v>
      </c>
      <c r="D994" t="s">
        <v>2366</v>
      </c>
      <c r="E994" t="s">
        <v>37</v>
      </c>
      <c r="F994" t="s">
        <v>142</v>
      </c>
      <c r="G994" t="s">
        <v>142</v>
      </c>
      <c r="H994" t="s">
        <v>2595</v>
      </c>
      <c r="I994" t="s">
        <v>2596</v>
      </c>
      <c r="J994" t="s">
        <v>143</v>
      </c>
      <c r="K994" t="s">
        <v>202</v>
      </c>
      <c r="L994" t="s">
        <v>234</v>
      </c>
      <c r="M994" t="s">
        <v>1243</v>
      </c>
      <c r="N994" t="s">
        <v>2367</v>
      </c>
      <c r="O994" t="s">
        <v>2596</v>
      </c>
      <c r="P994" s="108" t="s">
        <v>2596</v>
      </c>
      <c r="Q994" s="108" t="s">
        <v>2596</v>
      </c>
      <c r="R994" s="108" t="s">
        <v>2596</v>
      </c>
      <c r="S994" t="s">
        <v>2596</v>
      </c>
      <c r="T994" t="s">
        <v>2596</v>
      </c>
      <c r="U994" t="s">
        <v>2596</v>
      </c>
      <c r="V994" t="s">
        <v>2596</v>
      </c>
      <c r="W994" t="s">
        <v>2596</v>
      </c>
      <c r="X994" t="s">
        <v>2596</v>
      </c>
      <c r="Y994" t="str">
        <f>VLOOKUP(Table_clu7sql1_ssdb_REPORT_vw_IE_External_MI_SON[[#This Row],[URN]],[1]Data!$D$2:$BB$1084,31,)</f>
        <v>NULL</v>
      </c>
      <c r="Z994" t="s">
        <v>2596</v>
      </c>
      <c r="AA994" t="s">
        <v>2596</v>
      </c>
      <c r="AB994" t="s">
        <v>2596</v>
      </c>
      <c r="AC994" t="s">
        <v>2596</v>
      </c>
      <c r="AD994" t="s">
        <v>2596</v>
      </c>
      <c r="AE994" s="108" t="s">
        <v>2596</v>
      </c>
      <c r="AF994" t="s">
        <v>2596</v>
      </c>
      <c r="AG994" s="108" t="s">
        <v>2596</v>
      </c>
      <c r="AH994" t="s">
        <v>2596</v>
      </c>
    </row>
    <row r="995" spans="1:34" x14ac:dyDescent="0.25">
      <c r="A995" s="111" t="str">
        <f>HYPERLINK("http://www.ofsted.gov.uk/inspection-reports/find-inspection-report/provider/ELS/143539 ","Ofsted School Webpage")</f>
        <v>Ofsted School Webpage</v>
      </c>
      <c r="B995">
        <v>143539</v>
      </c>
      <c r="C995">
        <v>8786067</v>
      </c>
      <c r="D995" t="s">
        <v>451</v>
      </c>
      <c r="E995" t="s">
        <v>37</v>
      </c>
      <c r="F995" t="s">
        <v>142</v>
      </c>
      <c r="G995" t="s">
        <v>142</v>
      </c>
      <c r="H995" t="s">
        <v>2595</v>
      </c>
      <c r="I995" t="s">
        <v>2596</v>
      </c>
      <c r="J995" t="s">
        <v>143</v>
      </c>
      <c r="K995" t="s">
        <v>182</v>
      </c>
      <c r="L995" t="s">
        <v>182</v>
      </c>
      <c r="M995" t="s">
        <v>323</v>
      </c>
      <c r="N995" t="s">
        <v>452</v>
      </c>
      <c r="O995">
        <v>10033897</v>
      </c>
      <c r="P995" s="108">
        <v>42997</v>
      </c>
      <c r="Q995" s="108">
        <v>42999</v>
      </c>
      <c r="R995" s="108">
        <v>43045</v>
      </c>
      <c r="S995" t="s">
        <v>206</v>
      </c>
      <c r="T995">
        <v>4</v>
      </c>
      <c r="U995" t="s">
        <v>124</v>
      </c>
      <c r="V995">
        <v>4</v>
      </c>
      <c r="W995">
        <v>3</v>
      </c>
      <c r="X995">
        <v>3</v>
      </c>
      <c r="Y995">
        <f>VLOOKUP(Table_clu7sql1_ssdb_REPORT_vw_IE_External_MI_SON[[#This Row],[URN]],[1]Data!$D$2:$BB$1084,31,)</f>
        <v>3</v>
      </c>
      <c r="Z995" t="s">
        <v>2596</v>
      </c>
      <c r="AA995" t="s">
        <v>2596</v>
      </c>
      <c r="AB995" t="s">
        <v>2599</v>
      </c>
      <c r="AC995" t="s">
        <v>2596</v>
      </c>
      <c r="AD995" t="s">
        <v>2596</v>
      </c>
      <c r="AE995" t="s">
        <v>2596</v>
      </c>
      <c r="AF995" t="s">
        <v>2596</v>
      </c>
      <c r="AG995" t="s">
        <v>2596</v>
      </c>
      <c r="AH995" t="s">
        <v>2596</v>
      </c>
    </row>
    <row r="996" spans="1:34" x14ac:dyDescent="0.25">
      <c r="A996" s="111" t="str">
        <f>HYPERLINK("http://www.ofsted.gov.uk/inspection-reports/find-inspection-report/provider/ELS/143640 ","Ofsted School Webpage")</f>
        <v>Ofsted School Webpage</v>
      </c>
      <c r="B996">
        <v>143640</v>
      </c>
      <c r="C996">
        <v>3046004</v>
      </c>
      <c r="D996" t="s">
        <v>2368</v>
      </c>
      <c r="E996" t="s">
        <v>36</v>
      </c>
      <c r="F996" t="s">
        <v>142</v>
      </c>
      <c r="G996" t="s">
        <v>261</v>
      </c>
      <c r="H996" t="s">
        <v>2595</v>
      </c>
      <c r="I996" t="s">
        <v>2596</v>
      </c>
      <c r="J996" t="s">
        <v>143</v>
      </c>
      <c r="K996" t="s">
        <v>189</v>
      </c>
      <c r="L996" t="s">
        <v>189</v>
      </c>
      <c r="M996" t="s">
        <v>702</v>
      </c>
      <c r="N996" t="s">
        <v>2369</v>
      </c>
      <c r="O996" t="s">
        <v>2596</v>
      </c>
      <c r="P996" s="108" t="s">
        <v>2596</v>
      </c>
      <c r="Q996" s="108" t="s">
        <v>2596</v>
      </c>
      <c r="R996" s="108" t="s">
        <v>2596</v>
      </c>
      <c r="S996" t="s">
        <v>2596</v>
      </c>
      <c r="T996" t="s">
        <v>2596</v>
      </c>
      <c r="U996" t="s">
        <v>2596</v>
      </c>
      <c r="V996" t="s">
        <v>2596</v>
      </c>
      <c r="W996" t="s">
        <v>2596</v>
      </c>
      <c r="X996" t="s">
        <v>2596</v>
      </c>
      <c r="Y996" t="str">
        <f>VLOOKUP(Table_clu7sql1_ssdb_REPORT_vw_IE_External_MI_SON[[#This Row],[URN]],[1]Data!$D$2:$BB$1084,31,)</f>
        <v>NULL</v>
      </c>
      <c r="Z996" t="s">
        <v>2596</v>
      </c>
      <c r="AA996" t="s">
        <v>2596</v>
      </c>
      <c r="AB996" t="s">
        <v>2596</v>
      </c>
      <c r="AC996" t="s">
        <v>2596</v>
      </c>
      <c r="AD996" t="s">
        <v>2596</v>
      </c>
      <c r="AE996" t="s">
        <v>2596</v>
      </c>
      <c r="AF996" t="s">
        <v>2596</v>
      </c>
      <c r="AG996" t="s">
        <v>2596</v>
      </c>
      <c r="AH996" t="s">
        <v>2596</v>
      </c>
    </row>
    <row r="997" spans="1:34" x14ac:dyDescent="0.25">
      <c r="A997" s="111" t="str">
        <f>HYPERLINK("http://www.ofsted.gov.uk/inspection-reports/find-inspection-report/provider/ELS/143642 ","Ofsted School Webpage")</f>
        <v>Ofsted School Webpage</v>
      </c>
      <c r="B997">
        <v>143642</v>
      </c>
      <c r="C997">
        <v>8356039</v>
      </c>
      <c r="D997" t="s">
        <v>2370</v>
      </c>
      <c r="E997" t="s">
        <v>37</v>
      </c>
      <c r="F997" t="s">
        <v>142</v>
      </c>
      <c r="G997" t="s">
        <v>142</v>
      </c>
      <c r="H997" t="s">
        <v>2595</v>
      </c>
      <c r="I997" t="s">
        <v>2596</v>
      </c>
      <c r="J997" t="s">
        <v>143</v>
      </c>
      <c r="K997" t="s">
        <v>182</v>
      </c>
      <c r="L997" t="s">
        <v>182</v>
      </c>
      <c r="M997" t="s">
        <v>564</v>
      </c>
      <c r="N997" t="s">
        <v>2371</v>
      </c>
      <c r="O997" t="s">
        <v>2596</v>
      </c>
      <c r="P997" s="108" t="s">
        <v>2596</v>
      </c>
      <c r="Q997" s="108" t="s">
        <v>2596</v>
      </c>
      <c r="R997" s="108" t="s">
        <v>2596</v>
      </c>
      <c r="S997" t="s">
        <v>2596</v>
      </c>
      <c r="T997" t="s">
        <v>2596</v>
      </c>
      <c r="U997" t="s">
        <v>2596</v>
      </c>
      <c r="V997" t="s">
        <v>2596</v>
      </c>
      <c r="W997" t="s">
        <v>2596</v>
      </c>
      <c r="X997" t="s">
        <v>2596</v>
      </c>
      <c r="Y997" t="str">
        <f>VLOOKUP(Table_clu7sql1_ssdb_REPORT_vw_IE_External_MI_SON[[#This Row],[URN]],[1]Data!$D$2:$BB$1084,31,)</f>
        <v>NULL</v>
      </c>
      <c r="Z997" t="s">
        <v>2596</v>
      </c>
      <c r="AA997" t="s">
        <v>2596</v>
      </c>
      <c r="AB997" t="s">
        <v>2596</v>
      </c>
      <c r="AC997" t="s">
        <v>2596</v>
      </c>
      <c r="AD997" t="s">
        <v>2596</v>
      </c>
      <c r="AE997" t="s">
        <v>2596</v>
      </c>
      <c r="AF997" t="s">
        <v>2596</v>
      </c>
      <c r="AG997" t="s">
        <v>2596</v>
      </c>
      <c r="AH997" t="s">
        <v>2596</v>
      </c>
    </row>
    <row r="998" spans="1:34" x14ac:dyDescent="0.25">
      <c r="A998" s="111" t="str">
        <f>HYPERLINK("http://www.ofsted.gov.uk/inspection-reports/find-inspection-report/provider/ELS/143646 ","Ofsted School Webpage")</f>
        <v>Ofsted School Webpage</v>
      </c>
      <c r="B998">
        <v>143646</v>
      </c>
      <c r="C998">
        <v>3516006</v>
      </c>
      <c r="D998" t="s">
        <v>2531</v>
      </c>
      <c r="E998" t="s">
        <v>36</v>
      </c>
      <c r="F998" t="s">
        <v>142</v>
      </c>
      <c r="G998" t="s">
        <v>142</v>
      </c>
      <c r="H998" t="s">
        <v>2595</v>
      </c>
      <c r="I998" t="s">
        <v>2596</v>
      </c>
      <c r="J998" t="s">
        <v>143</v>
      </c>
      <c r="K998" t="s">
        <v>162</v>
      </c>
      <c r="L998" t="s">
        <v>162</v>
      </c>
      <c r="M998" t="s">
        <v>409</v>
      </c>
      <c r="N998" t="s">
        <v>2532</v>
      </c>
      <c r="O998" t="s">
        <v>2596</v>
      </c>
      <c r="P998" s="108" t="s">
        <v>2596</v>
      </c>
      <c r="Q998" s="108" t="s">
        <v>2596</v>
      </c>
      <c r="R998" s="108" t="s">
        <v>2596</v>
      </c>
      <c r="S998" t="s">
        <v>2596</v>
      </c>
      <c r="T998" t="s">
        <v>2596</v>
      </c>
      <c r="U998" t="s">
        <v>2596</v>
      </c>
      <c r="V998" t="s">
        <v>2596</v>
      </c>
      <c r="W998" t="s">
        <v>2596</v>
      </c>
      <c r="X998" t="s">
        <v>2596</v>
      </c>
      <c r="Y998" t="str">
        <f>VLOOKUP(Table_clu7sql1_ssdb_REPORT_vw_IE_External_MI_SON[[#This Row],[URN]],[1]Data!$D$2:$BB$1084,31,)</f>
        <v>NULL</v>
      </c>
      <c r="Z998" t="s">
        <v>2596</v>
      </c>
      <c r="AA998" t="s">
        <v>2596</v>
      </c>
      <c r="AB998" t="s">
        <v>2596</v>
      </c>
      <c r="AC998" t="s">
        <v>2596</v>
      </c>
      <c r="AD998" t="s">
        <v>2596</v>
      </c>
      <c r="AE998" t="s">
        <v>2596</v>
      </c>
      <c r="AF998" t="s">
        <v>2596</v>
      </c>
      <c r="AG998" t="s">
        <v>2596</v>
      </c>
      <c r="AH998" t="s">
        <v>2596</v>
      </c>
    </row>
    <row r="999" spans="1:34" x14ac:dyDescent="0.25">
      <c r="A999" s="111" t="str">
        <f>HYPERLINK("http://www.ofsted.gov.uk/inspection-reports/find-inspection-report/provider/ELS/143653 ","Ofsted School Webpage")</f>
        <v>Ofsted School Webpage</v>
      </c>
      <c r="B999">
        <v>143653</v>
      </c>
      <c r="C999">
        <v>8616013</v>
      </c>
      <c r="D999" t="s">
        <v>2533</v>
      </c>
      <c r="E999" t="s">
        <v>37</v>
      </c>
      <c r="F999" t="s">
        <v>142</v>
      </c>
      <c r="G999" t="s">
        <v>142</v>
      </c>
      <c r="H999" t="s">
        <v>2595</v>
      </c>
      <c r="I999" t="s">
        <v>2596</v>
      </c>
      <c r="J999" t="s">
        <v>143</v>
      </c>
      <c r="K999" t="s">
        <v>150</v>
      </c>
      <c r="L999" t="s">
        <v>150</v>
      </c>
      <c r="M999" t="s">
        <v>447</v>
      </c>
      <c r="N999" t="s">
        <v>2534</v>
      </c>
      <c r="O999" t="s">
        <v>2596</v>
      </c>
      <c r="P999" s="108" t="s">
        <v>2596</v>
      </c>
      <c r="Q999" s="108" t="s">
        <v>2596</v>
      </c>
      <c r="R999" s="108" t="s">
        <v>2596</v>
      </c>
      <c r="S999" t="s">
        <v>2596</v>
      </c>
      <c r="T999" t="s">
        <v>2596</v>
      </c>
      <c r="U999" t="s">
        <v>2596</v>
      </c>
      <c r="V999" t="s">
        <v>2596</v>
      </c>
      <c r="W999" t="s">
        <v>2596</v>
      </c>
      <c r="X999" t="s">
        <v>2596</v>
      </c>
      <c r="Y999" t="str">
        <f>VLOOKUP(Table_clu7sql1_ssdb_REPORT_vw_IE_External_MI_SON[[#This Row],[URN]],[1]Data!$D$2:$BB$1084,31,)</f>
        <v>NULL</v>
      </c>
      <c r="Z999" t="s">
        <v>2596</v>
      </c>
      <c r="AA999" t="s">
        <v>2596</v>
      </c>
      <c r="AB999" t="s">
        <v>2596</v>
      </c>
      <c r="AC999" t="s">
        <v>2596</v>
      </c>
      <c r="AD999" t="s">
        <v>2596</v>
      </c>
      <c r="AE999" t="s">
        <v>2596</v>
      </c>
      <c r="AF999" t="s">
        <v>2596</v>
      </c>
      <c r="AG999" t="s">
        <v>2596</v>
      </c>
      <c r="AH999" t="s">
        <v>2596</v>
      </c>
    </row>
    <row r="1000" spans="1:34" x14ac:dyDescent="0.25">
      <c r="A1000" s="111" t="str">
        <f>HYPERLINK("http://www.ofsted.gov.uk/inspection-reports/find-inspection-report/provider/ELS/143838 ","Ofsted School Webpage")</f>
        <v>Ofsted School Webpage</v>
      </c>
      <c r="B1000">
        <v>143838</v>
      </c>
      <c r="C1000">
        <v>2096002</v>
      </c>
      <c r="D1000" t="s">
        <v>2535</v>
      </c>
      <c r="E1000" t="s">
        <v>36</v>
      </c>
      <c r="F1000" t="s">
        <v>142</v>
      </c>
      <c r="G1000" t="s">
        <v>169</v>
      </c>
      <c r="H1000" t="s">
        <v>2595</v>
      </c>
      <c r="I1000" t="s">
        <v>2596</v>
      </c>
      <c r="J1000" t="s">
        <v>143</v>
      </c>
      <c r="K1000" t="s">
        <v>189</v>
      </c>
      <c r="L1000" t="s">
        <v>189</v>
      </c>
      <c r="M1000" t="s">
        <v>484</v>
      </c>
      <c r="N1000" t="s">
        <v>2536</v>
      </c>
      <c r="O1000" t="s">
        <v>2596</v>
      </c>
      <c r="P1000" s="108" t="s">
        <v>2596</v>
      </c>
      <c r="Q1000" s="108" t="s">
        <v>2596</v>
      </c>
      <c r="R1000" s="108" t="s">
        <v>2596</v>
      </c>
      <c r="S1000" t="s">
        <v>2596</v>
      </c>
      <c r="T1000" t="s">
        <v>2596</v>
      </c>
      <c r="U1000" t="s">
        <v>2596</v>
      </c>
      <c r="V1000" t="s">
        <v>2596</v>
      </c>
      <c r="W1000" t="s">
        <v>2596</v>
      </c>
      <c r="X1000" t="s">
        <v>2596</v>
      </c>
      <c r="Y1000" t="str">
        <f>VLOOKUP(Table_clu7sql1_ssdb_REPORT_vw_IE_External_MI_SON[[#This Row],[URN]],[1]Data!$D$2:$BB$1084,31,)</f>
        <v>NULL</v>
      </c>
      <c r="Z1000" t="s">
        <v>2596</v>
      </c>
      <c r="AA1000" t="s">
        <v>2596</v>
      </c>
      <c r="AB1000" t="s">
        <v>2596</v>
      </c>
      <c r="AC1000" t="s">
        <v>2596</v>
      </c>
      <c r="AD1000" t="s">
        <v>2596</v>
      </c>
      <c r="AE1000" t="s">
        <v>2596</v>
      </c>
      <c r="AF1000" t="s">
        <v>2596</v>
      </c>
      <c r="AG1000" t="s">
        <v>2596</v>
      </c>
      <c r="AH1000" t="s">
        <v>2596</v>
      </c>
    </row>
    <row r="1001" spans="1:34" x14ac:dyDescent="0.25">
      <c r="A1001" s="111" t="str">
        <f>HYPERLINK("http://www.ofsted.gov.uk/inspection-reports/find-inspection-report/provider/ELS/143839 ","Ofsted School Webpage")</f>
        <v>Ofsted School Webpage</v>
      </c>
      <c r="B1001">
        <v>143839</v>
      </c>
      <c r="C1001">
        <v>8606044</v>
      </c>
      <c r="D1001" t="s">
        <v>2537</v>
      </c>
      <c r="E1001" t="s">
        <v>37</v>
      </c>
      <c r="F1001" t="s">
        <v>142</v>
      </c>
      <c r="G1001" t="s">
        <v>142</v>
      </c>
      <c r="H1001" t="s">
        <v>2595</v>
      </c>
      <c r="I1001" t="s">
        <v>2596</v>
      </c>
      <c r="J1001" t="s">
        <v>143</v>
      </c>
      <c r="K1001" t="s">
        <v>150</v>
      </c>
      <c r="L1001" t="s">
        <v>150</v>
      </c>
      <c r="M1001" t="s">
        <v>271</v>
      </c>
      <c r="N1001" t="s">
        <v>2538</v>
      </c>
      <c r="O1001" t="s">
        <v>2596</v>
      </c>
      <c r="P1001" s="108" t="s">
        <v>2596</v>
      </c>
      <c r="Q1001" s="108" t="s">
        <v>2596</v>
      </c>
      <c r="R1001" s="108" t="s">
        <v>2596</v>
      </c>
      <c r="S1001" t="s">
        <v>2596</v>
      </c>
      <c r="T1001" t="s">
        <v>2596</v>
      </c>
      <c r="U1001" t="s">
        <v>2596</v>
      </c>
      <c r="V1001" t="s">
        <v>2596</v>
      </c>
      <c r="W1001" t="s">
        <v>2596</v>
      </c>
      <c r="X1001" t="s">
        <v>2596</v>
      </c>
      <c r="Y1001" t="str">
        <f>VLOOKUP(Table_clu7sql1_ssdb_REPORT_vw_IE_External_MI_SON[[#This Row],[URN]],[1]Data!$D$2:$BB$1084,31,)</f>
        <v>NULL</v>
      </c>
      <c r="Z1001" t="s">
        <v>2596</v>
      </c>
      <c r="AA1001" t="s">
        <v>2596</v>
      </c>
      <c r="AB1001" t="s">
        <v>2596</v>
      </c>
      <c r="AC1001" t="s">
        <v>2596</v>
      </c>
      <c r="AD1001" t="s">
        <v>2596</v>
      </c>
      <c r="AE1001" t="s">
        <v>2596</v>
      </c>
      <c r="AF1001" t="s">
        <v>2596</v>
      </c>
      <c r="AG1001" t="s">
        <v>2596</v>
      </c>
      <c r="AH1001" t="s">
        <v>2596</v>
      </c>
    </row>
    <row r="1002" spans="1:34" x14ac:dyDescent="0.25">
      <c r="A1002" s="111" t="str">
        <f>HYPERLINK("http://www.ofsted.gov.uk/inspection-reports/find-inspection-report/provider/ELS/143840 ","Ofsted School Webpage")</f>
        <v>Ofsted School Webpage</v>
      </c>
      <c r="B1002">
        <v>143840</v>
      </c>
      <c r="C1002">
        <v>2046017</v>
      </c>
      <c r="D1002" t="s">
        <v>2539</v>
      </c>
      <c r="E1002" t="s">
        <v>36</v>
      </c>
      <c r="F1002" t="s">
        <v>142</v>
      </c>
      <c r="G1002" t="s">
        <v>142</v>
      </c>
      <c r="H1002" t="s">
        <v>2595</v>
      </c>
      <c r="I1002" t="s">
        <v>2596</v>
      </c>
      <c r="J1002" t="s">
        <v>143</v>
      </c>
      <c r="K1002" t="s">
        <v>189</v>
      </c>
      <c r="L1002" t="s">
        <v>189</v>
      </c>
      <c r="M1002" t="s">
        <v>434</v>
      </c>
      <c r="N1002" t="s">
        <v>2883</v>
      </c>
      <c r="O1002">
        <v>10038181</v>
      </c>
      <c r="P1002" s="108">
        <v>43039</v>
      </c>
      <c r="Q1002" s="108">
        <v>43041</v>
      </c>
      <c r="R1002" s="108">
        <v>43080</v>
      </c>
      <c r="S1002" t="s">
        <v>206</v>
      </c>
      <c r="T1002">
        <v>3</v>
      </c>
      <c r="U1002" t="s">
        <v>123</v>
      </c>
      <c r="V1002">
        <v>3</v>
      </c>
      <c r="W1002">
        <v>3</v>
      </c>
      <c r="X1002">
        <v>3</v>
      </c>
      <c r="Y1002">
        <f>VLOOKUP(Table_clu7sql1_ssdb_REPORT_vw_IE_External_MI_SON[[#This Row],[URN]],[1]Data!$D$2:$BB$1084,31,)</f>
        <v>3</v>
      </c>
      <c r="Z1002" t="s">
        <v>2596</v>
      </c>
      <c r="AA1002" t="s">
        <v>2596</v>
      </c>
      <c r="AB1002" t="s">
        <v>2599</v>
      </c>
      <c r="AC1002" t="s">
        <v>2596</v>
      </c>
      <c r="AD1002" t="s">
        <v>2596</v>
      </c>
      <c r="AE1002" t="s">
        <v>2596</v>
      </c>
      <c r="AF1002" t="s">
        <v>2596</v>
      </c>
      <c r="AG1002" t="s">
        <v>2596</v>
      </c>
      <c r="AH1002" t="s">
        <v>2596</v>
      </c>
    </row>
    <row r="1003" spans="1:34" x14ac:dyDescent="0.25">
      <c r="A1003" s="111" t="str">
        <f>HYPERLINK("http://www.ofsted.gov.uk/inspection-reports/find-inspection-report/provider/ELS/143841 ","Ofsted School Webpage")</f>
        <v>Ofsted School Webpage</v>
      </c>
      <c r="B1003">
        <v>143841</v>
      </c>
      <c r="C1003">
        <v>3816019</v>
      </c>
      <c r="D1003" t="s">
        <v>2540</v>
      </c>
      <c r="E1003" t="s">
        <v>36</v>
      </c>
      <c r="F1003" t="s">
        <v>142</v>
      </c>
      <c r="G1003" t="s">
        <v>142</v>
      </c>
      <c r="H1003" t="s">
        <v>2595</v>
      </c>
      <c r="I1003" t="s">
        <v>2596</v>
      </c>
      <c r="J1003" t="s">
        <v>143</v>
      </c>
      <c r="K1003" t="s">
        <v>202</v>
      </c>
      <c r="L1003" t="s">
        <v>203</v>
      </c>
      <c r="M1003" t="s">
        <v>1307</v>
      </c>
      <c r="N1003" t="s">
        <v>2541</v>
      </c>
      <c r="O1003" t="s">
        <v>2596</v>
      </c>
      <c r="P1003" s="108" t="s">
        <v>2596</v>
      </c>
      <c r="Q1003" s="108" t="s">
        <v>2596</v>
      </c>
      <c r="R1003" s="108" t="s">
        <v>2596</v>
      </c>
      <c r="S1003" t="s">
        <v>2596</v>
      </c>
      <c r="T1003" t="s">
        <v>2596</v>
      </c>
      <c r="U1003" t="s">
        <v>2596</v>
      </c>
      <c r="V1003" t="s">
        <v>2596</v>
      </c>
      <c r="W1003" t="s">
        <v>2596</v>
      </c>
      <c r="X1003" t="s">
        <v>2596</v>
      </c>
      <c r="Y1003" t="str">
        <f>VLOOKUP(Table_clu7sql1_ssdb_REPORT_vw_IE_External_MI_SON[[#This Row],[URN]],[1]Data!$D$2:$BB$1084,31,)</f>
        <v>NULL</v>
      </c>
      <c r="Z1003" t="s">
        <v>2596</v>
      </c>
      <c r="AA1003" t="s">
        <v>2596</v>
      </c>
      <c r="AB1003" t="s">
        <v>2596</v>
      </c>
      <c r="AC1003" t="s">
        <v>2596</v>
      </c>
      <c r="AD1003" t="s">
        <v>2596</v>
      </c>
      <c r="AE1003" t="s">
        <v>2596</v>
      </c>
      <c r="AF1003" t="s">
        <v>2596</v>
      </c>
      <c r="AG1003" t="s">
        <v>2596</v>
      </c>
      <c r="AH1003" t="s">
        <v>2596</v>
      </c>
    </row>
    <row r="1004" spans="1:34" x14ac:dyDescent="0.25">
      <c r="A1004" s="111" t="str">
        <f>HYPERLINK("http://www.ofsted.gov.uk/inspection-reports/find-inspection-report/provider/ELS/143858 ","Ofsted School Webpage")</f>
        <v>Ofsted School Webpage</v>
      </c>
      <c r="B1004">
        <v>143858</v>
      </c>
      <c r="C1004">
        <v>8886067</v>
      </c>
      <c r="D1004" t="s">
        <v>2542</v>
      </c>
      <c r="E1004" t="s">
        <v>36</v>
      </c>
      <c r="F1004" t="s">
        <v>142</v>
      </c>
      <c r="G1004" t="s">
        <v>142</v>
      </c>
      <c r="H1004" t="s">
        <v>2595</v>
      </c>
      <c r="I1004" t="s">
        <v>2596</v>
      </c>
      <c r="J1004" t="s">
        <v>143</v>
      </c>
      <c r="K1004" t="s">
        <v>162</v>
      </c>
      <c r="L1004" t="s">
        <v>162</v>
      </c>
      <c r="M1004" t="s">
        <v>163</v>
      </c>
      <c r="N1004" t="s">
        <v>2543</v>
      </c>
      <c r="O1004" t="s">
        <v>2596</v>
      </c>
      <c r="P1004" s="108" t="s">
        <v>2596</v>
      </c>
      <c r="Q1004" s="108" t="s">
        <v>2596</v>
      </c>
      <c r="R1004" s="108" t="s">
        <v>2596</v>
      </c>
      <c r="S1004" t="s">
        <v>2596</v>
      </c>
      <c r="T1004" t="s">
        <v>2596</v>
      </c>
      <c r="U1004" t="s">
        <v>2596</v>
      </c>
      <c r="V1004" t="s">
        <v>2596</v>
      </c>
      <c r="W1004" t="s">
        <v>2596</v>
      </c>
      <c r="X1004" t="s">
        <v>2596</v>
      </c>
      <c r="Y1004" t="str">
        <f>VLOOKUP(Table_clu7sql1_ssdb_REPORT_vw_IE_External_MI_SON[[#This Row],[URN]],[1]Data!$D$2:$BB$1084,31,)</f>
        <v>NULL</v>
      </c>
      <c r="Z1004" t="s">
        <v>2596</v>
      </c>
      <c r="AA1004" t="s">
        <v>2596</v>
      </c>
      <c r="AB1004" t="s">
        <v>2596</v>
      </c>
      <c r="AC1004" t="s">
        <v>2596</v>
      </c>
      <c r="AD1004" t="s">
        <v>2596</v>
      </c>
      <c r="AE1004" t="s">
        <v>2596</v>
      </c>
      <c r="AF1004" t="s">
        <v>2596</v>
      </c>
      <c r="AG1004" t="s">
        <v>2596</v>
      </c>
      <c r="AH1004" t="s">
        <v>2596</v>
      </c>
    </row>
    <row r="1005" spans="1:34" x14ac:dyDescent="0.25">
      <c r="A1005" s="111" t="str">
        <f>HYPERLINK("http://www.ofsted.gov.uk/inspection-reports/find-inspection-report/provider/ELS/143911 ","Ofsted School Webpage")</f>
        <v>Ofsted School Webpage</v>
      </c>
      <c r="B1005">
        <v>143911</v>
      </c>
      <c r="C1005">
        <v>9356004</v>
      </c>
      <c r="D1005" t="s">
        <v>2012</v>
      </c>
      <c r="E1005" t="s">
        <v>37</v>
      </c>
      <c r="F1005" t="s">
        <v>142</v>
      </c>
      <c r="G1005" t="s">
        <v>142</v>
      </c>
      <c r="H1005" t="s">
        <v>2595</v>
      </c>
      <c r="I1005" t="s">
        <v>2596</v>
      </c>
      <c r="J1005" t="s">
        <v>143</v>
      </c>
      <c r="K1005" t="s">
        <v>177</v>
      </c>
      <c r="L1005" t="s">
        <v>177</v>
      </c>
      <c r="M1005" t="s">
        <v>254</v>
      </c>
      <c r="N1005" t="s">
        <v>2013</v>
      </c>
      <c r="O1005">
        <v>10038910</v>
      </c>
      <c r="P1005" s="108">
        <v>43074</v>
      </c>
      <c r="Q1005" s="108">
        <v>43076</v>
      </c>
      <c r="R1005" s="108">
        <v>43116</v>
      </c>
      <c r="S1005" t="s">
        <v>153</v>
      </c>
      <c r="T1005">
        <v>2</v>
      </c>
      <c r="U1005" t="s">
        <v>123</v>
      </c>
      <c r="V1005">
        <v>2</v>
      </c>
      <c r="W1005">
        <v>2</v>
      </c>
      <c r="X1005">
        <v>2</v>
      </c>
      <c r="Y1005">
        <f>VLOOKUP(Table_clu7sql1_ssdb_REPORT_vw_IE_External_MI_SON[[#This Row],[URN]],[1]Data!$D$2:$BB$1084,31,)</f>
        <v>2</v>
      </c>
      <c r="Z1005" t="s">
        <v>2596</v>
      </c>
      <c r="AA1005">
        <v>2</v>
      </c>
      <c r="AB1005" t="s">
        <v>2598</v>
      </c>
      <c r="AC1005" t="s">
        <v>2596</v>
      </c>
      <c r="AD1005" t="s">
        <v>2596</v>
      </c>
      <c r="AE1005" t="s">
        <v>2596</v>
      </c>
      <c r="AF1005" t="s">
        <v>2596</v>
      </c>
      <c r="AG1005" t="s">
        <v>2596</v>
      </c>
      <c r="AH1005" t="s">
        <v>2596</v>
      </c>
    </row>
    <row r="1006" spans="1:34" x14ac:dyDescent="0.25">
      <c r="A1006" s="111" t="str">
        <f>HYPERLINK("http://www.ofsted.gov.uk/inspection-reports/find-inspection-report/provider/ELS/143912 ","Ofsted School Webpage")</f>
        <v>Ofsted School Webpage</v>
      </c>
      <c r="B1006">
        <v>143912</v>
      </c>
      <c r="C1006">
        <v>3416008</v>
      </c>
      <c r="D1006" t="s">
        <v>2010</v>
      </c>
      <c r="E1006" t="s">
        <v>36</v>
      </c>
      <c r="F1006" t="s">
        <v>142</v>
      </c>
      <c r="G1006" t="s">
        <v>142</v>
      </c>
      <c r="H1006" t="s">
        <v>2595</v>
      </c>
      <c r="I1006" t="s">
        <v>2596</v>
      </c>
      <c r="J1006" t="s">
        <v>143</v>
      </c>
      <c r="K1006" t="s">
        <v>162</v>
      </c>
      <c r="L1006" t="s">
        <v>162</v>
      </c>
      <c r="M1006" t="s">
        <v>611</v>
      </c>
      <c r="N1006" t="s">
        <v>2011</v>
      </c>
      <c r="O1006" t="s">
        <v>2596</v>
      </c>
      <c r="P1006" s="108" t="s">
        <v>2596</v>
      </c>
      <c r="Q1006" s="108" t="s">
        <v>2596</v>
      </c>
      <c r="R1006" s="108" t="s">
        <v>2596</v>
      </c>
      <c r="S1006" t="s">
        <v>2596</v>
      </c>
      <c r="T1006" t="s">
        <v>2596</v>
      </c>
      <c r="U1006" t="s">
        <v>2596</v>
      </c>
      <c r="V1006" t="s">
        <v>2596</v>
      </c>
      <c r="W1006" t="s">
        <v>2596</v>
      </c>
      <c r="X1006" t="s">
        <v>2596</v>
      </c>
      <c r="Y1006" t="str">
        <f>VLOOKUP(Table_clu7sql1_ssdb_REPORT_vw_IE_External_MI_SON[[#This Row],[URN]],[1]Data!$D$2:$BB$1084,31,)</f>
        <v>NULL</v>
      </c>
      <c r="Z1006" t="s">
        <v>2596</v>
      </c>
      <c r="AA1006" t="s">
        <v>2596</v>
      </c>
      <c r="AB1006" t="s">
        <v>2596</v>
      </c>
      <c r="AC1006" t="s">
        <v>2596</v>
      </c>
      <c r="AD1006" t="s">
        <v>2596</v>
      </c>
      <c r="AE1006" t="s">
        <v>2596</v>
      </c>
      <c r="AF1006" t="s">
        <v>2596</v>
      </c>
      <c r="AG1006" t="s">
        <v>2596</v>
      </c>
      <c r="AH1006" t="s">
        <v>2596</v>
      </c>
    </row>
    <row r="1007" spans="1:34" x14ac:dyDescent="0.25">
      <c r="A1007" s="111" t="str">
        <f>HYPERLINK("http://www.ofsted.gov.uk/inspection-reports/find-inspection-report/provider/ELS/143928 ","Ofsted School Webpage")</f>
        <v>Ofsted School Webpage</v>
      </c>
      <c r="B1007">
        <v>143928</v>
      </c>
      <c r="C1007">
        <v>8616014</v>
      </c>
      <c r="D1007" t="s">
        <v>2014</v>
      </c>
      <c r="E1007" t="s">
        <v>36</v>
      </c>
      <c r="F1007" t="s">
        <v>142</v>
      </c>
      <c r="G1007" t="s">
        <v>142</v>
      </c>
      <c r="H1007" t="s">
        <v>2595</v>
      </c>
      <c r="I1007" t="s">
        <v>2596</v>
      </c>
      <c r="J1007" t="s">
        <v>143</v>
      </c>
      <c r="K1007" t="s">
        <v>150</v>
      </c>
      <c r="L1007" t="s">
        <v>150</v>
      </c>
      <c r="M1007" t="s">
        <v>447</v>
      </c>
      <c r="N1007" t="s">
        <v>2015</v>
      </c>
      <c r="O1007">
        <v>10041369</v>
      </c>
      <c r="P1007" s="108">
        <v>43130</v>
      </c>
      <c r="Q1007" s="108">
        <v>43132</v>
      </c>
      <c r="R1007" s="108">
        <v>43172</v>
      </c>
      <c r="S1007" t="s">
        <v>206</v>
      </c>
      <c r="T1007">
        <v>2</v>
      </c>
      <c r="U1007" t="s">
        <v>123</v>
      </c>
      <c r="V1007">
        <v>2</v>
      </c>
      <c r="W1007">
        <v>2</v>
      </c>
      <c r="X1007">
        <v>2</v>
      </c>
      <c r="Y1007">
        <f>VLOOKUP(Table_clu7sql1_ssdb_REPORT_vw_IE_External_MI_SON[[#This Row],[URN]],[1]Data!$D$2:$BB$1084,31,)</f>
        <v>3</v>
      </c>
      <c r="Z1007" t="s">
        <v>2596</v>
      </c>
      <c r="AA1007" t="s">
        <v>2596</v>
      </c>
      <c r="AB1007" t="s">
        <v>2598</v>
      </c>
      <c r="AC1007" t="s">
        <v>2596</v>
      </c>
      <c r="AD1007" t="s">
        <v>2596</v>
      </c>
      <c r="AE1007" t="s">
        <v>2596</v>
      </c>
      <c r="AF1007" t="s">
        <v>2596</v>
      </c>
      <c r="AG1007" t="s">
        <v>2596</v>
      </c>
      <c r="AH1007" t="s">
        <v>2596</v>
      </c>
    </row>
    <row r="1008" spans="1:34" x14ac:dyDescent="0.25">
      <c r="A1008" s="111" t="str">
        <f>HYPERLINK("http://www.ofsted.gov.uk/inspection-reports/find-inspection-report/provider/ELS/143930 ","Ofsted School Webpage")</f>
        <v>Ofsted School Webpage</v>
      </c>
      <c r="B1008">
        <v>143930</v>
      </c>
      <c r="C1008">
        <v>8956004</v>
      </c>
      <c r="D1008" t="s">
        <v>2016</v>
      </c>
      <c r="E1008" t="s">
        <v>36</v>
      </c>
      <c r="F1008" t="s">
        <v>142</v>
      </c>
      <c r="G1008" t="s">
        <v>142</v>
      </c>
      <c r="H1008" t="s">
        <v>2595</v>
      </c>
      <c r="I1008" t="s">
        <v>2596</v>
      </c>
      <c r="J1008" t="s">
        <v>143</v>
      </c>
      <c r="K1008" t="s">
        <v>162</v>
      </c>
      <c r="L1008" t="s">
        <v>162</v>
      </c>
      <c r="M1008" t="s">
        <v>801</v>
      </c>
      <c r="N1008" t="s">
        <v>2017</v>
      </c>
      <c r="O1008" t="s">
        <v>2596</v>
      </c>
      <c r="P1008" s="108" t="s">
        <v>2596</v>
      </c>
      <c r="Q1008" s="108" t="s">
        <v>2596</v>
      </c>
      <c r="R1008" s="108" t="s">
        <v>2596</v>
      </c>
      <c r="S1008" t="s">
        <v>2596</v>
      </c>
      <c r="T1008" t="s">
        <v>2596</v>
      </c>
      <c r="U1008" t="s">
        <v>2596</v>
      </c>
      <c r="V1008" t="s">
        <v>2596</v>
      </c>
      <c r="W1008" t="s">
        <v>2596</v>
      </c>
      <c r="X1008" t="s">
        <v>2596</v>
      </c>
      <c r="Y1008" t="str">
        <f>VLOOKUP(Table_clu7sql1_ssdb_REPORT_vw_IE_External_MI_SON[[#This Row],[URN]],[1]Data!$D$2:$BB$1084,31,)</f>
        <v>NULL</v>
      </c>
      <c r="Z1008" t="s">
        <v>2596</v>
      </c>
      <c r="AA1008" t="s">
        <v>2596</v>
      </c>
      <c r="AB1008" t="s">
        <v>2596</v>
      </c>
      <c r="AC1008" t="s">
        <v>2596</v>
      </c>
      <c r="AD1008" t="s">
        <v>2596</v>
      </c>
      <c r="AE1008" t="s">
        <v>2596</v>
      </c>
      <c r="AF1008" t="s">
        <v>2596</v>
      </c>
      <c r="AG1008" t="s">
        <v>2596</v>
      </c>
      <c r="AH1008" t="s">
        <v>2596</v>
      </c>
    </row>
    <row r="1009" spans="1:34" x14ac:dyDescent="0.25">
      <c r="A1009" s="111" t="str">
        <f>HYPERLINK("http://www.ofsted.gov.uk/inspection-reports/find-inspection-report/provider/ELS/143932 ","Ofsted School Webpage")</f>
        <v>Ofsted School Webpage</v>
      </c>
      <c r="B1009">
        <v>143932</v>
      </c>
      <c r="C1009">
        <v>8606045</v>
      </c>
      <c r="D1009" t="s">
        <v>2018</v>
      </c>
      <c r="E1009" t="s">
        <v>37</v>
      </c>
      <c r="F1009" t="s">
        <v>142</v>
      </c>
      <c r="G1009" t="s">
        <v>142</v>
      </c>
      <c r="H1009" t="s">
        <v>2595</v>
      </c>
      <c r="I1009" t="s">
        <v>2596</v>
      </c>
      <c r="J1009" t="s">
        <v>143</v>
      </c>
      <c r="K1009" t="s">
        <v>150</v>
      </c>
      <c r="L1009" t="s">
        <v>150</v>
      </c>
      <c r="M1009" t="s">
        <v>271</v>
      </c>
      <c r="N1009" t="s">
        <v>2019</v>
      </c>
      <c r="O1009" t="s">
        <v>2596</v>
      </c>
      <c r="P1009" s="108" t="s">
        <v>2596</v>
      </c>
      <c r="Q1009" s="108" t="s">
        <v>2596</v>
      </c>
      <c r="R1009" s="108" t="s">
        <v>2596</v>
      </c>
      <c r="S1009" t="s">
        <v>2596</v>
      </c>
      <c r="T1009" t="s">
        <v>2596</v>
      </c>
      <c r="U1009" t="s">
        <v>2596</v>
      </c>
      <c r="V1009" t="s">
        <v>2596</v>
      </c>
      <c r="W1009" t="s">
        <v>2596</v>
      </c>
      <c r="X1009" t="s">
        <v>2596</v>
      </c>
      <c r="Y1009" t="str">
        <f>VLOOKUP(Table_clu7sql1_ssdb_REPORT_vw_IE_External_MI_SON[[#This Row],[URN]],[1]Data!$D$2:$BB$1084,31,)</f>
        <v>NULL</v>
      </c>
      <c r="Z1009" t="s">
        <v>2596</v>
      </c>
      <c r="AA1009" t="s">
        <v>2596</v>
      </c>
      <c r="AB1009" t="s">
        <v>2596</v>
      </c>
      <c r="AC1009" t="s">
        <v>2596</v>
      </c>
      <c r="AD1009" t="s">
        <v>2596</v>
      </c>
      <c r="AE1009" t="s">
        <v>2596</v>
      </c>
      <c r="AF1009" t="s">
        <v>2596</v>
      </c>
      <c r="AG1009" t="s">
        <v>2596</v>
      </c>
      <c r="AH1009" t="s">
        <v>2596</v>
      </c>
    </row>
    <row r="1010" spans="1:34" x14ac:dyDescent="0.25">
      <c r="A1010" s="111" t="str">
        <f>HYPERLINK("http://www.ofsted.gov.uk/inspection-reports/find-inspection-report/provider/ELS/143933 ","Ofsted School Webpage")</f>
        <v>Ofsted School Webpage</v>
      </c>
      <c r="B1010">
        <v>143933</v>
      </c>
      <c r="C1010">
        <v>2096003</v>
      </c>
      <c r="D1010" t="s">
        <v>2386</v>
      </c>
      <c r="E1010" t="s">
        <v>36</v>
      </c>
      <c r="F1010" t="s">
        <v>142</v>
      </c>
      <c r="G1010" t="s">
        <v>142</v>
      </c>
      <c r="H1010" t="s">
        <v>2595</v>
      </c>
      <c r="I1010" t="s">
        <v>2596</v>
      </c>
      <c r="J1010" t="s">
        <v>143</v>
      </c>
      <c r="K1010" t="s">
        <v>189</v>
      </c>
      <c r="L1010" t="s">
        <v>189</v>
      </c>
      <c r="M1010" t="s">
        <v>484</v>
      </c>
      <c r="N1010" t="s">
        <v>2387</v>
      </c>
      <c r="O1010" t="s">
        <v>2596</v>
      </c>
      <c r="P1010" s="108" t="s">
        <v>2596</v>
      </c>
      <c r="Q1010" s="108" t="s">
        <v>2596</v>
      </c>
      <c r="R1010" s="108" t="s">
        <v>2596</v>
      </c>
      <c r="S1010" t="s">
        <v>2596</v>
      </c>
      <c r="T1010" t="s">
        <v>2596</v>
      </c>
      <c r="U1010" t="s">
        <v>2596</v>
      </c>
      <c r="V1010" t="s">
        <v>2596</v>
      </c>
      <c r="W1010" t="s">
        <v>2596</v>
      </c>
      <c r="X1010" t="s">
        <v>2596</v>
      </c>
      <c r="Y1010" t="str">
        <f>VLOOKUP(Table_clu7sql1_ssdb_REPORT_vw_IE_External_MI_SON[[#This Row],[URN]],[1]Data!$D$2:$BB$1084,31,)</f>
        <v>NULL</v>
      </c>
      <c r="Z1010" t="s">
        <v>2596</v>
      </c>
      <c r="AA1010" t="s">
        <v>2596</v>
      </c>
      <c r="AB1010" t="s">
        <v>2596</v>
      </c>
      <c r="AC1010" t="s">
        <v>2596</v>
      </c>
      <c r="AD1010" t="s">
        <v>2596</v>
      </c>
      <c r="AE1010" t="s">
        <v>2596</v>
      </c>
      <c r="AF1010" t="s">
        <v>2596</v>
      </c>
      <c r="AG1010" t="s">
        <v>2596</v>
      </c>
      <c r="AH1010" t="s">
        <v>2596</v>
      </c>
    </row>
    <row r="1011" spans="1:34" x14ac:dyDescent="0.25">
      <c r="A1011" s="111" t="str">
        <f>HYPERLINK("http://www.ofsted.gov.uk/inspection-reports/find-inspection-report/provider/ELS/143935 ","Ofsted School Webpage")</f>
        <v>Ofsted School Webpage</v>
      </c>
      <c r="B1011">
        <v>143935</v>
      </c>
      <c r="C1011">
        <v>9386003</v>
      </c>
      <c r="D1011" t="s">
        <v>2388</v>
      </c>
      <c r="E1011" t="s">
        <v>36</v>
      </c>
      <c r="F1011" t="s">
        <v>142</v>
      </c>
      <c r="G1011" t="s">
        <v>142</v>
      </c>
      <c r="H1011" t="s">
        <v>2595</v>
      </c>
      <c r="I1011" t="s">
        <v>2596</v>
      </c>
      <c r="J1011" t="s">
        <v>143</v>
      </c>
      <c r="K1011" t="s">
        <v>139</v>
      </c>
      <c r="L1011" t="s">
        <v>139</v>
      </c>
      <c r="M1011" t="s">
        <v>351</v>
      </c>
      <c r="N1011" t="s">
        <v>2389</v>
      </c>
      <c r="O1011" t="s">
        <v>2596</v>
      </c>
      <c r="P1011" s="108" t="s">
        <v>2596</v>
      </c>
      <c r="Q1011" s="108" t="s">
        <v>2596</v>
      </c>
      <c r="R1011" s="108" t="s">
        <v>2596</v>
      </c>
      <c r="S1011" t="s">
        <v>2596</v>
      </c>
      <c r="T1011" t="s">
        <v>2596</v>
      </c>
      <c r="U1011" t="s">
        <v>2596</v>
      </c>
      <c r="V1011" t="s">
        <v>2596</v>
      </c>
      <c r="W1011" t="s">
        <v>2596</v>
      </c>
      <c r="X1011" t="s">
        <v>2596</v>
      </c>
      <c r="Y1011" t="str">
        <f>VLOOKUP(Table_clu7sql1_ssdb_REPORT_vw_IE_External_MI_SON[[#This Row],[URN]],[1]Data!$D$2:$BB$1084,31,)</f>
        <v>NULL</v>
      </c>
      <c r="Z1011" t="s">
        <v>2596</v>
      </c>
      <c r="AA1011" t="s">
        <v>2596</v>
      </c>
      <c r="AB1011" t="s">
        <v>2596</v>
      </c>
      <c r="AC1011" t="s">
        <v>2596</v>
      </c>
      <c r="AD1011" t="s">
        <v>2596</v>
      </c>
      <c r="AE1011" t="s">
        <v>2596</v>
      </c>
      <c r="AF1011" t="s">
        <v>2596</v>
      </c>
      <c r="AG1011" t="s">
        <v>2596</v>
      </c>
      <c r="AH1011" t="s">
        <v>2596</v>
      </c>
    </row>
    <row r="1012" spans="1:34" x14ac:dyDescent="0.25">
      <c r="A1012" s="111" t="str">
        <f>HYPERLINK("http://www.ofsted.gov.uk/inspection-reports/find-inspection-report/provider/ELS/143936 ","Ofsted School Webpage")</f>
        <v>Ofsted School Webpage</v>
      </c>
      <c r="B1012">
        <v>143936</v>
      </c>
      <c r="C1012">
        <v>8886069</v>
      </c>
      <c r="D1012" t="s">
        <v>2390</v>
      </c>
      <c r="E1012" t="s">
        <v>37</v>
      </c>
      <c r="F1012" t="s">
        <v>142</v>
      </c>
      <c r="G1012" t="s">
        <v>142</v>
      </c>
      <c r="H1012" t="s">
        <v>2595</v>
      </c>
      <c r="I1012" t="s">
        <v>2596</v>
      </c>
      <c r="J1012" t="s">
        <v>143</v>
      </c>
      <c r="K1012" t="s">
        <v>162</v>
      </c>
      <c r="L1012" t="s">
        <v>162</v>
      </c>
      <c r="M1012" t="s">
        <v>163</v>
      </c>
      <c r="N1012" t="s">
        <v>2391</v>
      </c>
      <c r="O1012" t="s">
        <v>2596</v>
      </c>
      <c r="P1012" s="108" t="s">
        <v>2596</v>
      </c>
      <c r="Q1012" s="108" t="s">
        <v>2596</v>
      </c>
      <c r="R1012" s="108" t="s">
        <v>2596</v>
      </c>
      <c r="S1012" t="s">
        <v>2596</v>
      </c>
      <c r="T1012" t="s">
        <v>2596</v>
      </c>
      <c r="U1012" t="s">
        <v>2596</v>
      </c>
      <c r="V1012" t="s">
        <v>2596</v>
      </c>
      <c r="W1012" t="s">
        <v>2596</v>
      </c>
      <c r="X1012" t="s">
        <v>2596</v>
      </c>
      <c r="Y1012" t="str">
        <f>VLOOKUP(Table_clu7sql1_ssdb_REPORT_vw_IE_External_MI_SON[[#This Row],[URN]],[1]Data!$D$2:$BB$1084,31,)</f>
        <v>NULL</v>
      </c>
      <c r="Z1012" t="s">
        <v>2596</v>
      </c>
      <c r="AA1012" t="s">
        <v>2596</v>
      </c>
      <c r="AB1012" t="s">
        <v>2596</v>
      </c>
      <c r="AC1012" t="s">
        <v>2596</v>
      </c>
      <c r="AD1012" t="s">
        <v>2596</v>
      </c>
      <c r="AE1012" t="s">
        <v>2596</v>
      </c>
      <c r="AF1012" t="s">
        <v>2596</v>
      </c>
      <c r="AG1012" t="s">
        <v>2596</v>
      </c>
      <c r="AH1012" t="s">
        <v>2596</v>
      </c>
    </row>
    <row r="1013" spans="1:34" x14ac:dyDescent="0.25">
      <c r="A1013" s="111" t="str">
        <f>HYPERLINK("http://www.ofsted.gov.uk/inspection-reports/find-inspection-report/provider/ELS/143947 ","Ofsted School Webpage")</f>
        <v>Ofsted School Webpage</v>
      </c>
      <c r="B1013">
        <v>143947</v>
      </c>
      <c r="C1013">
        <v>8786068</v>
      </c>
      <c r="D1013" t="s">
        <v>2392</v>
      </c>
      <c r="E1013" t="s">
        <v>36</v>
      </c>
      <c r="F1013" t="s">
        <v>142</v>
      </c>
      <c r="G1013" t="s">
        <v>142</v>
      </c>
      <c r="H1013" t="s">
        <v>2595</v>
      </c>
      <c r="I1013" t="s">
        <v>2596</v>
      </c>
      <c r="J1013" t="s">
        <v>143</v>
      </c>
      <c r="K1013" t="s">
        <v>182</v>
      </c>
      <c r="L1013" t="s">
        <v>182</v>
      </c>
      <c r="M1013" t="s">
        <v>323</v>
      </c>
      <c r="N1013" t="s">
        <v>2393</v>
      </c>
      <c r="O1013">
        <v>10041384</v>
      </c>
      <c r="P1013" s="108">
        <v>43116</v>
      </c>
      <c r="Q1013" s="108">
        <v>43118</v>
      </c>
      <c r="R1013" s="108">
        <v>43157</v>
      </c>
      <c r="S1013" t="s">
        <v>206</v>
      </c>
      <c r="T1013">
        <v>3</v>
      </c>
      <c r="U1013" t="s">
        <v>123</v>
      </c>
      <c r="V1013">
        <v>3</v>
      </c>
      <c r="W1013">
        <v>2</v>
      </c>
      <c r="X1013">
        <v>3</v>
      </c>
      <c r="Y1013">
        <f>VLOOKUP(Table_clu7sql1_ssdb_REPORT_vw_IE_External_MI_SON[[#This Row],[URN]],[1]Data!$D$2:$BB$1084,31,)</f>
        <v>3</v>
      </c>
      <c r="Z1013" t="s">
        <v>2596</v>
      </c>
      <c r="AA1013" t="s">
        <v>2596</v>
      </c>
      <c r="AB1013" t="s">
        <v>2598</v>
      </c>
      <c r="AC1013" t="s">
        <v>2596</v>
      </c>
      <c r="AD1013" t="s">
        <v>2596</v>
      </c>
      <c r="AE1013" t="s">
        <v>2596</v>
      </c>
      <c r="AF1013" t="s">
        <v>2596</v>
      </c>
      <c r="AG1013" t="s">
        <v>2596</v>
      </c>
      <c r="AH1013" t="s">
        <v>2596</v>
      </c>
    </row>
    <row r="1014" spans="1:34" x14ac:dyDescent="0.25">
      <c r="A1014" s="111" t="str">
        <f>HYPERLINK("http://www.ofsted.gov.uk/inspection-reports/find-inspection-report/provider/ELS/144033 ","Ofsted School Webpage")</f>
        <v>Ofsted School Webpage</v>
      </c>
      <c r="B1014">
        <v>144033</v>
      </c>
      <c r="C1014">
        <v>8696019</v>
      </c>
      <c r="D1014" t="s">
        <v>2394</v>
      </c>
      <c r="E1014" t="s">
        <v>37</v>
      </c>
      <c r="F1014" t="s">
        <v>142</v>
      </c>
      <c r="G1014" t="s">
        <v>142</v>
      </c>
      <c r="H1014" t="s">
        <v>2595</v>
      </c>
      <c r="I1014" t="s">
        <v>2596</v>
      </c>
      <c r="J1014" t="s">
        <v>143</v>
      </c>
      <c r="K1014" t="s">
        <v>139</v>
      </c>
      <c r="L1014" t="s">
        <v>139</v>
      </c>
      <c r="M1014" t="s">
        <v>552</v>
      </c>
      <c r="N1014" t="s">
        <v>2395</v>
      </c>
      <c r="O1014">
        <v>10043102</v>
      </c>
      <c r="P1014" s="108">
        <v>43074</v>
      </c>
      <c r="Q1014" s="108">
        <v>43076</v>
      </c>
      <c r="R1014" s="108">
        <v>43116</v>
      </c>
      <c r="S1014" t="s">
        <v>206</v>
      </c>
      <c r="T1014">
        <v>2</v>
      </c>
      <c r="U1014" t="s">
        <v>123</v>
      </c>
      <c r="V1014">
        <v>2</v>
      </c>
      <c r="W1014">
        <v>2</v>
      </c>
      <c r="X1014">
        <v>2</v>
      </c>
      <c r="Y1014">
        <f>VLOOKUP(Table_clu7sql1_ssdb_REPORT_vw_IE_External_MI_SON[[#This Row],[URN]],[1]Data!$D$2:$BB$1084,31,)</f>
        <v>2</v>
      </c>
      <c r="Z1014" t="s">
        <v>2596</v>
      </c>
      <c r="AA1014" t="s">
        <v>2596</v>
      </c>
      <c r="AB1014" t="s">
        <v>2598</v>
      </c>
      <c r="AC1014" t="s">
        <v>2596</v>
      </c>
      <c r="AD1014" t="s">
        <v>2596</v>
      </c>
      <c r="AE1014" t="s">
        <v>2596</v>
      </c>
      <c r="AF1014" t="s">
        <v>2596</v>
      </c>
      <c r="AG1014" t="s">
        <v>2596</v>
      </c>
      <c r="AH1014" t="s">
        <v>2596</v>
      </c>
    </row>
    <row r="1015" spans="1:34" x14ac:dyDescent="0.25">
      <c r="A1015" s="111" t="str">
        <f>HYPERLINK("http://www.ofsted.gov.uk/inspection-reports/find-inspection-report/provider/ELS/144363 ","Ofsted School Webpage")</f>
        <v>Ofsted School Webpage</v>
      </c>
      <c r="B1015">
        <v>144363</v>
      </c>
      <c r="C1015">
        <v>2046016</v>
      </c>
      <c r="D1015" t="s">
        <v>2396</v>
      </c>
      <c r="E1015" t="s">
        <v>36</v>
      </c>
      <c r="F1015" t="s">
        <v>142</v>
      </c>
      <c r="G1015" t="s">
        <v>776</v>
      </c>
      <c r="H1015" t="s">
        <v>2595</v>
      </c>
      <c r="I1015" t="s">
        <v>2596</v>
      </c>
      <c r="J1015" t="s">
        <v>143</v>
      </c>
      <c r="K1015" t="s">
        <v>189</v>
      </c>
      <c r="L1015" t="s">
        <v>189</v>
      </c>
      <c r="M1015" t="s">
        <v>434</v>
      </c>
      <c r="N1015" t="s">
        <v>2397</v>
      </c>
      <c r="O1015" t="s">
        <v>2596</v>
      </c>
      <c r="P1015" s="108" t="s">
        <v>2596</v>
      </c>
      <c r="Q1015" s="108" t="s">
        <v>2596</v>
      </c>
      <c r="R1015" s="108" t="s">
        <v>2596</v>
      </c>
      <c r="S1015" t="s">
        <v>2596</v>
      </c>
      <c r="T1015" t="s">
        <v>2596</v>
      </c>
      <c r="U1015" t="s">
        <v>2596</v>
      </c>
      <c r="V1015" t="s">
        <v>2596</v>
      </c>
      <c r="W1015" t="s">
        <v>2596</v>
      </c>
      <c r="X1015" t="s">
        <v>2596</v>
      </c>
      <c r="Y1015" t="str">
        <f>VLOOKUP(Table_clu7sql1_ssdb_REPORT_vw_IE_External_MI_SON[[#This Row],[URN]],[1]Data!$D$2:$BB$1084,31,)</f>
        <v>NULL</v>
      </c>
      <c r="Z1015" t="s">
        <v>2596</v>
      </c>
      <c r="AA1015" t="s">
        <v>2596</v>
      </c>
      <c r="AB1015" t="s">
        <v>2596</v>
      </c>
      <c r="AC1015" t="s">
        <v>2596</v>
      </c>
      <c r="AD1015" t="s">
        <v>2596</v>
      </c>
      <c r="AE1015" t="s">
        <v>2596</v>
      </c>
      <c r="AF1015" t="s">
        <v>2596</v>
      </c>
      <c r="AG1015" t="s">
        <v>2596</v>
      </c>
      <c r="AH1015" t="s">
        <v>2596</v>
      </c>
    </row>
    <row r="1016" spans="1:34" x14ac:dyDescent="0.25">
      <c r="A1016" s="111" t="str">
        <f>HYPERLINK("http://www.ofsted.gov.uk/inspection-reports/find-inspection-report/provider/ELS/144366 ","Ofsted School Webpage")</f>
        <v>Ofsted School Webpage</v>
      </c>
      <c r="B1016">
        <v>144366</v>
      </c>
      <c r="C1016">
        <v>8126005</v>
      </c>
      <c r="D1016" t="s">
        <v>2398</v>
      </c>
      <c r="E1016" t="s">
        <v>36</v>
      </c>
      <c r="F1016" t="s">
        <v>142</v>
      </c>
      <c r="G1016" t="s">
        <v>142</v>
      </c>
      <c r="H1016" t="s">
        <v>2595</v>
      </c>
      <c r="I1016" t="s">
        <v>2596</v>
      </c>
      <c r="J1016" t="s">
        <v>143</v>
      </c>
      <c r="K1016" t="s">
        <v>202</v>
      </c>
      <c r="L1016" t="s">
        <v>203</v>
      </c>
      <c r="M1016" t="s">
        <v>204</v>
      </c>
      <c r="N1016" t="s">
        <v>2399</v>
      </c>
      <c r="O1016" t="s">
        <v>2596</v>
      </c>
      <c r="P1016" s="108" t="s">
        <v>2596</v>
      </c>
      <c r="Q1016" s="108" t="s">
        <v>2596</v>
      </c>
      <c r="R1016" s="108" t="s">
        <v>2596</v>
      </c>
      <c r="S1016" t="s">
        <v>2596</v>
      </c>
      <c r="T1016" t="s">
        <v>2596</v>
      </c>
      <c r="U1016" t="s">
        <v>2596</v>
      </c>
      <c r="V1016" t="s">
        <v>2596</v>
      </c>
      <c r="W1016" t="s">
        <v>2596</v>
      </c>
      <c r="X1016" t="s">
        <v>2596</v>
      </c>
      <c r="Y1016" t="str">
        <f>VLOOKUP(Table_clu7sql1_ssdb_REPORT_vw_IE_External_MI_SON[[#This Row],[URN]],[1]Data!$D$2:$BB$1084,31,)</f>
        <v>NULL</v>
      </c>
      <c r="Z1016" t="s">
        <v>2596</v>
      </c>
      <c r="AA1016" t="s">
        <v>2596</v>
      </c>
      <c r="AB1016" t="s">
        <v>2596</v>
      </c>
      <c r="AC1016" t="s">
        <v>2596</v>
      </c>
      <c r="AD1016" t="s">
        <v>2596</v>
      </c>
      <c r="AE1016" t="s">
        <v>2596</v>
      </c>
      <c r="AF1016" t="s">
        <v>2596</v>
      </c>
      <c r="AG1016" t="s">
        <v>2596</v>
      </c>
      <c r="AH1016" t="s">
        <v>2596</v>
      </c>
    </row>
    <row r="1017" spans="1:34" x14ac:dyDescent="0.25">
      <c r="A1017" s="111" t="str">
        <f>HYPERLINK("http://www.ofsted.gov.uk/inspection-reports/find-inspection-report/provider/ELS/144370 ","Ofsted School Webpage")</f>
        <v>Ofsted School Webpage</v>
      </c>
      <c r="B1017">
        <v>144370</v>
      </c>
      <c r="C1017">
        <v>3416009</v>
      </c>
      <c r="D1017" t="s">
        <v>2562</v>
      </c>
      <c r="E1017" t="s">
        <v>36</v>
      </c>
      <c r="F1017" t="s">
        <v>142</v>
      </c>
      <c r="G1017" t="s">
        <v>142</v>
      </c>
      <c r="H1017" t="s">
        <v>2595</v>
      </c>
      <c r="I1017" t="s">
        <v>2596</v>
      </c>
      <c r="J1017" t="s">
        <v>143</v>
      </c>
      <c r="K1017" t="s">
        <v>162</v>
      </c>
      <c r="L1017" t="s">
        <v>162</v>
      </c>
      <c r="M1017" t="s">
        <v>611</v>
      </c>
      <c r="N1017" t="s">
        <v>2563</v>
      </c>
      <c r="O1017" t="s">
        <v>2596</v>
      </c>
      <c r="P1017" s="108" t="s">
        <v>2596</v>
      </c>
      <c r="Q1017" s="108" t="s">
        <v>2596</v>
      </c>
      <c r="R1017" s="108" t="s">
        <v>2596</v>
      </c>
      <c r="S1017" t="s">
        <v>2596</v>
      </c>
      <c r="T1017" t="s">
        <v>2596</v>
      </c>
      <c r="U1017" t="s">
        <v>2596</v>
      </c>
      <c r="V1017" t="s">
        <v>2596</v>
      </c>
      <c r="W1017" t="s">
        <v>2596</v>
      </c>
      <c r="X1017" t="s">
        <v>2596</v>
      </c>
      <c r="Y1017" t="str">
        <f>VLOOKUP(Table_clu7sql1_ssdb_REPORT_vw_IE_External_MI_SON[[#This Row],[URN]],[1]Data!$D$2:$BB$1084,31,)</f>
        <v>NULL</v>
      </c>
      <c r="Z1017" t="s">
        <v>2596</v>
      </c>
      <c r="AA1017" t="s">
        <v>2596</v>
      </c>
      <c r="AB1017" t="s">
        <v>2596</v>
      </c>
      <c r="AC1017" t="s">
        <v>2596</v>
      </c>
      <c r="AD1017" t="s">
        <v>2596</v>
      </c>
      <c r="AE1017" t="s">
        <v>2596</v>
      </c>
      <c r="AF1017" t="s">
        <v>2596</v>
      </c>
      <c r="AG1017" t="s">
        <v>2596</v>
      </c>
      <c r="AH1017" t="s">
        <v>2596</v>
      </c>
    </row>
    <row r="1018" spans="1:34" x14ac:dyDescent="0.25">
      <c r="A1018" s="111" t="str">
        <f>HYPERLINK("http://www.ofsted.gov.uk/inspection-reports/find-inspection-report/provider/ELS/144374 ","Ofsted School Webpage")</f>
        <v>Ofsted School Webpage</v>
      </c>
      <c r="B1018">
        <v>144374</v>
      </c>
      <c r="C1018">
        <v>3326008</v>
      </c>
      <c r="D1018" t="s">
        <v>2564</v>
      </c>
      <c r="E1018" t="s">
        <v>37</v>
      </c>
      <c r="F1018" t="s">
        <v>142</v>
      </c>
      <c r="G1018" t="s">
        <v>142</v>
      </c>
      <c r="H1018" t="s">
        <v>2595</v>
      </c>
      <c r="I1018" t="s">
        <v>2596</v>
      </c>
      <c r="J1018" t="s">
        <v>143</v>
      </c>
      <c r="K1018" t="s">
        <v>150</v>
      </c>
      <c r="L1018" t="s">
        <v>150</v>
      </c>
      <c r="M1018" t="s">
        <v>305</v>
      </c>
      <c r="N1018" t="s">
        <v>2565</v>
      </c>
      <c r="O1018" t="s">
        <v>2596</v>
      </c>
      <c r="P1018" s="108" t="s">
        <v>2596</v>
      </c>
      <c r="Q1018" s="108" t="s">
        <v>2596</v>
      </c>
      <c r="R1018" s="108" t="s">
        <v>2596</v>
      </c>
      <c r="S1018" t="s">
        <v>2596</v>
      </c>
      <c r="T1018" t="s">
        <v>2596</v>
      </c>
      <c r="U1018" t="s">
        <v>2596</v>
      </c>
      <c r="V1018" t="s">
        <v>2596</v>
      </c>
      <c r="W1018" t="s">
        <v>2596</v>
      </c>
      <c r="X1018" t="s">
        <v>2596</v>
      </c>
      <c r="Y1018" t="str">
        <f>VLOOKUP(Table_clu7sql1_ssdb_REPORT_vw_IE_External_MI_SON[[#This Row],[URN]],[1]Data!$D$2:$BB$1084,31,)</f>
        <v>NULL</v>
      </c>
      <c r="Z1018" t="s">
        <v>2596</v>
      </c>
      <c r="AA1018" t="s">
        <v>2596</v>
      </c>
      <c r="AB1018" t="s">
        <v>2596</v>
      </c>
      <c r="AC1018" t="s">
        <v>2596</v>
      </c>
      <c r="AD1018" t="s">
        <v>2596</v>
      </c>
      <c r="AE1018" t="s">
        <v>2596</v>
      </c>
      <c r="AF1018" t="s">
        <v>2596</v>
      </c>
      <c r="AG1018" t="s">
        <v>2596</v>
      </c>
      <c r="AH1018" t="s">
        <v>2596</v>
      </c>
    </row>
    <row r="1019" spans="1:34" x14ac:dyDescent="0.25">
      <c r="A1019" s="111" t="str">
        <f>HYPERLINK("http://www.ofsted.gov.uk/inspection-reports/find-inspection-report/provider/ELS/144375 ","Ofsted School Webpage")</f>
        <v>Ofsted School Webpage</v>
      </c>
      <c r="B1019">
        <v>144375</v>
      </c>
      <c r="C1019">
        <v>8886070</v>
      </c>
      <c r="D1019" t="s">
        <v>2566</v>
      </c>
      <c r="E1019" t="s">
        <v>37</v>
      </c>
      <c r="F1019" t="s">
        <v>142</v>
      </c>
      <c r="G1019" t="s">
        <v>142</v>
      </c>
      <c r="H1019" t="s">
        <v>2595</v>
      </c>
      <c r="I1019" t="s">
        <v>2596</v>
      </c>
      <c r="J1019" t="s">
        <v>143</v>
      </c>
      <c r="K1019" t="s">
        <v>162</v>
      </c>
      <c r="L1019" t="s">
        <v>162</v>
      </c>
      <c r="M1019" t="s">
        <v>163</v>
      </c>
      <c r="N1019" t="s">
        <v>2567</v>
      </c>
      <c r="O1019" t="s">
        <v>2596</v>
      </c>
      <c r="P1019" s="108" t="s">
        <v>2596</v>
      </c>
      <c r="Q1019" s="108" t="s">
        <v>2596</v>
      </c>
      <c r="R1019" s="108" t="s">
        <v>2596</v>
      </c>
      <c r="S1019" t="s">
        <v>2596</v>
      </c>
      <c r="T1019" t="s">
        <v>2596</v>
      </c>
      <c r="U1019" t="s">
        <v>2596</v>
      </c>
      <c r="V1019" t="s">
        <v>2596</v>
      </c>
      <c r="W1019" t="s">
        <v>2596</v>
      </c>
      <c r="X1019" t="s">
        <v>2596</v>
      </c>
      <c r="Y1019" t="str">
        <f>VLOOKUP(Table_clu7sql1_ssdb_REPORT_vw_IE_External_MI_SON[[#This Row],[URN]],[1]Data!$D$2:$BB$1084,31,)</f>
        <v>NULL</v>
      </c>
      <c r="Z1019" t="s">
        <v>2596</v>
      </c>
      <c r="AA1019" t="s">
        <v>2596</v>
      </c>
      <c r="AB1019" t="s">
        <v>2596</v>
      </c>
      <c r="AC1019" t="s">
        <v>2596</v>
      </c>
      <c r="AD1019" t="s">
        <v>2596</v>
      </c>
      <c r="AE1019" t="s">
        <v>2596</v>
      </c>
      <c r="AF1019" t="s">
        <v>2596</v>
      </c>
      <c r="AG1019" t="s">
        <v>2596</v>
      </c>
      <c r="AH1019" t="s">
        <v>2596</v>
      </c>
    </row>
    <row r="1020" spans="1:34" x14ac:dyDescent="0.25">
      <c r="A1020" s="111" t="str">
        <f>HYPERLINK("http://www.ofsted.gov.uk/inspection-reports/find-inspection-report/provider/ELS/144377 ","Ofsted School Webpage")</f>
        <v>Ofsted School Webpage</v>
      </c>
      <c r="B1020">
        <v>144377</v>
      </c>
      <c r="C1020">
        <v>9286003</v>
      </c>
      <c r="D1020" t="s">
        <v>2568</v>
      </c>
      <c r="E1020" t="s">
        <v>36</v>
      </c>
      <c r="F1020" t="s">
        <v>142</v>
      </c>
      <c r="G1020" t="s">
        <v>142</v>
      </c>
      <c r="H1020" t="s">
        <v>2595</v>
      </c>
      <c r="I1020" t="s">
        <v>2596</v>
      </c>
      <c r="J1020" t="s">
        <v>143</v>
      </c>
      <c r="K1020" t="s">
        <v>171</v>
      </c>
      <c r="L1020" t="s">
        <v>171</v>
      </c>
      <c r="M1020" t="s">
        <v>172</v>
      </c>
      <c r="N1020" t="s">
        <v>2569</v>
      </c>
      <c r="O1020" t="s">
        <v>2596</v>
      </c>
      <c r="P1020" s="108" t="s">
        <v>2596</v>
      </c>
      <c r="Q1020" s="108" t="s">
        <v>2596</v>
      </c>
      <c r="R1020" s="108" t="s">
        <v>2596</v>
      </c>
      <c r="S1020" t="s">
        <v>2596</v>
      </c>
      <c r="T1020" t="s">
        <v>2596</v>
      </c>
      <c r="U1020" t="s">
        <v>2596</v>
      </c>
      <c r="V1020" t="s">
        <v>2596</v>
      </c>
      <c r="W1020" t="s">
        <v>2596</v>
      </c>
      <c r="X1020" t="s">
        <v>2596</v>
      </c>
      <c r="Y1020" t="str">
        <f>VLOOKUP(Table_clu7sql1_ssdb_REPORT_vw_IE_External_MI_SON[[#This Row],[URN]],[1]Data!$D$2:$BB$1084,31,)</f>
        <v>NULL</v>
      </c>
      <c r="Z1020" t="s">
        <v>2596</v>
      </c>
      <c r="AA1020" t="s">
        <v>2596</v>
      </c>
      <c r="AB1020" t="s">
        <v>2596</v>
      </c>
      <c r="AC1020" t="s">
        <v>2596</v>
      </c>
      <c r="AD1020" t="s">
        <v>2596</v>
      </c>
      <c r="AE1020" t="s">
        <v>2596</v>
      </c>
      <c r="AF1020" t="s">
        <v>2596</v>
      </c>
      <c r="AG1020" t="s">
        <v>2596</v>
      </c>
      <c r="AH1020" t="s">
        <v>2596</v>
      </c>
    </row>
    <row r="1021" spans="1:34" x14ac:dyDescent="0.25">
      <c r="A1021" s="111" t="str">
        <f>HYPERLINK("http://www.ofsted.gov.uk/inspection-reports/find-inspection-report/provider/ELS/144378 ","Ofsted School Webpage")</f>
        <v>Ofsted School Webpage</v>
      </c>
      <c r="B1021">
        <v>144378</v>
      </c>
      <c r="C1021">
        <v>8816067</v>
      </c>
      <c r="D1021" t="s">
        <v>2570</v>
      </c>
      <c r="E1021" t="s">
        <v>37</v>
      </c>
      <c r="F1021" t="s">
        <v>142</v>
      </c>
      <c r="G1021" t="s">
        <v>142</v>
      </c>
      <c r="H1021" t="s">
        <v>2595</v>
      </c>
      <c r="I1021" t="s">
        <v>2596</v>
      </c>
      <c r="J1021" t="s">
        <v>143</v>
      </c>
      <c r="K1021" t="s">
        <v>177</v>
      </c>
      <c r="L1021" t="s">
        <v>177</v>
      </c>
      <c r="M1021" t="s">
        <v>280</v>
      </c>
      <c r="N1021" t="s">
        <v>2571</v>
      </c>
      <c r="O1021" t="s">
        <v>2596</v>
      </c>
      <c r="P1021" s="108" t="s">
        <v>2596</v>
      </c>
      <c r="Q1021" s="108" t="s">
        <v>2596</v>
      </c>
      <c r="R1021" s="108" t="s">
        <v>2596</v>
      </c>
      <c r="S1021" t="s">
        <v>2596</v>
      </c>
      <c r="T1021" t="s">
        <v>2596</v>
      </c>
      <c r="U1021" t="s">
        <v>2596</v>
      </c>
      <c r="V1021" t="s">
        <v>2596</v>
      </c>
      <c r="W1021" t="s">
        <v>2596</v>
      </c>
      <c r="X1021" t="s">
        <v>2596</v>
      </c>
      <c r="Y1021" t="str">
        <f>VLOOKUP(Table_clu7sql1_ssdb_REPORT_vw_IE_External_MI_SON[[#This Row],[URN]],[1]Data!$D$2:$BB$1084,31,)</f>
        <v>NULL</v>
      </c>
      <c r="Z1021" t="s">
        <v>2596</v>
      </c>
      <c r="AA1021" t="s">
        <v>2596</v>
      </c>
      <c r="AB1021" t="s">
        <v>2596</v>
      </c>
      <c r="AC1021" t="s">
        <v>2596</v>
      </c>
      <c r="AD1021" t="s">
        <v>2596</v>
      </c>
      <c r="AE1021" t="s">
        <v>2596</v>
      </c>
      <c r="AF1021" t="s">
        <v>2596</v>
      </c>
      <c r="AG1021" t="s">
        <v>2596</v>
      </c>
      <c r="AH1021" t="s">
        <v>2596</v>
      </c>
    </row>
    <row r="1022" spans="1:34" x14ac:dyDescent="0.25">
      <c r="A1022" s="111" t="str">
        <f>HYPERLINK("http://www.ofsted.gov.uk/inspection-reports/find-inspection-report/provider/ELS/144404 ","Ofsted School Webpage")</f>
        <v>Ofsted School Webpage</v>
      </c>
      <c r="B1022">
        <v>144404</v>
      </c>
      <c r="C1022">
        <v>8946009</v>
      </c>
      <c r="D1022" t="s">
        <v>2360</v>
      </c>
      <c r="E1022" t="s">
        <v>36</v>
      </c>
      <c r="F1022" t="s">
        <v>142</v>
      </c>
      <c r="G1022" t="s">
        <v>142</v>
      </c>
      <c r="H1022" t="s">
        <v>2595</v>
      </c>
      <c r="I1022" t="s">
        <v>2596</v>
      </c>
      <c r="J1022" t="s">
        <v>143</v>
      </c>
      <c r="K1022" t="s">
        <v>150</v>
      </c>
      <c r="L1022" t="s">
        <v>150</v>
      </c>
      <c r="M1022" t="s">
        <v>1048</v>
      </c>
      <c r="N1022" t="s">
        <v>2361</v>
      </c>
      <c r="O1022" t="s">
        <v>2596</v>
      </c>
      <c r="P1022" s="108" t="s">
        <v>2596</v>
      </c>
      <c r="Q1022" s="108" t="s">
        <v>2596</v>
      </c>
      <c r="R1022" s="108" t="s">
        <v>2596</v>
      </c>
      <c r="S1022" t="s">
        <v>2596</v>
      </c>
      <c r="T1022" t="s">
        <v>2596</v>
      </c>
      <c r="U1022" t="s">
        <v>2596</v>
      </c>
      <c r="V1022" t="s">
        <v>2596</v>
      </c>
      <c r="W1022" t="s">
        <v>2596</v>
      </c>
      <c r="X1022" t="s">
        <v>2596</v>
      </c>
      <c r="Y1022" t="str">
        <f>VLOOKUP(Table_clu7sql1_ssdb_REPORT_vw_IE_External_MI_SON[[#This Row],[URN]],[1]Data!$D$2:$BB$1084,31,)</f>
        <v>NULL</v>
      </c>
      <c r="Z1022" t="s">
        <v>2596</v>
      </c>
      <c r="AA1022" t="s">
        <v>2596</v>
      </c>
      <c r="AB1022" t="s">
        <v>2596</v>
      </c>
      <c r="AC1022" t="s">
        <v>2596</v>
      </c>
      <c r="AD1022" t="s">
        <v>2596</v>
      </c>
      <c r="AE1022" t="s">
        <v>2596</v>
      </c>
      <c r="AF1022" t="s">
        <v>2596</v>
      </c>
      <c r="AG1022" t="s">
        <v>2596</v>
      </c>
      <c r="AH1022" t="s">
        <v>2596</v>
      </c>
    </row>
    <row r="1023" spans="1:34" x14ac:dyDescent="0.25">
      <c r="A1023" s="111" t="str">
        <f>HYPERLINK("http://www.ofsted.gov.uk/inspection-reports/find-inspection-report/provider/ELS/144475 ","Ofsted School Webpage")</f>
        <v>Ofsted School Webpage</v>
      </c>
      <c r="B1023">
        <v>144475</v>
      </c>
      <c r="C1023">
        <v>8866144</v>
      </c>
      <c r="D1023" t="s">
        <v>2544</v>
      </c>
      <c r="E1023" t="s">
        <v>37</v>
      </c>
      <c r="F1023" t="s">
        <v>142</v>
      </c>
      <c r="G1023" t="s">
        <v>142</v>
      </c>
      <c r="H1023" t="s">
        <v>2595</v>
      </c>
      <c r="I1023" t="s">
        <v>2596</v>
      </c>
      <c r="J1023" t="s">
        <v>143</v>
      </c>
      <c r="K1023" t="s">
        <v>139</v>
      </c>
      <c r="L1023" t="s">
        <v>139</v>
      </c>
      <c r="M1023" t="s">
        <v>140</v>
      </c>
      <c r="N1023" t="s">
        <v>2545</v>
      </c>
      <c r="O1023" t="s">
        <v>2596</v>
      </c>
      <c r="P1023" s="108" t="s">
        <v>2596</v>
      </c>
      <c r="Q1023" s="108" t="s">
        <v>2596</v>
      </c>
      <c r="R1023" s="108" t="s">
        <v>2596</v>
      </c>
      <c r="S1023" t="s">
        <v>2596</v>
      </c>
      <c r="T1023" t="s">
        <v>2596</v>
      </c>
      <c r="U1023" t="s">
        <v>2596</v>
      </c>
      <c r="V1023" t="s">
        <v>2596</v>
      </c>
      <c r="W1023" t="s">
        <v>2596</v>
      </c>
      <c r="X1023" t="s">
        <v>2596</v>
      </c>
      <c r="Y1023" t="str">
        <f>VLOOKUP(Table_clu7sql1_ssdb_REPORT_vw_IE_External_MI_SON[[#This Row],[URN]],[1]Data!$D$2:$BB$1084,31,)</f>
        <v>NULL</v>
      </c>
      <c r="Z1023" t="s">
        <v>2596</v>
      </c>
      <c r="AA1023" t="s">
        <v>2596</v>
      </c>
      <c r="AB1023" t="s">
        <v>2596</v>
      </c>
      <c r="AC1023" t="s">
        <v>2596</v>
      </c>
      <c r="AD1023" t="s">
        <v>2596</v>
      </c>
      <c r="AE1023" t="s">
        <v>2596</v>
      </c>
      <c r="AF1023" t="s">
        <v>2596</v>
      </c>
      <c r="AG1023" t="s">
        <v>2596</v>
      </c>
      <c r="AH1023" t="s">
        <v>2596</v>
      </c>
    </row>
    <row r="1024" spans="1:34" x14ac:dyDescent="0.25">
      <c r="A1024" s="111" t="str">
        <f>HYPERLINK("http://www.ofsted.gov.uk/inspection-reports/find-inspection-report/provider/ELS/144514 ","Ofsted School Webpage")</f>
        <v>Ofsted School Webpage</v>
      </c>
      <c r="B1024">
        <v>144514</v>
      </c>
      <c r="C1024">
        <v>8656046</v>
      </c>
      <c r="D1024" t="s">
        <v>2546</v>
      </c>
      <c r="E1024" t="s">
        <v>36</v>
      </c>
      <c r="F1024" t="s">
        <v>142</v>
      </c>
      <c r="G1024" t="s">
        <v>142</v>
      </c>
      <c r="H1024" t="s">
        <v>2595</v>
      </c>
      <c r="I1024" t="s">
        <v>2596</v>
      </c>
      <c r="J1024" t="s">
        <v>143</v>
      </c>
      <c r="K1024" t="s">
        <v>182</v>
      </c>
      <c r="L1024" t="s">
        <v>182</v>
      </c>
      <c r="M1024" t="s">
        <v>183</v>
      </c>
      <c r="N1024" t="s">
        <v>2547</v>
      </c>
      <c r="O1024" t="s">
        <v>2596</v>
      </c>
      <c r="P1024" s="108" t="s">
        <v>2596</v>
      </c>
      <c r="Q1024" s="108" t="s">
        <v>2596</v>
      </c>
      <c r="R1024" s="108" t="s">
        <v>2596</v>
      </c>
      <c r="S1024" t="s">
        <v>2596</v>
      </c>
      <c r="T1024" t="s">
        <v>2596</v>
      </c>
      <c r="U1024" t="s">
        <v>2596</v>
      </c>
      <c r="V1024" t="s">
        <v>2596</v>
      </c>
      <c r="W1024" t="s">
        <v>2596</v>
      </c>
      <c r="X1024" t="s">
        <v>2596</v>
      </c>
      <c r="Y1024" t="str">
        <f>VLOOKUP(Table_clu7sql1_ssdb_REPORT_vw_IE_External_MI_SON[[#This Row],[URN]],[1]Data!$D$2:$BB$1084,31,)</f>
        <v>NULL</v>
      </c>
      <c r="Z1024" t="s">
        <v>2596</v>
      </c>
      <c r="AA1024" t="s">
        <v>2596</v>
      </c>
      <c r="AB1024" t="s">
        <v>2596</v>
      </c>
      <c r="AC1024" t="s">
        <v>2596</v>
      </c>
      <c r="AD1024" t="s">
        <v>2596</v>
      </c>
      <c r="AE1024" t="s">
        <v>2596</v>
      </c>
      <c r="AF1024" t="s">
        <v>2596</v>
      </c>
      <c r="AG1024" t="s">
        <v>2596</v>
      </c>
      <c r="AH1024" t="s">
        <v>2596</v>
      </c>
    </row>
    <row r="1025" spans="1:34" x14ac:dyDescent="0.25">
      <c r="A1025" s="111" t="str">
        <f>HYPERLINK("http://www.ofsted.gov.uk/inspection-reports/find-inspection-report/provider/ELS/144516 ","Ofsted School Webpage")</f>
        <v>Ofsted School Webpage</v>
      </c>
      <c r="B1025">
        <v>144516</v>
      </c>
      <c r="C1025">
        <v>2076013</v>
      </c>
      <c r="D1025" t="s">
        <v>2548</v>
      </c>
      <c r="E1025" t="s">
        <v>36</v>
      </c>
      <c r="F1025" t="s">
        <v>142</v>
      </c>
      <c r="G1025" t="s">
        <v>142</v>
      </c>
      <c r="H1025" t="s">
        <v>2595</v>
      </c>
      <c r="I1025" t="s">
        <v>2596</v>
      </c>
      <c r="J1025" t="s">
        <v>143</v>
      </c>
      <c r="K1025" t="s">
        <v>189</v>
      </c>
      <c r="L1025" t="s">
        <v>189</v>
      </c>
      <c r="M1025" t="s">
        <v>251</v>
      </c>
      <c r="N1025" t="s">
        <v>2549</v>
      </c>
      <c r="O1025" t="s">
        <v>2596</v>
      </c>
      <c r="P1025" s="108" t="s">
        <v>2596</v>
      </c>
      <c r="Q1025" s="108" t="s">
        <v>2596</v>
      </c>
      <c r="R1025" s="108" t="s">
        <v>2596</v>
      </c>
      <c r="S1025" t="s">
        <v>2596</v>
      </c>
      <c r="T1025" t="s">
        <v>2596</v>
      </c>
      <c r="U1025" t="s">
        <v>2596</v>
      </c>
      <c r="V1025" t="s">
        <v>2596</v>
      </c>
      <c r="W1025" t="s">
        <v>2596</v>
      </c>
      <c r="X1025" t="s">
        <v>2596</v>
      </c>
      <c r="Y1025" t="str">
        <f>VLOOKUP(Table_clu7sql1_ssdb_REPORT_vw_IE_External_MI_SON[[#This Row],[URN]],[1]Data!$D$2:$BB$1084,31,)</f>
        <v>NULL</v>
      </c>
      <c r="Z1025" t="s">
        <v>2596</v>
      </c>
      <c r="AA1025" t="s">
        <v>2596</v>
      </c>
      <c r="AB1025" t="s">
        <v>2596</v>
      </c>
      <c r="AC1025" t="s">
        <v>2596</v>
      </c>
      <c r="AD1025" t="s">
        <v>2596</v>
      </c>
      <c r="AE1025" t="s">
        <v>2596</v>
      </c>
      <c r="AF1025" t="s">
        <v>2596</v>
      </c>
      <c r="AG1025" t="s">
        <v>2596</v>
      </c>
      <c r="AH1025" t="s">
        <v>2596</v>
      </c>
    </row>
    <row r="1026" spans="1:34" x14ac:dyDescent="0.25">
      <c r="A1026" s="111" t="str">
        <f>HYPERLINK("http://www.ofsted.gov.uk/inspection-reports/find-inspection-report/provider/ELS/144619 ","Ofsted School Webpage")</f>
        <v>Ofsted School Webpage</v>
      </c>
      <c r="B1026">
        <v>144619</v>
      </c>
      <c r="C1026">
        <v>8556040</v>
      </c>
      <c r="D1026" t="s">
        <v>2550</v>
      </c>
      <c r="E1026" t="s">
        <v>37</v>
      </c>
      <c r="F1026" t="s">
        <v>142</v>
      </c>
      <c r="G1026" t="s">
        <v>142</v>
      </c>
      <c r="H1026" t="s">
        <v>2595</v>
      </c>
      <c r="I1026" t="s">
        <v>2596</v>
      </c>
      <c r="J1026" t="s">
        <v>143</v>
      </c>
      <c r="K1026" t="s">
        <v>171</v>
      </c>
      <c r="L1026" t="s">
        <v>171</v>
      </c>
      <c r="M1026" t="s">
        <v>238</v>
      </c>
      <c r="N1026" t="s">
        <v>2551</v>
      </c>
      <c r="O1026" t="s">
        <v>2596</v>
      </c>
      <c r="P1026" s="108" t="s">
        <v>2596</v>
      </c>
      <c r="Q1026" s="108" t="s">
        <v>2596</v>
      </c>
      <c r="R1026" s="108" t="s">
        <v>2596</v>
      </c>
      <c r="S1026" t="s">
        <v>2596</v>
      </c>
      <c r="T1026" t="s">
        <v>2596</v>
      </c>
      <c r="U1026" t="s">
        <v>2596</v>
      </c>
      <c r="V1026" t="s">
        <v>2596</v>
      </c>
      <c r="W1026" t="s">
        <v>2596</v>
      </c>
      <c r="X1026" t="s">
        <v>2596</v>
      </c>
      <c r="Y1026" t="str">
        <f>VLOOKUP(Table_clu7sql1_ssdb_REPORT_vw_IE_External_MI_SON[[#This Row],[URN]],[1]Data!$D$2:$BB$1084,31,)</f>
        <v>NULL</v>
      </c>
      <c r="Z1026" t="s">
        <v>2596</v>
      </c>
      <c r="AA1026" t="s">
        <v>2596</v>
      </c>
      <c r="AB1026" t="s">
        <v>2596</v>
      </c>
      <c r="AC1026" t="s">
        <v>2596</v>
      </c>
      <c r="AD1026" t="s">
        <v>2596</v>
      </c>
      <c r="AE1026" t="s">
        <v>2596</v>
      </c>
      <c r="AF1026" t="s">
        <v>2596</v>
      </c>
      <c r="AG1026" t="s">
        <v>2596</v>
      </c>
      <c r="AH1026" t="s">
        <v>2596</v>
      </c>
    </row>
    <row r="1027" spans="1:34" x14ac:dyDescent="0.25">
      <c r="A1027" s="111" t="str">
        <f>HYPERLINK("http://www.ofsted.gov.uk/inspection-reports/find-inspection-report/provider/ELS/144620 ","Ofsted School Webpage")</f>
        <v>Ofsted School Webpage</v>
      </c>
      <c r="B1027">
        <v>144620</v>
      </c>
      <c r="C1027">
        <v>3836005</v>
      </c>
      <c r="D1027" t="s">
        <v>2552</v>
      </c>
      <c r="E1027" t="s">
        <v>36</v>
      </c>
      <c r="F1027" t="s">
        <v>142</v>
      </c>
      <c r="G1027" t="s">
        <v>142</v>
      </c>
      <c r="H1027" t="s">
        <v>2595</v>
      </c>
      <c r="I1027" t="s">
        <v>2596</v>
      </c>
      <c r="J1027" t="s">
        <v>143</v>
      </c>
      <c r="K1027" t="s">
        <v>202</v>
      </c>
      <c r="L1027" t="s">
        <v>203</v>
      </c>
      <c r="M1027" t="s">
        <v>667</v>
      </c>
      <c r="N1027" t="s">
        <v>2553</v>
      </c>
      <c r="O1027" t="s">
        <v>2596</v>
      </c>
      <c r="P1027" s="108" t="s">
        <v>2596</v>
      </c>
      <c r="Q1027" s="108" t="s">
        <v>2596</v>
      </c>
      <c r="R1027" s="108" t="s">
        <v>2596</v>
      </c>
      <c r="S1027" t="s">
        <v>2596</v>
      </c>
      <c r="T1027" t="s">
        <v>2596</v>
      </c>
      <c r="U1027" t="s">
        <v>2596</v>
      </c>
      <c r="V1027" t="s">
        <v>2596</v>
      </c>
      <c r="W1027" t="s">
        <v>2596</v>
      </c>
      <c r="X1027" t="s">
        <v>2596</v>
      </c>
      <c r="Y1027" t="str">
        <f>VLOOKUP(Table_clu7sql1_ssdb_REPORT_vw_IE_External_MI_SON[[#This Row],[URN]],[1]Data!$D$2:$BB$1084,31,)</f>
        <v>NULL</v>
      </c>
      <c r="Z1027" t="s">
        <v>2596</v>
      </c>
      <c r="AA1027" t="s">
        <v>2596</v>
      </c>
      <c r="AB1027" t="s">
        <v>2596</v>
      </c>
      <c r="AC1027" t="s">
        <v>2596</v>
      </c>
      <c r="AD1027" t="s">
        <v>2596</v>
      </c>
      <c r="AE1027" t="s">
        <v>2596</v>
      </c>
      <c r="AF1027" t="s">
        <v>2596</v>
      </c>
      <c r="AG1027" t="s">
        <v>2596</v>
      </c>
      <c r="AH1027" t="s">
        <v>2596</v>
      </c>
    </row>
    <row r="1028" spans="1:34" x14ac:dyDescent="0.25">
      <c r="A1028" s="111" t="str">
        <f>HYPERLINK("http://www.ofsted.gov.uk/inspection-reports/find-inspection-report/provider/ELS/144717 ","Ofsted School Webpage")</f>
        <v>Ofsted School Webpage</v>
      </c>
      <c r="B1028">
        <v>144717</v>
      </c>
      <c r="C1028">
        <v>8846016</v>
      </c>
      <c r="D1028" t="s">
        <v>2554</v>
      </c>
      <c r="E1028" t="s">
        <v>36</v>
      </c>
      <c r="F1028" t="s">
        <v>142</v>
      </c>
      <c r="G1028" t="s">
        <v>142</v>
      </c>
      <c r="H1028" t="s">
        <v>2595</v>
      </c>
      <c r="I1028" t="s">
        <v>2596</v>
      </c>
      <c r="J1028" t="s">
        <v>143</v>
      </c>
      <c r="K1028" t="s">
        <v>150</v>
      </c>
      <c r="L1028" t="s">
        <v>150</v>
      </c>
      <c r="M1028" t="s">
        <v>1021</v>
      </c>
      <c r="N1028" t="s">
        <v>2555</v>
      </c>
      <c r="O1028" t="s">
        <v>2596</v>
      </c>
      <c r="P1028" s="108" t="s">
        <v>2596</v>
      </c>
      <c r="Q1028" s="108" t="s">
        <v>2596</v>
      </c>
      <c r="R1028" s="108" t="s">
        <v>2596</v>
      </c>
      <c r="S1028" t="s">
        <v>2596</v>
      </c>
      <c r="T1028" t="s">
        <v>2596</v>
      </c>
      <c r="U1028" t="s">
        <v>2596</v>
      </c>
      <c r="V1028" t="s">
        <v>2596</v>
      </c>
      <c r="W1028" t="s">
        <v>2596</v>
      </c>
      <c r="X1028" t="s">
        <v>2596</v>
      </c>
      <c r="Y1028" t="str">
        <f>VLOOKUP(Table_clu7sql1_ssdb_REPORT_vw_IE_External_MI_SON[[#This Row],[URN]],[1]Data!$D$2:$BB$1084,31,)</f>
        <v>NULL</v>
      </c>
      <c r="Z1028" t="s">
        <v>2596</v>
      </c>
      <c r="AA1028" t="s">
        <v>2596</v>
      </c>
      <c r="AB1028" t="s">
        <v>2596</v>
      </c>
      <c r="AC1028" t="s">
        <v>2596</v>
      </c>
      <c r="AD1028" t="s">
        <v>2596</v>
      </c>
      <c r="AE1028" t="s">
        <v>2596</v>
      </c>
      <c r="AF1028" t="s">
        <v>2596</v>
      </c>
      <c r="AG1028" t="s">
        <v>2596</v>
      </c>
      <c r="AH1028" t="s">
        <v>2596</v>
      </c>
    </row>
    <row r="1029" spans="1:34" x14ac:dyDescent="0.25">
      <c r="A1029" s="111" t="str">
        <f>HYPERLINK("http://www.ofsted.gov.uk/inspection-reports/find-inspection-report/provider/ELS/144725 ","Ofsted School Webpage")</f>
        <v>Ofsted School Webpage</v>
      </c>
      <c r="B1029">
        <v>144725</v>
      </c>
      <c r="C1029">
        <v>3426002</v>
      </c>
      <c r="D1029" t="s">
        <v>769</v>
      </c>
      <c r="E1029" t="s">
        <v>37</v>
      </c>
      <c r="F1029" t="s">
        <v>142</v>
      </c>
      <c r="G1029" t="s">
        <v>142</v>
      </c>
      <c r="H1029" t="s">
        <v>2595</v>
      </c>
      <c r="I1029" t="s">
        <v>2596</v>
      </c>
      <c r="J1029" t="s">
        <v>143</v>
      </c>
      <c r="K1029" t="s">
        <v>162</v>
      </c>
      <c r="L1029" t="s">
        <v>162</v>
      </c>
      <c r="M1029" t="s">
        <v>770</v>
      </c>
      <c r="N1029" t="s">
        <v>771</v>
      </c>
      <c r="O1029" t="s">
        <v>2596</v>
      </c>
      <c r="P1029" s="108" t="s">
        <v>2596</v>
      </c>
      <c r="Q1029" s="108" t="s">
        <v>2596</v>
      </c>
      <c r="R1029" s="108" t="s">
        <v>2596</v>
      </c>
      <c r="S1029" t="s">
        <v>2596</v>
      </c>
      <c r="T1029" t="s">
        <v>2596</v>
      </c>
      <c r="U1029" t="s">
        <v>2596</v>
      </c>
      <c r="V1029" t="s">
        <v>2596</v>
      </c>
      <c r="W1029" t="s">
        <v>2596</v>
      </c>
      <c r="X1029" t="s">
        <v>2596</v>
      </c>
      <c r="Y1029" t="str">
        <f>VLOOKUP(Table_clu7sql1_ssdb_REPORT_vw_IE_External_MI_SON[[#This Row],[URN]],[1]Data!$D$2:$BB$1084,31,)</f>
        <v>NULL</v>
      </c>
      <c r="Z1029" t="s">
        <v>2596</v>
      </c>
      <c r="AA1029" t="s">
        <v>2596</v>
      </c>
      <c r="AB1029" t="s">
        <v>2596</v>
      </c>
      <c r="AC1029" t="s">
        <v>2596</v>
      </c>
      <c r="AD1029" t="s">
        <v>2596</v>
      </c>
      <c r="AE1029" s="108" t="s">
        <v>2596</v>
      </c>
      <c r="AF1029" t="s">
        <v>2596</v>
      </c>
      <c r="AG1029" s="108" t="s">
        <v>2596</v>
      </c>
      <c r="AH1029" t="s">
        <v>2596</v>
      </c>
    </row>
    <row r="1030" spans="1:34" x14ac:dyDescent="0.25">
      <c r="A1030" s="111" t="str">
        <f>HYPERLINK("http://www.ofsted.gov.uk/inspection-reports/find-inspection-report/provider/ELS/144726 ","Ofsted School Webpage")</f>
        <v>Ofsted School Webpage</v>
      </c>
      <c r="B1030">
        <v>144726</v>
      </c>
      <c r="C1030">
        <v>9196008</v>
      </c>
      <c r="D1030" t="s">
        <v>772</v>
      </c>
      <c r="E1030" t="s">
        <v>37</v>
      </c>
      <c r="F1030" t="s">
        <v>142</v>
      </c>
      <c r="G1030" t="s">
        <v>142</v>
      </c>
      <c r="H1030" t="s">
        <v>2595</v>
      </c>
      <c r="I1030" t="s">
        <v>2596</v>
      </c>
      <c r="J1030" t="s">
        <v>143</v>
      </c>
      <c r="K1030" t="s">
        <v>177</v>
      </c>
      <c r="L1030" t="s">
        <v>177</v>
      </c>
      <c r="M1030" t="s">
        <v>773</v>
      </c>
      <c r="N1030" t="s">
        <v>774</v>
      </c>
      <c r="O1030" t="s">
        <v>2596</v>
      </c>
      <c r="P1030" s="108" t="s">
        <v>2596</v>
      </c>
      <c r="Q1030" s="108" t="s">
        <v>2596</v>
      </c>
      <c r="R1030" s="108" t="s">
        <v>2596</v>
      </c>
      <c r="S1030" t="s">
        <v>2596</v>
      </c>
      <c r="T1030" t="s">
        <v>2596</v>
      </c>
      <c r="U1030" t="s">
        <v>2596</v>
      </c>
      <c r="V1030" t="s">
        <v>2596</v>
      </c>
      <c r="W1030" t="s">
        <v>2596</v>
      </c>
      <c r="X1030" t="s">
        <v>2596</v>
      </c>
      <c r="Y1030" t="str">
        <f>VLOOKUP(Table_clu7sql1_ssdb_REPORT_vw_IE_External_MI_SON[[#This Row],[URN]],[1]Data!$D$2:$BB$1084,31,)</f>
        <v>NULL</v>
      </c>
      <c r="Z1030" t="s">
        <v>2596</v>
      </c>
      <c r="AA1030" t="s">
        <v>2596</v>
      </c>
      <c r="AB1030" t="s">
        <v>2596</v>
      </c>
      <c r="AC1030" t="s">
        <v>2596</v>
      </c>
      <c r="AD1030" t="s">
        <v>2596</v>
      </c>
      <c r="AE1030" t="s">
        <v>2596</v>
      </c>
      <c r="AF1030" t="s">
        <v>2596</v>
      </c>
      <c r="AG1030" t="s">
        <v>2596</v>
      </c>
      <c r="AH1030" t="s">
        <v>2596</v>
      </c>
    </row>
    <row r="1031" spans="1:34" x14ac:dyDescent="0.25">
      <c r="A1031" s="111" t="str">
        <f>HYPERLINK("http://www.ofsted.gov.uk/inspection-reports/find-inspection-report/provider/ELS/144727 ","Ofsted School Webpage")</f>
        <v>Ofsted School Webpage</v>
      </c>
      <c r="B1031">
        <v>144727</v>
      </c>
      <c r="C1031">
        <v>3026012</v>
      </c>
      <c r="D1031" t="s">
        <v>775</v>
      </c>
      <c r="E1031" t="s">
        <v>36</v>
      </c>
      <c r="F1031" t="s">
        <v>776</v>
      </c>
      <c r="G1031" t="s">
        <v>142</v>
      </c>
      <c r="H1031" t="s">
        <v>2595</v>
      </c>
      <c r="I1031" t="s">
        <v>2596</v>
      </c>
      <c r="J1031" t="s">
        <v>143</v>
      </c>
      <c r="K1031" t="s">
        <v>189</v>
      </c>
      <c r="L1031" t="s">
        <v>189</v>
      </c>
      <c r="M1031" t="s">
        <v>268</v>
      </c>
      <c r="N1031" t="s">
        <v>777</v>
      </c>
      <c r="O1031" t="s">
        <v>2596</v>
      </c>
      <c r="P1031" s="108" t="s">
        <v>2596</v>
      </c>
      <c r="Q1031" s="108" t="s">
        <v>2596</v>
      </c>
      <c r="R1031" s="108" t="s">
        <v>2596</v>
      </c>
      <c r="S1031" t="s">
        <v>2596</v>
      </c>
      <c r="T1031" t="s">
        <v>2596</v>
      </c>
      <c r="U1031" t="s">
        <v>2596</v>
      </c>
      <c r="V1031" t="s">
        <v>2596</v>
      </c>
      <c r="W1031" t="s">
        <v>2596</v>
      </c>
      <c r="X1031" t="s">
        <v>2596</v>
      </c>
      <c r="Y1031" t="str">
        <f>VLOOKUP(Table_clu7sql1_ssdb_REPORT_vw_IE_External_MI_SON[[#This Row],[URN]],[1]Data!$D$2:$BB$1084,31,)</f>
        <v>NULL</v>
      </c>
      <c r="Z1031" t="s">
        <v>2596</v>
      </c>
      <c r="AA1031" t="s">
        <v>2596</v>
      </c>
      <c r="AB1031" t="s">
        <v>2596</v>
      </c>
      <c r="AC1031" t="s">
        <v>2596</v>
      </c>
      <c r="AD1031" t="s">
        <v>2596</v>
      </c>
      <c r="AE1031" t="s">
        <v>2596</v>
      </c>
      <c r="AF1031" t="s">
        <v>2596</v>
      </c>
      <c r="AG1031" t="s">
        <v>2596</v>
      </c>
      <c r="AH1031" t="s">
        <v>2596</v>
      </c>
    </row>
    <row r="1032" spans="1:34" x14ac:dyDescent="0.25">
      <c r="A1032" s="111" t="str">
        <f>HYPERLINK("http://www.ofsted.gov.uk/inspection-reports/find-inspection-report/provider/ELS/144730 ","Ofsted School Webpage")</f>
        <v>Ofsted School Webpage</v>
      </c>
      <c r="B1032">
        <v>144730</v>
      </c>
      <c r="C1032">
        <v>9366011</v>
      </c>
      <c r="D1032" t="s">
        <v>778</v>
      </c>
      <c r="E1032" t="s">
        <v>36</v>
      </c>
      <c r="F1032" t="s">
        <v>142</v>
      </c>
      <c r="G1032" t="s">
        <v>142</v>
      </c>
      <c r="H1032" t="s">
        <v>2595</v>
      </c>
      <c r="I1032" t="s">
        <v>2596</v>
      </c>
      <c r="J1032" t="s">
        <v>143</v>
      </c>
      <c r="K1032" t="s">
        <v>139</v>
      </c>
      <c r="L1032" t="s">
        <v>139</v>
      </c>
      <c r="M1032" t="s">
        <v>535</v>
      </c>
      <c r="N1032" t="s">
        <v>779</v>
      </c>
      <c r="O1032" t="s">
        <v>2596</v>
      </c>
      <c r="P1032" s="108" t="s">
        <v>2596</v>
      </c>
      <c r="Q1032" s="108" t="s">
        <v>2596</v>
      </c>
      <c r="R1032" s="108" t="s">
        <v>2596</v>
      </c>
      <c r="S1032" t="s">
        <v>2596</v>
      </c>
      <c r="T1032" t="s">
        <v>2596</v>
      </c>
      <c r="U1032" t="s">
        <v>2596</v>
      </c>
      <c r="V1032" t="s">
        <v>2596</v>
      </c>
      <c r="W1032" t="s">
        <v>2596</v>
      </c>
      <c r="X1032" t="s">
        <v>2596</v>
      </c>
      <c r="Y1032" t="str">
        <f>VLOOKUP(Table_clu7sql1_ssdb_REPORT_vw_IE_External_MI_SON[[#This Row],[URN]],[1]Data!$D$2:$BB$1084,31,)</f>
        <v>NULL</v>
      </c>
      <c r="Z1032" t="s">
        <v>2596</v>
      </c>
      <c r="AA1032" t="s">
        <v>2596</v>
      </c>
      <c r="AB1032" t="s">
        <v>2596</v>
      </c>
      <c r="AC1032" t="s">
        <v>2596</v>
      </c>
      <c r="AD1032" t="s">
        <v>2596</v>
      </c>
      <c r="AE1032" t="s">
        <v>2596</v>
      </c>
      <c r="AF1032" t="s">
        <v>2596</v>
      </c>
      <c r="AG1032" t="s">
        <v>2596</v>
      </c>
      <c r="AH1032" t="s">
        <v>2596</v>
      </c>
    </row>
    <row r="1033" spans="1:34" x14ac:dyDescent="0.25">
      <c r="A1033" s="111" t="str">
        <f>HYPERLINK("http://www.ofsted.gov.uk/inspection-reports/find-inspection-report/provider/ELS/144738 ","Ofsted School Webpage")</f>
        <v>Ofsted School Webpage</v>
      </c>
      <c r="B1033">
        <v>144738</v>
      </c>
      <c r="C1033">
        <v>3046005</v>
      </c>
      <c r="D1033" t="s">
        <v>780</v>
      </c>
      <c r="E1033" t="s">
        <v>36</v>
      </c>
      <c r="F1033" t="s">
        <v>142</v>
      </c>
      <c r="G1033" t="s">
        <v>776</v>
      </c>
      <c r="H1033" t="s">
        <v>2595</v>
      </c>
      <c r="I1033" t="s">
        <v>2596</v>
      </c>
      <c r="J1033" t="s">
        <v>143</v>
      </c>
      <c r="K1033" t="s">
        <v>189</v>
      </c>
      <c r="L1033" t="s">
        <v>189</v>
      </c>
      <c r="M1033" t="s">
        <v>702</v>
      </c>
      <c r="N1033" t="s">
        <v>781</v>
      </c>
      <c r="O1033" t="s">
        <v>2596</v>
      </c>
      <c r="P1033" s="108" t="s">
        <v>2596</v>
      </c>
      <c r="Q1033" s="108" t="s">
        <v>2596</v>
      </c>
      <c r="R1033" s="108" t="s">
        <v>2596</v>
      </c>
      <c r="S1033" t="s">
        <v>2596</v>
      </c>
      <c r="T1033" t="s">
        <v>2596</v>
      </c>
      <c r="U1033" t="s">
        <v>2596</v>
      </c>
      <c r="V1033" t="s">
        <v>2596</v>
      </c>
      <c r="W1033" t="s">
        <v>2596</v>
      </c>
      <c r="X1033" t="s">
        <v>2596</v>
      </c>
      <c r="Y1033" t="str">
        <f>VLOOKUP(Table_clu7sql1_ssdb_REPORT_vw_IE_External_MI_SON[[#This Row],[URN]],[1]Data!$D$2:$BB$1084,31,)</f>
        <v>NULL</v>
      </c>
      <c r="Z1033" t="s">
        <v>2596</v>
      </c>
      <c r="AA1033" t="s">
        <v>2596</v>
      </c>
      <c r="AB1033" t="s">
        <v>2596</v>
      </c>
      <c r="AC1033" t="s">
        <v>2596</v>
      </c>
      <c r="AD1033" t="s">
        <v>2596</v>
      </c>
      <c r="AE1033" t="s">
        <v>2596</v>
      </c>
      <c r="AF1033" t="s">
        <v>2596</v>
      </c>
      <c r="AG1033" t="s">
        <v>2596</v>
      </c>
      <c r="AH1033" t="s">
        <v>2596</v>
      </c>
    </row>
    <row r="1034" spans="1:34" x14ac:dyDescent="0.25">
      <c r="A1034" s="111" t="str">
        <f>HYPERLINK("http://www.ofsted.gov.uk/inspection-reports/find-inspection-report/provider/ELS/144774 ","Ofsted School Webpage")</f>
        <v>Ofsted School Webpage</v>
      </c>
      <c r="B1034">
        <v>144774</v>
      </c>
      <c r="C1034">
        <v>3196000</v>
      </c>
      <c r="D1034" t="s">
        <v>2915</v>
      </c>
      <c r="E1034" t="s">
        <v>37</v>
      </c>
      <c r="F1034" t="s">
        <v>142</v>
      </c>
      <c r="G1034" t="s">
        <v>142</v>
      </c>
      <c r="H1034" t="s">
        <v>2595</v>
      </c>
      <c r="I1034" t="s">
        <v>2596</v>
      </c>
      <c r="J1034" t="s">
        <v>143</v>
      </c>
      <c r="K1034" t="s">
        <v>189</v>
      </c>
      <c r="L1034" t="s">
        <v>189</v>
      </c>
      <c r="M1034" t="s">
        <v>887</v>
      </c>
      <c r="N1034" t="s">
        <v>2916</v>
      </c>
      <c r="O1034" t="s">
        <v>2596</v>
      </c>
      <c r="P1034" s="108" t="s">
        <v>2596</v>
      </c>
      <c r="Q1034" s="108" t="s">
        <v>2596</v>
      </c>
      <c r="R1034" s="108" t="s">
        <v>2596</v>
      </c>
      <c r="S1034" t="s">
        <v>2596</v>
      </c>
      <c r="T1034" t="s">
        <v>2596</v>
      </c>
      <c r="U1034" t="s">
        <v>2596</v>
      </c>
      <c r="V1034" t="s">
        <v>2596</v>
      </c>
      <c r="W1034" t="s">
        <v>2596</v>
      </c>
      <c r="X1034" t="s">
        <v>2596</v>
      </c>
      <c r="Y1034" t="str">
        <f>VLOOKUP(Table_clu7sql1_ssdb_REPORT_vw_IE_External_MI_SON[[#This Row],[URN]],[1]Data!$D$2:$BB$1084,31,)</f>
        <v>NULL</v>
      </c>
      <c r="Z1034" t="s">
        <v>2596</v>
      </c>
      <c r="AA1034" t="s">
        <v>2596</v>
      </c>
      <c r="AB1034" t="s">
        <v>2596</v>
      </c>
      <c r="AC1034" t="s">
        <v>2596</v>
      </c>
      <c r="AD1034" t="s">
        <v>2596</v>
      </c>
      <c r="AE1034" t="s">
        <v>2596</v>
      </c>
      <c r="AF1034" t="s">
        <v>2596</v>
      </c>
      <c r="AG1034" t="s">
        <v>2596</v>
      </c>
      <c r="AH1034" t="s">
        <v>2596</v>
      </c>
    </row>
    <row r="1035" spans="1:34" x14ac:dyDescent="0.25">
      <c r="A1035" s="111" t="str">
        <f>HYPERLINK("http://www.ofsted.gov.uk/inspection-reports/find-inspection-report/provider/ELS/144775 ","Ofsted School Webpage")</f>
        <v>Ofsted School Webpage</v>
      </c>
      <c r="B1035">
        <v>144775</v>
      </c>
      <c r="C1035">
        <v>8816068</v>
      </c>
      <c r="D1035" t="s">
        <v>782</v>
      </c>
      <c r="E1035" t="s">
        <v>37</v>
      </c>
      <c r="F1035" t="s">
        <v>142</v>
      </c>
      <c r="G1035" t="s">
        <v>142</v>
      </c>
      <c r="H1035" t="s">
        <v>2595</v>
      </c>
      <c r="I1035" t="s">
        <v>2596</v>
      </c>
      <c r="J1035" t="s">
        <v>143</v>
      </c>
      <c r="K1035" t="s">
        <v>177</v>
      </c>
      <c r="L1035" t="s">
        <v>177</v>
      </c>
      <c r="M1035" t="s">
        <v>280</v>
      </c>
      <c r="N1035" t="s">
        <v>783</v>
      </c>
      <c r="O1035" t="s">
        <v>2596</v>
      </c>
      <c r="P1035" s="108" t="s">
        <v>2596</v>
      </c>
      <c r="Q1035" s="108" t="s">
        <v>2596</v>
      </c>
      <c r="R1035" s="108" t="s">
        <v>2596</v>
      </c>
      <c r="S1035" t="s">
        <v>2596</v>
      </c>
      <c r="T1035" t="s">
        <v>2596</v>
      </c>
      <c r="U1035" t="s">
        <v>2596</v>
      </c>
      <c r="V1035" t="s">
        <v>2596</v>
      </c>
      <c r="W1035" t="s">
        <v>2596</v>
      </c>
      <c r="X1035" t="s">
        <v>2596</v>
      </c>
      <c r="Y1035" t="str">
        <f>VLOOKUP(Table_clu7sql1_ssdb_REPORT_vw_IE_External_MI_SON[[#This Row],[URN]],[1]Data!$D$2:$BB$1084,31,)</f>
        <v>NULL</v>
      </c>
      <c r="Z1035" t="s">
        <v>2596</v>
      </c>
      <c r="AA1035" t="s">
        <v>2596</v>
      </c>
      <c r="AB1035" t="s">
        <v>2596</v>
      </c>
      <c r="AC1035" t="s">
        <v>2596</v>
      </c>
      <c r="AD1035" t="s">
        <v>2596</v>
      </c>
      <c r="AE1035" t="s">
        <v>2596</v>
      </c>
      <c r="AF1035" t="s">
        <v>2596</v>
      </c>
      <c r="AG1035" t="s">
        <v>2596</v>
      </c>
      <c r="AH1035" t="s">
        <v>2596</v>
      </c>
    </row>
    <row r="1036" spans="1:34" x14ac:dyDescent="0.25">
      <c r="A1036" s="111" t="str">
        <f>HYPERLINK("http://www.ofsted.gov.uk/inspection-reports/find-inspection-report/provider/ELS/144776 ","Ofsted School Webpage")</f>
        <v>Ofsted School Webpage</v>
      </c>
      <c r="B1036">
        <v>144776</v>
      </c>
      <c r="C1036">
        <v>8266017</v>
      </c>
      <c r="D1036" t="s">
        <v>2372</v>
      </c>
      <c r="E1036" t="s">
        <v>37</v>
      </c>
      <c r="F1036" t="s">
        <v>142</v>
      </c>
      <c r="G1036" t="s">
        <v>142</v>
      </c>
      <c r="H1036" t="s">
        <v>2595</v>
      </c>
      <c r="I1036" t="s">
        <v>2596</v>
      </c>
      <c r="J1036" t="s">
        <v>143</v>
      </c>
      <c r="K1036" t="s">
        <v>139</v>
      </c>
      <c r="L1036" t="s">
        <v>139</v>
      </c>
      <c r="M1036" t="s">
        <v>2077</v>
      </c>
      <c r="N1036" t="s">
        <v>2373</v>
      </c>
      <c r="O1036">
        <v>10045498</v>
      </c>
      <c r="P1036" s="108">
        <v>43123</v>
      </c>
      <c r="Q1036" s="108">
        <v>43124</v>
      </c>
      <c r="R1036" s="108">
        <v>43175</v>
      </c>
      <c r="S1036" t="s">
        <v>206</v>
      </c>
      <c r="T1036">
        <v>4</v>
      </c>
      <c r="U1036" t="s">
        <v>123</v>
      </c>
      <c r="V1036">
        <v>4</v>
      </c>
      <c r="W1036">
        <v>3</v>
      </c>
      <c r="X1036">
        <v>4</v>
      </c>
      <c r="Y1036">
        <f>VLOOKUP(Table_clu7sql1_ssdb_REPORT_vw_IE_External_MI_SON[[#This Row],[URN]],[1]Data!$D$2:$BB$1084,31,)</f>
        <v>4</v>
      </c>
      <c r="Z1036" t="s">
        <v>2596</v>
      </c>
      <c r="AA1036" t="s">
        <v>2596</v>
      </c>
      <c r="AB1036" t="s">
        <v>2599</v>
      </c>
      <c r="AC1036" t="s">
        <v>2596</v>
      </c>
      <c r="AD1036" t="s">
        <v>2596</v>
      </c>
      <c r="AE1036" t="s">
        <v>2596</v>
      </c>
      <c r="AF1036" t="s">
        <v>2596</v>
      </c>
      <c r="AG1036" t="s">
        <v>2596</v>
      </c>
      <c r="AH1036" t="s">
        <v>2596</v>
      </c>
    </row>
    <row r="1037" spans="1:34" x14ac:dyDescent="0.25">
      <c r="A1037" s="111" t="str">
        <f>HYPERLINK("http://www.ofsted.gov.uk/inspection-reports/find-inspection-report/provider/ELS/144795 ","Ofsted School Webpage")</f>
        <v>Ofsted School Webpage</v>
      </c>
      <c r="B1037">
        <v>144795</v>
      </c>
      <c r="C1037">
        <v>2136004</v>
      </c>
      <c r="D1037" t="s">
        <v>2374</v>
      </c>
      <c r="E1037" t="s">
        <v>36</v>
      </c>
      <c r="F1037" t="s">
        <v>142</v>
      </c>
      <c r="G1037" t="s">
        <v>142</v>
      </c>
      <c r="H1037" t="s">
        <v>2595</v>
      </c>
      <c r="I1037" t="s">
        <v>2596</v>
      </c>
      <c r="J1037" t="s">
        <v>143</v>
      </c>
      <c r="K1037" t="s">
        <v>189</v>
      </c>
      <c r="L1037" t="s">
        <v>189</v>
      </c>
      <c r="M1037" t="s">
        <v>632</v>
      </c>
      <c r="N1037" t="s">
        <v>2375</v>
      </c>
      <c r="O1037" t="s">
        <v>2596</v>
      </c>
      <c r="P1037" s="108" t="s">
        <v>2596</v>
      </c>
      <c r="Q1037" s="108" t="s">
        <v>2596</v>
      </c>
      <c r="R1037" s="108" t="s">
        <v>2596</v>
      </c>
      <c r="S1037" t="s">
        <v>2596</v>
      </c>
      <c r="T1037" t="s">
        <v>2596</v>
      </c>
      <c r="U1037" t="s">
        <v>2596</v>
      </c>
      <c r="V1037" t="s">
        <v>2596</v>
      </c>
      <c r="W1037" t="s">
        <v>2596</v>
      </c>
      <c r="X1037" t="s">
        <v>2596</v>
      </c>
      <c r="Y1037" t="str">
        <f>VLOOKUP(Table_clu7sql1_ssdb_REPORT_vw_IE_External_MI_SON[[#This Row],[URN]],[1]Data!$D$2:$BB$1084,31,)</f>
        <v>NULL</v>
      </c>
      <c r="Z1037" t="s">
        <v>2596</v>
      </c>
      <c r="AA1037" t="s">
        <v>2596</v>
      </c>
      <c r="AB1037" t="s">
        <v>2596</v>
      </c>
      <c r="AC1037" t="s">
        <v>2596</v>
      </c>
      <c r="AD1037" t="s">
        <v>2596</v>
      </c>
      <c r="AE1037" t="s">
        <v>2596</v>
      </c>
      <c r="AF1037" t="s">
        <v>2596</v>
      </c>
      <c r="AG1037" t="s">
        <v>2596</v>
      </c>
      <c r="AH1037" t="s">
        <v>2596</v>
      </c>
    </row>
    <row r="1038" spans="1:34" x14ac:dyDescent="0.25">
      <c r="A1038" s="111" t="str">
        <f>HYPERLINK("http://www.ofsted.gov.uk/inspection-reports/find-inspection-report/provider/ELS/144796 ","Ofsted School Webpage")</f>
        <v>Ofsted School Webpage</v>
      </c>
      <c r="B1038">
        <v>144796</v>
      </c>
      <c r="C1038">
        <v>3046006</v>
      </c>
      <c r="D1038" t="s">
        <v>2376</v>
      </c>
      <c r="E1038" t="s">
        <v>37</v>
      </c>
      <c r="F1038" t="s">
        <v>142</v>
      </c>
      <c r="G1038" t="s">
        <v>142</v>
      </c>
      <c r="H1038" t="s">
        <v>2595</v>
      </c>
      <c r="I1038" t="s">
        <v>2596</v>
      </c>
      <c r="J1038" t="s">
        <v>143</v>
      </c>
      <c r="K1038" t="s">
        <v>189</v>
      </c>
      <c r="L1038" t="s">
        <v>189</v>
      </c>
      <c r="M1038" t="s">
        <v>702</v>
      </c>
      <c r="N1038" t="s">
        <v>2377</v>
      </c>
      <c r="O1038" t="s">
        <v>2596</v>
      </c>
      <c r="P1038" s="108" t="s">
        <v>2596</v>
      </c>
      <c r="Q1038" s="108" t="s">
        <v>2596</v>
      </c>
      <c r="R1038" s="108" t="s">
        <v>2596</v>
      </c>
      <c r="S1038" t="s">
        <v>2596</v>
      </c>
      <c r="T1038" t="s">
        <v>2596</v>
      </c>
      <c r="U1038" t="s">
        <v>2596</v>
      </c>
      <c r="V1038" t="s">
        <v>2596</v>
      </c>
      <c r="W1038" t="s">
        <v>2596</v>
      </c>
      <c r="X1038" t="s">
        <v>2596</v>
      </c>
      <c r="Y1038" t="str">
        <f>VLOOKUP(Table_clu7sql1_ssdb_REPORT_vw_IE_External_MI_SON[[#This Row],[URN]],[1]Data!$D$2:$BB$1084,31,)</f>
        <v>NULL</v>
      </c>
      <c r="Z1038" t="s">
        <v>2596</v>
      </c>
      <c r="AA1038" t="s">
        <v>2596</v>
      </c>
      <c r="AB1038" t="s">
        <v>2596</v>
      </c>
      <c r="AC1038" t="s">
        <v>2596</v>
      </c>
      <c r="AD1038" t="s">
        <v>2596</v>
      </c>
      <c r="AE1038" t="s">
        <v>2596</v>
      </c>
      <c r="AF1038" t="s">
        <v>2596</v>
      </c>
      <c r="AG1038" t="s">
        <v>2596</v>
      </c>
      <c r="AH1038" t="s">
        <v>2596</v>
      </c>
    </row>
    <row r="1039" spans="1:34" x14ac:dyDescent="0.25">
      <c r="A1039" s="111" t="str">
        <f>HYPERLINK("http://www.ofsted.gov.uk/inspection-reports/find-inspection-report/provider/ELS/144801 ","Ofsted School Webpage")</f>
        <v>Ofsted School Webpage</v>
      </c>
      <c r="B1039">
        <v>144801</v>
      </c>
      <c r="C1039">
        <v>9316018</v>
      </c>
      <c r="D1039" t="s">
        <v>2608</v>
      </c>
      <c r="E1039" t="s">
        <v>36</v>
      </c>
      <c r="F1039" t="s">
        <v>142</v>
      </c>
      <c r="G1039" t="s">
        <v>142</v>
      </c>
      <c r="H1039" t="s">
        <v>2595</v>
      </c>
      <c r="I1039" t="s">
        <v>2596</v>
      </c>
      <c r="J1039" t="s">
        <v>143</v>
      </c>
      <c r="K1039" t="s">
        <v>139</v>
      </c>
      <c r="L1039" t="s">
        <v>139</v>
      </c>
      <c r="M1039" t="s">
        <v>199</v>
      </c>
      <c r="N1039" t="s">
        <v>2609</v>
      </c>
      <c r="O1039" t="s">
        <v>2596</v>
      </c>
      <c r="P1039" s="108" t="s">
        <v>2596</v>
      </c>
      <c r="Q1039" s="108" t="s">
        <v>2596</v>
      </c>
      <c r="R1039" s="108" t="s">
        <v>2596</v>
      </c>
      <c r="S1039" t="s">
        <v>2596</v>
      </c>
      <c r="T1039" t="s">
        <v>2596</v>
      </c>
      <c r="U1039" t="s">
        <v>2596</v>
      </c>
      <c r="V1039" t="s">
        <v>2596</v>
      </c>
      <c r="W1039" t="s">
        <v>2596</v>
      </c>
      <c r="X1039" t="s">
        <v>2596</v>
      </c>
      <c r="Y1039" t="str">
        <f>VLOOKUP(Table_clu7sql1_ssdb_REPORT_vw_IE_External_MI_SON[[#This Row],[URN]],[1]Data!$D$2:$BB$1084,31,)</f>
        <v>NULL</v>
      </c>
      <c r="Z1039" t="s">
        <v>2596</v>
      </c>
      <c r="AA1039" t="s">
        <v>2596</v>
      </c>
      <c r="AB1039" t="s">
        <v>2596</v>
      </c>
      <c r="AC1039" t="s">
        <v>2596</v>
      </c>
      <c r="AD1039" t="s">
        <v>2596</v>
      </c>
      <c r="AE1039" t="s">
        <v>2596</v>
      </c>
      <c r="AF1039" t="s">
        <v>2596</v>
      </c>
      <c r="AG1039" t="s">
        <v>2596</v>
      </c>
      <c r="AH1039" t="s">
        <v>2596</v>
      </c>
    </row>
    <row r="1040" spans="1:34" x14ac:dyDescent="0.25">
      <c r="A1040" s="111" t="str">
        <f>HYPERLINK("http://www.ofsted.gov.uk/inspection-reports/find-inspection-report/provider/ELS/144805 ","Ofsted School Webpage")</f>
        <v>Ofsted School Webpage</v>
      </c>
      <c r="B1040">
        <v>144805</v>
      </c>
      <c r="C1040">
        <v>3016006</v>
      </c>
      <c r="D1040" t="s">
        <v>2378</v>
      </c>
      <c r="E1040" t="s">
        <v>36</v>
      </c>
      <c r="F1040" t="s">
        <v>142</v>
      </c>
      <c r="G1040" t="s">
        <v>180</v>
      </c>
      <c r="H1040" t="s">
        <v>2595</v>
      </c>
      <c r="I1040" t="s">
        <v>2596</v>
      </c>
      <c r="J1040" t="s">
        <v>143</v>
      </c>
      <c r="K1040" t="s">
        <v>189</v>
      </c>
      <c r="L1040" t="s">
        <v>189</v>
      </c>
      <c r="M1040" t="s">
        <v>1103</v>
      </c>
      <c r="N1040" t="s">
        <v>2379</v>
      </c>
      <c r="O1040" t="s">
        <v>2596</v>
      </c>
      <c r="P1040" s="108" t="s">
        <v>2596</v>
      </c>
      <c r="Q1040" s="108" t="s">
        <v>2596</v>
      </c>
      <c r="R1040" s="108" t="s">
        <v>2596</v>
      </c>
      <c r="S1040" t="s">
        <v>2596</v>
      </c>
      <c r="T1040" t="s">
        <v>2596</v>
      </c>
      <c r="U1040" t="s">
        <v>2596</v>
      </c>
      <c r="V1040" t="s">
        <v>2596</v>
      </c>
      <c r="W1040" t="s">
        <v>2596</v>
      </c>
      <c r="X1040" t="s">
        <v>2596</v>
      </c>
      <c r="Y1040" t="str">
        <f>VLOOKUP(Table_clu7sql1_ssdb_REPORT_vw_IE_External_MI_SON[[#This Row],[URN]],[1]Data!$D$2:$BB$1084,31,)</f>
        <v>NULL</v>
      </c>
      <c r="Z1040" t="s">
        <v>2596</v>
      </c>
      <c r="AA1040" t="s">
        <v>2596</v>
      </c>
      <c r="AB1040" t="s">
        <v>2596</v>
      </c>
      <c r="AC1040" t="s">
        <v>2596</v>
      </c>
      <c r="AD1040" t="s">
        <v>2596</v>
      </c>
      <c r="AE1040" t="s">
        <v>2596</v>
      </c>
      <c r="AF1040" t="s">
        <v>2596</v>
      </c>
      <c r="AG1040" t="s">
        <v>2596</v>
      </c>
      <c r="AH1040" t="s">
        <v>2596</v>
      </c>
    </row>
    <row r="1041" spans="1:34" x14ac:dyDescent="0.25">
      <c r="A1041" s="111" t="str">
        <f>HYPERLINK("http://www.ofsted.gov.uk/inspection-reports/find-inspection-report/provider/ELS/144806 ","Ofsted School Webpage")</f>
        <v>Ofsted School Webpage</v>
      </c>
      <c r="B1041">
        <v>144806</v>
      </c>
      <c r="C1041">
        <v>8306044</v>
      </c>
      <c r="D1041" t="s">
        <v>2380</v>
      </c>
      <c r="E1041" t="s">
        <v>36</v>
      </c>
      <c r="F1041" t="s">
        <v>142</v>
      </c>
      <c r="G1041" t="s">
        <v>169</v>
      </c>
      <c r="H1041" t="s">
        <v>2595</v>
      </c>
      <c r="I1041" t="s">
        <v>2596</v>
      </c>
      <c r="J1041" t="s">
        <v>143</v>
      </c>
      <c r="K1041" t="s">
        <v>171</v>
      </c>
      <c r="L1041" t="s">
        <v>171</v>
      </c>
      <c r="M1041" t="s">
        <v>320</v>
      </c>
      <c r="N1041" t="s">
        <v>2381</v>
      </c>
      <c r="O1041" t="s">
        <v>2596</v>
      </c>
      <c r="P1041" s="108" t="s">
        <v>2596</v>
      </c>
      <c r="Q1041" s="108" t="s">
        <v>2596</v>
      </c>
      <c r="R1041" s="108" t="s">
        <v>2596</v>
      </c>
      <c r="S1041" t="s">
        <v>2596</v>
      </c>
      <c r="T1041" t="s">
        <v>2596</v>
      </c>
      <c r="U1041" t="s">
        <v>2596</v>
      </c>
      <c r="V1041" t="s">
        <v>2596</v>
      </c>
      <c r="W1041" t="s">
        <v>2596</v>
      </c>
      <c r="X1041" t="s">
        <v>2596</v>
      </c>
      <c r="Y1041" t="str">
        <f>VLOOKUP(Table_clu7sql1_ssdb_REPORT_vw_IE_External_MI_SON[[#This Row],[URN]],[1]Data!$D$2:$BB$1084,31,)</f>
        <v>NULL</v>
      </c>
      <c r="Z1041" t="s">
        <v>2596</v>
      </c>
      <c r="AA1041" t="s">
        <v>2596</v>
      </c>
      <c r="AB1041" t="s">
        <v>2596</v>
      </c>
      <c r="AC1041" t="s">
        <v>2596</v>
      </c>
      <c r="AD1041" t="s">
        <v>2596</v>
      </c>
      <c r="AE1041" t="s">
        <v>2596</v>
      </c>
      <c r="AF1041" t="s">
        <v>2596</v>
      </c>
      <c r="AG1041" t="s">
        <v>2596</v>
      </c>
      <c r="AH1041" t="s">
        <v>2596</v>
      </c>
    </row>
    <row r="1042" spans="1:34" x14ac:dyDescent="0.25">
      <c r="A1042" s="111" t="str">
        <f>HYPERLINK("http://www.ofsted.gov.uk/inspection-reports/find-inspection-report/provider/ELS/144807 ","Ofsted School Webpage")</f>
        <v>Ofsted School Webpage</v>
      </c>
      <c r="B1042">
        <v>144807</v>
      </c>
      <c r="C1042">
        <v>8226007</v>
      </c>
      <c r="D1042" t="s">
        <v>2382</v>
      </c>
      <c r="E1042" t="s">
        <v>36</v>
      </c>
      <c r="F1042" t="s">
        <v>142</v>
      </c>
      <c r="G1042" t="s">
        <v>169</v>
      </c>
      <c r="H1042" t="s">
        <v>2595</v>
      </c>
      <c r="I1042" t="s">
        <v>2596</v>
      </c>
      <c r="J1042" t="s">
        <v>143</v>
      </c>
      <c r="K1042" t="s">
        <v>177</v>
      </c>
      <c r="L1042" t="s">
        <v>177</v>
      </c>
      <c r="M1042" t="s">
        <v>290</v>
      </c>
      <c r="N1042" t="s">
        <v>2383</v>
      </c>
      <c r="O1042" t="s">
        <v>2596</v>
      </c>
      <c r="P1042" s="108" t="s">
        <v>2596</v>
      </c>
      <c r="Q1042" s="108" t="s">
        <v>2596</v>
      </c>
      <c r="R1042" s="108" t="s">
        <v>2596</v>
      </c>
      <c r="S1042" t="s">
        <v>2596</v>
      </c>
      <c r="T1042" t="s">
        <v>2596</v>
      </c>
      <c r="U1042" t="s">
        <v>2596</v>
      </c>
      <c r="V1042" t="s">
        <v>2596</v>
      </c>
      <c r="W1042" t="s">
        <v>2596</v>
      </c>
      <c r="X1042" t="s">
        <v>2596</v>
      </c>
      <c r="Y1042" t="str">
        <f>VLOOKUP(Table_clu7sql1_ssdb_REPORT_vw_IE_External_MI_SON[[#This Row],[URN]],[1]Data!$D$2:$BB$1084,31,)</f>
        <v>NULL</v>
      </c>
      <c r="Z1042" t="s">
        <v>2596</v>
      </c>
      <c r="AA1042" t="s">
        <v>2596</v>
      </c>
      <c r="AB1042" t="s">
        <v>2596</v>
      </c>
      <c r="AC1042" t="s">
        <v>2596</v>
      </c>
      <c r="AD1042" t="s">
        <v>2596</v>
      </c>
      <c r="AE1042" t="s">
        <v>2596</v>
      </c>
      <c r="AF1042" t="s">
        <v>2596</v>
      </c>
      <c r="AG1042" t="s">
        <v>2596</v>
      </c>
      <c r="AH1042" t="s">
        <v>2596</v>
      </c>
    </row>
    <row r="1043" spans="1:34" x14ac:dyDescent="0.25">
      <c r="A1043" s="111" t="str">
        <f>HYPERLINK("http://www.ofsted.gov.uk/inspection-reports/find-inspection-report/provider/ELS/144808 ","Ofsted School Webpage")</f>
        <v>Ofsted School Webpage</v>
      </c>
      <c r="B1043">
        <v>144808</v>
      </c>
      <c r="C1043">
        <v>8506093</v>
      </c>
      <c r="D1043" t="s">
        <v>2384</v>
      </c>
      <c r="E1043" t="s">
        <v>36</v>
      </c>
      <c r="F1043" t="s">
        <v>142</v>
      </c>
      <c r="G1043" t="s">
        <v>142</v>
      </c>
      <c r="H1043" t="s">
        <v>2595</v>
      </c>
      <c r="I1043" t="s">
        <v>2596</v>
      </c>
      <c r="J1043" t="s">
        <v>143</v>
      </c>
      <c r="K1043" t="s">
        <v>139</v>
      </c>
      <c r="L1043" t="s">
        <v>139</v>
      </c>
      <c r="M1043" t="s">
        <v>158</v>
      </c>
      <c r="N1043" t="s">
        <v>2385</v>
      </c>
      <c r="O1043" t="s">
        <v>2596</v>
      </c>
      <c r="P1043" s="108" t="s">
        <v>2596</v>
      </c>
      <c r="Q1043" s="108" t="s">
        <v>2596</v>
      </c>
      <c r="R1043" s="108" t="s">
        <v>2596</v>
      </c>
      <c r="S1043" t="s">
        <v>2596</v>
      </c>
      <c r="T1043" t="s">
        <v>2596</v>
      </c>
      <c r="U1043" t="s">
        <v>2596</v>
      </c>
      <c r="V1043" t="s">
        <v>2596</v>
      </c>
      <c r="W1043" t="s">
        <v>2596</v>
      </c>
      <c r="X1043" t="s">
        <v>2596</v>
      </c>
      <c r="Y1043" t="str">
        <f>VLOOKUP(Table_clu7sql1_ssdb_REPORT_vw_IE_External_MI_SON[[#This Row],[URN]],[1]Data!$D$2:$BB$1084,31,)</f>
        <v>NULL</v>
      </c>
      <c r="Z1043" t="s">
        <v>2596</v>
      </c>
      <c r="AA1043" t="s">
        <v>2596</v>
      </c>
      <c r="AB1043" t="s">
        <v>2596</v>
      </c>
      <c r="AC1043" t="s">
        <v>2596</v>
      </c>
      <c r="AD1043" t="s">
        <v>2596</v>
      </c>
      <c r="AE1043" t="s">
        <v>2596</v>
      </c>
      <c r="AF1043" t="s">
        <v>2596</v>
      </c>
      <c r="AG1043" t="s">
        <v>2596</v>
      </c>
      <c r="AH1043" t="s">
        <v>2596</v>
      </c>
    </row>
    <row r="1044" spans="1:34" x14ac:dyDescent="0.25">
      <c r="A1044" s="111" t="str">
        <f>HYPERLINK("http://www.ofsted.gov.uk/inspection-reports/find-inspection-report/provider/ELS/144811 ","Ofsted School Webpage")</f>
        <v>Ofsted School Webpage</v>
      </c>
      <c r="B1044">
        <v>144811</v>
      </c>
      <c r="C1044">
        <v>3826007</v>
      </c>
      <c r="D1044" t="s">
        <v>2582</v>
      </c>
      <c r="E1044" t="s">
        <v>36</v>
      </c>
      <c r="F1044" t="s">
        <v>142</v>
      </c>
      <c r="G1044" t="s">
        <v>180</v>
      </c>
      <c r="H1044" t="s">
        <v>2595</v>
      </c>
      <c r="I1044" t="s">
        <v>2596</v>
      </c>
      <c r="J1044" t="s">
        <v>143</v>
      </c>
      <c r="K1044" t="s">
        <v>202</v>
      </c>
      <c r="L1044" t="s">
        <v>203</v>
      </c>
      <c r="M1044" t="s">
        <v>720</v>
      </c>
      <c r="N1044" t="s">
        <v>2583</v>
      </c>
      <c r="O1044" t="s">
        <v>2596</v>
      </c>
      <c r="P1044" s="108" t="s">
        <v>2596</v>
      </c>
      <c r="Q1044" s="108" t="s">
        <v>2596</v>
      </c>
      <c r="R1044" s="108" t="s">
        <v>2596</v>
      </c>
      <c r="S1044" t="s">
        <v>2596</v>
      </c>
      <c r="T1044" t="s">
        <v>2596</v>
      </c>
      <c r="U1044" t="s">
        <v>2596</v>
      </c>
      <c r="V1044" t="s">
        <v>2596</v>
      </c>
      <c r="W1044" t="s">
        <v>2596</v>
      </c>
      <c r="X1044" t="s">
        <v>2596</v>
      </c>
      <c r="Y1044" t="str">
        <f>VLOOKUP(Table_clu7sql1_ssdb_REPORT_vw_IE_External_MI_SON[[#This Row],[URN]],[1]Data!$D$2:$BB$1084,31,)</f>
        <v>NULL</v>
      </c>
      <c r="Z1044" t="s">
        <v>2596</v>
      </c>
      <c r="AA1044" t="s">
        <v>2596</v>
      </c>
      <c r="AB1044" t="s">
        <v>2596</v>
      </c>
      <c r="AC1044" t="s">
        <v>2596</v>
      </c>
      <c r="AD1044" t="s">
        <v>2596</v>
      </c>
      <c r="AE1044" s="108" t="s">
        <v>2596</v>
      </c>
      <c r="AF1044" t="s">
        <v>2596</v>
      </c>
      <c r="AG1044" s="108" t="s">
        <v>2596</v>
      </c>
      <c r="AH1044" t="s">
        <v>2596</v>
      </c>
    </row>
    <row r="1045" spans="1:34" x14ac:dyDescent="0.25">
      <c r="A1045" s="111" t="str">
        <f>HYPERLINK("http://www.ofsted.gov.uk/inspection-reports/find-inspection-report/provider/ELS/144816 ","Ofsted School Webpage")</f>
        <v>Ofsted School Webpage</v>
      </c>
      <c r="B1045">
        <v>144816</v>
      </c>
      <c r="C1045">
        <v>8886073</v>
      </c>
      <c r="D1045" t="s">
        <v>2584</v>
      </c>
      <c r="E1045" t="s">
        <v>36</v>
      </c>
      <c r="F1045" t="s">
        <v>142</v>
      </c>
      <c r="G1045" t="s">
        <v>261</v>
      </c>
      <c r="H1045" t="s">
        <v>2595</v>
      </c>
      <c r="I1045" t="s">
        <v>2596</v>
      </c>
      <c r="J1045" t="s">
        <v>143</v>
      </c>
      <c r="K1045" t="s">
        <v>162</v>
      </c>
      <c r="L1045" t="s">
        <v>162</v>
      </c>
      <c r="M1045" t="s">
        <v>163</v>
      </c>
      <c r="N1045" t="s">
        <v>2585</v>
      </c>
      <c r="O1045" t="s">
        <v>2596</v>
      </c>
      <c r="P1045" s="108" t="s">
        <v>2596</v>
      </c>
      <c r="Q1045" s="108" t="s">
        <v>2596</v>
      </c>
      <c r="R1045" s="108" t="s">
        <v>2596</v>
      </c>
      <c r="S1045" t="s">
        <v>2596</v>
      </c>
      <c r="T1045" t="s">
        <v>2596</v>
      </c>
      <c r="U1045" t="s">
        <v>2596</v>
      </c>
      <c r="V1045" t="s">
        <v>2596</v>
      </c>
      <c r="W1045" t="s">
        <v>2596</v>
      </c>
      <c r="X1045" t="s">
        <v>2596</v>
      </c>
      <c r="Y1045" t="str">
        <f>VLOOKUP(Table_clu7sql1_ssdb_REPORT_vw_IE_External_MI_SON[[#This Row],[URN]],[1]Data!$D$2:$BB$1084,31,)</f>
        <v>NULL</v>
      </c>
      <c r="Z1045" t="s">
        <v>2596</v>
      </c>
      <c r="AA1045" t="s">
        <v>2596</v>
      </c>
      <c r="AB1045" t="s">
        <v>2596</v>
      </c>
      <c r="AC1045" t="s">
        <v>2596</v>
      </c>
      <c r="AD1045" t="s">
        <v>2596</v>
      </c>
      <c r="AE1045" t="s">
        <v>2596</v>
      </c>
      <c r="AF1045" t="s">
        <v>2596</v>
      </c>
      <c r="AG1045" t="s">
        <v>2596</v>
      </c>
      <c r="AH1045" t="s">
        <v>2596</v>
      </c>
    </row>
    <row r="1046" spans="1:34" x14ac:dyDescent="0.25">
      <c r="A1046" s="111" t="str">
        <f>HYPERLINK("http://www.ofsted.gov.uk/inspection-reports/find-inspection-report/provider/ELS/144818 ","Ofsted School Webpage")</f>
        <v>Ofsted School Webpage</v>
      </c>
      <c r="B1046">
        <v>144818</v>
      </c>
      <c r="C1046">
        <v>8816069</v>
      </c>
      <c r="D1046" t="s">
        <v>2586</v>
      </c>
      <c r="E1046" t="s">
        <v>36</v>
      </c>
      <c r="F1046" t="s">
        <v>142</v>
      </c>
      <c r="G1046" t="s">
        <v>142</v>
      </c>
      <c r="H1046" t="s">
        <v>2595</v>
      </c>
      <c r="I1046" t="s">
        <v>2596</v>
      </c>
      <c r="J1046" t="s">
        <v>143</v>
      </c>
      <c r="K1046" t="s">
        <v>177</v>
      </c>
      <c r="L1046" t="s">
        <v>177</v>
      </c>
      <c r="M1046" t="s">
        <v>280</v>
      </c>
      <c r="N1046" t="s">
        <v>2587</v>
      </c>
      <c r="O1046" t="s">
        <v>2596</v>
      </c>
      <c r="P1046" s="108" t="s">
        <v>2596</v>
      </c>
      <c r="Q1046" s="108" t="s">
        <v>2596</v>
      </c>
      <c r="R1046" s="108" t="s">
        <v>2596</v>
      </c>
      <c r="S1046" t="s">
        <v>2596</v>
      </c>
      <c r="T1046" t="s">
        <v>2596</v>
      </c>
      <c r="U1046" t="s">
        <v>2596</v>
      </c>
      <c r="V1046" t="s">
        <v>2596</v>
      </c>
      <c r="W1046" t="s">
        <v>2596</v>
      </c>
      <c r="X1046" t="s">
        <v>2596</v>
      </c>
      <c r="Y1046" t="str">
        <f>VLOOKUP(Table_clu7sql1_ssdb_REPORT_vw_IE_External_MI_SON[[#This Row],[URN]],[1]Data!$D$2:$BB$1084,31,)</f>
        <v>NULL</v>
      </c>
      <c r="Z1046" t="s">
        <v>2596</v>
      </c>
      <c r="AA1046" t="s">
        <v>2596</v>
      </c>
      <c r="AB1046" t="s">
        <v>2596</v>
      </c>
      <c r="AC1046" t="s">
        <v>2596</v>
      </c>
      <c r="AD1046" t="s">
        <v>2596</v>
      </c>
      <c r="AE1046" t="s">
        <v>2596</v>
      </c>
      <c r="AF1046" t="s">
        <v>2596</v>
      </c>
      <c r="AG1046" t="s">
        <v>2596</v>
      </c>
      <c r="AH1046" t="s">
        <v>2596</v>
      </c>
    </row>
    <row r="1047" spans="1:34" x14ac:dyDescent="0.25">
      <c r="A1047" s="111" t="str">
        <f>HYPERLINK("http://www.ofsted.gov.uk/inspection-reports/find-inspection-report/provider/ELS/144820 ","Ofsted School Webpage")</f>
        <v>Ofsted School Webpage</v>
      </c>
      <c r="B1047">
        <v>144820</v>
      </c>
      <c r="C1047">
        <v>3306034</v>
      </c>
      <c r="D1047" t="s">
        <v>2588</v>
      </c>
      <c r="E1047" t="s">
        <v>36</v>
      </c>
      <c r="F1047" t="s">
        <v>142</v>
      </c>
      <c r="G1047" t="s">
        <v>142</v>
      </c>
      <c r="H1047" t="s">
        <v>2595</v>
      </c>
      <c r="I1047" t="s">
        <v>2596</v>
      </c>
      <c r="J1047" t="s">
        <v>143</v>
      </c>
      <c r="K1047" t="s">
        <v>150</v>
      </c>
      <c r="L1047" t="s">
        <v>150</v>
      </c>
      <c r="M1047" t="s">
        <v>167</v>
      </c>
      <c r="N1047" t="s">
        <v>2589</v>
      </c>
      <c r="O1047" t="s">
        <v>2596</v>
      </c>
      <c r="P1047" s="108" t="s">
        <v>2596</v>
      </c>
      <c r="Q1047" s="108" t="s">
        <v>2596</v>
      </c>
      <c r="R1047" s="108" t="s">
        <v>2596</v>
      </c>
      <c r="S1047" t="s">
        <v>2596</v>
      </c>
      <c r="T1047" t="s">
        <v>2596</v>
      </c>
      <c r="U1047" t="s">
        <v>2596</v>
      </c>
      <c r="V1047" t="s">
        <v>2596</v>
      </c>
      <c r="W1047" t="s">
        <v>2596</v>
      </c>
      <c r="X1047" t="s">
        <v>2596</v>
      </c>
      <c r="Y1047" t="str">
        <f>VLOOKUP(Table_clu7sql1_ssdb_REPORT_vw_IE_External_MI_SON[[#This Row],[URN]],[1]Data!$D$2:$BB$1084,31,)</f>
        <v>NULL</v>
      </c>
      <c r="Z1047" t="s">
        <v>2596</v>
      </c>
      <c r="AA1047" t="s">
        <v>2596</v>
      </c>
      <c r="AB1047" t="s">
        <v>2596</v>
      </c>
      <c r="AC1047" t="s">
        <v>2596</v>
      </c>
      <c r="AD1047" t="s">
        <v>2596</v>
      </c>
      <c r="AE1047" t="s">
        <v>2596</v>
      </c>
      <c r="AF1047" t="s">
        <v>2596</v>
      </c>
      <c r="AG1047" t="s">
        <v>2596</v>
      </c>
      <c r="AH1047" t="s">
        <v>2596</v>
      </c>
    </row>
    <row r="1048" spans="1:34" x14ac:dyDescent="0.25">
      <c r="A1048" s="111" t="str">
        <f>HYPERLINK("http://www.ofsted.gov.uk/inspection-reports/find-inspection-report/provider/ELS/144855 ","Ofsted School Webpage")</f>
        <v>Ofsted School Webpage</v>
      </c>
      <c r="B1048">
        <v>144855</v>
      </c>
      <c r="C1048">
        <v>8526012</v>
      </c>
      <c r="D1048" t="s">
        <v>2590</v>
      </c>
      <c r="E1048" t="s">
        <v>36</v>
      </c>
      <c r="F1048" t="s">
        <v>142</v>
      </c>
      <c r="G1048" t="s">
        <v>142</v>
      </c>
      <c r="H1048" t="s">
        <v>2595</v>
      </c>
      <c r="I1048" t="s">
        <v>2596</v>
      </c>
      <c r="J1048" t="s">
        <v>143</v>
      </c>
      <c r="K1048" t="s">
        <v>139</v>
      </c>
      <c r="L1048" t="s">
        <v>139</v>
      </c>
      <c r="M1048" t="s">
        <v>431</v>
      </c>
      <c r="N1048" t="s">
        <v>2591</v>
      </c>
      <c r="O1048" t="s">
        <v>2596</v>
      </c>
      <c r="P1048" s="108" t="s">
        <v>2596</v>
      </c>
      <c r="Q1048" s="108" t="s">
        <v>2596</v>
      </c>
      <c r="R1048" s="108" t="s">
        <v>2596</v>
      </c>
      <c r="S1048" t="s">
        <v>2596</v>
      </c>
      <c r="T1048" t="s">
        <v>2596</v>
      </c>
      <c r="U1048" t="s">
        <v>2596</v>
      </c>
      <c r="V1048" t="s">
        <v>2596</v>
      </c>
      <c r="W1048" t="s">
        <v>2596</v>
      </c>
      <c r="X1048" t="s">
        <v>2596</v>
      </c>
      <c r="Y1048" t="str">
        <f>VLOOKUP(Table_clu7sql1_ssdb_REPORT_vw_IE_External_MI_SON[[#This Row],[URN]],[1]Data!$D$2:$BB$1084,31,)</f>
        <v>NULL</v>
      </c>
      <c r="Z1048" t="s">
        <v>2596</v>
      </c>
      <c r="AA1048" t="s">
        <v>2596</v>
      </c>
      <c r="AB1048" t="s">
        <v>2596</v>
      </c>
      <c r="AC1048" t="s">
        <v>2596</v>
      </c>
      <c r="AD1048" t="s">
        <v>2596</v>
      </c>
      <c r="AE1048" t="s">
        <v>2596</v>
      </c>
      <c r="AF1048" t="s">
        <v>2596</v>
      </c>
      <c r="AG1048" t="s">
        <v>2596</v>
      </c>
      <c r="AH1048" t="s">
        <v>2596</v>
      </c>
    </row>
    <row r="1049" spans="1:34" x14ac:dyDescent="0.25">
      <c r="A1049" s="111" t="str">
        <f>HYPERLINK("http://www.ofsted.gov.uk/inspection-reports/find-inspection-report/provider/ELS/144856 ","Ofsted School Webpage")</f>
        <v>Ofsted School Webpage</v>
      </c>
      <c r="B1049">
        <v>144856</v>
      </c>
      <c r="C1049">
        <v>3416010</v>
      </c>
      <c r="D1049" t="s">
        <v>2592</v>
      </c>
      <c r="E1049" t="s">
        <v>36</v>
      </c>
      <c r="F1049" t="s">
        <v>142</v>
      </c>
      <c r="G1049" t="s">
        <v>142</v>
      </c>
      <c r="H1049" t="s">
        <v>2595</v>
      </c>
      <c r="I1049" t="s">
        <v>2596</v>
      </c>
      <c r="J1049" t="s">
        <v>143</v>
      </c>
      <c r="K1049" t="s">
        <v>162</v>
      </c>
      <c r="L1049" t="s">
        <v>162</v>
      </c>
      <c r="M1049" t="s">
        <v>611</v>
      </c>
      <c r="N1049" t="s">
        <v>2593</v>
      </c>
      <c r="O1049" t="s">
        <v>2596</v>
      </c>
      <c r="P1049" s="108" t="s">
        <v>2596</v>
      </c>
      <c r="Q1049" s="108" t="s">
        <v>2596</v>
      </c>
      <c r="R1049" s="108" t="s">
        <v>2596</v>
      </c>
      <c r="S1049" t="s">
        <v>2596</v>
      </c>
      <c r="T1049" t="s">
        <v>2596</v>
      </c>
      <c r="U1049" t="s">
        <v>2596</v>
      </c>
      <c r="V1049" t="s">
        <v>2596</v>
      </c>
      <c r="W1049" t="s">
        <v>2596</v>
      </c>
      <c r="X1049" t="s">
        <v>2596</v>
      </c>
      <c r="Y1049" t="str">
        <f>VLOOKUP(Table_clu7sql1_ssdb_REPORT_vw_IE_External_MI_SON[[#This Row],[URN]],[1]Data!$D$2:$BB$1084,31,)</f>
        <v>NULL</v>
      </c>
      <c r="Z1049" t="s">
        <v>2596</v>
      </c>
      <c r="AA1049" t="s">
        <v>2596</v>
      </c>
      <c r="AB1049" t="s">
        <v>2596</v>
      </c>
      <c r="AC1049" t="s">
        <v>2596</v>
      </c>
      <c r="AD1049" t="s">
        <v>2596</v>
      </c>
      <c r="AE1049" s="108" t="s">
        <v>2596</v>
      </c>
      <c r="AF1049" t="s">
        <v>2596</v>
      </c>
      <c r="AG1049" s="108" t="s">
        <v>2596</v>
      </c>
      <c r="AH1049" t="s">
        <v>2596</v>
      </c>
    </row>
    <row r="1050" spans="1:34" x14ac:dyDescent="0.25">
      <c r="A1050" s="111" t="str">
        <f>HYPERLINK("http://www.ofsted.gov.uk/inspection-reports/find-inspection-report/provider/ELS/144857 ","Ofsted School Webpage")</f>
        <v>Ofsted School Webpage</v>
      </c>
      <c r="B1050">
        <v>144857</v>
      </c>
      <c r="C1050">
        <v>3826008</v>
      </c>
      <c r="D1050" t="s">
        <v>1902</v>
      </c>
      <c r="E1050" t="s">
        <v>36</v>
      </c>
      <c r="F1050" t="s">
        <v>142</v>
      </c>
      <c r="G1050" t="s">
        <v>142</v>
      </c>
      <c r="H1050" t="s">
        <v>2595</v>
      </c>
      <c r="I1050" t="s">
        <v>2596</v>
      </c>
      <c r="J1050" t="s">
        <v>143</v>
      </c>
      <c r="K1050" t="s">
        <v>202</v>
      </c>
      <c r="L1050" t="s">
        <v>203</v>
      </c>
      <c r="M1050" t="s">
        <v>720</v>
      </c>
      <c r="N1050" t="s">
        <v>1903</v>
      </c>
      <c r="O1050">
        <v>10044626</v>
      </c>
      <c r="P1050" s="108">
        <v>43116</v>
      </c>
      <c r="Q1050" s="108">
        <v>43118</v>
      </c>
      <c r="R1050" s="108">
        <v>43161</v>
      </c>
      <c r="S1050" t="s">
        <v>206</v>
      </c>
      <c r="T1050">
        <v>2</v>
      </c>
      <c r="U1050" t="s">
        <v>123</v>
      </c>
      <c r="V1050">
        <v>2</v>
      </c>
      <c r="W1050">
        <v>2</v>
      </c>
      <c r="X1050">
        <v>2</v>
      </c>
      <c r="Y1050">
        <f>VLOOKUP(Table_clu7sql1_ssdb_REPORT_vw_IE_External_MI_SON[[#This Row],[URN]],[1]Data!$D$2:$BB$1084,31,)</f>
        <v>2</v>
      </c>
      <c r="Z1050" t="s">
        <v>2596</v>
      </c>
      <c r="AA1050" t="s">
        <v>2596</v>
      </c>
      <c r="AB1050" t="s">
        <v>2598</v>
      </c>
      <c r="AC1050" t="s">
        <v>2596</v>
      </c>
      <c r="AD1050" t="s">
        <v>2596</v>
      </c>
      <c r="AE1050" t="s">
        <v>2596</v>
      </c>
      <c r="AF1050" t="s">
        <v>2596</v>
      </c>
      <c r="AG1050" t="s">
        <v>2596</v>
      </c>
      <c r="AH1050" t="s">
        <v>2596</v>
      </c>
    </row>
    <row r="1051" spans="1:34" x14ac:dyDescent="0.25">
      <c r="A1051" s="111" t="str">
        <f>HYPERLINK("http://www.ofsted.gov.uk/inspection-reports/find-inspection-report/provider/ELS/144965 ","Ofsted School Webpage")</f>
        <v>Ofsted School Webpage</v>
      </c>
      <c r="B1051">
        <v>144965</v>
      </c>
      <c r="C1051">
        <v>2076014</v>
      </c>
      <c r="D1051" t="s">
        <v>1904</v>
      </c>
      <c r="E1051" t="s">
        <v>36</v>
      </c>
      <c r="F1051" t="s">
        <v>142</v>
      </c>
      <c r="G1051" t="s">
        <v>142</v>
      </c>
      <c r="H1051" t="s">
        <v>2595</v>
      </c>
      <c r="I1051" t="s">
        <v>2596</v>
      </c>
      <c r="J1051" t="s">
        <v>143</v>
      </c>
      <c r="K1051" t="s">
        <v>189</v>
      </c>
      <c r="L1051" t="s">
        <v>189</v>
      </c>
      <c r="M1051" t="s">
        <v>251</v>
      </c>
      <c r="N1051" t="s">
        <v>1905</v>
      </c>
      <c r="O1051" t="s">
        <v>2596</v>
      </c>
      <c r="P1051" s="108" t="s">
        <v>2596</v>
      </c>
      <c r="Q1051" s="108" t="s">
        <v>2596</v>
      </c>
      <c r="R1051" s="108" t="s">
        <v>2596</v>
      </c>
      <c r="S1051" t="s">
        <v>2596</v>
      </c>
      <c r="T1051" t="s">
        <v>2596</v>
      </c>
      <c r="U1051" t="s">
        <v>2596</v>
      </c>
      <c r="V1051" t="s">
        <v>2596</v>
      </c>
      <c r="W1051" t="s">
        <v>2596</v>
      </c>
      <c r="X1051" t="s">
        <v>2596</v>
      </c>
      <c r="Y1051" t="str">
        <f>VLOOKUP(Table_clu7sql1_ssdb_REPORT_vw_IE_External_MI_SON[[#This Row],[URN]],[1]Data!$D$2:$BB$1084,31,)</f>
        <v>NULL</v>
      </c>
      <c r="Z1051" t="s">
        <v>2596</v>
      </c>
      <c r="AA1051" t="s">
        <v>2596</v>
      </c>
      <c r="AB1051" t="s">
        <v>2596</v>
      </c>
      <c r="AC1051" t="s">
        <v>2596</v>
      </c>
      <c r="AD1051" t="s">
        <v>2596</v>
      </c>
      <c r="AE1051" s="108" t="s">
        <v>2596</v>
      </c>
      <c r="AF1051" t="s">
        <v>2596</v>
      </c>
      <c r="AG1051" s="108" t="s">
        <v>2596</v>
      </c>
      <c r="AH1051" t="s">
        <v>2596</v>
      </c>
    </row>
    <row r="1052" spans="1:34" x14ac:dyDescent="0.25">
      <c r="A1052" s="111" t="str">
        <f>HYPERLINK("http://www.ofsted.gov.uk/inspection-reports/find-inspection-report/provider/ELS/144966 ","Ofsted School Webpage")</f>
        <v>Ofsted School Webpage</v>
      </c>
      <c r="B1052">
        <v>144966</v>
      </c>
      <c r="C1052">
        <v>9376014</v>
      </c>
      <c r="D1052" t="s">
        <v>1906</v>
      </c>
      <c r="E1052" t="s">
        <v>37</v>
      </c>
      <c r="F1052" t="s">
        <v>142</v>
      </c>
      <c r="G1052" t="s">
        <v>142</v>
      </c>
      <c r="H1052" t="s">
        <v>2595</v>
      </c>
      <c r="I1052" t="s">
        <v>2596</v>
      </c>
      <c r="J1052" t="s">
        <v>143</v>
      </c>
      <c r="K1052" t="s">
        <v>150</v>
      </c>
      <c r="L1052" t="s">
        <v>150</v>
      </c>
      <c r="M1052" t="s">
        <v>333</v>
      </c>
      <c r="N1052" t="s">
        <v>1907</v>
      </c>
      <c r="O1052" t="s">
        <v>2596</v>
      </c>
      <c r="P1052" s="108" t="s">
        <v>2596</v>
      </c>
      <c r="Q1052" s="108" t="s">
        <v>2596</v>
      </c>
      <c r="R1052" s="108" t="s">
        <v>2596</v>
      </c>
      <c r="S1052" t="s">
        <v>2596</v>
      </c>
      <c r="T1052" t="s">
        <v>2596</v>
      </c>
      <c r="U1052" t="s">
        <v>2596</v>
      </c>
      <c r="V1052" t="s">
        <v>2596</v>
      </c>
      <c r="W1052" t="s">
        <v>2596</v>
      </c>
      <c r="X1052" t="s">
        <v>2596</v>
      </c>
      <c r="Y1052" t="str">
        <f>VLOOKUP(Table_clu7sql1_ssdb_REPORT_vw_IE_External_MI_SON[[#This Row],[URN]],[1]Data!$D$2:$BB$1084,31,)</f>
        <v>NULL</v>
      </c>
      <c r="Z1052" t="s">
        <v>2596</v>
      </c>
      <c r="AA1052" t="s">
        <v>2596</v>
      </c>
      <c r="AB1052" t="s">
        <v>2596</v>
      </c>
      <c r="AC1052" t="s">
        <v>2596</v>
      </c>
      <c r="AD1052" t="s">
        <v>2596</v>
      </c>
      <c r="AE1052" t="s">
        <v>2596</v>
      </c>
      <c r="AF1052" t="s">
        <v>2596</v>
      </c>
      <c r="AG1052" t="s">
        <v>2596</v>
      </c>
      <c r="AH1052" t="s">
        <v>2596</v>
      </c>
    </row>
    <row r="1053" spans="1:34" x14ac:dyDescent="0.25">
      <c r="A1053" s="111" t="str">
        <f>HYPERLINK("http://www.ofsted.gov.uk/inspection-reports/find-inspection-report/provider/ELS/145023 ","Ofsted School Webpage")</f>
        <v>Ofsted School Webpage</v>
      </c>
      <c r="B1053">
        <v>145023</v>
      </c>
      <c r="C1053">
        <v>9256007</v>
      </c>
      <c r="D1053" t="s">
        <v>1908</v>
      </c>
      <c r="E1053" t="s">
        <v>37</v>
      </c>
      <c r="F1053" t="s">
        <v>142</v>
      </c>
      <c r="G1053" t="s">
        <v>142</v>
      </c>
      <c r="H1053" t="s">
        <v>2595</v>
      </c>
      <c r="I1053" t="s">
        <v>2596</v>
      </c>
      <c r="J1053" t="s">
        <v>143</v>
      </c>
      <c r="K1053" t="s">
        <v>171</v>
      </c>
      <c r="L1053" t="s">
        <v>171</v>
      </c>
      <c r="M1053" t="s">
        <v>637</v>
      </c>
      <c r="N1053" t="s">
        <v>1909</v>
      </c>
      <c r="O1053" t="s">
        <v>2596</v>
      </c>
      <c r="P1053" s="108" t="s">
        <v>2596</v>
      </c>
      <c r="Q1053" s="108" t="s">
        <v>2596</v>
      </c>
      <c r="R1053" s="108" t="s">
        <v>2596</v>
      </c>
      <c r="S1053" t="s">
        <v>2596</v>
      </c>
      <c r="T1053" t="s">
        <v>2596</v>
      </c>
      <c r="U1053" t="s">
        <v>2596</v>
      </c>
      <c r="V1053" t="s">
        <v>2596</v>
      </c>
      <c r="W1053" t="s">
        <v>2596</v>
      </c>
      <c r="X1053" t="s">
        <v>2596</v>
      </c>
      <c r="Y1053" t="str">
        <f>VLOOKUP(Table_clu7sql1_ssdb_REPORT_vw_IE_External_MI_SON[[#This Row],[URN]],[1]Data!$D$2:$BB$1084,31,)</f>
        <v>NULL</v>
      </c>
      <c r="Z1053" t="s">
        <v>2596</v>
      </c>
      <c r="AA1053" t="s">
        <v>2596</v>
      </c>
      <c r="AB1053" t="s">
        <v>2596</v>
      </c>
      <c r="AC1053" t="s">
        <v>2596</v>
      </c>
      <c r="AD1053" t="s">
        <v>2596</v>
      </c>
      <c r="AE1053" s="108" t="s">
        <v>2596</v>
      </c>
      <c r="AF1053" t="s">
        <v>2596</v>
      </c>
      <c r="AG1053" s="108" t="s">
        <v>2596</v>
      </c>
      <c r="AH1053" t="s">
        <v>2596</v>
      </c>
    </row>
    <row r="1054" spans="1:34" x14ac:dyDescent="0.25">
      <c r="A1054" s="111" t="str">
        <f>HYPERLINK("http://www.ofsted.gov.uk/inspection-reports/find-inspection-report/provider/ELS/145025 ","Ofsted School Webpage")</f>
        <v>Ofsted School Webpage</v>
      </c>
      <c r="B1054">
        <v>145025</v>
      </c>
      <c r="C1054">
        <v>8786070</v>
      </c>
      <c r="D1054" t="s">
        <v>1910</v>
      </c>
      <c r="E1054" t="s">
        <v>36</v>
      </c>
      <c r="F1054" t="s">
        <v>142</v>
      </c>
      <c r="G1054" t="s">
        <v>142</v>
      </c>
      <c r="H1054" t="s">
        <v>2595</v>
      </c>
      <c r="I1054" t="s">
        <v>2596</v>
      </c>
      <c r="J1054" t="s">
        <v>143</v>
      </c>
      <c r="K1054" t="s">
        <v>182</v>
      </c>
      <c r="L1054" t="s">
        <v>182</v>
      </c>
      <c r="M1054" t="s">
        <v>323</v>
      </c>
      <c r="N1054" t="s">
        <v>1911</v>
      </c>
      <c r="O1054" t="s">
        <v>2596</v>
      </c>
      <c r="P1054" s="108" t="s">
        <v>2596</v>
      </c>
      <c r="Q1054" s="108" t="s">
        <v>2596</v>
      </c>
      <c r="R1054" s="108" t="s">
        <v>2596</v>
      </c>
      <c r="S1054" t="s">
        <v>2596</v>
      </c>
      <c r="T1054" t="s">
        <v>2596</v>
      </c>
      <c r="U1054" t="s">
        <v>2596</v>
      </c>
      <c r="V1054" t="s">
        <v>2596</v>
      </c>
      <c r="W1054" t="s">
        <v>2596</v>
      </c>
      <c r="X1054" t="s">
        <v>2596</v>
      </c>
      <c r="Y1054" t="str">
        <f>VLOOKUP(Table_clu7sql1_ssdb_REPORT_vw_IE_External_MI_SON[[#This Row],[URN]],[1]Data!$D$2:$BB$1084,31,)</f>
        <v>NULL</v>
      </c>
      <c r="Z1054" t="s">
        <v>2596</v>
      </c>
      <c r="AA1054" t="s">
        <v>2596</v>
      </c>
      <c r="AB1054" t="s">
        <v>2596</v>
      </c>
      <c r="AC1054" t="s">
        <v>2596</v>
      </c>
      <c r="AD1054" t="s">
        <v>2596</v>
      </c>
      <c r="AE1054" t="s">
        <v>2596</v>
      </c>
      <c r="AF1054" t="s">
        <v>2596</v>
      </c>
      <c r="AG1054" t="s">
        <v>2596</v>
      </c>
      <c r="AH1054" t="s">
        <v>2596</v>
      </c>
    </row>
    <row r="1055" spans="1:34" x14ac:dyDescent="0.25">
      <c r="A1055" s="111" t="str">
        <f>HYPERLINK("http://www.ofsted.gov.uk/inspection-reports/find-inspection-report/provider/ELS/145059 ","Ofsted School Webpage")</f>
        <v>Ofsted School Webpage</v>
      </c>
      <c r="B1055">
        <v>145059</v>
      </c>
      <c r="C1055">
        <v>3366005</v>
      </c>
      <c r="D1055" t="s">
        <v>2917</v>
      </c>
      <c r="E1055" t="s">
        <v>37</v>
      </c>
      <c r="F1055" t="s">
        <v>142</v>
      </c>
      <c r="G1055" t="s">
        <v>142</v>
      </c>
      <c r="H1055" t="s">
        <v>2595</v>
      </c>
      <c r="I1055" t="s">
        <v>2596</v>
      </c>
      <c r="J1055" t="s">
        <v>143</v>
      </c>
      <c r="K1055" t="s">
        <v>150</v>
      </c>
      <c r="L1055" t="s">
        <v>150</v>
      </c>
      <c r="M1055" t="s">
        <v>2192</v>
      </c>
      <c r="N1055" t="s">
        <v>2918</v>
      </c>
      <c r="O1055" t="s">
        <v>2596</v>
      </c>
      <c r="P1055" s="108" t="s">
        <v>2596</v>
      </c>
      <c r="Q1055" s="108" t="s">
        <v>2596</v>
      </c>
      <c r="R1055" s="108" t="s">
        <v>2596</v>
      </c>
      <c r="S1055" t="s">
        <v>2596</v>
      </c>
      <c r="T1055" t="s">
        <v>2596</v>
      </c>
      <c r="U1055" t="s">
        <v>2596</v>
      </c>
      <c r="V1055" t="s">
        <v>2596</v>
      </c>
      <c r="W1055" t="s">
        <v>2596</v>
      </c>
      <c r="X1055" t="s">
        <v>2596</v>
      </c>
      <c r="Y1055" t="str">
        <f>VLOOKUP(Table_clu7sql1_ssdb_REPORT_vw_IE_External_MI_SON[[#This Row],[URN]],[1]Data!$D$2:$BB$1084,31,)</f>
        <v>NULL</v>
      </c>
      <c r="Z1055" t="s">
        <v>2596</v>
      </c>
      <c r="AA1055" t="s">
        <v>2596</v>
      </c>
      <c r="AB1055" t="s">
        <v>2596</v>
      </c>
      <c r="AC1055" t="s">
        <v>2596</v>
      </c>
      <c r="AD1055" t="s">
        <v>2596</v>
      </c>
      <c r="AE1055" s="108" t="s">
        <v>2596</v>
      </c>
      <c r="AF1055" t="s">
        <v>2596</v>
      </c>
      <c r="AG1055" s="108" t="s">
        <v>2596</v>
      </c>
      <c r="AH1055" t="s">
        <v>2596</v>
      </c>
    </row>
    <row r="1056" spans="1:34" x14ac:dyDescent="0.25">
      <c r="A1056" s="111" t="str">
        <f>HYPERLINK("http://www.ofsted.gov.uk/inspection-reports/find-inspection-report/provider/ELS/145064 ","Ofsted School Webpage")</f>
        <v>Ofsted School Webpage</v>
      </c>
      <c r="B1056">
        <v>145064</v>
      </c>
      <c r="C1056">
        <v>8866145</v>
      </c>
      <c r="D1056" t="s">
        <v>1912</v>
      </c>
      <c r="E1056" t="s">
        <v>37</v>
      </c>
      <c r="F1056" t="s">
        <v>142</v>
      </c>
      <c r="G1056" t="s">
        <v>142</v>
      </c>
      <c r="H1056" t="s">
        <v>2595</v>
      </c>
      <c r="I1056" t="s">
        <v>2596</v>
      </c>
      <c r="J1056" t="s">
        <v>143</v>
      </c>
      <c r="K1056" t="s">
        <v>139</v>
      </c>
      <c r="L1056" t="s">
        <v>139</v>
      </c>
      <c r="M1056" t="s">
        <v>140</v>
      </c>
      <c r="N1056" t="s">
        <v>1913</v>
      </c>
      <c r="O1056" t="s">
        <v>2596</v>
      </c>
      <c r="P1056" s="108" t="s">
        <v>2596</v>
      </c>
      <c r="Q1056" s="108" t="s">
        <v>2596</v>
      </c>
      <c r="R1056" s="108" t="s">
        <v>2596</v>
      </c>
      <c r="S1056" t="s">
        <v>2596</v>
      </c>
      <c r="T1056" t="s">
        <v>2596</v>
      </c>
      <c r="U1056" t="s">
        <v>2596</v>
      </c>
      <c r="V1056" t="s">
        <v>2596</v>
      </c>
      <c r="W1056" t="s">
        <v>2596</v>
      </c>
      <c r="X1056" t="s">
        <v>2596</v>
      </c>
      <c r="Y1056" t="str">
        <f>VLOOKUP(Table_clu7sql1_ssdb_REPORT_vw_IE_External_MI_SON[[#This Row],[URN]],[1]Data!$D$2:$BB$1084,31,)</f>
        <v>NULL</v>
      </c>
      <c r="Z1056" t="s">
        <v>2596</v>
      </c>
      <c r="AA1056" t="s">
        <v>2596</v>
      </c>
      <c r="AB1056" t="s">
        <v>2596</v>
      </c>
      <c r="AC1056" t="s">
        <v>2596</v>
      </c>
      <c r="AD1056" t="s">
        <v>2596</v>
      </c>
      <c r="AE1056" t="s">
        <v>2596</v>
      </c>
      <c r="AF1056" t="s">
        <v>2596</v>
      </c>
      <c r="AG1056" t="s">
        <v>2596</v>
      </c>
      <c r="AH1056" t="s">
        <v>2596</v>
      </c>
    </row>
    <row r="1057" spans="1:34" x14ac:dyDescent="0.25">
      <c r="A1057" s="111" t="str">
        <f>HYPERLINK("http://www.ofsted.gov.uk/inspection-reports/find-inspection-report/provider/ELS/145067 ","Ofsted School Webpage")</f>
        <v>Ofsted School Webpage</v>
      </c>
      <c r="B1057">
        <v>145067</v>
      </c>
      <c r="C1057">
        <v>3936000</v>
      </c>
      <c r="D1057" t="s">
        <v>2400</v>
      </c>
      <c r="E1057" t="s">
        <v>37</v>
      </c>
      <c r="F1057" t="s">
        <v>142</v>
      </c>
      <c r="G1057" t="s">
        <v>142</v>
      </c>
      <c r="H1057" t="s">
        <v>2595</v>
      </c>
      <c r="I1057" t="s">
        <v>2596</v>
      </c>
      <c r="J1057" t="s">
        <v>143</v>
      </c>
      <c r="K1057" t="s">
        <v>202</v>
      </c>
      <c r="L1057" t="s">
        <v>234</v>
      </c>
      <c r="M1057" t="s">
        <v>2401</v>
      </c>
      <c r="N1057" t="s">
        <v>2402</v>
      </c>
      <c r="O1057" t="s">
        <v>2596</v>
      </c>
      <c r="P1057" s="108" t="s">
        <v>2596</v>
      </c>
      <c r="Q1057" s="108" t="s">
        <v>2596</v>
      </c>
      <c r="R1057" s="108" t="s">
        <v>2596</v>
      </c>
      <c r="S1057" t="s">
        <v>2596</v>
      </c>
      <c r="T1057" t="s">
        <v>2596</v>
      </c>
      <c r="U1057" t="s">
        <v>2596</v>
      </c>
      <c r="V1057" t="s">
        <v>2596</v>
      </c>
      <c r="W1057" t="s">
        <v>2596</v>
      </c>
      <c r="X1057" t="s">
        <v>2596</v>
      </c>
      <c r="Y1057" t="str">
        <f>VLOOKUP(Table_clu7sql1_ssdb_REPORT_vw_IE_External_MI_SON[[#This Row],[URN]],[1]Data!$D$2:$BB$1084,31,)</f>
        <v>NULL</v>
      </c>
      <c r="Z1057" t="s">
        <v>2596</v>
      </c>
      <c r="AA1057" t="s">
        <v>2596</v>
      </c>
      <c r="AB1057" t="s">
        <v>2596</v>
      </c>
      <c r="AC1057" t="s">
        <v>2596</v>
      </c>
      <c r="AD1057" t="s">
        <v>2596</v>
      </c>
      <c r="AE1057" t="s">
        <v>2596</v>
      </c>
      <c r="AF1057" t="s">
        <v>2596</v>
      </c>
      <c r="AG1057" t="s">
        <v>2596</v>
      </c>
      <c r="AH1057" t="s">
        <v>2596</v>
      </c>
    </row>
    <row r="1058" spans="1:34" x14ac:dyDescent="0.25">
      <c r="A1058" s="111" t="str">
        <f>HYPERLINK("http://www.ofsted.gov.uk/inspection-reports/find-inspection-report/provider/ELS/145116 ","Ofsted School Webpage")</f>
        <v>Ofsted School Webpage</v>
      </c>
      <c r="B1058">
        <v>145116</v>
      </c>
      <c r="C1058">
        <v>8456063</v>
      </c>
      <c r="D1058" t="s">
        <v>2403</v>
      </c>
      <c r="E1058" t="s">
        <v>37</v>
      </c>
      <c r="F1058" t="s">
        <v>142</v>
      </c>
      <c r="G1058" t="s">
        <v>142</v>
      </c>
      <c r="H1058" t="s">
        <v>2595</v>
      </c>
      <c r="I1058" t="s">
        <v>2596</v>
      </c>
      <c r="J1058" t="s">
        <v>143</v>
      </c>
      <c r="K1058" t="s">
        <v>139</v>
      </c>
      <c r="L1058" t="s">
        <v>139</v>
      </c>
      <c r="M1058" t="s">
        <v>394</v>
      </c>
      <c r="N1058" t="s">
        <v>2404</v>
      </c>
      <c r="O1058" t="s">
        <v>2596</v>
      </c>
      <c r="P1058" s="108" t="s">
        <v>2596</v>
      </c>
      <c r="Q1058" s="108" t="s">
        <v>2596</v>
      </c>
      <c r="R1058" s="108" t="s">
        <v>2596</v>
      </c>
      <c r="S1058" t="s">
        <v>2596</v>
      </c>
      <c r="T1058" t="s">
        <v>2596</v>
      </c>
      <c r="U1058" t="s">
        <v>2596</v>
      </c>
      <c r="V1058" t="s">
        <v>2596</v>
      </c>
      <c r="W1058" t="s">
        <v>2596</v>
      </c>
      <c r="X1058" t="s">
        <v>2596</v>
      </c>
      <c r="Y1058" t="str">
        <f>VLOOKUP(Table_clu7sql1_ssdb_REPORT_vw_IE_External_MI_SON[[#This Row],[URN]],[1]Data!$D$2:$BB$1084,31,)</f>
        <v>NULL</v>
      </c>
      <c r="Z1058" t="s">
        <v>2596</v>
      </c>
      <c r="AA1058" t="s">
        <v>2596</v>
      </c>
      <c r="AB1058" t="s">
        <v>2596</v>
      </c>
      <c r="AC1058" t="s">
        <v>2596</v>
      </c>
      <c r="AD1058" t="s">
        <v>2596</v>
      </c>
      <c r="AE1058" t="s">
        <v>2596</v>
      </c>
      <c r="AF1058" t="s">
        <v>2596</v>
      </c>
      <c r="AG1058" t="s">
        <v>2596</v>
      </c>
      <c r="AH1058" t="s">
        <v>2596</v>
      </c>
    </row>
    <row r="1059" spans="1:34" x14ac:dyDescent="0.25">
      <c r="A1059" s="111" t="str">
        <f>HYPERLINK("http://www.ofsted.gov.uk/inspection-reports/find-inspection-report/provider/ELS/145127 ","Ofsted School Webpage")</f>
        <v>Ofsted School Webpage</v>
      </c>
      <c r="B1059">
        <v>145127</v>
      </c>
      <c r="C1059">
        <v>8416008</v>
      </c>
      <c r="D1059" t="s">
        <v>2405</v>
      </c>
      <c r="E1059" t="s">
        <v>37</v>
      </c>
      <c r="F1059" t="s">
        <v>142</v>
      </c>
      <c r="G1059" t="s">
        <v>142</v>
      </c>
      <c r="H1059" t="s">
        <v>2595</v>
      </c>
      <c r="I1059" t="s">
        <v>2596</v>
      </c>
      <c r="J1059" t="s">
        <v>143</v>
      </c>
      <c r="K1059" t="s">
        <v>202</v>
      </c>
      <c r="L1059" t="s">
        <v>234</v>
      </c>
      <c r="M1059" t="s">
        <v>545</v>
      </c>
      <c r="N1059" t="s">
        <v>2406</v>
      </c>
      <c r="O1059" t="s">
        <v>2596</v>
      </c>
      <c r="P1059" s="108" t="s">
        <v>2596</v>
      </c>
      <c r="Q1059" s="108" t="s">
        <v>2596</v>
      </c>
      <c r="R1059" s="108" t="s">
        <v>2596</v>
      </c>
      <c r="S1059" t="s">
        <v>2596</v>
      </c>
      <c r="T1059" t="s">
        <v>2596</v>
      </c>
      <c r="U1059" t="s">
        <v>2596</v>
      </c>
      <c r="V1059" t="s">
        <v>2596</v>
      </c>
      <c r="W1059" t="s">
        <v>2596</v>
      </c>
      <c r="X1059" t="s">
        <v>2596</v>
      </c>
      <c r="Y1059" t="str">
        <f>VLOOKUP(Table_clu7sql1_ssdb_REPORT_vw_IE_External_MI_SON[[#This Row],[URN]],[1]Data!$D$2:$BB$1084,31,)</f>
        <v>NULL</v>
      </c>
      <c r="Z1059" t="s">
        <v>2596</v>
      </c>
      <c r="AA1059" t="s">
        <v>2596</v>
      </c>
      <c r="AB1059" t="s">
        <v>2596</v>
      </c>
      <c r="AC1059" t="s">
        <v>2596</v>
      </c>
      <c r="AD1059" t="s">
        <v>2596</v>
      </c>
      <c r="AE1059" t="s">
        <v>2596</v>
      </c>
      <c r="AF1059" t="s">
        <v>2596</v>
      </c>
      <c r="AG1059" t="s">
        <v>2596</v>
      </c>
      <c r="AH1059" t="s">
        <v>2596</v>
      </c>
    </row>
    <row r="1060" spans="1:34" x14ac:dyDescent="0.25">
      <c r="A1060" s="111" t="str">
        <f>HYPERLINK("http://www.ofsted.gov.uk/inspection-reports/find-inspection-report/provider/ELS/145128 ","Ofsted School Webpage")</f>
        <v>Ofsted School Webpage</v>
      </c>
      <c r="B1060">
        <v>145128</v>
      </c>
      <c r="C1060">
        <v>8846017</v>
      </c>
      <c r="D1060" t="s">
        <v>2407</v>
      </c>
      <c r="E1060" t="s">
        <v>37</v>
      </c>
      <c r="F1060" t="s">
        <v>142</v>
      </c>
      <c r="G1060" t="s">
        <v>142</v>
      </c>
      <c r="H1060" t="s">
        <v>2595</v>
      </c>
      <c r="I1060" t="s">
        <v>2596</v>
      </c>
      <c r="J1060" t="s">
        <v>143</v>
      </c>
      <c r="K1060" t="s">
        <v>150</v>
      </c>
      <c r="L1060" t="s">
        <v>150</v>
      </c>
      <c r="M1060" t="s">
        <v>1021</v>
      </c>
      <c r="N1060" t="s">
        <v>2408</v>
      </c>
      <c r="O1060" t="s">
        <v>2596</v>
      </c>
      <c r="P1060" s="108" t="s">
        <v>2596</v>
      </c>
      <c r="Q1060" s="108" t="s">
        <v>2596</v>
      </c>
      <c r="R1060" s="108" t="s">
        <v>2596</v>
      </c>
      <c r="S1060" t="s">
        <v>2596</v>
      </c>
      <c r="T1060" t="s">
        <v>2596</v>
      </c>
      <c r="U1060" t="s">
        <v>2596</v>
      </c>
      <c r="V1060" t="s">
        <v>2596</v>
      </c>
      <c r="W1060" t="s">
        <v>2596</v>
      </c>
      <c r="X1060" t="s">
        <v>2596</v>
      </c>
      <c r="Y1060" t="str">
        <f>VLOOKUP(Table_clu7sql1_ssdb_REPORT_vw_IE_External_MI_SON[[#This Row],[URN]],[1]Data!$D$2:$BB$1084,31,)</f>
        <v>NULL</v>
      </c>
      <c r="Z1060" t="s">
        <v>2596</v>
      </c>
      <c r="AA1060" t="s">
        <v>2596</v>
      </c>
      <c r="AB1060" t="s">
        <v>2596</v>
      </c>
      <c r="AC1060" t="s">
        <v>2596</v>
      </c>
      <c r="AD1060" t="s">
        <v>2596</v>
      </c>
      <c r="AE1060" t="s">
        <v>2596</v>
      </c>
      <c r="AF1060" t="s">
        <v>2596</v>
      </c>
      <c r="AG1060" t="s">
        <v>2596</v>
      </c>
      <c r="AH1060" t="s">
        <v>2596</v>
      </c>
    </row>
    <row r="1061" spans="1:34" x14ac:dyDescent="0.25">
      <c r="A1061" s="111" t="str">
        <f>HYPERLINK("http://www.ofsted.gov.uk/inspection-reports/find-inspection-report/provider/ELS/145129 ","Ofsted School Webpage")</f>
        <v>Ofsted School Webpage</v>
      </c>
      <c r="B1061">
        <v>145129</v>
      </c>
      <c r="C1061">
        <v>8926024</v>
      </c>
      <c r="D1061" t="s">
        <v>2409</v>
      </c>
      <c r="E1061" t="s">
        <v>36</v>
      </c>
      <c r="F1061" t="s">
        <v>142</v>
      </c>
      <c r="G1061" t="s">
        <v>142</v>
      </c>
      <c r="H1061" t="s">
        <v>2595</v>
      </c>
      <c r="I1061" t="s">
        <v>2596</v>
      </c>
      <c r="J1061" t="s">
        <v>143</v>
      </c>
      <c r="K1061" t="s">
        <v>171</v>
      </c>
      <c r="L1061" t="s">
        <v>171</v>
      </c>
      <c r="M1061" t="s">
        <v>244</v>
      </c>
      <c r="N1061" t="s">
        <v>2410</v>
      </c>
      <c r="O1061" t="s">
        <v>2596</v>
      </c>
      <c r="P1061" s="108" t="s">
        <v>2596</v>
      </c>
      <c r="Q1061" s="108" t="s">
        <v>2596</v>
      </c>
      <c r="R1061" s="108" t="s">
        <v>2596</v>
      </c>
      <c r="S1061" t="s">
        <v>2596</v>
      </c>
      <c r="T1061" t="s">
        <v>2596</v>
      </c>
      <c r="U1061" t="s">
        <v>2596</v>
      </c>
      <c r="V1061" t="s">
        <v>2596</v>
      </c>
      <c r="W1061" t="s">
        <v>2596</v>
      </c>
      <c r="X1061" t="s">
        <v>2596</v>
      </c>
      <c r="Y1061" t="str">
        <f>VLOOKUP(Table_clu7sql1_ssdb_REPORT_vw_IE_External_MI_SON[[#This Row],[URN]],[1]Data!$D$2:$BB$1084,31,)</f>
        <v>NULL</v>
      </c>
      <c r="Z1061" t="s">
        <v>2596</v>
      </c>
      <c r="AA1061" t="s">
        <v>2596</v>
      </c>
      <c r="AB1061" t="s">
        <v>2596</v>
      </c>
      <c r="AC1061" t="s">
        <v>2596</v>
      </c>
      <c r="AD1061" t="s">
        <v>2596</v>
      </c>
      <c r="AE1061" t="s">
        <v>2596</v>
      </c>
      <c r="AF1061" t="s">
        <v>2596</v>
      </c>
      <c r="AG1061" t="s">
        <v>2596</v>
      </c>
      <c r="AH1061" t="s">
        <v>2596</v>
      </c>
    </row>
    <row r="1062" spans="1:34" x14ac:dyDescent="0.25">
      <c r="A1062" s="111" t="str">
        <f>HYPERLINK("http://www.ofsted.gov.uk/inspection-reports/find-inspection-report/provider/ELS/145159 ","Ofsted School Webpage")</f>
        <v>Ofsted School Webpage</v>
      </c>
      <c r="B1062">
        <v>145159</v>
      </c>
      <c r="C1062">
        <v>9266017</v>
      </c>
      <c r="D1062" t="s">
        <v>2411</v>
      </c>
      <c r="E1062" t="s">
        <v>37</v>
      </c>
      <c r="F1062" t="s">
        <v>142</v>
      </c>
      <c r="G1062" t="s">
        <v>142</v>
      </c>
      <c r="H1062" t="s">
        <v>2595</v>
      </c>
      <c r="I1062" t="s">
        <v>2596</v>
      </c>
      <c r="J1062" t="s">
        <v>143</v>
      </c>
      <c r="K1062" t="s">
        <v>177</v>
      </c>
      <c r="L1062" t="s">
        <v>177</v>
      </c>
      <c r="M1062" t="s">
        <v>401</v>
      </c>
      <c r="N1062" t="s">
        <v>2412</v>
      </c>
      <c r="O1062" t="s">
        <v>2596</v>
      </c>
      <c r="P1062" s="108" t="s">
        <v>2596</v>
      </c>
      <c r="Q1062" s="108" t="s">
        <v>2596</v>
      </c>
      <c r="R1062" s="108" t="s">
        <v>2596</v>
      </c>
      <c r="S1062" t="s">
        <v>2596</v>
      </c>
      <c r="T1062" t="s">
        <v>2596</v>
      </c>
      <c r="U1062" t="s">
        <v>2596</v>
      </c>
      <c r="V1062" t="s">
        <v>2596</v>
      </c>
      <c r="W1062" t="s">
        <v>2596</v>
      </c>
      <c r="X1062" t="s">
        <v>2596</v>
      </c>
      <c r="Y1062" t="str">
        <f>VLOOKUP(Table_clu7sql1_ssdb_REPORT_vw_IE_External_MI_SON[[#This Row],[URN]],[1]Data!$D$2:$BB$1084,31,)</f>
        <v>NULL</v>
      </c>
      <c r="Z1062" t="s">
        <v>2596</v>
      </c>
      <c r="AA1062" t="s">
        <v>2596</v>
      </c>
      <c r="AB1062" t="s">
        <v>2596</v>
      </c>
      <c r="AC1062" t="s">
        <v>2596</v>
      </c>
      <c r="AD1062" t="s">
        <v>2596</v>
      </c>
      <c r="AE1062" t="s">
        <v>2596</v>
      </c>
      <c r="AF1062" t="s">
        <v>2596</v>
      </c>
      <c r="AG1062" t="s">
        <v>2596</v>
      </c>
      <c r="AH1062" t="s">
        <v>2596</v>
      </c>
    </row>
    <row r="1063" spans="1:34" x14ac:dyDescent="0.25">
      <c r="A1063" s="111" t="str">
        <f>HYPERLINK("http://www.ofsted.gov.uk/inspection-reports/find-inspection-report/provider/ELS/145160 ","Ofsted School Webpage")</f>
        <v>Ofsted School Webpage</v>
      </c>
      <c r="B1063">
        <v>145160</v>
      </c>
      <c r="C1063">
        <v>3406005</v>
      </c>
      <c r="D1063" t="s">
        <v>2572</v>
      </c>
      <c r="E1063" t="s">
        <v>36</v>
      </c>
      <c r="F1063" t="s">
        <v>142</v>
      </c>
      <c r="G1063" t="s">
        <v>142</v>
      </c>
      <c r="H1063" t="s">
        <v>2595</v>
      </c>
      <c r="I1063" t="s">
        <v>2596</v>
      </c>
      <c r="J1063" t="s">
        <v>143</v>
      </c>
      <c r="K1063" t="s">
        <v>162</v>
      </c>
      <c r="L1063" t="s">
        <v>162</v>
      </c>
      <c r="M1063" t="s">
        <v>856</v>
      </c>
      <c r="N1063" t="s">
        <v>2573</v>
      </c>
      <c r="O1063" t="s">
        <v>2596</v>
      </c>
      <c r="P1063" s="108" t="s">
        <v>2596</v>
      </c>
      <c r="Q1063" s="108" t="s">
        <v>2596</v>
      </c>
      <c r="R1063" s="108" t="s">
        <v>2596</v>
      </c>
      <c r="S1063" t="s">
        <v>2596</v>
      </c>
      <c r="T1063" t="s">
        <v>2596</v>
      </c>
      <c r="U1063" t="s">
        <v>2596</v>
      </c>
      <c r="V1063" t="s">
        <v>2596</v>
      </c>
      <c r="W1063" t="s">
        <v>2596</v>
      </c>
      <c r="X1063" t="s">
        <v>2596</v>
      </c>
      <c r="Y1063" t="str">
        <f>VLOOKUP(Table_clu7sql1_ssdb_REPORT_vw_IE_External_MI_SON[[#This Row],[URN]],[1]Data!$D$2:$BB$1084,31,)</f>
        <v>NULL</v>
      </c>
      <c r="Z1063" t="s">
        <v>2596</v>
      </c>
      <c r="AA1063" t="s">
        <v>2596</v>
      </c>
      <c r="AB1063" t="s">
        <v>2596</v>
      </c>
      <c r="AC1063" t="s">
        <v>2596</v>
      </c>
      <c r="AD1063" t="s">
        <v>2596</v>
      </c>
      <c r="AE1063" s="108" t="s">
        <v>2596</v>
      </c>
      <c r="AF1063" t="s">
        <v>2596</v>
      </c>
      <c r="AG1063" s="108" t="s">
        <v>2596</v>
      </c>
      <c r="AH1063" t="s">
        <v>2596</v>
      </c>
    </row>
    <row r="1064" spans="1:34" x14ac:dyDescent="0.25">
      <c r="A1064" s="111" t="str">
        <f>HYPERLINK("http://www.ofsted.gov.uk/inspection-reports/find-inspection-report/provider/ELS/145162 ","Ofsted School Webpage")</f>
        <v>Ofsted School Webpage</v>
      </c>
      <c r="B1064">
        <v>145162</v>
      </c>
      <c r="C1064">
        <v>8816070</v>
      </c>
      <c r="D1064" t="s">
        <v>2605</v>
      </c>
      <c r="E1064" t="s">
        <v>36</v>
      </c>
      <c r="F1064" t="s">
        <v>142</v>
      </c>
      <c r="G1064" t="s">
        <v>169</v>
      </c>
      <c r="H1064" t="s">
        <v>2595</v>
      </c>
      <c r="I1064" t="s">
        <v>2596</v>
      </c>
      <c r="J1064" t="s">
        <v>143</v>
      </c>
      <c r="K1064" t="s">
        <v>177</v>
      </c>
      <c r="L1064" t="s">
        <v>177</v>
      </c>
      <c r="M1064" t="s">
        <v>280</v>
      </c>
      <c r="N1064" t="s">
        <v>2574</v>
      </c>
      <c r="O1064" t="s">
        <v>2596</v>
      </c>
      <c r="P1064" s="108" t="s">
        <v>2596</v>
      </c>
      <c r="Q1064" s="108" t="s">
        <v>2596</v>
      </c>
      <c r="R1064" s="108" t="s">
        <v>2596</v>
      </c>
      <c r="S1064" t="s">
        <v>2596</v>
      </c>
      <c r="T1064" t="s">
        <v>2596</v>
      </c>
      <c r="U1064" t="s">
        <v>2596</v>
      </c>
      <c r="V1064" t="s">
        <v>2596</v>
      </c>
      <c r="W1064" t="s">
        <v>2596</v>
      </c>
      <c r="X1064" t="s">
        <v>2596</v>
      </c>
      <c r="Y1064" t="str">
        <f>VLOOKUP(Table_clu7sql1_ssdb_REPORT_vw_IE_External_MI_SON[[#This Row],[URN]],[1]Data!$D$2:$BB$1084,31,)</f>
        <v>NULL</v>
      </c>
      <c r="Z1064" t="s">
        <v>2596</v>
      </c>
      <c r="AA1064" t="s">
        <v>2596</v>
      </c>
      <c r="AB1064" t="s">
        <v>2596</v>
      </c>
      <c r="AC1064" t="s">
        <v>2596</v>
      </c>
      <c r="AD1064" t="s">
        <v>2596</v>
      </c>
      <c r="AE1064" t="s">
        <v>2596</v>
      </c>
      <c r="AF1064" t="s">
        <v>2596</v>
      </c>
      <c r="AG1064" t="s">
        <v>2596</v>
      </c>
      <c r="AH1064" t="s">
        <v>2596</v>
      </c>
    </row>
    <row r="1065" spans="1:34" x14ac:dyDescent="0.25">
      <c r="A1065" s="111" t="str">
        <f>HYPERLINK("http://www.ofsted.gov.uk/inspection-reports/find-inspection-report/provider/ELS/145164 ","Ofsted School Webpage")</f>
        <v>Ofsted School Webpage</v>
      </c>
      <c r="B1065">
        <v>145164</v>
      </c>
      <c r="C1065">
        <v>2126003</v>
      </c>
      <c r="D1065" t="s">
        <v>2575</v>
      </c>
      <c r="E1065" t="s">
        <v>37</v>
      </c>
      <c r="F1065" t="s">
        <v>142</v>
      </c>
      <c r="G1065" t="s">
        <v>142</v>
      </c>
      <c r="H1065" t="s">
        <v>2595</v>
      </c>
      <c r="I1065" t="s">
        <v>2596</v>
      </c>
      <c r="J1065" t="s">
        <v>143</v>
      </c>
      <c r="K1065" t="s">
        <v>189</v>
      </c>
      <c r="L1065" t="s">
        <v>189</v>
      </c>
      <c r="M1065" t="s">
        <v>391</v>
      </c>
      <c r="N1065" t="s">
        <v>2919</v>
      </c>
      <c r="O1065" t="s">
        <v>2596</v>
      </c>
      <c r="P1065" s="108" t="s">
        <v>2596</v>
      </c>
      <c r="Q1065" s="108" t="s">
        <v>2596</v>
      </c>
      <c r="R1065" s="108" t="s">
        <v>2596</v>
      </c>
      <c r="S1065" t="s">
        <v>2596</v>
      </c>
      <c r="T1065" t="s">
        <v>2596</v>
      </c>
      <c r="U1065" t="s">
        <v>2596</v>
      </c>
      <c r="V1065" t="s">
        <v>2596</v>
      </c>
      <c r="W1065" t="s">
        <v>2596</v>
      </c>
      <c r="X1065" t="s">
        <v>2596</v>
      </c>
      <c r="Y1065" t="str">
        <f>VLOOKUP(Table_clu7sql1_ssdb_REPORT_vw_IE_External_MI_SON[[#This Row],[URN]],[1]Data!$D$2:$BB$1084,31,)</f>
        <v>NULL</v>
      </c>
      <c r="Z1065" t="s">
        <v>2596</v>
      </c>
      <c r="AA1065" t="s">
        <v>2596</v>
      </c>
      <c r="AB1065" t="s">
        <v>2596</v>
      </c>
      <c r="AC1065" t="s">
        <v>2596</v>
      </c>
      <c r="AD1065" t="s">
        <v>2596</v>
      </c>
      <c r="AE1065" t="s">
        <v>2596</v>
      </c>
      <c r="AF1065" t="s">
        <v>2596</v>
      </c>
      <c r="AG1065" t="s">
        <v>2596</v>
      </c>
      <c r="AH1065" t="s">
        <v>2596</v>
      </c>
    </row>
    <row r="1066" spans="1:34" x14ac:dyDescent="0.25">
      <c r="A1066" s="111" t="str">
        <f>HYPERLINK("http://www.ofsted.gov.uk/inspection-reports/find-inspection-report/provider/ELS/145165 ","Ofsted School Webpage")</f>
        <v>Ofsted School Webpage</v>
      </c>
      <c r="B1066">
        <v>145165</v>
      </c>
      <c r="C1066">
        <v>2066003</v>
      </c>
      <c r="D1066" t="s">
        <v>2576</v>
      </c>
      <c r="E1066" t="s">
        <v>36</v>
      </c>
      <c r="F1066" t="s">
        <v>142</v>
      </c>
      <c r="G1066" t="s">
        <v>142</v>
      </c>
      <c r="H1066" t="s">
        <v>2595</v>
      </c>
      <c r="I1066" t="s">
        <v>2596</v>
      </c>
      <c r="J1066" t="s">
        <v>143</v>
      </c>
      <c r="K1066" t="s">
        <v>189</v>
      </c>
      <c r="L1066" t="s">
        <v>189</v>
      </c>
      <c r="M1066" t="s">
        <v>1874</v>
      </c>
      <c r="N1066" t="s">
        <v>2577</v>
      </c>
      <c r="O1066" t="s">
        <v>2596</v>
      </c>
      <c r="P1066" s="108" t="s">
        <v>2596</v>
      </c>
      <c r="Q1066" s="108" t="s">
        <v>2596</v>
      </c>
      <c r="R1066" s="108" t="s">
        <v>2596</v>
      </c>
      <c r="S1066" t="s">
        <v>2596</v>
      </c>
      <c r="T1066" t="s">
        <v>2596</v>
      </c>
      <c r="U1066" t="s">
        <v>2596</v>
      </c>
      <c r="V1066" t="s">
        <v>2596</v>
      </c>
      <c r="W1066" t="s">
        <v>2596</v>
      </c>
      <c r="X1066" t="s">
        <v>2596</v>
      </c>
      <c r="Y1066" t="str">
        <f>VLOOKUP(Table_clu7sql1_ssdb_REPORT_vw_IE_External_MI_SON[[#This Row],[URN]],[1]Data!$D$2:$BB$1084,31,)</f>
        <v>NULL</v>
      </c>
      <c r="Z1066" t="s">
        <v>2596</v>
      </c>
      <c r="AA1066" t="s">
        <v>2596</v>
      </c>
      <c r="AB1066" t="s">
        <v>2596</v>
      </c>
      <c r="AC1066" t="s">
        <v>2596</v>
      </c>
      <c r="AD1066" t="s">
        <v>2596</v>
      </c>
      <c r="AE1066" t="s">
        <v>2596</v>
      </c>
      <c r="AF1066" t="s">
        <v>2596</v>
      </c>
      <c r="AG1066" t="s">
        <v>2596</v>
      </c>
      <c r="AH1066" t="s">
        <v>2596</v>
      </c>
    </row>
    <row r="1067" spans="1:34" x14ac:dyDescent="0.25">
      <c r="A1067" s="111" t="str">
        <f>HYPERLINK("http://www.ofsted.gov.uk/inspection-reports/find-inspection-report/provider/ELS/145168 ","Ofsted School Webpage")</f>
        <v>Ofsted School Webpage</v>
      </c>
      <c r="B1067">
        <v>145168</v>
      </c>
      <c r="C1067">
        <v>3806014</v>
      </c>
      <c r="D1067" t="s">
        <v>2578</v>
      </c>
      <c r="E1067" t="s">
        <v>36</v>
      </c>
      <c r="F1067" t="s">
        <v>261</v>
      </c>
      <c r="G1067" t="s">
        <v>142</v>
      </c>
      <c r="H1067" t="s">
        <v>2595</v>
      </c>
      <c r="I1067" t="s">
        <v>2596</v>
      </c>
      <c r="J1067" t="s">
        <v>143</v>
      </c>
      <c r="K1067" t="s">
        <v>202</v>
      </c>
      <c r="L1067" t="s">
        <v>203</v>
      </c>
      <c r="M1067" t="s">
        <v>295</v>
      </c>
      <c r="N1067" t="s">
        <v>1480</v>
      </c>
      <c r="O1067" t="s">
        <v>2596</v>
      </c>
      <c r="P1067" s="108" t="s">
        <v>2596</v>
      </c>
      <c r="Q1067" s="108" t="s">
        <v>2596</v>
      </c>
      <c r="R1067" s="108" t="s">
        <v>2596</v>
      </c>
      <c r="S1067" t="s">
        <v>2596</v>
      </c>
      <c r="T1067" t="s">
        <v>2596</v>
      </c>
      <c r="U1067" t="s">
        <v>2596</v>
      </c>
      <c r="V1067" t="s">
        <v>2596</v>
      </c>
      <c r="W1067" t="s">
        <v>2596</v>
      </c>
      <c r="X1067" t="s">
        <v>2596</v>
      </c>
      <c r="Y1067" t="str">
        <f>VLOOKUP(Table_clu7sql1_ssdb_REPORT_vw_IE_External_MI_SON[[#This Row],[URN]],[1]Data!$D$2:$BB$1084,31,)</f>
        <v>NULL</v>
      </c>
      <c r="Z1067" t="s">
        <v>2596</v>
      </c>
      <c r="AA1067" t="s">
        <v>2596</v>
      </c>
      <c r="AB1067" t="s">
        <v>2596</v>
      </c>
      <c r="AC1067" t="s">
        <v>2596</v>
      </c>
      <c r="AD1067" t="s">
        <v>2596</v>
      </c>
      <c r="AE1067" s="108" t="s">
        <v>2596</v>
      </c>
      <c r="AF1067" t="s">
        <v>2596</v>
      </c>
      <c r="AG1067" s="108" t="s">
        <v>2596</v>
      </c>
      <c r="AH1067" t="s">
        <v>2596</v>
      </c>
    </row>
    <row r="1068" spans="1:34" x14ac:dyDescent="0.25">
      <c r="A1068" s="111" t="str">
        <f>HYPERLINK("http://www.ofsted.gov.uk/inspection-reports/find-inspection-report/provider/ELS/145170 ","Ofsted School Webpage")</f>
        <v>Ofsted School Webpage</v>
      </c>
      <c r="B1068">
        <v>145170</v>
      </c>
      <c r="C1068">
        <v>3546038</v>
      </c>
      <c r="D1068" t="s">
        <v>2920</v>
      </c>
      <c r="E1068" t="s">
        <v>36</v>
      </c>
      <c r="F1068" t="s">
        <v>142</v>
      </c>
      <c r="G1068" t="s">
        <v>142</v>
      </c>
      <c r="H1068" t="s">
        <v>2595</v>
      </c>
      <c r="I1068" t="s">
        <v>2596</v>
      </c>
      <c r="J1068" t="s">
        <v>143</v>
      </c>
      <c r="K1068" t="s">
        <v>162</v>
      </c>
      <c r="L1068" t="s">
        <v>162</v>
      </c>
      <c r="M1068" t="s">
        <v>412</v>
      </c>
      <c r="N1068" t="s">
        <v>2579</v>
      </c>
      <c r="O1068" t="s">
        <v>2596</v>
      </c>
      <c r="P1068" s="108" t="s">
        <v>2596</v>
      </c>
      <c r="Q1068" s="108" t="s">
        <v>2596</v>
      </c>
      <c r="R1068" s="108" t="s">
        <v>2596</v>
      </c>
      <c r="S1068" t="s">
        <v>2596</v>
      </c>
      <c r="T1068" t="s">
        <v>2596</v>
      </c>
      <c r="U1068" t="s">
        <v>2596</v>
      </c>
      <c r="V1068" t="s">
        <v>2596</v>
      </c>
      <c r="W1068" t="s">
        <v>2596</v>
      </c>
      <c r="X1068" t="s">
        <v>2596</v>
      </c>
      <c r="Y1068" t="str">
        <f>VLOOKUP(Table_clu7sql1_ssdb_REPORT_vw_IE_External_MI_SON[[#This Row],[URN]],[1]Data!$D$2:$BB$1084,31,)</f>
        <v>NULL</v>
      </c>
      <c r="Z1068" t="s">
        <v>2596</v>
      </c>
      <c r="AA1068" t="s">
        <v>2596</v>
      </c>
      <c r="AB1068" t="s">
        <v>2596</v>
      </c>
      <c r="AC1068" t="s">
        <v>2596</v>
      </c>
      <c r="AD1068" t="s">
        <v>2596</v>
      </c>
      <c r="AE1068" t="s">
        <v>2596</v>
      </c>
      <c r="AF1068" t="s">
        <v>2596</v>
      </c>
      <c r="AG1068" t="s">
        <v>2596</v>
      </c>
      <c r="AH1068" t="s">
        <v>2596</v>
      </c>
    </row>
    <row r="1069" spans="1:34" x14ac:dyDescent="0.25">
      <c r="A1069" s="111" t="str">
        <f>HYPERLINK("http://www.ofsted.gov.uk/inspection-reports/find-inspection-report/provider/ELS/145181 ","Ofsted School Webpage")</f>
        <v>Ofsted School Webpage</v>
      </c>
      <c r="B1069">
        <v>145181</v>
      </c>
      <c r="C1069">
        <v>8786071</v>
      </c>
      <c r="D1069" t="s">
        <v>2580</v>
      </c>
      <c r="E1069" t="s">
        <v>37</v>
      </c>
      <c r="F1069" t="s">
        <v>142</v>
      </c>
      <c r="G1069" t="s">
        <v>142</v>
      </c>
      <c r="H1069" t="s">
        <v>2595</v>
      </c>
      <c r="I1069" t="s">
        <v>2596</v>
      </c>
      <c r="J1069" t="s">
        <v>143</v>
      </c>
      <c r="K1069" t="s">
        <v>182</v>
      </c>
      <c r="L1069" t="s">
        <v>182</v>
      </c>
      <c r="M1069" t="s">
        <v>323</v>
      </c>
      <c r="N1069" t="s">
        <v>2581</v>
      </c>
      <c r="O1069" t="s">
        <v>2596</v>
      </c>
      <c r="P1069" s="108" t="s">
        <v>2596</v>
      </c>
      <c r="Q1069" s="108" t="s">
        <v>2596</v>
      </c>
      <c r="R1069" s="108" t="s">
        <v>2596</v>
      </c>
      <c r="S1069" t="s">
        <v>2596</v>
      </c>
      <c r="T1069" t="s">
        <v>2596</v>
      </c>
      <c r="U1069" t="s">
        <v>2596</v>
      </c>
      <c r="V1069" t="s">
        <v>2596</v>
      </c>
      <c r="W1069" t="s">
        <v>2596</v>
      </c>
      <c r="X1069" t="s">
        <v>2596</v>
      </c>
      <c r="Y1069" t="str">
        <f>VLOOKUP(Table_clu7sql1_ssdb_REPORT_vw_IE_External_MI_SON[[#This Row],[URN]],[1]Data!$D$2:$BB$1084,31,)</f>
        <v>NULL</v>
      </c>
      <c r="Z1069" t="s">
        <v>2596</v>
      </c>
      <c r="AA1069" t="s">
        <v>2596</v>
      </c>
      <c r="AB1069" t="s">
        <v>2596</v>
      </c>
      <c r="AC1069" t="s">
        <v>2596</v>
      </c>
      <c r="AD1069" t="s">
        <v>2596</v>
      </c>
      <c r="AE1069" t="s">
        <v>2596</v>
      </c>
      <c r="AF1069" t="s">
        <v>2596</v>
      </c>
      <c r="AG1069" t="s">
        <v>2596</v>
      </c>
      <c r="AH1069" t="s">
        <v>2596</v>
      </c>
    </row>
    <row r="1070" spans="1:34" x14ac:dyDescent="0.25">
      <c r="A1070" s="111" t="str">
        <f>HYPERLINK("http://www.ofsted.gov.uk/inspection-reports/find-inspection-report/provider/ELS/145182 ","Ofsted School Webpage")</f>
        <v>Ofsted School Webpage</v>
      </c>
      <c r="B1070">
        <v>145182</v>
      </c>
      <c r="C1070">
        <v>3416011</v>
      </c>
      <c r="D1070" t="s">
        <v>2601</v>
      </c>
      <c r="E1070" t="s">
        <v>37</v>
      </c>
      <c r="F1070" t="s">
        <v>142</v>
      </c>
      <c r="G1070" t="s">
        <v>142</v>
      </c>
      <c r="H1070" t="s">
        <v>2595</v>
      </c>
      <c r="I1070" t="s">
        <v>2596</v>
      </c>
      <c r="J1070" t="s">
        <v>143</v>
      </c>
      <c r="K1070" t="s">
        <v>162</v>
      </c>
      <c r="L1070" t="s">
        <v>162</v>
      </c>
      <c r="M1070" t="s">
        <v>611</v>
      </c>
      <c r="N1070" t="s">
        <v>2602</v>
      </c>
      <c r="O1070" t="s">
        <v>2596</v>
      </c>
      <c r="P1070" s="108" t="s">
        <v>2596</v>
      </c>
      <c r="Q1070" s="108" t="s">
        <v>2596</v>
      </c>
      <c r="R1070" s="108" t="s">
        <v>2596</v>
      </c>
      <c r="S1070" t="s">
        <v>2596</v>
      </c>
      <c r="T1070" t="s">
        <v>2596</v>
      </c>
      <c r="U1070" t="s">
        <v>2596</v>
      </c>
      <c r="V1070" t="s">
        <v>2596</v>
      </c>
      <c r="W1070" t="s">
        <v>2596</v>
      </c>
      <c r="X1070" t="s">
        <v>2596</v>
      </c>
      <c r="Y1070" t="str">
        <f>VLOOKUP(Table_clu7sql1_ssdb_REPORT_vw_IE_External_MI_SON[[#This Row],[URN]],[1]Data!$D$2:$BB$1084,31,)</f>
        <v>NULL</v>
      </c>
      <c r="Z1070" t="s">
        <v>2596</v>
      </c>
      <c r="AA1070" t="s">
        <v>2596</v>
      </c>
      <c r="AB1070" t="s">
        <v>2596</v>
      </c>
      <c r="AC1070" t="s">
        <v>2596</v>
      </c>
      <c r="AD1070" t="s">
        <v>2596</v>
      </c>
      <c r="AE1070" t="s">
        <v>2596</v>
      </c>
      <c r="AF1070" t="s">
        <v>2596</v>
      </c>
      <c r="AG1070" t="s">
        <v>2596</v>
      </c>
      <c r="AH1070" t="s">
        <v>2596</v>
      </c>
    </row>
    <row r="1071" spans="1:34" x14ac:dyDescent="0.25">
      <c r="A1071" s="111" t="str">
        <f>HYPERLINK("http://www.ofsted.gov.uk/inspection-reports/find-inspection-report/provider/ELS/145184 ","Ofsted School Webpage")</f>
        <v>Ofsted School Webpage</v>
      </c>
      <c r="B1071">
        <v>145184</v>
      </c>
      <c r="C1071">
        <v>9296004</v>
      </c>
      <c r="D1071" t="s">
        <v>2921</v>
      </c>
      <c r="E1071" t="s">
        <v>36</v>
      </c>
      <c r="F1071" t="s">
        <v>142</v>
      </c>
      <c r="G1071" t="s">
        <v>142</v>
      </c>
      <c r="H1071" t="s">
        <v>2595</v>
      </c>
      <c r="I1071" t="s">
        <v>2596</v>
      </c>
      <c r="J1071" t="s">
        <v>143</v>
      </c>
      <c r="K1071" t="s">
        <v>202</v>
      </c>
      <c r="L1071" t="s">
        <v>234</v>
      </c>
      <c r="M1071" t="s">
        <v>839</v>
      </c>
      <c r="N1071" t="s">
        <v>2922</v>
      </c>
      <c r="O1071" t="s">
        <v>2596</v>
      </c>
      <c r="P1071" s="108" t="s">
        <v>2596</v>
      </c>
      <c r="Q1071" s="108" t="s">
        <v>2596</v>
      </c>
      <c r="R1071" s="108" t="s">
        <v>2596</v>
      </c>
      <c r="S1071" t="s">
        <v>2596</v>
      </c>
      <c r="T1071" t="s">
        <v>2596</v>
      </c>
      <c r="U1071" t="s">
        <v>2596</v>
      </c>
      <c r="V1071" t="s">
        <v>2596</v>
      </c>
      <c r="W1071" t="s">
        <v>2596</v>
      </c>
      <c r="X1071" t="s">
        <v>2596</v>
      </c>
      <c r="Y1071" t="str">
        <f>VLOOKUP(Table_clu7sql1_ssdb_REPORT_vw_IE_External_MI_SON[[#This Row],[URN]],[1]Data!$D$2:$BB$1084,31,)</f>
        <v>NULL</v>
      </c>
      <c r="Z1071" t="s">
        <v>2596</v>
      </c>
      <c r="AA1071" t="s">
        <v>2596</v>
      </c>
      <c r="AB1071" t="s">
        <v>2596</v>
      </c>
      <c r="AC1071" t="s">
        <v>2596</v>
      </c>
      <c r="AD1071" t="s">
        <v>2596</v>
      </c>
      <c r="AE1071" t="s">
        <v>2596</v>
      </c>
      <c r="AF1071" t="s">
        <v>2596</v>
      </c>
      <c r="AG1071" t="s">
        <v>2596</v>
      </c>
      <c r="AH1071" t="s">
        <v>2596</v>
      </c>
    </row>
    <row r="1072" spans="1:34" x14ac:dyDescent="0.25">
      <c r="A1072" s="111" t="str">
        <f>HYPERLINK("http://www.ofsted.gov.uk/inspection-reports/find-inspection-report/provider/ELS/145186 ","Ofsted School Webpage")</f>
        <v>Ofsted School Webpage</v>
      </c>
      <c r="B1072">
        <v>145186</v>
      </c>
      <c r="C1072">
        <v>3306035</v>
      </c>
      <c r="D1072" t="s">
        <v>2923</v>
      </c>
      <c r="E1072" t="s">
        <v>36</v>
      </c>
      <c r="F1072" t="s">
        <v>142</v>
      </c>
      <c r="G1072" t="s">
        <v>261</v>
      </c>
      <c r="H1072" t="s">
        <v>2595</v>
      </c>
      <c r="I1072" t="s">
        <v>2596</v>
      </c>
      <c r="J1072" t="s">
        <v>143</v>
      </c>
      <c r="K1072" t="s">
        <v>150</v>
      </c>
      <c r="L1072" t="s">
        <v>150</v>
      </c>
      <c r="M1072" t="s">
        <v>167</v>
      </c>
      <c r="N1072" t="s">
        <v>2924</v>
      </c>
      <c r="O1072" t="s">
        <v>2596</v>
      </c>
      <c r="P1072" s="108" t="s">
        <v>2596</v>
      </c>
      <c r="Q1072" s="108" t="s">
        <v>2596</v>
      </c>
      <c r="R1072" s="108" t="s">
        <v>2596</v>
      </c>
      <c r="S1072" t="s">
        <v>2596</v>
      </c>
      <c r="T1072" t="s">
        <v>2596</v>
      </c>
      <c r="U1072" t="s">
        <v>2596</v>
      </c>
      <c r="V1072" t="s">
        <v>2596</v>
      </c>
      <c r="W1072" t="s">
        <v>2596</v>
      </c>
      <c r="X1072" t="s">
        <v>2596</v>
      </c>
      <c r="Y1072" t="str">
        <f>VLOOKUP(Table_clu7sql1_ssdb_REPORT_vw_IE_External_MI_SON[[#This Row],[URN]],[1]Data!$D$2:$BB$1084,31,)</f>
        <v>NULL</v>
      </c>
      <c r="Z1072" t="s">
        <v>2596</v>
      </c>
      <c r="AA1072" t="s">
        <v>2596</v>
      </c>
      <c r="AB1072" t="s">
        <v>2596</v>
      </c>
      <c r="AC1072" t="s">
        <v>2596</v>
      </c>
      <c r="AD1072" t="s">
        <v>2596</v>
      </c>
      <c r="AE1072" t="s">
        <v>2596</v>
      </c>
      <c r="AF1072" t="s">
        <v>2596</v>
      </c>
      <c r="AG1072" t="s">
        <v>2596</v>
      </c>
      <c r="AH1072" t="s">
        <v>2596</v>
      </c>
    </row>
    <row r="1073" spans="1:34" x14ac:dyDescent="0.25">
      <c r="A1073" s="111" t="str">
        <f>HYPERLINK("http://www.ofsted.gov.uk/inspection-reports/find-inspection-report/provider/ELS/145187 ","Ofsted School Webpage")</f>
        <v>Ofsted School Webpage</v>
      </c>
      <c r="B1073">
        <v>145187</v>
      </c>
      <c r="C1073">
        <v>3596002</v>
      </c>
      <c r="D1073" t="s">
        <v>784</v>
      </c>
      <c r="E1073" t="s">
        <v>36</v>
      </c>
      <c r="F1073" t="s">
        <v>142</v>
      </c>
      <c r="G1073" t="s">
        <v>142</v>
      </c>
      <c r="H1073" t="s">
        <v>2595</v>
      </c>
      <c r="I1073" t="s">
        <v>2596</v>
      </c>
      <c r="J1073" t="s">
        <v>143</v>
      </c>
      <c r="K1073" t="s">
        <v>162</v>
      </c>
      <c r="L1073" t="s">
        <v>162</v>
      </c>
      <c r="M1073" t="s">
        <v>426</v>
      </c>
      <c r="N1073" t="s">
        <v>785</v>
      </c>
      <c r="O1073" t="s">
        <v>2596</v>
      </c>
      <c r="P1073" s="108" t="s">
        <v>2596</v>
      </c>
      <c r="Q1073" s="108" t="s">
        <v>2596</v>
      </c>
      <c r="R1073" s="108" t="s">
        <v>2596</v>
      </c>
      <c r="S1073" t="s">
        <v>2596</v>
      </c>
      <c r="T1073" t="s">
        <v>2596</v>
      </c>
      <c r="U1073" t="s">
        <v>2596</v>
      </c>
      <c r="V1073" t="s">
        <v>2596</v>
      </c>
      <c r="W1073" t="s">
        <v>2596</v>
      </c>
      <c r="X1073" t="s">
        <v>2596</v>
      </c>
      <c r="Y1073" t="str">
        <f>VLOOKUP(Table_clu7sql1_ssdb_REPORT_vw_IE_External_MI_SON[[#This Row],[URN]],[1]Data!$D$2:$BB$1084,31,)</f>
        <v>NULL</v>
      </c>
      <c r="Z1073" t="s">
        <v>2596</v>
      </c>
      <c r="AA1073" t="s">
        <v>2596</v>
      </c>
      <c r="AB1073" t="s">
        <v>2596</v>
      </c>
      <c r="AC1073" t="s">
        <v>2596</v>
      </c>
      <c r="AD1073" t="s">
        <v>2596</v>
      </c>
      <c r="AE1073" t="s">
        <v>2596</v>
      </c>
      <c r="AF1073" t="s">
        <v>2596</v>
      </c>
      <c r="AG1073" t="s">
        <v>2596</v>
      </c>
      <c r="AH1073" t="s">
        <v>2596</v>
      </c>
    </row>
    <row r="1074" spans="1:34" x14ac:dyDescent="0.25">
      <c r="A1074" s="111" t="str">
        <f>HYPERLINK("http://www.ofsted.gov.uk/inspection-reports/find-inspection-report/provider/ELS/145192 ","Ofsted School Webpage")</f>
        <v>Ofsted School Webpage</v>
      </c>
      <c r="B1074">
        <v>145192</v>
      </c>
      <c r="C1074">
        <v>3116002</v>
      </c>
      <c r="D1074" t="s">
        <v>786</v>
      </c>
      <c r="E1074" t="s">
        <v>36</v>
      </c>
      <c r="F1074" t="s">
        <v>142</v>
      </c>
      <c r="G1074" t="s">
        <v>142</v>
      </c>
      <c r="H1074" t="s">
        <v>2595</v>
      </c>
      <c r="I1074" t="s">
        <v>2596</v>
      </c>
      <c r="J1074" t="s">
        <v>143</v>
      </c>
      <c r="K1074" t="s">
        <v>189</v>
      </c>
      <c r="L1074" t="s">
        <v>189</v>
      </c>
      <c r="M1074" t="s">
        <v>745</v>
      </c>
      <c r="N1074" t="s">
        <v>787</v>
      </c>
      <c r="O1074" t="s">
        <v>2596</v>
      </c>
      <c r="P1074" s="108" t="s">
        <v>2596</v>
      </c>
      <c r="Q1074" s="108" t="s">
        <v>2596</v>
      </c>
      <c r="R1074" s="108" t="s">
        <v>2596</v>
      </c>
      <c r="S1074" t="s">
        <v>2596</v>
      </c>
      <c r="T1074" t="s">
        <v>2596</v>
      </c>
      <c r="U1074" t="s">
        <v>2596</v>
      </c>
      <c r="V1074" t="s">
        <v>2596</v>
      </c>
      <c r="W1074" t="s">
        <v>2596</v>
      </c>
      <c r="X1074" t="s">
        <v>2596</v>
      </c>
      <c r="Y1074" t="str">
        <f>VLOOKUP(Table_clu7sql1_ssdb_REPORT_vw_IE_External_MI_SON[[#This Row],[URN]],[1]Data!$D$2:$BB$1084,31,)</f>
        <v>NULL</v>
      </c>
      <c r="Z1074" t="s">
        <v>2596</v>
      </c>
      <c r="AA1074" t="s">
        <v>2596</v>
      </c>
      <c r="AB1074" t="s">
        <v>2596</v>
      </c>
      <c r="AC1074" t="s">
        <v>2596</v>
      </c>
      <c r="AD1074" t="s">
        <v>2596</v>
      </c>
      <c r="AE1074" t="s">
        <v>2596</v>
      </c>
      <c r="AF1074" t="s">
        <v>2596</v>
      </c>
      <c r="AG1074" t="s">
        <v>2596</v>
      </c>
      <c r="AH1074" t="s">
        <v>2596</v>
      </c>
    </row>
    <row r="1075" spans="1:34" x14ac:dyDescent="0.25">
      <c r="A1075" s="111" t="str">
        <f>HYPERLINK("http://www.ofsted.gov.uk/inspection-reports/find-inspection-report/provider/ELS/145194 ","Ofsted School Webpage")</f>
        <v>Ofsted School Webpage</v>
      </c>
      <c r="B1075">
        <v>145194</v>
      </c>
      <c r="C1075">
        <v>8886074</v>
      </c>
      <c r="D1075" t="s">
        <v>2603</v>
      </c>
      <c r="E1075" t="s">
        <v>37</v>
      </c>
      <c r="F1075" t="s">
        <v>142</v>
      </c>
      <c r="G1075" t="s">
        <v>142</v>
      </c>
      <c r="H1075" t="s">
        <v>2595</v>
      </c>
      <c r="I1075" t="s">
        <v>2596</v>
      </c>
      <c r="J1075" t="s">
        <v>143</v>
      </c>
      <c r="K1075" t="s">
        <v>162</v>
      </c>
      <c r="L1075" t="s">
        <v>162</v>
      </c>
      <c r="M1075" t="s">
        <v>163</v>
      </c>
      <c r="N1075" t="s">
        <v>2604</v>
      </c>
      <c r="O1075" t="s">
        <v>2596</v>
      </c>
      <c r="P1075" s="108" t="s">
        <v>2596</v>
      </c>
      <c r="Q1075" s="108" t="s">
        <v>2596</v>
      </c>
      <c r="R1075" s="108" t="s">
        <v>2596</v>
      </c>
      <c r="S1075" t="s">
        <v>2596</v>
      </c>
      <c r="T1075" t="s">
        <v>2596</v>
      </c>
      <c r="U1075" t="s">
        <v>2596</v>
      </c>
      <c r="V1075" t="s">
        <v>2596</v>
      </c>
      <c r="W1075" t="s">
        <v>2596</v>
      </c>
      <c r="X1075" t="s">
        <v>2596</v>
      </c>
      <c r="Y1075" t="str">
        <f>VLOOKUP(Table_clu7sql1_ssdb_REPORT_vw_IE_External_MI_SON[[#This Row],[URN]],[1]Data!$D$2:$BB$1084,31,)</f>
        <v>NULL</v>
      </c>
      <c r="Z1075" t="s">
        <v>2596</v>
      </c>
      <c r="AA1075" t="s">
        <v>2596</v>
      </c>
      <c r="AB1075" t="s">
        <v>2596</v>
      </c>
      <c r="AC1075" t="s">
        <v>2596</v>
      </c>
      <c r="AD1075" t="s">
        <v>2596</v>
      </c>
      <c r="AE1075" t="s">
        <v>2596</v>
      </c>
      <c r="AF1075" t="s">
        <v>2596</v>
      </c>
      <c r="AG1075" t="s">
        <v>2596</v>
      </c>
      <c r="AH1075" t="s">
        <v>2596</v>
      </c>
    </row>
    <row r="1076" spans="1:34" x14ac:dyDescent="0.25">
      <c r="A1076" s="111" t="str">
        <f>HYPERLINK("http://www.ofsted.gov.uk/inspection-reports/find-inspection-report/provider/ELS/145231 ","Ofsted School Webpage")</f>
        <v>Ofsted School Webpage</v>
      </c>
      <c r="B1076">
        <v>145231</v>
      </c>
      <c r="C1076">
        <v>8876011</v>
      </c>
      <c r="D1076" t="s">
        <v>2925</v>
      </c>
      <c r="E1076" t="s">
        <v>37</v>
      </c>
      <c r="F1076" t="s">
        <v>142</v>
      </c>
      <c r="G1076" t="s">
        <v>142</v>
      </c>
      <c r="H1076" t="s">
        <v>2595</v>
      </c>
      <c r="I1076" t="s">
        <v>2596</v>
      </c>
      <c r="J1076" t="s">
        <v>143</v>
      </c>
      <c r="K1076" t="s">
        <v>139</v>
      </c>
      <c r="L1076" t="s">
        <v>139</v>
      </c>
      <c r="M1076" t="s">
        <v>229</v>
      </c>
      <c r="N1076" t="s">
        <v>2926</v>
      </c>
      <c r="O1076" t="s">
        <v>2596</v>
      </c>
      <c r="P1076" s="108" t="s">
        <v>2596</v>
      </c>
      <c r="Q1076" s="108" t="s">
        <v>2596</v>
      </c>
      <c r="R1076" s="108" t="s">
        <v>2596</v>
      </c>
      <c r="S1076" t="s">
        <v>2596</v>
      </c>
      <c r="T1076" t="s">
        <v>2596</v>
      </c>
      <c r="U1076" t="s">
        <v>2596</v>
      </c>
      <c r="V1076" t="s">
        <v>2596</v>
      </c>
      <c r="W1076" t="s">
        <v>2596</v>
      </c>
      <c r="X1076" t="s">
        <v>2596</v>
      </c>
      <c r="Y1076" t="str">
        <f>VLOOKUP(Table_clu7sql1_ssdb_REPORT_vw_IE_External_MI_SON[[#This Row],[URN]],[1]Data!$D$2:$BB$1084,31,)</f>
        <v>NULL</v>
      </c>
      <c r="Z1076" t="s">
        <v>2596</v>
      </c>
      <c r="AA1076" t="s">
        <v>2596</v>
      </c>
      <c r="AB1076" t="s">
        <v>2596</v>
      </c>
      <c r="AC1076" t="s">
        <v>2596</v>
      </c>
      <c r="AD1076" t="s">
        <v>2596</v>
      </c>
      <c r="AE1076" s="108" t="s">
        <v>2596</v>
      </c>
      <c r="AF1076" t="s">
        <v>2596</v>
      </c>
      <c r="AG1076" s="108" t="s">
        <v>2596</v>
      </c>
      <c r="AH1076" t="s">
        <v>2596</v>
      </c>
    </row>
    <row r="1077" spans="1:34" x14ac:dyDescent="0.25">
      <c r="A1077" s="111" t="str">
        <f>HYPERLINK("http://www.ofsted.gov.uk/inspection-reports/find-inspection-report/provider/ELS/145239 ","Ofsted School Webpage")</f>
        <v>Ofsted School Webpage</v>
      </c>
      <c r="B1077">
        <v>145239</v>
      </c>
      <c r="C1077">
        <v>3926001</v>
      </c>
      <c r="D1077" t="s">
        <v>788</v>
      </c>
      <c r="E1077" t="s">
        <v>37</v>
      </c>
      <c r="F1077" t="s">
        <v>142</v>
      </c>
      <c r="G1077" t="s">
        <v>142</v>
      </c>
      <c r="H1077" t="s">
        <v>2595</v>
      </c>
      <c r="I1077" t="s">
        <v>2596</v>
      </c>
      <c r="J1077" t="s">
        <v>143</v>
      </c>
      <c r="K1077" t="s">
        <v>202</v>
      </c>
      <c r="L1077" t="s">
        <v>234</v>
      </c>
      <c r="M1077" t="s">
        <v>789</v>
      </c>
      <c r="N1077" t="s">
        <v>790</v>
      </c>
      <c r="O1077" t="s">
        <v>2596</v>
      </c>
      <c r="P1077" s="108" t="s">
        <v>2596</v>
      </c>
      <c r="Q1077" s="108" t="s">
        <v>2596</v>
      </c>
      <c r="R1077" s="108" t="s">
        <v>2596</v>
      </c>
      <c r="S1077" t="s">
        <v>2596</v>
      </c>
      <c r="T1077" t="s">
        <v>2596</v>
      </c>
      <c r="U1077" t="s">
        <v>2596</v>
      </c>
      <c r="V1077" t="s">
        <v>2596</v>
      </c>
      <c r="W1077" t="s">
        <v>2596</v>
      </c>
      <c r="X1077" t="s">
        <v>2596</v>
      </c>
      <c r="Y1077" t="str">
        <f>VLOOKUP(Table_clu7sql1_ssdb_REPORT_vw_IE_External_MI_SON[[#This Row],[URN]],[1]Data!$D$2:$BB$1084,31,)</f>
        <v>NULL</v>
      </c>
      <c r="Z1077" t="s">
        <v>2596</v>
      </c>
      <c r="AA1077" t="s">
        <v>2596</v>
      </c>
      <c r="AB1077" t="s">
        <v>2596</v>
      </c>
      <c r="AC1077" t="s">
        <v>2596</v>
      </c>
      <c r="AD1077" t="s">
        <v>2596</v>
      </c>
      <c r="AE1077" t="s">
        <v>2596</v>
      </c>
      <c r="AF1077" t="s">
        <v>2596</v>
      </c>
      <c r="AG1077" t="s">
        <v>2596</v>
      </c>
      <c r="AH1077" t="s">
        <v>2596</v>
      </c>
    </row>
    <row r="1078" spans="1:34" x14ac:dyDescent="0.25">
      <c r="A1078" s="111" t="str">
        <f>HYPERLINK("http://www.ofsted.gov.uk/inspection-reports/find-inspection-report/provider/ELS/145242 ","Ofsted School Webpage")</f>
        <v>Ofsted School Webpage</v>
      </c>
      <c r="B1078">
        <v>145242</v>
      </c>
      <c r="C1078">
        <v>8886075</v>
      </c>
      <c r="D1078" t="s">
        <v>2927</v>
      </c>
      <c r="E1078" t="s">
        <v>37</v>
      </c>
      <c r="F1078" t="s">
        <v>142</v>
      </c>
      <c r="G1078" t="s">
        <v>142</v>
      </c>
      <c r="H1078" t="s">
        <v>2595</v>
      </c>
      <c r="I1078" t="s">
        <v>2596</v>
      </c>
      <c r="J1078" t="s">
        <v>143</v>
      </c>
      <c r="K1078" t="s">
        <v>162</v>
      </c>
      <c r="L1078" t="s">
        <v>162</v>
      </c>
      <c r="M1078" t="s">
        <v>163</v>
      </c>
      <c r="N1078" t="s">
        <v>2928</v>
      </c>
      <c r="O1078" t="s">
        <v>2596</v>
      </c>
      <c r="P1078" s="108" t="s">
        <v>2596</v>
      </c>
      <c r="Q1078" s="108" t="s">
        <v>2596</v>
      </c>
      <c r="R1078" s="108" t="s">
        <v>2596</v>
      </c>
      <c r="S1078" t="s">
        <v>2596</v>
      </c>
      <c r="T1078" t="s">
        <v>2596</v>
      </c>
      <c r="U1078" t="s">
        <v>2596</v>
      </c>
      <c r="V1078" t="s">
        <v>2596</v>
      </c>
      <c r="W1078" t="s">
        <v>2596</v>
      </c>
      <c r="X1078" t="s">
        <v>2596</v>
      </c>
      <c r="Y1078" t="str">
        <f>VLOOKUP(Table_clu7sql1_ssdb_REPORT_vw_IE_External_MI_SON[[#This Row],[URN]],[1]Data!$D$2:$BB$1084,31,)</f>
        <v>NULL</v>
      </c>
      <c r="Z1078" t="s">
        <v>2596</v>
      </c>
      <c r="AA1078" t="s">
        <v>2596</v>
      </c>
      <c r="AB1078" t="s">
        <v>2596</v>
      </c>
      <c r="AC1078" t="s">
        <v>2596</v>
      </c>
      <c r="AD1078" t="s">
        <v>2596</v>
      </c>
      <c r="AE1078" t="s">
        <v>2596</v>
      </c>
      <c r="AF1078" t="s">
        <v>2596</v>
      </c>
      <c r="AG1078" t="s">
        <v>2596</v>
      </c>
      <c r="AH1078" t="s">
        <v>2596</v>
      </c>
    </row>
    <row r="1079" spans="1:34" x14ac:dyDescent="0.25">
      <c r="A1079" s="111" t="str">
        <f>HYPERLINK("http://www.ofsted.gov.uk/inspection-reports/find-inspection-report/provider/ELS/145290 ","Ofsted School Webpage")</f>
        <v>Ofsted School Webpage</v>
      </c>
      <c r="B1079">
        <v>145290</v>
      </c>
      <c r="C1079">
        <v>3576005</v>
      </c>
      <c r="D1079" t="s">
        <v>2606</v>
      </c>
      <c r="E1079" t="s">
        <v>37</v>
      </c>
      <c r="F1079" t="s">
        <v>142</v>
      </c>
      <c r="G1079" t="s">
        <v>142</v>
      </c>
      <c r="H1079" t="s">
        <v>2595</v>
      </c>
      <c r="I1079" t="s">
        <v>2596</v>
      </c>
      <c r="J1079" t="s">
        <v>143</v>
      </c>
      <c r="K1079" t="s">
        <v>162</v>
      </c>
      <c r="L1079" t="s">
        <v>162</v>
      </c>
      <c r="M1079" t="s">
        <v>808</v>
      </c>
      <c r="N1079" t="s">
        <v>2607</v>
      </c>
      <c r="O1079" t="s">
        <v>2596</v>
      </c>
      <c r="P1079" s="108" t="s">
        <v>2596</v>
      </c>
      <c r="Q1079" s="108" t="s">
        <v>2596</v>
      </c>
      <c r="R1079" s="108" t="s">
        <v>2596</v>
      </c>
      <c r="S1079" t="s">
        <v>2596</v>
      </c>
      <c r="T1079" t="s">
        <v>2596</v>
      </c>
      <c r="U1079" t="s">
        <v>2596</v>
      </c>
      <c r="V1079" t="s">
        <v>2596</v>
      </c>
      <c r="W1079" t="s">
        <v>2596</v>
      </c>
      <c r="X1079" t="s">
        <v>2596</v>
      </c>
      <c r="Y1079" t="str">
        <f>VLOOKUP(Table_clu7sql1_ssdb_REPORT_vw_IE_External_MI_SON[[#This Row],[URN]],[1]Data!$D$2:$BB$1084,31,)</f>
        <v>NULL</v>
      </c>
      <c r="Z1079" t="s">
        <v>2596</v>
      </c>
      <c r="AA1079" t="s">
        <v>2596</v>
      </c>
      <c r="AB1079" t="s">
        <v>2596</v>
      </c>
      <c r="AC1079" t="s">
        <v>2596</v>
      </c>
      <c r="AD1079" t="s">
        <v>2596</v>
      </c>
      <c r="AE1079" t="s">
        <v>2596</v>
      </c>
      <c r="AF1079" t="s">
        <v>2596</v>
      </c>
      <c r="AG1079" t="s">
        <v>2596</v>
      </c>
      <c r="AH1079" t="s">
        <v>2596</v>
      </c>
    </row>
    <row r="1080" spans="1:34" x14ac:dyDescent="0.25">
      <c r="A1080" s="111" t="str">
        <f>HYPERLINK("http://www.ofsted.gov.uk/inspection-reports/find-inspection-report/provider/ELS/145292 ","Ofsted School Webpage")</f>
        <v>Ofsted School Webpage</v>
      </c>
      <c r="B1080">
        <v>145292</v>
      </c>
      <c r="C1080">
        <v>9096004</v>
      </c>
      <c r="D1080" t="s">
        <v>2929</v>
      </c>
      <c r="E1080" t="s">
        <v>36</v>
      </c>
      <c r="F1080" t="s">
        <v>142</v>
      </c>
      <c r="G1080" t="s">
        <v>249</v>
      </c>
      <c r="H1080" t="s">
        <v>2595</v>
      </c>
      <c r="I1080" t="s">
        <v>2596</v>
      </c>
      <c r="J1080" t="s">
        <v>143</v>
      </c>
      <c r="K1080" t="s">
        <v>162</v>
      </c>
      <c r="L1080" t="s">
        <v>162</v>
      </c>
      <c r="M1080" t="s">
        <v>895</v>
      </c>
      <c r="N1080" t="s">
        <v>2930</v>
      </c>
      <c r="O1080" t="s">
        <v>2596</v>
      </c>
      <c r="P1080" s="108" t="s">
        <v>2596</v>
      </c>
      <c r="Q1080" s="108" t="s">
        <v>2596</v>
      </c>
      <c r="R1080" s="108" t="s">
        <v>2596</v>
      </c>
      <c r="S1080" t="s">
        <v>2596</v>
      </c>
      <c r="T1080" t="s">
        <v>2596</v>
      </c>
      <c r="U1080" t="s">
        <v>2596</v>
      </c>
      <c r="V1080" t="s">
        <v>2596</v>
      </c>
      <c r="W1080" t="s">
        <v>2596</v>
      </c>
      <c r="X1080" t="s">
        <v>2596</v>
      </c>
      <c r="Y1080" t="str">
        <f>VLOOKUP(Table_clu7sql1_ssdb_REPORT_vw_IE_External_MI_SON[[#This Row],[URN]],[1]Data!$D$2:$BB$1084,31,)</f>
        <v>NULL</v>
      </c>
      <c r="Z1080" t="s">
        <v>2596</v>
      </c>
      <c r="AA1080" t="s">
        <v>2596</v>
      </c>
      <c r="AB1080" t="s">
        <v>2596</v>
      </c>
      <c r="AC1080" t="s">
        <v>2596</v>
      </c>
      <c r="AD1080" t="s">
        <v>2596</v>
      </c>
      <c r="AE1080" s="108" t="s">
        <v>2596</v>
      </c>
      <c r="AF1080" t="s">
        <v>2596</v>
      </c>
      <c r="AG1080" s="108" t="s">
        <v>2596</v>
      </c>
      <c r="AH1080" t="s">
        <v>2596</v>
      </c>
    </row>
    <row r="1081" spans="1:34" x14ac:dyDescent="0.25">
      <c r="A1081" s="111" t="str">
        <f>HYPERLINK("http://www.ofsted.gov.uk/inspection-reports/find-inspection-report/provider/ELS/145293 ","Ofsted School Webpage")</f>
        <v>Ofsted School Webpage</v>
      </c>
      <c r="B1081">
        <v>145293</v>
      </c>
      <c r="C1081">
        <v>9336008</v>
      </c>
      <c r="D1081" t="s">
        <v>791</v>
      </c>
      <c r="E1081" t="s">
        <v>37</v>
      </c>
      <c r="F1081" t="s">
        <v>142</v>
      </c>
      <c r="G1081" t="s">
        <v>142</v>
      </c>
      <c r="H1081" t="s">
        <v>2595</v>
      </c>
      <c r="I1081" t="s">
        <v>2596</v>
      </c>
      <c r="J1081" t="s">
        <v>143</v>
      </c>
      <c r="K1081" t="s">
        <v>182</v>
      </c>
      <c r="L1081" t="s">
        <v>182</v>
      </c>
      <c r="M1081" t="s">
        <v>219</v>
      </c>
      <c r="N1081" t="s">
        <v>792</v>
      </c>
      <c r="O1081" t="s">
        <v>2596</v>
      </c>
      <c r="P1081" s="108" t="s">
        <v>2596</v>
      </c>
      <c r="Q1081" s="108" t="s">
        <v>2596</v>
      </c>
      <c r="R1081" s="108" t="s">
        <v>2596</v>
      </c>
      <c r="S1081" t="s">
        <v>2596</v>
      </c>
      <c r="T1081" t="s">
        <v>2596</v>
      </c>
      <c r="U1081" t="s">
        <v>2596</v>
      </c>
      <c r="V1081" t="s">
        <v>2596</v>
      </c>
      <c r="W1081" t="s">
        <v>2596</v>
      </c>
      <c r="X1081" t="s">
        <v>2596</v>
      </c>
      <c r="Y1081" t="str">
        <f>VLOOKUP(Table_clu7sql1_ssdb_REPORT_vw_IE_External_MI_SON[[#This Row],[URN]],[1]Data!$D$2:$BB$1084,31,)</f>
        <v>NULL</v>
      </c>
      <c r="Z1081" t="s">
        <v>2596</v>
      </c>
      <c r="AA1081" t="s">
        <v>2596</v>
      </c>
      <c r="AB1081" t="s">
        <v>2596</v>
      </c>
      <c r="AC1081" t="s">
        <v>2596</v>
      </c>
      <c r="AD1081" t="s">
        <v>2596</v>
      </c>
      <c r="AE1081" t="s">
        <v>2596</v>
      </c>
      <c r="AF1081" t="s">
        <v>2596</v>
      </c>
      <c r="AG1081" t="s">
        <v>2596</v>
      </c>
      <c r="AH1081" t="s">
        <v>2596</v>
      </c>
    </row>
    <row r="1082" spans="1:34" x14ac:dyDescent="0.25">
      <c r="A1082" s="111" t="str">
        <f>HYPERLINK("http://www.ofsted.gov.uk/inspection-reports/find-inspection-report/provider/ELS/145298 ","Ofsted School Webpage")</f>
        <v>Ofsted School Webpage</v>
      </c>
      <c r="B1082">
        <v>145298</v>
      </c>
      <c r="C1082">
        <v>8256048</v>
      </c>
      <c r="D1082" t="s">
        <v>2931</v>
      </c>
      <c r="E1082" t="s">
        <v>36</v>
      </c>
      <c r="F1082" t="s">
        <v>142</v>
      </c>
      <c r="G1082" t="s">
        <v>142</v>
      </c>
      <c r="H1082" t="s">
        <v>2595</v>
      </c>
      <c r="I1082" t="s">
        <v>2596</v>
      </c>
      <c r="J1082" t="s">
        <v>143</v>
      </c>
      <c r="K1082" t="s">
        <v>139</v>
      </c>
      <c r="L1082" t="s">
        <v>139</v>
      </c>
      <c r="M1082" t="s">
        <v>208</v>
      </c>
      <c r="N1082" t="s">
        <v>2932</v>
      </c>
      <c r="O1082" t="s">
        <v>2596</v>
      </c>
      <c r="P1082" s="108" t="s">
        <v>2596</v>
      </c>
      <c r="Q1082" s="108" t="s">
        <v>2596</v>
      </c>
      <c r="R1082" s="108" t="s">
        <v>2596</v>
      </c>
      <c r="S1082" t="s">
        <v>2596</v>
      </c>
      <c r="T1082" t="s">
        <v>2596</v>
      </c>
      <c r="U1082" t="s">
        <v>2596</v>
      </c>
      <c r="V1082" t="s">
        <v>2596</v>
      </c>
      <c r="W1082" t="s">
        <v>2596</v>
      </c>
      <c r="X1082" t="s">
        <v>2596</v>
      </c>
      <c r="Y1082" t="str">
        <f>VLOOKUP(Table_clu7sql1_ssdb_REPORT_vw_IE_External_MI_SON[[#This Row],[URN]],[1]Data!$D$2:$BB$1084,31,)</f>
        <v>NULL</v>
      </c>
      <c r="Z1082" t="s">
        <v>2596</v>
      </c>
      <c r="AA1082" t="s">
        <v>2596</v>
      </c>
      <c r="AB1082" t="s">
        <v>2596</v>
      </c>
      <c r="AC1082" t="s">
        <v>2596</v>
      </c>
      <c r="AD1082" t="s">
        <v>2596</v>
      </c>
      <c r="AE1082" t="s">
        <v>2596</v>
      </c>
      <c r="AF1082" t="s">
        <v>2596</v>
      </c>
      <c r="AG1082" t="s">
        <v>2596</v>
      </c>
      <c r="AH1082" t="s">
        <v>2596</v>
      </c>
    </row>
    <row r="1083" spans="1:34" x14ac:dyDescent="0.25">
      <c r="A1083" s="111" t="str">
        <f>HYPERLINK("http://www.ofsted.gov.uk/inspection-reports/find-inspection-report/provider/ELS/145308 ","Ofsted School Webpage")</f>
        <v>Ofsted School Webpage</v>
      </c>
      <c r="B1083">
        <v>145308</v>
      </c>
      <c r="C1083">
        <v>9336009</v>
      </c>
      <c r="D1083" t="s">
        <v>2933</v>
      </c>
      <c r="E1083" t="s">
        <v>37</v>
      </c>
      <c r="F1083" t="s">
        <v>142</v>
      </c>
      <c r="G1083" t="s">
        <v>142</v>
      </c>
      <c r="H1083" t="s">
        <v>2595</v>
      </c>
      <c r="I1083" t="s">
        <v>2596</v>
      </c>
      <c r="J1083" t="s">
        <v>143</v>
      </c>
      <c r="K1083" t="s">
        <v>182</v>
      </c>
      <c r="L1083" t="s">
        <v>182</v>
      </c>
      <c r="M1083" t="s">
        <v>219</v>
      </c>
      <c r="N1083" t="s">
        <v>2934</v>
      </c>
      <c r="O1083" t="s">
        <v>2596</v>
      </c>
      <c r="P1083" s="108" t="s">
        <v>2596</v>
      </c>
      <c r="Q1083" s="108" t="s">
        <v>2596</v>
      </c>
      <c r="R1083" s="108" t="s">
        <v>2596</v>
      </c>
      <c r="S1083" t="s">
        <v>2596</v>
      </c>
      <c r="T1083" t="s">
        <v>2596</v>
      </c>
      <c r="U1083" t="s">
        <v>2596</v>
      </c>
      <c r="V1083" t="s">
        <v>2596</v>
      </c>
      <c r="W1083" t="s">
        <v>2596</v>
      </c>
      <c r="X1083" t="s">
        <v>2596</v>
      </c>
      <c r="Y1083" t="str">
        <f>VLOOKUP(Table_clu7sql1_ssdb_REPORT_vw_IE_External_MI_SON[[#This Row],[URN]],[1]Data!$D$2:$BB$1084,31,)</f>
        <v>NULL</v>
      </c>
      <c r="Z1083" t="s">
        <v>2596</v>
      </c>
      <c r="AA1083" t="s">
        <v>2596</v>
      </c>
      <c r="AB1083" t="s">
        <v>2596</v>
      </c>
      <c r="AC1083" t="s">
        <v>2596</v>
      </c>
      <c r="AD1083" t="s">
        <v>2596</v>
      </c>
      <c r="AE1083" t="s">
        <v>2596</v>
      </c>
      <c r="AF1083" t="s">
        <v>2596</v>
      </c>
      <c r="AG1083" t="s">
        <v>2596</v>
      </c>
      <c r="AH1083" t="s">
        <v>2596</v>
      </c>
    </row>
    <row r="1084" spans="1:34" x14ac:dyDescent="0.25">
      <c r="A1084" s="111" t="str">
        <f>HYPERLINK("http://www.ofsted.gov.uk/inspection-reports/find-inspection-report/provider/ELS/145402 ","Ofsted School Webpage")</f>
        <v>Ofsted School Webpage</v>
      </c>
      <c r="B1084">
        <v>145402</v>
      </c>
      <c r="C1084">
        <v>9096007</v>
      </c>
      <c r="D1084" t="s">
        <v>2935</v>
      </c>
      <c r="E1084" t="s">
        <v>37</v>
      </c>
      <c r="F1084" t="s">
        <v>142</v>
      </c>
      <c r="G1084" t="s">
        <v>142</v>
      </c>
      <c r="H1084" t="s">
        <v>2595</v>
      </c>
      <c r="I1084" t="s">
        <v>2596</v>
      </c>
      <c r="J1084" t="s">
        <v>143</v>
      </c>
      <c r="K1084" t="s">
        <v>162</v>
      </c>
      <c r="L1084" t="s">
        <v>162</v>
      </c>
      <c r="M1084" t="s">
        <v>895</v>
      </c>
      <c r="N1084" t="s">
        <v>2936</v>
      </c>
      <c r="O1084" t="s">
        <v>2596</v>
      </c>
      <c r="P1084" s="108" t="s">
        <v>2596</v>
      </c>
      <c r="Q1084" s="108" t="s">
        <v>2596</v>
      </c>
      <c r="R1084" s="108" t="s">
        <v>2596</v>
      </c>
      <c r="S1084" t="s">
        <v>2596</v>
      </c>
      <c r="T1084" t="s">
        <v>2596</v>
      </c>
      <c r="U1084" t="s">
        <v>2596</v>
      </c>
      <c r="V1084" t="s">
        <v>2596</v>
      </c>
      <c r="W1084" t="s">
        <v>2596</v>
      </c>
      <c r="X1084" t="s">
        <v>2596</v>
      </c>
      <c r="Y1084" t="str">
        <f>VLOOKUP(Table_clu7sql1_ssdb_REPORT_vw_IE_External_MI_SON[[#This Row],[URN]],[1]Data!$D$2:$BB$1084,31,)</f>
        <v>NULL</v>
      </c>
      <c r="Z1084" t="s">
        <v>2596</v>
      </c>
      <c r="AA1084" t="s">
        <v>2596</v>
      </c>
      <c r="AB1084" t="s">
        <v>2596</v>
      </c>
      <c r="AC1084" t="s">
        <v>2596</v>
      </c>
      <c r="AD1084" t="s">
        <v>2596</v>
      </c>
      <c r="AE1084" s="108" t="s">
        <v>2596</v>
      </c>
      <c r="AF1084" t="s">
        <v>2596</v>
      </c>
      <c r="AG1084" s="108" t="s">
        <v>2596</v>
      </c>
      <c r="AH1084" t="s">
        <v>2596</v>
      </c>
    </row>
    <row r="1085" spans="1:34" x14ac:dyDescent="0.25">
      <c r="A1085" s="111" t="str">
        <f>HYPERLINK("http://www.ofsted.gov.uk/inspection-reports/find-inspection-report/provider/ELS/145470 ","Ofsted School Webpage")</f>
        <v>Ofsted School Webpage</v>
      </c>
      <c r="B1085">
        <v>145470</v>
      </c>
      <c r="C1085">
        <v>9376015</v>
      </c>
      <c r="D1085" t="s">
        <v>2937</v>
      </c>
      <c r="E1085" t="s">
        <v>37</v>
      </c>
      <c r="F1085" t="s">
        <v>142</v>
      </c>
      <c r="G1085" t="s">
        <v>142</v>
      </c>
      <c r="H1085" t="s">
        <v>2595</v>
      </c>
      <c r="I1085" t="s">
        <v>2596</v>
      </c>
      <c r="J1085" t="s">
        <v>143</v>
      </c>
      <c r="K1085" t="s">
        <v>150</v>
      </c>
      <c r="L1085" t="s">
        <v>150</v>
      </c>
      <c r="M1085" t="s">
        <v>333</v>
      </c>
      <c r="N1085" t="s">
        <v>2938</v>
      </c>
      <c r="O1085" t="s">
        <v>2596</v>
      </c>
      <c r="P1085" s="108" t="s">
        <v>2596</v>
      </c>
      <c r="Q1085" s="108" t="s">
        <v>2596</v>
      </c>
      <c r="R1085" s="108" t="s">
        <v>2596</v>
      </c>
      <c r="S1085" t="s">
        <v>2596</v>
      </c>
      <c r="T1085" t="s">
        <v>2596</v>
      </c>
      <c r="U1085" t="s">
        <v>2596</v>
      </c>
      <c r="V1085" t="s">
        <v>2596</v>
      </c>
      <c r="W1085" t="s">
        <v>2596</v>
      </c>
      <c r="X1085" t="s">
        <v>2596</v>
      </c>
      <c r="Y1085" t="str">
        <f>VLOOKUP(Table_clu7sql1_ssdb_REPORT_vw_IE_External_MI_SON[[#This Row],[URN]],[1]Data!$D$2:$BB$1084,31,)</f>
        <v>NULL</v>
      </c>
      <c r="Z1085" t="s">
        <v>2596</v>
      </c>
      <c r="AA1085" t="s">
        <v>2596</v>
      </c>
      <c r="AB1085" t="s">
        <v>2596</v>
      </c>
      <c r="AC1085" t="s">
        <v>2596</v>
      </c>
      <c r="AD1085" t="s">
        <v>2596</v>
      </c>
      <c r="AE1085" s="108" t="s">
        <v>2596</v>
      </c>
      <c r="AF1085" t="s">
        <v>2596</v>
      </c>
      <c r="AG1085" s="108" t="s">
        <v>2596</v>
      </c>
      <c r="AH1085" t="s">
        <v>2596</v>
      </c>
    </row>
    <row r="1086" spans="1:34" x14ac:dyDescent="0.25">
      <c r="A1086" s="111" t="str">
        <f>HYPERLINK("http://www.ofsted.gov.uk/inspection-reports/find-inspection-report/provider/ELS/145479 ","Ofsted School Webpage")</f>
        <v>Ofsted School Webpage</v>
      </c>
      <c r="B1086">
        <v>145479</v>
      </c>
      <c r="C1086">
        <v>8506094</v>
      </c>
      <c r="D1086" t="s">
        <v>2939</v>
      </c>
      <c r="E1086" t="s">
        <v>37</v>
      </c>
      <c r="F1086" t="s">
        <v>142</v>
      </c>
      <c r="G1086" t="s">
        <v>142</v>
      </c>
      <c r="H1086" t="s">
        <v>2595</v>
      </c>
      <c r="I1086" t="s">
        <v>2596</v>
      </c>
      <c r="J1086" t="s">
        <v>143</v>
      </c>
      <c r="K1086" t="s">
        <v>139</v>
      </c>
      <c r="L1086" t="s">
        <v>139</v>
      </c>
      <c r="M1086" t="s">
        <v>158</v>
      </c>
      <c r="N1086" t="s">
        <v>2940</v>
      </c>
      <c r="O1086" t="s">
        <v>2596</v>
      </c>
      <c r="P1086" t="s">
        <v>2596</v>
      </c>
      <c r="Q1086" t="s">
        <v>2596</v>
      </c>
      <c r="R1086" t="s">
        <v>2596</v>
      </c>
      <c r="S1086" t="s">
        <v>2596</v>
      </c>
      <c r="T1086" t="s">
        <v>2596</v>
      </c>
      <c r="U1086" t="s">
        <v>2596</v>
      </c>
      <c r="V1086" t="s">
        <v>2596</v>
      </c>
      <c r="W1086" t="s">
        <v>2596</v>
      </c>
      <c r="X1086" t="s">
        <v>2596</v>
      </c>
      <c r="Y1086" t="str">
        <f>VLOOKUP(Table_clu7sql1_ssdb_REPORT_vw_IE_External_MI_SON[[#This Row],[URN]],[1]Data!$D$2:$BB$1084,31,)</f>
        <v>NULL</v>
      </c>
      <c r="Z1086" t="s">
        <v>2596</v>
      </c>
      <c r="AA1086" t="s">
        <v>2596</v>
      </c>
      <c r="AB1086" t="s">
        <v>2596</v>
      </c>
      <c r="AC1086" t="s">
        <v>2596</v>
      </c>
      <c r="AD1086" t="s">
        <v>2596</v>
      </c>
      <c r="AE1086" t="s">
        <v>2596</v>
      </c>
      <c r="AF1086" t="s">
        <v>2596</v>
      </c>
      <c r="AG1086" t="s">
        <v>2596</v>
      </c>
      <c r="AH1086" t="s">
        <v>2596</v>
      </c>
    </row>
  </sheetData>
  <sheetProtection sheet="1" objects="1" scenarios="1" autoFilter="0"/>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B2:O40"/>
  <sheetViews>
    <sheetView zoomScaleNormal="100" workbookViewId="0"/>
  </sheetViews>
  <sheetFormatPr defaultColWidth="8.85546875" defaultRowHeight="15" x14ac:dyDescent="0.2"/>
  <cols>
    <col min="1" max="16384" width="8.85546875" style="56"/>
  </cols>
  <sheetData>
    <row r="2" spans="2:15" x14ac:dyDescent="0.2">
      <c r="B2" s="57" t="s">
        <v>92</v>
      </c>
      <c r="C2" s="58"/>
      <c r="D2" s="58"/>
      <c r="E2" s="58"/>
      <c r="F2" s="58"/>
      <c r="G2" s="58"/>
      <c r="H2" s="58"/>
      <c r="I2" s="58"/>
      <c r="J2" s="58"/>
      <c r="K2" s="58"/>
      <c r="L2" s="58"/>
      <c r="M2" s="58"/>
      <c r="N2" s="58"/>
      <c r="O2" s="58"/>
    </row>
    <row r="3" spans="2:15" x14ac:dyDescent="0.2">
      <c r="B3" s="59"/>
      <c r="C3" s="58"/>
      <c r="D3" s="58"/>
      <c r="E3" s="58"/>
      <c r="F3" s="58"/>
      <c r="G3" s="58"/>
      <c r="H3" s="58"/>
      <c r="I3" s="58"/>
      <c r="J3" s="58"/>
      <c r="K3" s="58"/>
      <c r="L3" s="58"/>
      <c r="M3" s="58"/>
      <c r="N3" s="58"/>
      <c r="O3" s="58"/>
    </row>
    <row r="4" spans="2:15" ht="58.5" customHeight="1" x14ac:dyDescent="0.2">
      <c r="B4" s="288" t="s">
        <v>93</v>
      </c>
      <c r="C4" s="288"/>
      <c r="D4" s="288"/>
      <c r="E4" s="288"/>
      <c r="F4" s="288"/>
      <c r="G4" s="288"/>
      <c r="H4" s="288"/>
      <c r="I4" s="288"/>
      <c r="J4" s="288"/>
      <c r="K4" s="288"/>
      <c r="L4" s="288"/>
      <c r="M4" s="288"/>
      <c r="N4" s="288"/>
      <c r="O4" s="288"/>
    </row>
    <row r="5" spans="2:15" x14ac:dyDescent="0.2">
      <c r="B5" s="57" t="s">
        <v>89</v>
      </c>
      <c r="C5" s="58"/>
      <c r="D5" s="58"/>
      <c r="E5" s="58"/>
      <c r="F5" s="58"/>
      <c r="G5" s="58"/>
      <c r="H5" s="58"/>
      <c r="I5" s="58"/>
      <c r="J5" s="58"/>
      <c r="K5" s="58"/>
      <c r="L5" s="58"/>
      <c r="M5" s="58"/>
      <c r="N5" s="58"/>
      <c r="O5" s="58"/>
    </row>
    <row r="7" spans="2:15" x14ac:dyDescent="0.2">
      <c r="B7" s="62" t="s">
        <v>94</v>
      </c>
    </row>
    <row r="8" spans="2:15" x14ac:dyDescent="0.2">
      <c r="B8" s="62" t="s">
        <v>95</v>
      </c>
    </row>
    <row r="9" spans="2:15" x14ac:dyDescent="0.2">
      <c r="B9" s="62" t="s">
        <v>96</v>
      </c>
    </row>
    <row r="10" spans="2:15" x14ac:dyDescent="0.2">
      <c r="B10" s="62" t="s">
        <v>97</v>
      </c>
    </row>
    <row r="12" spans="2:15" x14ac:dyDescent="0.2">
      <c r="B12" s="62" t="s">
        <v>98</v>
      </c>
    </row>
    <row r="13" spans="2:15" x14ac:dyDescent="0.2">
      <c r="B13" s="62" t="s">
        <v>99</v>
      </c>
    </row>
    <row r="14" spans="2:15" x14ac:dyDescent="0.2">
      <c r="B14" s="62" t="s">
        <v>100</v>
      </c>
    </row>
    <row r="15" spans="2:15" x14ac:dyDescent="0.2">
      <c r="B15" s="289"/>
      <c r="C15" s="289"/>
      <c r="D15" s="289"/>
      <c r="E15" s="289"/>
      <c r="F15" s="289"/>
      <c r="G15" s="289"/>
      <c r="H15" s="289"/>
      <c r="I15" s="289"/>
      <c r="J15" s="289"/>
      <c r="K15" s="289"/>
      <c r="L15" s="58"/>
      <c r="M15" s="58"/>
      <c r="N15" s="58"/>
      <c r="O15" s="58"/>
    </row>
    <row r="16" spans="2:15" x14ac:dyDescent="0.2">
      <c r="B16" s="290" t="s">
        <v>101</v>
      </c>
      <c r="C16" s="290"/>
      <c r="D16" s="290"/>
      <c r="E16" s="290"/>
      <c r="F16" s="290"/>
      <c r="G16" s="290"/>
      <c r="H16" s="290"/>
      <c r="I16" s="290"/>
      <c r="J16" s="290"/>
      <c r="K16" s="290"/>
      <c r="L16" s="290"/>
      <c r="M16" s="290"/>
      <c r="N16" s="290"/>
      <c r="O16" s="290"/>
    </row>
    <row r="17" spans="2:15" x14ac:dyDescent="0.2">
      <c r="B17" s="290"/>
      <c r="C17" s="290"/>
      <c r="D17" s="290"/>
      <c r="E17" s="290"/>
      <c r="F17" s="290"/>
      <c r="G17" s="290"/>
      <c r="H17" s="290"/>
      <c r="I17" s="290"/>
      <c r="J17" s="290"/>
      <c r="K17" s="290"/>
      <c r="L17" s="290"/>
      <c r="M17" s="290"/>
      <c r="N17" s="290"/>
      <c r="O17" s="290"/>
    </row>
    <row r="18" spans="2:15" x14ac:dyDescent="0.2">
      <c r="B18" s="291" t="s">
        <v>2994</v>
      </c>
      <c r="C18" s="291"/>
      <c r="D18" s="291"/>
      <c r="E18" s="291"/>
      <c r="F18" s="291"/>
      <c r="G18" s="291"/>
      <c r="H18" s="291"/>
      <c r="I18" s="291"/>
      <c r="J18" s="291"/>
      <c r="K18" s="291"/>
      <c r="L18" s="291"/>
      <c r="M18" s="291"/>
      <c r="N18" s="291"/>
      <c r="O18" s="291"/>
    </row>
    <row r="19" spans="2:15" ht="30.75" customHeight="1" x14ac:dyDescent="0.2">
      <c r="B19" s="291" t="s">
        <v>2995</v>
      </c>
      <c r="C19" s="291"/>
      <c r="D19" s="291"/>
      <c r="E19" s="291"/>
      <c r="F19" s="291"/>
      <c r="G19" s="291"/>
      <c r="H19" s="291"/>
      <c r="I19" s="291"/>
      <c r="J19" s="291"/>
      <c r="K19" s="291"/>
      <c r="L19" s="291"/>
      <c r="M19" s="291"/>
      <c r="N19" s="291"/>
      <c r="O19" s="291"/>
    </row>
    <row r="20" spans="2:15" ht="33.75" customHeight="1" x14ac:dyDescent="0.2">
      <c r="B20" s="292" t="s">
        <v>90</v>
      </c>
      <c r="C20" s="292"/>
      <c r="D20" s="292"/>
      <c r="E20" s="292"/>
      <c r="F20" s="292"/>
      <c r="G20" s="292"/>
      <c r="H20" s="292"/>
      <c r="I20" s="292"/>
      <c r="J20" s="292"/>
      <c r="K20" s="292"/>
      <c r="L20" s="292"/>
      <c r="M20" s="292"/>
      <c r="N20" s="60"/>
      <c r="O20" s="60"/>
    </row>
    <row r="21" spans="2:15" x14ac:dyDescent="0.2">
      <c r="B21" s="60"/>
      <c r="C21" s="60"/>
      <c r="D21" s="60"/>
      <c r="E21" s="60"/>
      <c r="F21" s="60"/>
      <c r="G21" s="60"/>
      <c r="H21" s="60"/>
      <c r="I21" s="60"/>
      <c r="J21" s="60"/>
      <c r="K21" s="60"/>
      <c r="L21" s="60"/>
      <c r="M21" s="60"/>
      <c r="N21" s="60"/>
      <c r="O21" s="60"/>
    </row>
    <row r="22" spans="2:15" ht="49.5" customHeight="1" x14ac:dyDescent="0.2">
      <c r="B22" s="291" t="s">
        <v>2996</v>
      </c>
      <c r="C22" s="291"/>
      <c r="D22" s="291"/>
      <c r="E22" s="291"/>
      <c r="F22" s="291"/>
      <c r="G22" s="291"/>
      <c r="H22" s="291"/>
      <c r="I22" s="291"/>
      <c r="J22" s="291"/>
      <c r="K22" s="291"/>
      <c r="L22" s="291"/>
      <c r="M22" s="291"/>
      <c r="N22" s="291"/>
      <c r="O22" s="291"/>
    </row>
    <row r="23" spans="2:15" x14ac:dyDescent="0.2">
      <c r="B23" s="61"/>
      <c r="C23" s="61"/>
      <c r="D23" s="61"/>
      <c r="E23" s="61"/>
      <c r="F23" s="61"/>
      <c r="G23" s="61"/>
      <c r="H23" s="61"/>
      <c r="I23" s="61"/>
      <c r="J23" s="61"/>
      <c r="K23" s="61"/>
      <c r="L23" s="61"/>
      <c r="M23" s="61"/>
      <c r="N23" s="61"/>
      <c r="O23" s="61"/>
    </row>
    <row r="24" spans="2:15" x14ac:dyDescent="0.2">
      <c r="B24" s="57" t="s">
        <v>2967</v>
      </c>
    </row>
    <row r="25" spans="2:15" ht="15.75" x14ac:dyDescent="0.25">
      <c r="B25" s="1"/>
    </row>
    <row r="26" spans="2:15" x14ac:dyDescent="0.2">
      <c r="B26" s="218" t="s">
        <v>2964</v>
      </c>
    </row>
    <row r="27" spans="2:15" x14ac:dyDescent="0.2">
      <c r="B27" s="218" t="s">
        <v>2999</v>
      </c>
    </row>
    <row r="28" spans="2:15" x14ac:dyDescent="0.2">
      <c r="B28" s="218" t="s">
        <v>2965</v>
      </c>
    </row>
    <row r="29" spans="2:15" x14ac:dyDescent="0.2">
      <c r="B29" s="218" t="s">
        <v>2966</v>
      </c>
    </row>
    <row r="30" spans="2:15" x14ac:dyDescent="0.2">
      <c r="B30" s="62" t="s">
        <v>2963</v>
      </c>
    </row>
    <row r="32" spans="2:15" x14ac:dyDescent="0.2">
      <c r="C32" s="194" t="s">
        <v>2968</v>
      </c>
    </row>
    <row r="33" spans="3:3" x14ac:dyDescent="0.2">
      <c r="C33" s="56" t="s">
        <v>2954</v>
      </c>
    </row>
    <row r="34" spans="3:3" x14ac:dyDescent="0.2">
      <c r="C34" s="56" t="s">
        <v>2955</v>
      </c>
    </row>
    <row r="35" spans="3:3" x14ac:dyDescent="0.2">
      <c r="C35" s="56" t="s">
        <v>2956</v>
      </c>
    </row>
    <row r="36" spans="3:3" x14ac:dyDescent="0.2">
      <c r="C36" s="56" t="s">
        <v>2957</v>
      </c>
    </row>
    <row r="37" spans="3:3" x14ac:dyDescent="0.2">
      <c r="C37" s="56" t="s">
        <v>2958</v>
      </c>
    </row>
    <row r="38" spans="3:3" x14ac:dyDescent="0.2">
      <c r="C38" s="56" t="s">
        <v>2959</v>
      </c>
    </row>
    <row r="39" spans="3:3" x14ac:dyDescent="0.2">
      <c r="C39" s="56" t="s">
        <v>2960</v>
      </c>
    </row>
    <row r="40" spans="3:3" x14ac:dyDescent="0.2">
      <c r="C40" s="56" t="s">
        <v>2961</v>
      </c>
    </row>
  </sheetData>
  <sheetProtection sheet="1" objects="1" scenarios="1"/>
  <mergeCells count="7">
    <mergeCell ref="B4:O4"/>
    <mergeCell ref="B15:K15"/>
    <mergeCell ref="B16:O17"/>
    <mergeCell ref="B22:O22"/>
    <mergeCell ref="B19:O19"/>
    <mergeCell ref="B18:O18"/>
    <mergeCell ref="B20:M20"/>
  </mergeCells>
  <hyperlinks>
    <hyperlink ref="B20" r:id="rId1" xr:uid="{00000000-0004-0000-0100-000000000000}"/>
    <hyperlink ref="B7" location="'T1 In-year inspections'!A1" display="Table 1: In-year inspections" xr:uid="{00000000-0004-0000-0100-000001000000}"/>
    <hyperlink ref="B8" location="'T2 In-year standards'!A1" display="Table 2: In-year standards" xr:uid="{00000000-0004-0000-0100-000002000000}"/>
    <hyperlink ref="B9" location="'T3 In-year monitoring'!A1" display="Table 3: In-year monitoring" xr:uid="{00000000-0004-0000-0100-000003000000}"/>
    <hyperlink ref="B10" location="'T4 Most recent inspections'!A1" display="Table 4: Most recent inspections" xr:uid="{00000000-0004-0000-0100-000004000000}"/>
    <hyperlink ref="B12" location="'D1 In-year standard inspections'!A1" display="Dataset 1: In-year standard inspections" xr:uid="{00000000-0004-0000-0100-000005000000}"/>
    <hyperlink ref="B13" location="'D2 In-year monitoring'!A1" display="Dataset 2: In-year monitoring" xr:uid="{00000000-0004-0000-0100-000006000000}"/>
    <hyperlink ref="B14" location="'D3 Most recent inspections'!A1" display="Dataset 3: Most recent inspections" xr:uid="{00000000-0004-0000-0100-000007000000}"/>
    <hyperlink ref="B30" r:id="rId2" xr:uid="{00000000-0004-0000-0100-000008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8168889431442"/>
  </sheetPr>
  <dimension ref="A1:J51"/>
  <sheetViews>
    <sheetView showGridLines="0" zoomScale="80" zoomScaleNormal="80" workbookViewId="0">
      <pane ySplit="1" topLeftCell="A2" activePane="bottomLeft" state="frozen"/>
      <selection pane="bottomLeft"/>
    </sheetView>
  </sheetViews>
  <sheetFormatPr defaultColWidth="9.140625" defaultRowHeight="12.75" x14ac:dyDescent="0.2"/>
  <cols>
    <col min="1" max="1" width="15" style="192" customWidth="1"/>
    <col min="2" max="2" width="68.42578125" style="182" bestFit="1" customWidth="1"/>
    <col min="3" max="3" width="48.5703125" style="192" bestFit="1" customWidth="1"/>
    <col min="4" max="4" width="56.42578125" style="182" customWidth="1"/>
    <col min="5" max="16384" width="9.140625" style="182"/>
  </cols>
  <sheetData>
    <row r="1" spans="1:10" ht="13.5" thickBot="1" x14ac:dyDescent="0.25">
      <c r="A1" s="104" t="s">
        <v>102</v>
      </c>
      <c r="B1" s="105" t="s">
        <v>103</v>
      </c>
      <c r="C1" s="106" t="s">
        <v>91</v>
      </c>
      <c r="D1" s="107" t="s">
        <v>104</v>
      </c>
      <c r="E1" s="181"/>
    </row>
    <row r="2" spans="1:10" x14ac:dyDescent="0.2">
      <c r="A2" s="293" t="s">
        <v>2856</v>
      </c>
      <c r="B2" s="183" t="s">
        <v>38</v>
      </c>
      <c r="C2" s="184" t="s">
        <v>106</v>
      </c>
      <c r="D2" s="185" t="s">
        <v>112</v>
      </c>
      <c r="E2" s="181"/>
    </row>
    <row r="3" spans="1:10" x14ac:dyDescent="0.2">
      <c r="A3" s="294"/>
      <c r="B3" s="186" t="s">
        <v>39</v>
      </c>
      <c r="C3" s="197" t="s">
        <v>2857</v>
      </c>
      <c r="D3" s="188" t="s">
        <v>112</v>
      </c>
      <c r="E3" s="181"/>
    </row>
    <row r="4" spans="1:10" ht="25.5" x14ac:dyDescent="0.2">
      <c r="A4" s="294"/>
      <c r="B4" s="186" t="s">
        <v>40</v>
      </c>
      <c r="C4" s="187" t="s">
        <v>107</v>
      </c>
      <c r="D4" s="188" t="s">
        <v>112</v>
      </c>
      <c r="E4" s="181"/>
    </row>
    <row r="5" spans="1:10" x14ac:dyDescent="0.2">
      <c r="A5" s="294"/>
      <c r="B5" s="198" t="s">
        <v>2858</v>
      </c>
      <c r="C5" s="197" t="s">
        <v>2859</v>
      </c>
      <c r="D5" s="188" t="s">
        <v>112</v>
      </c>
      <c r="E5" s="181"/>
    </row>
    <row r="6" spans="1:10" ht="28.5" customHeight="1" x14ac:dyDescent="0.2">
      <c r="A6" s="294"/>
      <c r="B6" s="198" t="s">
        <v>2860</v>
      </c>
      <c r="C6" s="197" t="s">
        <v>2861</v>
      </c>
      <c r="D6" s="281" t="s">
        <v>3000</v>
      </c>
      <c r="E6" s="181"/>
    </row>
    <row r="7" spans="1:10" ht="29.25" customHeight="1" x14ac:dyDescent="0.2">
      <c r="A7" s="294"/>
      <c r="B7" s="224" t="s">
        <v>2969</v>
      </c>
      <c r="C7" s="222" t="s">
        <v>2990</v>
      </c>
      <c r="D7" s="223" t="s">
        <v>2991</v>
      </c>
      <c r="E7" s="181"/>
    </row>
    <row r="8" spans="1:10" ht="25.5" x14ac:dyDescent="0.2">
      <c r="A8" s="294"/>
      <c r="B8" s="221" t="s">
        <v>2946</v>
      </c>
      <c r="C8" s="222" t="s">
        <v>2993</v>
      </c>
      <c r="D8" s="223" t="s">
        <v>2992</v>
      </c>
      <c r="E8" s="181"/>
    </row>
    <row r="9" spans="1:10" ht="317.25" customHeight="1" x14ac:dyDescent="0.2">
      <c r="A9" s="294"/>
      <c r="B9" s="186" t="s">
        <v>62</v>
      </c>
      <c r="C9" s="197" t="s">
        <v>2862</v>
      </c>
      <c r="D9" s="193" t="s">
        <v>2844</v>
      </c>
      <c r="E9" s="181"/>
    </row>
    <row r="10" spans="1:10" ht="107.25" customHeight="1" x14ac:dyDescent="0.25">
      <c r="A10" s="294"/>
      <c r="B10" s="186" t="s">
        <v>63</v>
      </c>
      <c r="C10" s="197" t="s">
        <v>2863</v>
      </c>
      <c r="D10" s="189" t="s">
        <v>2624</v>
      </c>
      <c r="E10" s="181"/>
      <c r="J10"/>
    </row>
    <row r="11" spans="1:10" ht="29.25" customHeight="1" x14ac:dyDescent="0.25">
      <c r="A11" s="294"/>
      <c r="B11" s="186" t="s">
        <v>108</v>
      </c>
      <c r="C11" s="187" t="s">
        <v>109</v>
      </c>
      <c r="D11" s="189" t="s">
        <v>110</v>
      </c>
      <c r="E11" s="181"/>
      <c r="J11"/>
    </row>
    <row r="12" spans="1:10" ht="107.25" customHeight="1" x14ac:dyDescent="0.25">
      <c r="A12" s="294"/>
      <c r="B12" s="186" t="s">
        <v>41</v>
      </c>
      <c r="C12" s="197" t="s">
        <v>2864</v>
      </c>
      <c r="D12" s="189" t="s">
        <v>2845</v>
      </c>
      <c r="E12" s="181"/>
      <c r="J12"/>
    </row>
    <row r="13" spans="1:10" ht="120.75" customHeight="1" x14ac:dyDescent="0.25">
      <c r="A13" s="294"/>
      <c r="B13" s="186" t="s">
        <v>2846</v>
      </c>
      <c r="C13" s="197" t="s">
        <v>2865</v>
      </c>
      <c r="D13" s="189" t="s">
        <v>2847</v>
      </c>
      <c r="E13" s="181"/>
      <c r="J13"/>
    </row>
    <row r="14" spans="1:10" ht="15" x14ac:dyDescent="0.25">
      <c r="A14" s="294"/>
      <c r="B14" s="186" t="s">
        <v>43</v>
      </c>
      <c r="C14" s="197" t="s">
        <v>2866</v>
      </c>
      <c r="D14" s="188" t="s">
        <v>111</v>
      </c>
      <c r="E14" s="181"/>
      <c r="J14"/>
    </row>
    <row r="15" spans="1:10" ht="15" x14ac:dyDescent="0.25">
      <c r="A15" s="294"/>
      <c r="B15" s="186" t="s">
        <v>44</v>
      </c>
      <c r="C15" s="197" t="s">
        <v>2867</v>
      </c>
      <c r="D15" s="188" t="s">
        <v>112</v>
      </c>
      <c r="E15" s="181"/>
      <c r="J15"/>
    </row>
    <row r="16" spans="1:10" ht="30" customHeight="1" x14ac:dyDescent="0.25">
      <c r="A16" s="295" t="s">
        <v>105</v>
      </c>
      <c r="B16" s="221" t="s">
        <v>65</v>
      </c>
      <c r="C16" s="215" t="s">
        <v>2962</v>
      </c>
      <c r="D16" s="223" t="s">
        <v>2989</v>
      </c>
      <c r="E16" s="181"/>
      <c r="J16"/>
    </row>
    <row r="17" spans="1:10" ht="15" customHeight="1" x14ac:dyDescent="0.25">
      <c r="A17" s="296"/>
      <c r="B17" s="186" t="s">
        <v>45</v>
      </c>
      <c r="C17" s="187" t="s">
        <v>45</v>
      </c>
      <c r="D17" s="188" t="s">
        <v>113</v>
      </c>
      <c r="E17" s="181"/>
      <c r="J17"/>
    </row>
    <row r="18" spans="1:10" ht="15" x14ac:dyDescent="0.25">
      <c r="A18" s="296"/>
      <c r="B18" s="186" t="s">
        <v>46</v>
      </c>
      <c r="C18" s="187" t="s">
        <v>114</v>
      </c>
      <c r="D18" s="188" t="s">
        <v>113</v>
      </c>
      <c r="E18" s="181"/>
      <c r="J18"/>
    </row>
    <row r="19" spans="1:10" ht="15" x14ac:dyDescent="0.25">
      <c r="A19" s="296"/>
      <c r="B19" s="186" t="s">
        <v>47</v>
      </c>
      <c r="C19" s="187" t="s">
        <v>115</v>
      </c>
      <c r="D19" s="188" t="s">
        <v>113</v>
      </c>
      <c r="E19" s="181"/>
      <c r="J19"/>
    </row>
    <row r="20" spans="1:10" ht="15" customHeight="1" x14ac:dyDescent="0.2">
      <c r="A20" s="296"/>
      <c r="B20" s="186" t="s">
        <v>48</v>
      </c>
      <c r="C20" s="187" t="s">
        <v>116</v>
      </c>
      <c r="D20" s="188" t="s">
        <v>113</v>
      </c>
      <c r="E20" s="181"/>
    </row>
    <row r="21" spans="1:10" ht="144.75" customHeight="1" x14ac:dyDescent="0.2">
      <c r="A21" s="296"/>
      <c r="B21" s="186" t="s">
        <v>49</v>
      </c>
      <c r="C21" s="187" t="s">
        <v>49</v>
      </c>
      <c r="D21" s="284" t="s">
        <v>3006</v>
      </c>
      <c r="E21" s="181"/>
    </row>
    <row r="22" spans="1:10" ht="29.25" customHeight="1" x14ac:dyDescent="0.2">
      <c r="A22" s="296"/>
      <c r="B22" s="221" t="s">
        <v>2942</v>
      </c>
      <c r="C22" s="222" t="s">
        <v>2988</v>
      </c>
      <c r="D22" s="282" t="s">
        <v>3001</v>
      </c>
      <c r="E22" s="181"/>
    </row>
    <row r="23" spans="1:10" ht="51.75" customHeight="1" x14ac:dyDescent="0.2">
      <c r="A23" s="296"/>
      <c r="B23" s="186" t="s">
        <v>27</v>
      </c>
      <c r="C23" s="187" t="s">
        <v>27</v>
      </c>
      <c r="D23" s="190" t="s">
        <v>118</v>
      </c>
      <c r="E23" s="181"/>
    </row>
    <row r="24" spans="1:10" ht="51.75" customHeight="1" x14ac:dyDescent="0.2">
      <c r="A24" s="296"/>
      <c r="B24" s="186" t="s">
        <v>50</v>
      </c>
      <c r="C24" s="187" t="s">
        <v>117</v>
      </c>
      <c r="D24" s="190" t="s">
        <v>118</v>
      </c>
      <c r="E24" s="181"/>
    </row>
    <row r="25" spans="1:10" ht="51.75" customHeight="1" x14ac:dyDescent="0.2">
      <c r="A25" s="296"/>
      <c r="B25" s="186" t="s">
        <v>51</v>
      </c>
      <c r="C25" s="187" t="s">
        <v>117</v>
      </c>
      <c r="D25" s="190" t="s">
        <v>118</v>
      </c>
      <c r="E25" s="181"/>
    </row>
    <row r="26" spans="1:10" ht="51.75" customHeight="1" x14ac:dyDescent="0.2">
      <c r="A26" s="296"/>
      <c r="B26" s="186" t="s">
        <v>52</v>
      </c>
      <c r="C26" s="187" t="s">
        <v>117</v>
      </c>
      <c r="D26" s="190" t="s">
        <v>118</v>
      </c>
      <c r="E26" s="181"/>
    </row>
    <row r="27" spans="1:10" ht="51.75" customHeight="1" x14ac:dyDescent="0.2">
      <c r="A27" s="296"/>
      <c r="B27" s="186" t="s">
        <v>53</v>
      </c>
      <c r="C27" s="187" t="s">
        <v>117</v>
      </c>
      <c r="D27" s="190" t="s">
        <v>118</v>
      </c>
      <c r="E27" s="181"/>
    </row>
    <row r="28" spans="1:10" ht="77.25" customHeight="1" x14ac:dyDescent="0.2">
      <c r="A28" s="296"/>
      <c r="B28" s="186" t="s">
        <v>54</v>
      </c>
      <c r="C28" s="187" t="s">
        <v>117</v>
      </c>
      <c r="D28" s="190" t="s">
        <v>2639</v>
      </c>
      <c r="E28" s="181"/>
    </row>
    <row r="29" spans="1:10" ht="79.5" customHeight="1" x14ac:dyDescent="0.2">
      <c r="A29" s="296"/>
      <c r="B29" s="186" t="s">
        <v>55</v>
      </c>
      <c r="C29" s="187" t="s">
        <v>117</v>
      </c>
      <c r="D29" s="190" t="s">
        <v>2639</v>
      </c>
      <c r="E29" s="181"/>
    </row>
    <row r="30" spans="1:10" ht="26.25" customHeight="1" x14ac:dyDescent="0.2">
      <c r="A30" s="296"/>
      <c r="B30" s="186" t="s">
        <v>119</v>
      </c>
      <c r="C30" s="187" t="s">
        <v>117</v>
      </c>
      <c r="D30" s="189" t="s">
        <v>122</v>
      </c>
      <c r="E30" s="181"/>
    </row>
    <row r="31" spans="1:10" ht="39" customHeight="1" x14ac:dyDescent="0.2">
      <c r="A31" s="296"/>
      <c r="B31" s="186" t="s">
        <v>78</v>
      </c>
      <c r="C31" s="187" t="s">
        <v>120</v>
      </c>
      <c r="D31" s="189" t="s">
        <v>121</v>
      </c>
      <c r="E31" s="181"/>
    </row>
    <row r="32" spans="1:10" ht="39" customHeight="1" x14ac:dyDescent="0.2">
      <c r="A32" s="296"/>
      <c r="B32" s="186" t="s">
        <v>79</v>
      </c>
      <c r="C32" s="187" t="s">
        <v>120</v>
      </c>
      <c r="D32" s="189" t="s">
        <v>121</v>
      </c>
      <c r="E32" s="181"/>
    </row>
    <row r="33" spans="1:5" ht="39" customHeight="1" x14ac:dyDescent="0.2">
      <c r="A33" s="296"/>
      <c r="B33" s="186" t="s">
        <v>80</v>
      </c>
      <c r="C33" s="187" t="s">
        <v>120</v>
      </c>
      <c r="D33" s="189" t="s">
        <v>121</v>
      </c>
      <c r="E33" s="181"/>
    </row>
    <row r="34" spans="1:5" ht="39" customHeight="1" x14ac:dyDescent="0.2">
      <c r="A34" s="296"/>
      <c r="B34" s="186" t="s">
        <v>81</v>
      </c>
      <c r="C34" s="187" t="s">
        <v>120</v>
      </c>
      <c r="D34" s="189" t="s">
        <v>121</v>
      </c>
      <c r="E34" s="181"/>
    </row>
    <row r="35" spans="1:5" ht="39" customHeight="1" x14ac:dyDescent="0.2">
      <c r="A35" s="296"/>
      <c r="B35" s="186" t="s">
        <v>82</v>
      </c>
      <c r="C35" s="187" t="s">
        <v>120</v>
      </c>
      <c r="D35" s="189" t="s">
        <v>121</v>
      </c>
      <c r="E35" s="181"/>
    </row>
    <row r="36" spans="1:5" ht="39" customHeight="1" x14ac:dyDescent="0.2">
      <c r="A36" s="296"/>
      <c r="B36" s="186" t="s">
        <v>83</v>
      </c>
      <c r="C36" s="187" t="s">
        <v>120</v>
      </c>
      <c r="D36" s="189" t="s">
        <v>121</v>
      </c>
      <c r="E36" s="181"/>
    </row>
    <row r="37" spans="1:5" ht="39" customHeight="1" x14ac:dyDescent="0.2">
      <c r="A37" s="296"/>
      <c r="B37" s="186" t="s">
        <v>84</v>
      </c>
      <c r="C37" s="187" t="s">
        <v>120</v>
      </c>
      <c r="D37" s="189" t="s">
        <v>121</v>
      </c>
      <c r="E37" s="181"/>
    </row>
    <row r="38" spans="1:5" ht="39" customHeight="1" x14ac:dyDescent="0.2">
      <c r="A38" s="296"/>
      <c r="B38" s="186" t="s">
        <v>85</v>
      </c>
      <c r="C38" s="187" t="s">
        <v>120</v>
      </c>
      <c r="D38" s="189" t="s">
        <v>121</v>
      </c>
      <c r="E38" s="181"/>
    </row>
    <row r="39" spans="1:5" ht="28.5" customHeight="1" x14ac:dyDescent="0.2">
      <c r="A39" s="296"/>
      <c r="B39" s="186" t="s">
        <v>126</v>
      </c>
      <c r="C39" s="215" t="s">
        <v>2980</v>
      </c>
      <c r="D39" s="214" t="s">
        <v>2979</v>
      </c>
      <c r="E39" s="181"/>
    </row>
    <row r="40" spans="1:5" ht="28.5" customHeight="1" x14ac:dyDescent="0.2">
      <c r="A40" s="296"/>
      <c r="B40" s="216" t="s">
        <v>2943</v>
      </c>
      <c r="C40" s="215" t="s">
        <v>2981</v>
      </c>
      <c r="D40" s="208" t="s">
        <v>2977</v>
      </c>
      <c r="E40" s="181"/>
    </row>
    <row r="41" spans="1:5" ht="54.75" customHeight="1" x14ac:dyDescent="0.2">
      <c r="A41" s="296"/>
      <c r="B41" s="216" t="s">
        <v>2944</v>
      </c>
      <c r="C41" s="211" t="s">
        <v>2982</v>
      </c>
      <c r="D41" s="208" t="s">
        <v>2983</v>
      </c>
      <c r="E41" s="181"/>
    </row>
    <row r="42" spans="1:5" ht="54.75" customHeight="1" x14ac:dyDescent="0.2">
      <c r="A42" s="296"/>
      <c r="B42" s="210" t="s">
        <v>2945</v>
      </c>
      <c r="C42" s="220" t="s">
        <v>2986</v>
      </c>
      <c r="D42" s="283" t="s">
        <v>3002</v>
      </c>
      <c r="E42" s="181"/>
    </row>
    <row r="43" spans="1:5" ht="39" customHeight="1" x14ac:dyDescent="0.2">
      <c r="A43" s="296"/>
      <c r="B43" s="210" t="s">
        <v>136</v>
      </c>
      <c r="C43" s="220" t="s">
        <v>2985</v>
      </c>
      <c r="D43" s="219" t="s">
        <v>2987</v>
      </c>
      <c r="E43" s="181"/>
    </row>
    <row r="44" spans="1:5" ht="26.25" customHeight="1" x14ac:dyDescent="0.2">
      <c r="A44" s="296"/>
      <c r="B44" s="210" t="s">
        <v>2947</v>
      </c>
      <c r="C44" s="211" t="s">
        <v>2978</v>
      </c>
      <c r="D44" s="208" t="s">
        <v>2977</v>
      </c>
      <c r="E44" s="181"/>
    </row>
    <row r="45" spans="1:5" ht="15" customHeight="1" x14ac:dyDescent="0.2">
      <c r="A45" s="296"/>
      <c r="B45" s="210" t="s">
        <v>2949</v>
      </c>
      <c r="C45" s="211" t="s">
        <v>2970</v>
      </c>
      <c r="D45" s="208" t="s">
        <v>112</v>
      </c>
      <c r="E45" s="181"/>
    </row>
    <row r="46" spans="1:5" ht="27" customHeight="1" x14ac:dyDescent="0.2">
      <c r="A46" s="296"/>
      <c r="B46" s="210" t="s">
        <v>2948</v>
      </c>
      <c r="C46" s="211" t="s">
        <v>2971</v>
      </c>
      <c r="D46" s="283" t="s">
        <v>3003</v>
      </c>
      <c r="E46" s="181"/>
    </row>
    <row r="47" spans="1:5" ht="15" customHeight="1" x14ac:dyDescent="0.2">
      <c r="A47" s="296"/>
      <c r="B47" s="210" t="s">
        <v>2950</v>
      </c>
      <c r="C47" s="211" t="s">
        <v>2972</v>
      </c>
      <c r="D47" s="208" t="s">
        <v>112</v>
      </c>
      <c r="E47" s="181"/>
    </row>
    <row r="48" spans="1:5" ht="15" customHeight="1" x14ac:dyDescent="0.2">
      <c r="A48" s="296"/>
      <c r="B48" s="210" t="s">
        <v>2951</v>
      </c>
      <c r="C48" s="211" t="s">
        <v>2973</v>
      </c>
      <c r="D48" s="208" t="s">
        <v>112</v>
      </c>
      <c r="E48" s="181"/>
    </row>
    <row r="49" spans="1:5" ht="15" customHeight="1" x14ac:dyDescent="0.2">
      <c r="A49" s="296"/>
      <c r="B49" s="210" t="s">
        <v>2952</v>
      </c>
      <c r="C49" s="211" t="s">
        <v>2974</v>
      </c>
      <c r="D49" s="208" t="s">
        <v>112</v>
      </c>
      <c r="E49" s="181"/>
    </row>
    <row r="50" spans="1:5" ht="42.75" customHeight="1" thickBot="1" x14ac:dyDescent="0.25">
      <c r="A50" s="297"/>
      <c r="B50" s="212" t="s">
        <v>2953</v>
      </c>
      <c r="C50" s="213" t="s">
        <v>2975</v>
      </c>
      <c r="D50" s="209" t="s">
        <v>2976</v>
      </c>
      <c r="E50" s="181"/>
    </row>
    <row r="51" spans="1:5" x14ac:dyDescent="0.2">
      <c r="A51" s="191"/>
      <c r="B51" s="181"/>
      <c r="C51" s="191"/>
      <c r="D51" s="181"/>
      <c r="E51" s="181"/>
    </row>
  </sheetData>
  <autoFilter ref="A1:D1" xr:uid="{00000000-0009-0000-0000-000002000000}"/>
  <mergeCells count="2">
    <mergeCell ref="A2:A15"/>
    <mergeCell ref="A16:A5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79998168889431442"/>
  </sheetPr>
  <dimension ref="A1:P22"/>
  <sheetViews>
    <sheetView showGridLines="0" zoomScaleNormal="100" workbookViewId="0"/>
  </sheetViews>
  <sheetFormatPr defaultColWidth="9.140625" defaultRowHeight="12.75" x14ac:dyDescent="0.2"/>
  <cols>
    <col min="1" max="1" width="2.7109375" style="37" customWidth="1"/>
    <col min="2" max="2" width="38.85546875" style="32" customWidth="1"/>
    <col min="3" max="11" width="13.7109375" style="32" customWidth="1"/>
    <col min="12" max="14" width="9.140625" style="32"/>
    <col min="15" max="15" width="9.5703125" style="32" bestFit="1" customWidth="1"/>
    <col min="16" max="16384" width="9.140625" style="32"/>
  </cols>
  <sheetData>
    <row r="1" spans="1:16" ht="17.25" x14ac:dyDescent="0.2">
      <c r="A1" s="9"/>
      <c r="B1" s="194" t="s">
        <v>2855</v>
      </c>
      <c r="C1" s="31"/>
      <c r="D1" s="31"/>
      <c r="E1" s="31"/>
      <c r="F1" s="31"/>
      <c r="G1" s="31"/>
      <c r="H1" s="31"/>
      <c r="I1" s="31"/>
      <c r="J1" s="31"/>
      <c r="K1" s="31"/>
      <c r="L1" s="31"/>
      <c r="M1" s="31"/>
      <c r="N1" s="31"/>
      <c r="O1" s="31"/>
      <c r="P1" s="31"/>
    </row>
    <row r="2" spans="1:16" x14ac:dyDescent="0.2">
      <c r="A2" s="31"/>
      <c r="B2" s="31" t="str">
        <f>Cover!C8</f>
        <v>Inspections from 1 September 2017 to 31 March 2018, published by 31 March 2018</v>
      </c>
      <c r="C2" s="31"/>
      <c r="D2" s="31"/>
      <c r="E2" s="31"/>
      <c r="F2" s="31"/>
      <c r="G2" s="31"/>
      <c r="H2" s="31"/>
      <c r="I2" s="31"/>
      <c r="J2" s="31"/>
      <c r="K2" s="31"/>
      <c r="L2" s="31"/>
      <c r="M2" s="31"/>
      <c r="N2" s="31"/>
      <c r="O2" s="31"/>
      <c r="P2" s="31"/>
    </row>
    <row r="3" spans="1:16" x14ac:dyDescent="0.2">
      <c r="A3" s="31"/>
      <c r="B3" s="31"/>
      <c r="C3" s="31"/>
      <c r="D3" s="31"/>
      <c r="E3" s="31"/>
      <c r="F3" s="31"/>
      <c r="G3" s="31"/>
      <c r="H3" s="31"/>
      <c r="I3" s="31"/>
      <c r="J3" s="31"/>
      <c r="K3" s="31"/>
      <c r="L3" s="31"/>
      <c r="M3" s="31"/>
      <c r="N3" s="31"/>
      <c r="O3" s="31"/>
      <c r="P3" s="31"/>
    </row>
    <row r="4" spans="1:16" ht="14.45" customHeight="1" x14ac:dyDescent="0.2">
      <c r="A4" s="31"/>
      <c r="B4" s="301"/>
      <c r="C4" s="304" t="s">
        <v>33</v>
      </c>
      <c r="D4" s="299" t="s">
        <v>27</v>
      </c>
      <c r="E4" s="299"/>
      <c r="F4" s="299"/>
      <c r="G4" s="299"/>
      <c r="H4" s="299"/>
      <c r="I4" s="299"/>
      <c r="J4" s="299"/>
      <c r="K4" s="299"/>
      <c r="L4" s="298" t="s">
        <v>119</v>
      </c>
      <c r="M4" s="299"/>
      <c r="N4" s="299"/>
      <c r="O4" s="300"/>
      <c r="P4" s="31"/>
    </row>
    <row r="5" spans="1:16" ht="12.75" customHeight="1" x14ac:dyDescent="0.2">
      <c r="A5" s="31"/>
      <c r="B5" s="302"/>
      <c r="C5" s="305"/>
      <c r="D5" s="307" t="s">
        <v>28</v>
      </c>
      <c r="E5" s="307"/>
      <c r="F5" s="307"/>
      <c r="G5" s="306"/>
      <c r="H5" s="307" t="s">
        <v>29</v>
      </c>
      <c r="I5" s="307"/>
      <c r="J5" s="307"/>
      <c r="K5" s="307"/>
      <c r="L5" s="298" t="s">
        <v>28</v>
      </c>
      <c r="M5" s="300"/>
      <c r="N5" s="298" t="s">
        <v>29</v>
      </c>
      <c r="O5" s="300"/>
      <c r="P5" s="31"/>
    </row>
    <row r="6" spans="1:16" ht="25.5" x14ac:dyDescent="0.2">
      <c r="A6" s="31"/>
      <c r="B6" s="303"/>
      <c r="C6" s="306"/>
      <c r="D6" s="30" t="s">
        <v>30</v>
      </c>
      <c r="E6" s="30" t="s">
        <v>34</v>
      </c>
      <c r="F6" s="30" t="s">
        <v>31</v>
      </c>
      <c r="G6" s="30" t="s">
        <v>32</v>
      </c>
      <c r="H6" s="112" t="s">
        <v>30</v>
      </c>
      <c r="I6" s="113" t="s">
        <v>34</v>
      </c>
      <c r="J6" s="113" t="s">
        <v>31</v>
      </c>
      <c r="K6" s="113" t="s">
        <v>32</v>
      </c>
      <c r="L6" s="65" t="s">
        <v>123</v>
      </c>
      <c r="M6" s="67" t="s">
        <v>124</v>
      </c>
      <c r="N6" s="66" t="s">
        <v>123</v>
      </c>
      <c r="O6" s="67" t="s">
        <v>124</v>
      </c>
      <c r="P6" s="31"/>
    </row>
    <row r="7" spans="1:16" x14ac:dyDescent="0.2">
      <c r="A7" s="31"/>
      <c r="B7" s="72" t="s">
        <v>35</v>
      </c>
      <c r="C7" s="155">
        <f>SUM(C8:C9)</f>
        <v>281</v>
      </c>
      <c r="D7" s="88">
        <f t="shared" ref="D7:G7" si="0">SUM(D8:D9)</f>
        <v>32</v>
      </c>
      <c r="E7" s="89">
        <f t="shared" si="0"/>
        <v>143</v>
      </c>
      <c r="F7" s="89">
        <f t="shared" si="0"/>
        <v>71</v>
      </c>
      <c r="G7" s="156">
        <f t="shared" si="0"/>
        <v>34</v>
      </c>
      <c r="H7" s="229">
        <f t="shared" ref="H7:K9" si="1">D7/SUM($D7:$G7)*100</f>
        <v>11.428571428571429</v>
      </c>
      <c r="I7" s="230">
        <f t="shared" si="1"/>
        <v>51.071428571428569</v>
      </c>
      <c r="J7" s="230">
        <f t="shared" si="1"/>
        <v>25.357142857142854</v>
      </c>
      <c r="K7" s="231">
        <f t="shared" si="1"/>
        <v>12.142857142857142</v>
      </c>
      <c r="L7" s="88">
        <f t="shared" ref="L7" si="2">SUM(L8:L9)</f>
        <v>259</v>
      </c>
      <c r="M7" s="156">
        <f t="shared" ref="M7" si="3">SUM(M8:M9)</f>
        <v>22</v>
      </c>
      <c r="N7" s="238">
        <f t="shared" ref="N7:O9" si="4">L7/SUM($L7,$M7)*100</f>
        <v>92.170818505338076</v>
      </c>
      <c r="O7" s="239">
        <f t="shared" si="4"/>
        <v>7.8291814946619214</v>
      </c>
      <c r="P7" s="31"/>
    </row>
    <row r="8" spans="1:16" x14ac:dyDescent="0.2">
      <c r="A8" s="31"/>
      <c r="B8" s="205" t="s">
        <v>68</v>
      </c>
      <c r="C8" s="157">
        <f>COUNTIFS('D1 In-year standard inspections'!$E:$E,$B8,'D1 In-year standard inspections'!$O:$O,"&lt;&gt;null")</f>
        <v>180</v>
      </c>
      <c r="D8" s="90">
        <f>COUNTIFS('D1 In-year standard inspections'!$E:$E,$B8,'D1 In-year standard inspections'!$U:$U,1)</f>
        <v>15</v>
      </c>
      <c r="E8" s="91">
        <f>COUNTIFS('D1 In-year standard inspections'!$E:$E,$B8,'D1 In-year standard inspections'!$U:$U,2)</f>
        <v>90</v>
      </c>
      <c r="F8" s="91">
        <f>COUNTIFS('D1 In-year standard inspections'!$E:$E,$B8,'D1 In-year standard inspections'!$U:$U,3)</f>
        <v>48</v>
      </c>
      <c r="G8" s="160">
        <f>COUNTIFS('D1 In-year standard inspections'!$E:$E,$B8,'D1 In-year standard inspections'!$U:$U,4)</f>
        <v>27</v>
      </c>
      <c r="H8" s="232">
        <f t="shared" si="1"/>
        <v>8.3333333333333321</v>
      </c>
      <c r="I8" s="233">
        <f t="shared" si="1"/>
        <v>50</v>
      </c>
      <c r="J8" s="233">
        <f t="shared" si="1"/>
        <v>26.666666666666668</v>
      </c>
      <c r="K8" s="234">
        <f t="shared" si="1"/>
        <v>15</v>
      </c>
      <c r="L8" s="33">
        <f>COUNTIFS('D1 In-year standard inspections'!$E:$E,$B8,'D1 In-year standard inspections'!$AB:$AB,L$6)</f>
        <v>162</v>
      </c>
      <c r="M8" s="34">
        <f>COUNTIFS('D1 In-year standard inspections'!$E:$E,$B8,'D1 In-year standard inspections'!$AB:$AB,M$6)</f>
        <v>18</v>
      </c>
      <c r="N8" s="240">
        <f t="shared" si="4"/>
        <v>90</v>
      </c>
      <c r="O8" s="241">
        <f t="shared" si="4"/>
        <v>10</v>
      </c>
      <c r="P8" s="31"/>
    </row>
    <row r="9" spans="1:16" x14ac:dyDescent="0.2">
      <c r="A9" s="31"/>
      <c r="B9" s="206" t="s">
        <v>69</v>
      </c>
      <c r="C9" s="158">
        <f>COUNTIFS('D1 In-year standard inspections'!$E:$E,$B9,'D1 In-year standard inspections'!$O:$O,"&lt;&gt;null")</f>
        <v>101</v>
      </c>
      <c r="D9" s="159">
        <f>COUNTIFS('D1 In-year standard inspections'!$E:$E,$B9,'D1 In-year standard inspections'!$U:$U,1)</f>
        <v>17</v>
      </c>
      <c r="E9" s="161">
        <f>COUNTIFS('D1 In-year standard inspections'!$E:$E,$B9,'D1 In-year standard inspections'!$U:$U,2)</f>
        <v>53</v>
      </c>
      <c r="F9" s="161">
        <f>COUNTIFS('D1 In-year standard inspections'!$E:$E,$B9,'D1 In-year standard inspections'!$U:$U,3)</f>
        <v>23</v>
      </c>
      <c r="G9" s="162">
        <f>COUNTIFS('D1 In-year standard inspections'!$E:$E,$B9,'D1 In-year standard inspections'!$U:$U,4)</f>
        <v>7</v>
      </c>
      <c r="H9" s="235">
        <f t="shared" si="1"/>
        <v>17</v>
      </c>
      <c r="I9" s="236">
        <f t="shared" si="1"/>
        <v>53</v>
      </c>
      <c r="J9" s="236">
        <f t="shared" si="1"/>
        <v>23</v>
      </c>
      <c r="K9" s="237">
        <f t="shared" si="1"/>
        <v>7.0000000000000009</v>
      </c>
      <c r="L9" s="35">
        <f>COUNTIFS('D1 In-year standard inspections'!$E:$E,$B9,'D1 In-year standard inspections'!$AB:$AB,L$6)</f>
        <v>97</v>
      </c>
      <c r="M9" s="36">
        <f>COUNTIFS('D1 In-year standard inspections'!$E:$E,$B9,'D1 In-year standard inspections'!$AB:$AB,M$6)</f>
        <v>4</v>
      </c>
      <c r="N9" s="242">
        <f t="shared" si="4"/>
        <v>96.039603960396036</v>
      </c>
      <c r="O9" s="243">
        <f t="shared" si="4"/>
        <v>3.9603960396039604</v>
      </c>
      <c r="P9" s="31"/>
    </row>
    <row r="10" spans="1:16" x14ac:dyDescent="0.2">
      <c r="A10" s="31"/>
      <c r="B10" s="31"/>
      <c r="C10" s="31"/>
      <c r="D10" s="31"/>
      <c r="E10" s="31"/>
      <c r="F10" s="31"/>
      <c r="G10" s="31"/>
      <c r="H10" s="31"/>
      <c r="I10" s="31"/>
      <c r="J10" s="31"/>
      <c r="K10" s="31"/>
      <c r="L10" s="31"/>
      <c r="M10" s="31"/>
      <c r="N10" s="31"/>
      <c r="O10" s="19" t="s">
        <v>60</v>
      </c>
      <c r="P10" s="31"/>
    </row>
    <row r="11" spans="1:16" x14ac:dyDescent="0.2">
      <c r="A11" s="31"/>
      <c r="B11" s="31"/>
      <c r="C11" s="31"/>
      <c r="D11" s="31"/>
      <c r="E11" s="31"/>
      <c r="F11" s="31"/>
      <c r="G11" s="31"/>
      <c r="H11" s="31"/>
      <c r="I11" s="110"/>
      <c r="J11" s="31"/>
      <c r="K11" s="31"/>
      <c r="L11" s="31"/>
      <c r="M11" s="31"/>
      <c r="N11" s="31"/>
      <c r="O11" s="31"/>
      <c r="P11" s="31"/>
    </row>
    <row r="12" spans="1:16" x14ac:dyDescent="0.2">
      <c r="A12" s="31"/>
      <c r="B12" s="31" t="s">
        <v>61</v>
      </c>
      <c r="C12" s="31"/>
      <c r="D12" s="31"/>
      <c r="E12" s="31"/>
      <c r="F12" s="31"/>
      <c r="G12" s="31"/>
      <c r="H12" s="31"/>
      <c r="I12" s="31"/>
      <c r="J12" s="31"/>
      <c r="K12" s="31"/>
      <c r="L12" s="31"/>
      <c r="M12" s="31"/>
      <c r="N12" s="31"/>
      <c r="O12" s="31"/>
      <c r="P12" s="31"/>
    </row>
    <row r="13" spans="1:16" x14ac:dyDescent="0.2">
      <c r="A13" s="31"/>
      <c r="B13" s="217" t="s">
        <v>2984</v>
      </c>
      <c r="C13" s="31"/>
      <c r="D13" s="31"/>
      <c r="E13" s="31"/>
      <c r="F13" s="31"/>
      <c r="G13" s="31"/>
      <c r="H13" s="31"/>
      <c r="I13" s="31"/>
      <c r="J13" s="31"/>
      <c r="K13" s="31"/>
      <c r="L13" s="31"/>
      <c r="M13" s="31"/>
      <c r="N13" s="31"/>
      <c r="O13" s="31"/>
      <c r="P13" s="31"/>
    </row>
    <row r="14" spans="1:16" x14ac:dyDescent="0.2">
      <c r="A14" s="31"/>
      <c r="B14" s="130" t="s">
        <v>2641</v>
      </c>
      <c r="C14" s="31"/>
      <c r="D14" s="31"/>
      <c r="E14" s="31"/>
      <c r="F14" s="31"/>
      <c r="G14" s="31"/>
      <c r="H14" s="31"/>
      <c r="I14" s="31"/>
      <c r="J14" s="31"/>
      <c r="K14" s="31"/>
      <c r="L14" s="31"/>
      <c r="M14" s="31"/>
      <c r="N14" s="31"/>
      <c r="O14" s="31"/>
      <c r="P14" s="31"/>
    </row>
    <row r="15" spans="1:16" x14ac:dyDescent="0.2">
      <c r="M15" s="31"/>
      <c r="N15" s="31"/>
      <c r="O15" s="31"/>
      <c r="P15" s="31"/>
    </row>
    <row r="17" spans="2:2" x14ac:dyDescent="0.2">
      <c r="B17" s="92"/>
    </row>
    <row r="20" spans="2:2" ht="45" customHeight="1" x14ac:dyDescent="0.2"/>
    <row r="21" spans="2:2" ht="45" customHeight="1" x14ac:dyDescent="0.2"/>
    <row r="22" spans="2:2" ht="45" customHeight="1" x14ac:dyDescent="0.2"/>
  </sheetData>
  <sheetProtection sheet="1" objects="1" scenarios="1"/>
  <mergeCells count="8">
    <mergeCell ref="L4:O4"/>
    <mergeCell ref="L5:M5"/>
    <mergeCell ref="N5:O5"/>
    <mergeCell ref="B4:B6"/>
    <mergeCell ref="C4:C6"/>
    <mergeCell ref="D4:K4"/>
    <mergeCell ref="D5:G5"/>
    <mergeCell ref="H5:K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79998168889431442"/>
  </sheetPr>
  <dimension ref="A1:H43"/>
  <sheetViews>
    <sheetView showGridLines="0" zoomScaleNormal="100" workbookViewId="0"/>
  </sheetViews>
  <sheetFormatPr defaultColWidth="9.140625" defaultRowHeight="12.75" x14ac:dyDescent="0.2"/>
  <cols>
    <col min="1" max="1" width="2.7109375" style="46" customWidth="1"/>
    <col min="2" max="2" width="55" style="32" customWidth="1"/>
    <col min="3" max="7" width="17.42578125" style="32" customWidth="1"/>
    <col min="8" max="16384" width="9.140625" style="32"/>
  </cols>
  <sheetData>
    <row r="1" spans="1:8" ht="17.25" x14ac:dyDescent="0.2">
      <c r="A1" s="38"/>
      <c r="B1" s="196" t="s">
        <v>2854</v>
      </c>
      <c r="C1" s="4"/>
      <c r="D1" s="4"/>
      <c r="E1" s="4"/>
      <c r="F1" s="4"/>
      <c r="G1" s="5"/>
      <c r="H1" s="31"/>
    </row>
    <row r="2" spans="1:8" x14ac:dyDescent="0.2">
      <c r="A2" s="38"/>
      <c r="B2" s="6" t="str">
        <f>Cover!C8</f>
        <v>Inspections from 1 September 2017 to 31 March 2018, published by 31 March 2018</v>
      </c>
      <c r="C2" s="4"/>
      <c r="D2" s="4"/>
      <c r="E2" s="4"/>
      <c r="F2" s="4"/>
      <c r="G2" s="4"/>
      <c r="H2" s="31"/>
    </row>
    <row r="3" spans="1:8" x14ac:dyDescent="0.2">
      <c r="A3" s="38"/>
      <c r="B3" s="7"/>
      <c r="C3" s="7"/>
      <c r="D3" s="7"/>
      <c r="E3" s="7"/>
      <c r="F3" s="7"/>
      <c r="G3" s="7"/>
      <c r="H3" s="31"/>
    </row>
    <row r="4" spans="1:8" x14ac:dyDescent="0.2">
      <c r="A4" s="39"/>
      <c r="B4" s="77"/>
      <c r="C4" s="304" t="s">
        <v>59</v>
      </c>
      <c r="D4" s="299" t="s">
        <v>28</v>
      </c>
      <c r="E4" s="300"/>
      <c r="F4" s="299" t="s">
        <v>29</v>
      </c>
      <c r="G4" s="300"/>
      <c r="H4" s="31"/>
    </row>
    <row r="5" spans="1:8" x14ac:dyDescent="0.2">
      <c r="A5" s="39"/>
      <c r="B5" s="78"/>
      <c r="C5" s="306"/>
      <c r="D5" s="71" t="s">
        <v>57</v>
      </c>
      <c r="E5" s="70" t="s">
        <v>58</v>
      </c>
      <c r="F5" s="71" t="s">
        <v>57</v>
      </c>
      <c r="G5" s="70" t="s">
        <v>58</v>
      </c>
      <c r="H5" s="31"/>
    </row>
    <row r="6" spans="1:8" x14ac:dyDescent="0.2">
      <c r="A6" s="39"/>
      <c r="B6" s="80" t="s">
        <v>35</v>
      </c>
      <c r="C6" s="95"/>
      <c r="D6" s="93"/>
      <c r="E6" s="94"/>
      <c r="F6" s="103"/>
      <c r="G6" s="102"/>
      <c r="H6" s="31"/>
    </row>
    <row r="7" spans="1:8" x14ac:dyDescent="0.2">
      <c r="A7" s="39"/>
      <c r="B7" s="81" t="s">
        <v>86</v>
      </c>
      <c r="C7" s="96">
        <f>'T1 In-year inspections'!$C$7</f>
        <v>281</v>
      </c>
      <c r="D7" s="101">
        <f>COUNTIFS('D1 In-year standard inspections'!$O:$O,"&lt;&gt;null",'D1 In-year standard inspections'!$AD:$AD,"All standards Met")</f>
        <v>211</v>
      </c>
      <c r="E7" s="164">
        <f>COUNTIFS('D1 In-year standard inspections'!$O:$O,"&lt;&gt;null",'D1 In-year standard inspections'!$AD:$AD,"Did not meet all standards")</f>
        <v>70</v>
      </c>
      <c r="F7" s="244">
        <f t="shared" ref="F7:G13" si="0">D7/SUM($D7,$E7)*100</f>
        <v>75.088967971530252</v>
      </c>
      <c r="G7" s="244">
        <f t="shared" si="0"/>
        <v>24.911032028469752</v>
      </c>
      <c r="H7" s="31"/>
    </row>
    <row r="8" spans="1:8" x14ac:dyDescent="0.2">
      <c r="A8" s="40"/>
      <c r="B8" s="82" t="s">
        <v>70</v>
      </c>
      <c r="C8" s="96">
        <f>'T1 In-year inspections'!$C$7</f>
        <v>281</v>
      </c>
      <c r="D8" s="163">
        <f>COUNTIFS('D1 In-year standard inspections'!$O:$O,"&lt;&gt;null",'D1 In-year standard inspections'!$AE:$AE,$D$5)</f>
        <v>252</v>
      </c>
      <c r="E8" s="165">
        <f>COUNTIFS('D1 In-year standard inspections'!$O:$O,"&lt;&gt;null",'D1 In-year standard inspections'!$AE:$AE,$E$5)</f>
        <v>27</v>
      </c>
      <c r="F8" s="245">
        <f t="shared" si="0"/>
        <v>90.322580645161281</v>
      </c>
      <c r="G8" s="245">
        <f t="shared" si="0"/>
        <v>9.67741935483871</v>
      </c>
      <c r="H8" s="31"/>
    </row>
    <row r="9" spans="1:8" x14ac:dyDescent="0.2">
      <c r="A9" s="40"/>
      <c r="B9" s="82" t="s">
        <v>71</v>
      </c>
      <c r="C9" s="96">
        <f>'T1 In-year inspections'!$C$7</f>
        <v>281</v>
      </c>
      <c r="D9" s="163">
        <f>COUNTIFS('D1 In-year standard inspections'!$O:$O,"&lt;&gt;null",'D1 In-year standard inspections'!$AF:$AF,$D$5)</f>
        <v>263</v>
      </c>
      <c r="E9" s="165">
        <f>COUNTIFS('D1 In-year standard inspections'!$O:$O,"&lt;&gt;null",'D1 In-year standard inspections'!$AF:$AF,$E$5)</f>
        <v>16</v>
      </c>
      <c r="F9" s="245">
        <f t="shared" si="0"/>
        <v>94.26523297491039</v>
      </c>
      <c r="G9" s="245">
        <f t="shared" si="0"/>
        <v>5.7347670250896057</v>
      </c>
      <c r="H9" s="31"/>
    </row>
    <row r="10" spans="1:8" x14ac:dyDescent="0.2">
      <c r="A10" s="40"/>
      <c r="B10" s="82" t="s">
        <v>72</v>
      </c>
      <c r="C10" s="96">
        <f>'T1 In-year inspections'!$C$7</f>
        <v>281</v>
      </c>
      <c r="D10" s="163">
        <f>COUNTIFS('D1 In-year standard inspections'!$O:$O,"&lt;&gt;null",'D1 In-year standard inspections'!$AG:$AG,$D$5)</f>
        <v>256</v>
      </c>
      <c r="E10" s="165">
        <f>COUNTIFS('D1 In-year standard inspections'!$O:$O,"&lt;&gt;null",'D1 In-year standard inspections'!$AG:$AG,$E$5)</f>
        <v>25</v>
      </c>
      <c r="F10" s="245">
        <f t="shared" si="0"/>
        <v>91.10320284697508</v>
      </c>
      <c r="G10" s="245">
        <f t="shared" si="0"/>
        <v>8.8967971530249113</v>
      </c>
      <c r="H10" s="31"/>
    </row>
    <row r="11" spans="1:8" x14ac:dyDescent="0.2">
      <c r="A11" s="40"/>
      <c r="B11" s="82" t="s">
        <v>73</v>
      </c>
      <c r="C11" s="96">
        <f>'T1 In-year inspections'!$C$7</f>
        <v>281</v>
      </c>
      <c r="D11" s="163">
        <f>COUNTIFS('D1 In-year standard inspections'!$O:$O,"&lt;&gt;null",'D1 In-year standard inspections'!$AH:$AH,$D$5)</f>
        <v>269</v>
      </c>
      <c r="E11" s="165">
        <f>COUNTIFS('D1 In-year standard inspections'!$O:$O,"&lt;&gt;null",'D1 In-year standard inspections'!$AH:$AH,$E$5)</f>
        <v>12</v>
      </c>
      <c r="F11" s="245">
        <f t="shared" si="0"/>
        <v>95.729537366548044</v>
      </c>
      <c r="G11" s="245">
        <f t="shared" si="0"/>
        <v>4.2704626334519578</v>
      </c>
      <c r="H11" s="31"/>
    </row>
    <row r="12" spans="1:8" x14ac:dyDescent="0.2">
      <c r="A12" s="40"/>
      <c r="B12" s="82" t="s">
        <v>74</v>
      </c>
      <c r="C12" s="96">
        <f>'T1 In-year inspections'!$C$7</f>
        <v>281</v>
      </c>
      <c r="D12" s="163">
        <f>COUNTIFS('D1 In-year standard inspections'!$O:$O,"&lt;&gt;null",'D1 In-year standard inspections'!$AI:$AI,$D$5)</f>
        <v>269</v>
      </c>
      <c r="E12" s="165">
        <f>COUNTIFS('D1 In-year standard inspections'!$O:$O,"&lt;&gt;null",'D1 In-year standard inspections'!$AI:$AI,$E$5)</f>
        <v>12</v>
      </c>
      <c r="F12" s="245">
        <f t="shared" si="0"/>
        <v>95.729537366548044</v>
      </c>
      <c r="G12" s="245">
        <f t="shared" si="0"/>
        <v>4.2704626334519578</v>
      </c>
      <c r="H12" s="31"/>
    </row>
    <row r="13" spans="1:8" x14ac:dyDescent="0.2">
      <c r="A13" s="40"/>
      <c r="B13" s="82" t="s">
        <v>75</v>
      </c>
      <c r="C13" s="96">
        <f>'T1 In-year inspections'!$C$7</f>
        <v>281</v>
      </c>
      <c r="D13" s="163">
        <f>COUNTIFS('D1 In-year standard inspections'!$O:$O,"&lt;&gt;null",'D1 In-year standard inspections'!$AJ:$AJ,$D$5)</f>
        <v>259</v>
      </c>
      <c r="E13" s="165">
        <f>COUNTIFS('D1 In-year standard inspections'!$O:$O,"&lt;&gt;null",'D1 In-year standard inspections'!$AJ:$AJ,$E$5)</f>
        <v>22</v>
      </c>
      <c r="F13" s="245">
        <f t="shared" si="0"/>
        <v>92.170818505338076</v>
      </c>
      <c r="G13" s="245">
        <f t="shared" si="0"/>
        <v>7.8291814946619214</v>
      </c>
      <c r="H13" s="31"/>
    </row>
    <row r="14" spans="1:8" x14ac:dyDescent="0.2">
      <c r="A14" s="40"/>
      <c r="B14" s="83" t="s">
        <v>76</v>
      </c>
      <c r="C14" s="96">
        <f>'T1 In-year inspections'!$C$7</f>
        <v>281</v>
      </c>
      <c r="D14" s="163">
        <f>COUNTIFS('D1 In-year standard inspections'!$O:$O,"&lt;&gt;null",'D1 In-year standard inspections'!$AK:$AK,$D$5)</f>
        <v>273</v>
      </c>
      <c r="E14" s="165">
        <f>COUNTIFS('D1 In-year standard inspections'!$O:$O,"&lt;&gt;null",'D1 In-year standard inspections'!$AK:$AK,$E$5)</f>
        <v>8</v>
      </c>
      <c r="F14" s="245">
        <f>D14/SUM($D14,$E14)*100</f>
        <v>97.15302491103202</v>
      </c>
      <c r="G14" s="245">
        <f t="shared" ref="G14:G37" si="1">E14/SUM($D14,$E14)*100</f>
        <v>2.8469750889679712</v>
      </c>
      <c r="H14" s="31"/>
    </row>
    <row r="15" spans="1:8" x14ac:dyDescent="0.2">
      <c r="A15" s="40"/>
      <c r="B15" s="83" t="s">
        <v>77</v>
      </c>
      <c r="C15" s="96">
        <f>'T1 In-year inspections'!$C$7</f>
        <v>281</v>
      </c>
      <c r="D15" s="163">
        <f>COUNTIFS('D1 In-year standard inspections'!$O:$O,"&lt;&gt;null",'D1 In-year standard inspections'!$AL:$AL,$D$5)</f>
        <v>212</v>
      </c>
      <c r="E15" s="165">
        <f>COUNTIFS('D1 In-year standard inspections'!$O:$O,"&lt;&gt;null",'D1 In-year standard inspections'!$AL:$AL,$E$5)</f>
        <v>69</v>
      </c>
      <c r="F15" s="245">
        <f>D15/SUM($D15,$E15)*100</f>
        <v>75.444839857651246</v>
      </c>
      <c r="G15" s="245">
        <f t="shared" si="1"/>
        <v>24.555160142348754</v>
      </c>
      <c r="H15" s="31"/>
    </row>
    <row r="16" spans="1:8" x14ac:dyDescent="0.2">
      <c r="A16" s="40"/>
      <c r="B16" s="83"/>
      <c r="C16" s="97"/>
      <c r="D16" s="125"/>
      <c r="E16" s="126"/>
      <c r="F16" s="246"/>
      <c r="G16" s="245"/>
      <c r="H16" s="31"/>
    </row>
    <row r="17" spans="1:8" x14ac:dyDescent="0.2">
      <c r="A17" s="40"/>
      <c r="B17" s="81" t="s">
        <v>68</v>
      </c>
      <c r="C17" s="97"/>
      <c r="D17" s="125"/>
      <c r="E17" s="126"/>
      <c r="F17" s="246"/>
      <c r="G17" s="245"/>
      <c r="H17" s="31"/>
    </row>
    <row r="18" spans="1:8" x14ac:dyDescent="0.2">
      <c r="A18" s="39"/>
      <c r="B18" s="84" t="s">
        <v>86</v>
      </c>
      <c r="C18" s="96">
        <f>'T1 In-year inspections'!$C$8</f>
        <v>180</v>
      </c>
      <c r="D18" s="127">
        <f>COUNTIFS('D1 In-year standard inspections'!$O:$O,"&lt;&gt;null",'D1 In-year standard inspections'!$E:$E,$B$17,'D1 In-year standard inspections'!$AD:$AD,"All standards Met")</f>
        <v>131</v>
      </c>
      <c r="E18" s="166">
        <f>COUNTIFS('D1 In-year standard inspections'!$O:$O,"&lt;&gt;null",'D1 In-year standard inspections'!$E:$E,$B$17,'D1 In-year standard inspections'!$AD:$AD,"Did not meet all standards")</f>
        <v>49</v>
      </c>
      <c r="F18" s="244">
        <f t="shared" ref="F18:F26" si="2">D18/SUM($D18,$E18)*100</f>
        <v>72.777777777777771</v>
      </c>
      <c r="G18" s="244">
        <f t="shared" si="1"/>
        <v>27.222222222222221</v>
      </c>
      <c r="H18" s="31"/>
    </row>
    <row r="19" spans="1:8" x14ac:dyDescent="0.2">
      <c r="A19" s="40"/>
      <c r="B19" s="85" t="s">
        <v>70</v>
      </c>
      <c r="C19" s="96">
        <f>'T1 In-year inspections'!$C$8</f>
        <v>180</v>
      </c>
      <c r="D19" s="163">
        <f>COUNTIFS('D1 In-year standard inspections'!$O:$O,"&lt;&gt;null",'D1 In-year standard inspections'!$E:$E,$B$17,'D1 In-year standard inspections'!$AE:$AE,$D$5)</f>
        <v>157</v>
      </c>
      <c r="E19" s="165">
        <f>COUNTIFS('D1 In-year standard inspections'!$O:$O,"&lt;&gt;null",'D1 In-year standard inspections'!$E:$E,$B$17,'D1 In-year standard inspections'!$AE:$AE,$E$5)</f>
        <v>22</v>
      </c>
      <c r="F19" s="245">
        <f t="shared" si="2"/>
        <v>87.709497206703915</v>
      </c>
      <c r="G19" s="245">
        <f t="shared" si="1"/>
        <v>12.290502793296088</v>
      </c>
      <c r="H19" s="31"/>
    </row>
    <row r="20" spans="1:8" x14ac:dyDescent="0.2">
      <c r="A20" s="40"/>
      <c r="B20" s="85" t="s">
        <v>71</v>
      </c>
      <c r="C20" s="96">
        <f>'T1 In-year inspections'!$C$8</f>
        <v>180</v>
      </c>
      <c r="D20" s="163">
        <f>COUNTIFS('D1 In-year standard inspections'!$O:$O,"&lt;&gt;null",'D1 In-year standard inspections'!$E:$E,$B$17,'D1 In-year standard inspections'!$AF:$AF,$D$5)</f>
        <v>168</v>
      </c>
      <c r="E20" s="165">
        <f>COUNTIFS('D1 In-year standard inspections'!$O:$O,"&lt;&gt;null",'D1 In-year standard inspections'!$E:$E,$B$17,'D1 In-year standard inspections'!$AF:$AF,$E$5)</f>
        <v>11</v>
      </c>
      <c r="F20" s="245">
        <f t="shared" si="2"/>
        <v>93.85474860335195</v>
      </c>
      <c r="G20" s="245">
        <f t="shared" si="1"/>
        <v>6.1452513966480442</v>
      </c>
      <c r="H20" s="31"/>
    </row>
    <row r="21" spans="1:8" x14ac:dyDescent="0.2">
      <c r="A21" s="40"/>
      <c r="B21" s="85" t="s">
        <v>72</v>
      </c>
      <c r="C21" s="96">
        <f>'T1 In-year inspections'!$C$8</f>
        <v>180</v>
      </c>
      <c r="D21" s="163">
        <f>COUNTIFS('D1 In-year standard inspections'!$O:$O,"&lt;&gt;null",'D1 In-year standard inspections'!$E:$E,$B$17,'D1 In-year standard inspections'!$AG:$AG,$D$5)</f>
        <v>160</v>
      </c>
      <c r="E21" s="165">
        <f>COUNTIFS('D1 In-year standard inspections'!$O:$O,"&lt;&gt;null",'D1 In-year standard inspections'!$E:$E,$B$17,'D1 In-year standard inspections'!$AG:$AG,$E$5)</f>
        <v>20</v>
      </c>
      <c r="F21" s="245">
        <f t="shared" si="2"/>
        <v>88.888888888888886</v>
      </c>
      <c r="G21" s="245">
        <f t="shared" si="1"/>
        <v>11.111111111111111</v>
      </c>
      <c r="H21" s="31"/>
    </row>
    <row r="22" spans="1:8" x14ac:dyDescent="0.2">
      <c r="A22" s="40"/>
      <c r="B22" s="85" t="s">
        <v>73</v>
      </c>
      <c r="C22" s="96">
        <f>'T1 In-year inspections'!$C$8</f>
        <v>180</v>
      </c>
      <c r="D22" s="163">
        <f>COUNTIFS('D1 In-year standard inspections'!$O:$O,"&lt;&gt;null",'D1 In-year standard inspections'!$E:$E,$B$17,'D1 In-year standard inspections'!$AH:$AH,$D$5)</f>
        <v>171</v>
      </c>
      <c r="E22" s="165">
        <f>COUNTIFS('D1 In-year standard inspections'!$O:$O,"&lt;&gt;null",'D1 In-year standard inspections'!$E:$E,$B$17,'D1 In-year standard inspections'!$AH:$AH,$E$5)</f>
        <v>9</v>
      </c>
      <c r="F22" s="245">
        <f t="shared" si="2"/>
        <v>95</v>
      </c>
      <c r="G22" s="245">
        <f t="shared" si="1"/>
        <v>5</v>
      </c>
      <c r="H22" s="31"/>
    </row>
    <row r="23" spans="1:8" x14ac:dyDescent="0.2">
      <c r="A23" s="40"/>
      <c r="B23" s="85" t="s">
        <v>74</v>
      </c>
      <c r="C23" s="96">
        <f>'T1 In-year inspections'!$C$8</f>
        <v>180</v>
      </c>
      <c r="D23" s="163">
        <f>COUNTIFS('D1 In-year standard inspections'!$O:$O,"&lt;&gt;null",'D1 In-year standard inspections'!$E:$E,$B$17,'D1 In-year standard inspections'!$AI:$AI,$D$5)</f>
        <v>169</v>
      </c>
      <c r="E23" s="165">
        <f>COUNTIFS('D1 In-year standard inspections'!$O:$O,"&lt;&gt;null",'D1 In-year standard inspections'!$E:$E,$B$17,'D1 In-year standard inspections'!$AI:$AI,$E$5)</f>
        <v>11</v>
      </c>
      <c r="F23" s="245">
        <f t="shared" si="2"/>
        <v>93.888888888888886</v>
      </c>
      <c r="G23" s="245">
        <f t="shared" si="1"/>
        <v>6.1111111111111107</v>
      </c>
      <c r="H23" s="31"/>
    </row>
    <row r="24" spans="1:8" x14ac:dyDescent="0.2">
      <c r="A24" s="40"/>
      <c r="B24" s="85" t="s">
        <v>75</v>
      </c>
      <c r="C24" s="96">
        <f>'T1 In-year inspections'!$C$8</f>
        <v>180</v>
      </c>
      <c r="D24" s="163">
        <f>COUNTIFS('D1 In-year standard inspections'!$O:$O,"&lt;&gt;null",'D1 In-year standard inspections'!$E:$E,$B$17,'D1 In-year standard inspections'!$AJ:$AJ,$D$5)</f>
        <v>164</v>
      </c>
      <c r="E24" s="165">
        <f>COUNTIFS('D1 In-year standard inspections'!$O:$O,"&lt;&gt;null",'D1 In-year standard inspections'!$E:$E,$B$17,'D1 In-year standard inspections'!$AJ:$AJ,$E$5)</f>
        <v>16</v>
      </c>
      <c r="F24" s="245">
        <f t="shared" si="2"/>
        <v>91.111111111111114</v>
      </c>
      <c r="G24" s="245">
        <f t="shared" si="1"/>
        <v>8.8888888888888893</v>
      </c>
      <c r="H24" s="31"/>
    </row>
    <row r="25" spans="1:8" x14ac:dyDescent="0.2">
      <c r="A25" s="40"/>
      <c r="B25" s="86" t="s">
        <v>76</v>
      </c>
      <c r="C25" s="96">
        <f>'T1 In-year inspections'!$C$8</f>
        <v>180</v>
      </c>
      <c r="D25" s="163">
        <f>COUNTIFS('D1 In-year standard inspections'!$O:$O,"&lt;&gt;null",'D1 In-year standard inspections'!$E:$E,$B$17,'D1 In-year standard inspections'!$AK:$AK,$D$5)</f>
        <v>173</v>
      </c>
      <c r="E25" s="165">
        <f>COUNTIFS('D1 In-year standard inspections'!$O:$O,"&lt;&gt;null",'D1 In-year standard inspections'!$E:$E,$B$17,'D1 In-year standard inspections'!$AK:$AK,$E$5)</f>
        <v>7</v>
      </c>
      <c r="F25" s="245">
        <f t="shared" si="2"/>
        <v>96.111111111111114</v>
      </c>
      <c r="G25" s="245">
        <f t="shared" si="1"/>
        <v>3.8888888888888888</v>
      </c>
      <c r="H25" s="31"/>
    </row>
    <row r="26" spans="1:8" x14ac:dyDescent="0.2">
      <c r="A26" s="40"/>
      <c r="B26" s="86" t="s">
        <v>77</v>
      </c>
      <c r="C26" s="96">
        <f>'T1 In-year inspections'!$C$8</f>
        <v>180</v>
      </c>
      <c r="D26" s="163">
        <f>COUNTIFS('D1 In-year standard inspections'!$O:$O,"&lt;&gt;null",'D1 In-year standard inspections'!$E:$E,$B$17,'D1 In-year standard inspections'!$AL:$AL,$D$5)</f>
        <v>132</v>
      </c>
      <c r="E26" s="165">
        <f>COUNTIFS('D1 In-year standard inspections'!$O:$O,"&lt;&gt;null",'D1 In-year standard inspections'!$E:$E,$B$17,'D1 In-year standard inspections'!$AL:$AL,$E$5)</f>
        <v>48</v>
      </c>
      <c r="F26" s="245">
        <f t="shared" si="2"/>
        <v>73.333333333333329</v>
      </c>
      <c r="G26" s="245">
        <f t="shared" si="1"/>
        <v>26.666666666666668</v>
      </c>
      <c r="H26" s="31"/>
    </row>
    <row r="27" spans="1:8" x14ac:dyDescent="0.2">
      <c r="A27" s="40"/>
      <c r="B27" s="86"/>
      <c r="C27" s="97"/>
      <c r="D27" s="125"/>
      <c r="E27" s="126"/>
      <c r="F27" s="246"/>
      <c r="G27" s="245"/>
      <c r="H27" s="31"/>
    </row>
    <row r="28" spans="1:8" x14ac:dyDescent="0.2">
      <c r="A28" s="40"/>
      <c r="B28" s="81" t="s">
        <v>69</v>
      </c>
      <c r="C28" s="97"/>
      <c r="D28" s="125"/>
      <c r="E28" s="126"/>
      <c r="F28" s="246"/>
      <c r="G28" s="245"/>
      <c r="H28" s="31"/>
    </row>
    <row r="29" spans="1:8" x14ac:dyDescent="0.2">
      <c r="A29" s="39"/>
      <c r="B29" s="84" t="s">
        <v>86</v>
      </c>
      <c r="C29" s="96">
        <f>'T1 In-year inspections'!$C$9</f>
        <v>101</v>
      </c>
      <c r="D29" s="127">
        <f>COUNTIFS('D1 In-year standard inspections'!$O:$O,"&lt;&gt;null",'D1 In-year standard inspections'!$E:$E,$B$28,'D1 In-year standard inspections'!$AD:$AD,"All standards Met")</f>
        <v>80</v>
      </c>
      <c r="E29" s="166">
        <f>COUNTIFS('D1 In-year standard inspections'!$O:$O,"&lt;&gt;null",'D1 In-year standard inspections'!$E:$E,$B$28,'D1 In-year standard inspections'!$AD:$AD,"Did not meet all standards")</f>
        <v>21</v>
      </c>
      <c r="F29" s="244">
        <f t="shared" ref="F29:F37" si="3">D29/SUM($D29,$E29)*100</f>
        <v>79.207920792079207</v>
      </c>
      <c r="G29" s="244">
        <f t="shared" si="1"/>
        <v>20.792079207920793</v>
      </c>
      <c r="H29" s="31"/>
    </row>
    <row r="30" spans="1:8" x14ac:dyDescent="0.2">
      <c r="A30" s="40"/>
      <c r="B30" s="85" t="s">
        <v>70</v>
      </c>
      <c r="C30" s="96">
        <f>'T1 In-year inspections'!$C$9</f>
        <v>101</v>
      </c>
      <c r="D30" s="163">
        <f>COUNTIFS('D1 In-year standard inspections'!$O:$O,"&lt;&gt;null",'D1 In-year standard inspections'!$E:$E,$B$28,'D1 In-year standard inspections'!$AE:$AE,$D$5)</f>
        <v>95</v>
      </c>
      <c r="E30" s="165">
        <f>COUNTIFS('D1 In-year standard inspections'!$O:$O,"&lt;&gt;null",'D1 In-year standard inspections'!$E:$E,$B$28,'D1 In-year standard inspections'!$AE:$AE,$E$5)</f>
        <v>5</v>
      </c>
      <c r="F30" s="245">
        <f t="shared" si="3"/>
        <v>95</v>
      </c>
      <c r="G30" s="245">
        <f t="shared" si="1"/>
        <v>5</v>
      </c>
      <c r="H30" s="31"/>
    </row>
    <row r="31" spans="1:8" x14ac:dyDescent="0.2">
      <c r="A31" s="40"/>
      <c r="B31" s="85" t="s">
        <v>71</v>
      </c>
      <c r="C31" s="96">
        <f>'T1 In-year inspections'!$C$9</f>
        <v>101</v>
      </c>
      <c r="D31" s="163">
        <f>COUNTIFS('D1 In-year standard inspections'!$O:$O,"&lt;&gt;null",'D1 In-year standard inspections'!$E:$E,$B$28,'D1 In-year standard inspections'!$AF:$AF,$D$5)</f>
        <v>95</v>
      </c>
      <c r="E31" s="165">
        <f>COUNTIFS('D1 In-year standard inspections'!$O:$O,"&lt;&gt;null",'D1 In-year standard inspections'!$E:$E,$B$28,'D1 In-year standard inspections'!$AF:$AF,$E$5)</f>
        <v>5</v>
      </c>
      <c r="F31" s="245">
        <f t="shared" si="3"/>
        <v>95</v>
      </c>
      <c r="G31" s="245">
        <f t="shared" si="1"/>
        <v>5</v>
      </c>
      <c r="H31" s="31"/>
    </row>
    <row r="32" spans="1:8" x14ac:dyDescent="0.2">
      <c r="A32" s="40"/>
      <c r="B32" s="85" t="s">
        <v>72</v>
      </c>
      <c r="C32" s="96">
        <f>'T1 In-year inspections'!$C$9</f>
        <v>101</v>
      </c>
      <c r="D32" s="163">
        <f>COUNTIFS('D1 In-year standard inspections'!$O:$O,"&lt;&gt;null",'D1 In-year standard inspections'!$E:$E,$B$28,'D1 In-year standard inspections'!$AG:$AG,$D$5)</f>
        <v>96</v>
      </c>
      <c r="E32" s="165">
        <f>COUNTIFS('D1 In-year standard inspections'!$O:$O,"&lt;&gt;null",'D1 In-year standard inspections'!$E:$E,$B$28,'D1 In-year standard inspections'!$AG:$AG,$E$5)</f>
        <v>5</v>
      </c>
      <c r="F32" s="245">
        <f t="shared" si="3"/>
        <v>95.049504950495049</v>
      </c>
      <c r="G32" s="245">
        <f t="shared" si="1"/>
        <v>4.9504950495049505</v>
      </c>
      <c r="H32" s="31"/>
    </row>
    <row r="33" spans="1:8" x14ac:dyDescent="0.2">
      <c r="A33" s="40"/>
      <c r="B33" s="85" t="s">
        <v>73</v>
      </c>
      <c r="C33" s="96">
        <f>'T1 In-year inspections'!$C$9</f>
        <v>101</v>
      </c>
      <c r="D33" s="163">
        <f>COUNTIFS('D1 In-year standard inspections'!$O:$O,"&lt;&gt;null",'D1 In-year standard inspections'!$E:$E,$B$28,'D1 In-year standard inspections'!$AH:$AH,$D$5)</f>
        <v>98</v>
      </c>
      <c r="E33" s="165">
        <f>COUNTIFS('D1 In-year standard inspections'!$O:$O,"&lt;&gt;null",'D1 In-year standard inspections'!$E:$E,$B$28,'D1 In-year standard inspections'!$AH:$AH,$E$5)</f>
        <v>3</v>
      </c>
      <c r="F33" s="245">
        <f t="shared" si="3"/>
        <v>97.029702970297024</v>
      </c>
      <c r="G33" s="245">
        <f t="shared" si="1"/>
        <v>2.9702970297029703</v>
      </c>
      <c r="H33" s="31"/>
    </row>
    <row r="34" spans="1:8" x14ac:dyDescent="0.2">
      <c r="A34" s="40"/>
      <c r="B34" s="85" t="s">
        <v>74</v>
      </c>
      <c r="C34" s="96">
        <f>'T1 In-year inspections'!$C$9</f>
        <v>101</v>
      </c>
      <c r="D34" s="163">
        <f>COUNTIFS('D1 In-year standard inspections'!$O:$O,"&lt;&gt;null",'D1 In-year standard inspections'!$E:$E,$B$28,'D1 In-year standard inspections'!$AI:$AI,$D$5)</f>
        <v>100</v>
      </c>
      <c r="E34" s="165">
        <f>COUNTIFS('D1 In-year standard inspections'!$O:$O,"&lt;&gt;null",'D1 In-year standard inspections'!$E:$E,$B$28,'D1 In-year standard inspections'!$AI:$AI,$E$5)</f>
        <v>1</v>
      </c>
      <c r="F34" s="245">
        <f t="shared" si="3"/>
        <v>99.009900990099013</v>
      </c>
      <c r="G34" s="245">
        <f t="shared" si="1"/>
        <v>0.99009900990099009</v>
      </c>
      <c r="H34" s="31"/>
    </row>
    <row r="35" spans="1:8" x14ac:dyDescent="0.2">
      <c r="A35" s="40"/>
      <c r="B35" s="85" t="s">
        <v>75</v>
      </c>
      <c r="C35" s="96">
        <f>'T1 In-year inspections'!$C$9</f>
        <v>101</v>
      </c>
      <c r="D35" s="163">
        <f>COUNTIFS('D1 In-year standard inspections'!$O:$O,"&lt;&gt;null",'D1 In-year standard inspections'!$E:$E,$B$28,'D1 In-year standard inspections'!$AJ:$AJ,$D$5)</f>
        <v>95</v>
      </c>
      <c r="E35" s="165">
        <f>COUNTIFS('D1 In-year standard inspections'!$O:$O,"&lt;&gt;null",'D1 In-year standard inspections'!$E:$E,$B$28,'D1 In-year standard inspections'!$AJ:$AJ,$E$5)</f>
        <v>6</v>
      </c>
      <c r="F35" s="245">
        <f t="shared" si="3"/>
        <v>94.059405940594047</v>
      </c>
      <c r="G35" s="245">
        <f t="shared" si="1"/>
        <v>5.9405940594059405</v>
      </c>
      <c r="H35" s="31"/>
    </row>
    <row r="36" spans="1:8" x14ac:dyDescent="0.2">
      <c r="A36" s="40"/>
      <c r="B36" s="86" t="s">
        <v>76</v>
      </c>
      <c r="C36" s="96">
        <f>'T1 In-year inspections'!$C$9</f>
        <v>101</v>
      </c>
      <c r="D36" s="163">
        <f>COUNTIFS('D1 In-year standard inspections'!$O:$O,"&lt;&gt;null",'D1 In-year standard inspections'!$E:$E,$B$28,'D1 In-year standard inspections'!$AK:$AK,$D$5)</f>
        <v>100</v>
      </c>
      <c r="E36" s="165">
        <f>COUNTIFS('D1 In-year standard inspections'!$O:$O,"&lt;&gt;null",'D1 In-year standard inspections'!$E:$E,$B$28,'D1 In-year standard inspections'!$AK:$AK,$E$5)</f>
        <v>1</v>
      </c>
      <c r="F36" s="245">
        <f t="shared" si="3"/>
        <v>99.009900990099013</v>
      </c>
      <c r="G36" s="245">
        <f t="shared" si="1"/>
        <v>0.99009900990099009</v>
      </c>
      <c r="H36" s="31"/>
    </row>
    <row r="37" spans="1:8" x14ac:dyDescent="0.2">
      <c r="A37" s="40"/>
      <c r="B37" s="87" t="s">
        <v>77</v>
      </c>
      <c r="C37" s="98">
        <f>'T1 In-year inspections'!$C$9</f>
        <v>101</v>
      </c>
      <c r="D37" s="167">
        <f>COUNTIFS('D1 In-year standard inspections'!$O:$O,"&lt;&gt;null",'D1 In-year standard inspections'!$E:$E,$B$28,'D1 In-year standard inspections'!$AL:$AL,$D$5)</f>
        <v>80</v>
      </c>
      <c r="E37" s="168">
        <f>COUNTIFS('D1 In-year standard inspections'!$O:$O,"&lt;&gt;null",'D1 In-year standard inspections'!$E:$E,$B$28,'D1 In-year standard inspections'!$AL:$AL,$E$5)</f>
        <v>21</v>
      </c>
      <c r="F37" s="247">
        <f t="shared" si="3"/>
        <v>79.207920792079207</v>
      </c>
      <c r="G37" s="247">
        <f t="shared" si="1"/>
        <v>20.792079207920793</v>
      </c>
      <c r="H37" s="31"/>
    </row>
    <row r="38" spans="1:8" x14ac:dyDescent="0.2">
      <c r="A38" s="38"/>
      <c r="B38" s="41"/>
      <c r="C38" s="41"/>
      <c r="D38" s="41"/>
      <c r="E38" s="41"/>
      <c r="F38" s="41"/>
      <c r="G38" s="19" t="s">
        <v>60</v>
      </c>
      <c r="H38" s="31"/>
    </row>
    <row r="39" spans="1:8" x14ac:dyDescent="0.2">
      <c r="A39" s="38"/>
      <c r="B39" s="42"/>
      <c r="C39" s="43"/>
      <c r="D39" s="43"/>
      <c r="E39" s="43"/>
      <c r="F39" s="43"/>
      <c r="G39" s="43"/>
      <c r="H39" s="31"/>
    </row>
    <row r="40" spans="1:8" ht="24" customHeight="1" x14ac:dyDescent="0.2">
      <c r="A40" s="38"/>
      <c r="B40" s="308" t="s">
        <v>88</v>
      </c>
      <c r="C40" s="309"/>
      <c r="D40" s="309"/>
      <c r="E40" s="309"/>
      <c r="F40" s="309"/>
      <c r="G40" s="310"/>
      <c r="H40" s="31"/>
    </row>
    <row r="41" spans="1:8" x14ac:dyDescent="0.2">
      <c r="A41" s="38"/>
      <c r="B41" s="8" t="s">
        <v>2984</v>
      </c>
      <c r="C41" s="8"/>
      <c r="D41" s="8"/>
      <c r="E41" s="8"/>
      <c r="F41" s="8"/>
      <c r="G41" s="8"/>
      <c r="H41" s="31"/>
    </row>
    <row r="42" spans="1:8" x14ac:dyDescent="0.2">
      <c r="A42" s="45"/>
      <c r="B42" s="181" t="s">
        <v>2848</v>
      </c>
      <c r="C42" s="31"/>
      <c r="D42" s="31"/>
      <c r="E42" s="31"/>
      <c r="F42" s="31"/>
      <c r="G42" s="31"/>
      <c r="H42" s="31"/>
    </row>
    <row r="43" spans="1:8" ht="38.25" customHeight="1" x14ac:dyDescent="0.2"/>
  </sheetData>
  <sheetProtection sheet="1" objects="1" scenarios="1"/>
  <mergeCells count="4">
    <mergeCell ref="C4:C5"/>
    <mergeCell ref="D4:E4"/>
    <mergeCell ref="F4:G4"/>
    <mergeCell ref="B40:G4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sheetPr>
  <dimension ref="A1:H17"/>
  <sheetViews>
    <sheetView showGridLines="0" zoomScaleNormal="100" workbookViewId="0"/>
  </sheetViews>
  <sheetFormatPr defaultColWidth="9.140625" defaultRowHeight="12.75" x14ac:dyDescent="0.2"/>
  <cols>
    <col min="1" max="1" width="2.7109375" style="32" customWidth="1"/>
    <col min="2" max="2" width="52" style="32" customWidth="1"/>
    <col min="3" max="3" width="14.85546875" style="32" customWidth="1"/>
    <col min="4" max="7" width="10" style="32" customWidth="1"/>
    <col min="8" max="8" width="15.140625" style="32" bestFit="1" customWidth="1"/>
    <col min="9" max="9" width="10" style="32" customWidth="1"/>
    <col min="10" max="16384" width="9.140625" style="32"/>
  </cols>
  <sheetData>
    <row r="1" spans="1:8" ht="17.25" x14ac:dyDescent="0.2">
      <c r="A1" s="44"/>
      <c r="B1" s="195" t="s">
        <v>2853</v>
      </c>
      <c r="C1" s="13"/>
      <c r="D1" s="13"/>
      <c r="E1" s="13"/>
      <c r="F1" s="13"/>
      <c r="G1" s="13"/>
      <c r="H1" s="13"/>
    </row>
    <row r="2" spans="1:8" x14ac:dyDescent="0.2">
      <c r="A2" s="44"/>
      <c r="B2" s="6" t="str">
        <f>Cover!C8</f>
        <v>Inspections from 1 September 2017 to 31 March 2018, published by 31 March 2018</v>
      </c>
      <c r="C2" s="14"/>
      <c r="D2" s="14"/>
      <c r="E2" s="14"/>
      <c r="F2" s="14"/>
      <c r="G2" s="14"/>
      <c r="H2" s="13"/>
    </row>
    <row r="3" spans="1:8" x14ac:dyDescent="0.2">
      <c r="A3" s="44"/>
      <c r="B3" s="12"/>
      <c r="C3" s="14"/>
      <c r="D3" s="47"/>
      <c r="E3" s="16"/>
      <c r="F3" s="16"/>
      <c r="G3" s="14"/>
      <c r="H3" s="13"/>
    </row>
    <row r="4" spans="1:8" ht="25.5" x14ac:dyDescent="0.2">
      <c r="A4" s="48"/>
      <c r="B4" s="77"/>
      <c r="C4" s="226" t="s">
        <v>33</v>
      </c>
      <c r="D4" s="298" t="s">
        <v>28</v>
      </c>
      <c r="E4" s="300"/>
      <c r="F4" s="299" t="s">
        <v>29</v>
      </c>
      <c r="G4" s="300"/>
      <c r="H4" s="17"/>
    </row>
    <row r="5" spans="1:8" x14ac:dyDescent="0.2">
      <c r="A5" s="48"/>
      <c r="B5" s="78"/>
      <c r="C5" s="227"/>
      <c r="D5" s="131" t="s">
        <v>57</v>
      </c>
      <c r="E5" s="225" t="s">
        <v>58</v>
      </c>
      <c r="F5" s="69" t="s">
        <v>57</v>
      </c>
      <c r="G5" s="68" t="s">
        <v>58</v>
      </c>
      <c r="H5" s="49"/>
    </row>
    <row r="6" spans="1:8" x14ac:dyDescent="0.2">
      <c r="A6" s="48"/>
      <c r="B6" s="79" t="s">
        <v>35</v>
      </c>
      <c r="C6" s="155">
        <f>SUM(C7:C8)</f>
        <v>59</v>
      </c>
      <c r="D6" s="88">
        <f t="shared" ref="D6:E6" si="0">SUM(D7:D8)</f>
        <v>26</v>
      </c>
      <c r="E6" s="156">
        <f t="shared" si="0"/>
        <v>33</v>
      </c>
      <c r="F6" s="248">
        <f>D6/(SUM($D6,$E6))*100</f>
        <v>44.067796610169488</v>
      </c>
      <c r="G6" s="239">
        <f>E6/(SUM($D6,$E6))*100</f>
        <v>55.932203389830505</v>
      </c>
      <c r="H6" s="115"/>
    </row>
    <row r="7" spans="1:8" x14ac:dyDescent="0.2">
      <c r="A7" s="48"/>
      <c r="B7" s="205" t="s">
        <v>68</v>
      </c>
      <c r="C7" s="253">
        <f>COUNTIFS('D2 In-year monitoring'!$O:$O,"&lt;&gt;null",'D2 In-year monitoring'!$E:$E,$B7)</f>
        <v>42</v>
      </c>
      <c r="D7" s="33">
        <f>COUNTIFS('D2 In-year monitoring'!$O:$O,"&lt;&gt;null",'D2 In-year monitoring'!$E:$E,$B7,'D2 In-year monitoring'!$AC:$AC,"Met all standards that were checked")</f>
        <v>17</v>
      </c>
      <c r="E7" s="34">
        <f>COUNTIFS('D2 In-year monitoring'!$O:$O,"&lt;&gt;null",'D2 In-year monitoring'!$E:$E,$B7,'D2 In-year monitoring'!$AC:$AC,"Did not meet all standards that were checked")</f>
        <v>25</v>
      </c>
      <c r="F7" s="249">
        <f t="shared" ref="F7:F8" si="1">D7/(SUM($D7,$E7))*100</f>
        <v>40.476190476190474</v>
      </c>
      <c r="G7" s="250">
        <f t="shared" ref="G7:G8" si="2">E7/(SUM($D7,$E7))*100</f>
        <v>59.523809523809526</v>
      </c>
      <c r="H7" s="75"/>
    </row>
    <row r="8" spans="1:8" x14ac:dyDescent="0.2">
      <c r="A8" s="48"/>
      <c r="B8" s="74" t="s">
        <v>69</v>
      </c>
      <c r="C8" s="254">
        <f>COUNTIFS('D2 In-year monitoring'!$O:$O,"&lt;&gt;null",'D2 In-year monitoring'!$E:$E,$B8)</f>
        <v>17</v>
      </c>
      <c r="D8" s="35">
        <f>COUNTIFS('D2 In-year monitoring'!$O:$O,"&lt;&gt;null",'D2 In-year monitoring'!$E:$E,$B8,'D2 In-year monitoring'!$AC:$AC,"Met all standards that were checked")</f>
        <v>9</v>
      </c>
      <c r="E8" s="36">
        <f>COUNTIFS('D2 In-year monitoring'!$O:$O,"&lt;&gt;null",'D2 In-year monitoring'!$E:$E,$B8,'D2 In-year monitoring'!$AC:$AC,"Did not meet all standards that were checked")</f>
        <v>8</v>
      </c>
      <c r="F8" s="251">
        <f t="shared" si="1"/>
        <v>52.941176470588239</v>
      </c>
      <c r="G8" s="252">
        <f t="shared" si="2"/>
        <v>47.058823529411761</v>
      </c>
      <c r="H8" s="75"/>
    </row>
    <row r="9" spans="1:8" x14ac:dyDescent="0.2">
      <c r="A9" s="44"/>
      <c r="B9" s="15"/>
      <c r="C9" s="41"/>
      <c r="D9" s="41"/>
      <c r="E9" s="41"/>
      <c r="F9" s="50"/>
      <c r="G9" s="19" t="s">
        <v>60</v>
      </c>
      <c r="H9" s="18"/>
    </row>
    <row r="10" spans="1:8" x14ac:dyDescent="0.2">
      <c r="A10" s="44"/>
      <c r="B10" s="20"/>
      <c r="C10" s="41"/>
      <c r="D10" s="41"/>
      <c r="E10" s="41"/>
      <c r="F10" s="50"/>
      <c r="G10" s="19"/>
      <c r="H10" s="18"/>
    </row>
    <row r="11" spans="1:8" x14ac:dyDescent="0.2">
      <c r="A11" s="44"/>
      <c r="B11" s="31" t="s">
        <v>61</v>
      </c>
      <c r="C11" s="43"/>
      <c r="D11" s="43"/>
      <c r="E11" s="43"/>
      <c r="F11" s="43"/>
      <c r="G11" s="43"/>
      <c r="H11" s="43"/>
    </row>
    <row r="12" spans="1:8" ht="28.5" customHeight="1" x14ac:dyDescent="0.2">
      <c r="A12" s="31"/>
      <c r="B12" s="311" t="s">
        <v>2984</v>
      </c>
      <c r="C12" s="312"/>
      <c r="D12" s="312"/>
      <c r="E12" s="312"/>
      <c r="F12" s="312"/>
      <c r="G12" s="312"/>
      <c r="H12" s="31"/>
    </row>
    <row r="13" spans="1:8" x14ac:dyDescent="0.2">
      <c r="A13" s="31"/>
      <c r="B13" s="31"/>
      <c r="C13" s="31"/>
      <c r="D13" s="31"/>
      <c r="E13" s="31"/>
      <c r="F13" s="31"/>
      <c r="G13" s="31"/>
      <c r="H13" s="31"/>
    </row>
    <row r="14" spans="1:8" x14ac:dyDescent="0.2">
      <c r="B14" s="120"/>
    </row>
    <row r="17" spans="2:2" x14ac:dyDescent="0.2">
      <c r="B17" s="120"/>
    </row>
  </sheetData>
  <sheetProtection sheet="1" objects="1" scenarios="1"/>
  <mergeCells count="3">
    <mergeCell ref="B12:G12"/>
    <mergeCell ref="D4:E4"/>
    <mergeCell ref="F4: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79998168889431442"/>
  </sheetPr>
  <dimension ref="A1:AS35"/>
  <sheetViews>
    <sheetView showGridLines="0" zoomScaleNormal="100" workbookViewId="0"/>
  </sheetViews>
  <sheetFormatPr defaultColWidth="9.140625" defaultRowHeight="12.75" x14ac:dyDescent="0.2"/>
  <cols>
    <col min="1" max="1" width="2.7109375" style="27" customWidth="1"/>
    <col min="2" max="2" width="47.85546875" style="27" customWidth="1"/>
    <col min="3" max="3" width="14.5703125" style="27" customWidth="1"/>
    <col min="4" max="4" width="14.7109375" style="27" customWidth="1"/>
    <col min="5" max="6" width="13.7109375" style="27" customWidth="1"/>
    <col min="7" max="7" width="14.5703125" style="27" customWidth="1"/>
    <col min="8" max="12" width="13.7109375" style="27" customWidth="1"/>
    <col min="13" max="16384" width="9.140625" style="27"/>
  </cols>
  <sheetData>
    <row r="1" spans="1:45" ht="17.25" x14ac:dyDescent="0.2">
      <c r="A1" s="9"/>
      <c r="B1" s="194" t="s">
        <v>2851</v>
      </c>
      <c r="C1" s="26"/>
      <c r="D1" s="26"/>
      <c r="E1" s="26"/>
      <c r="F1" s="26"/>
      <c r="G1" s="26"/>
      <c r="H1" s="26"/>
      <c r="I1" s="26"/>
      <c r="J1" s="26"/>
      <c r="K1" s="26"/>
      <c r="L1" s="26"/>
      <c r="M1" s="26"/>
      <c r="N1" s="26"/>
      <c r="O1" s="26"/>
      <c r="P1" s="26"/>
      <c r="Q1" s="26"/>
      <c r="R1" s="10"/>
      <c r="S1" s="10"/>
      <c r="T1" s="10"/>
      <c r="U1" s="10"/>
    </row>
    <row r="2" spans="1:45" x14ac:dyDescent="0.2">
      <c r="A2" s="26"/>
      <c r="B2" s="26" t="str">
        <f>Cover!C9</f>
        <v>Most recent inspections published by 31 March 2018</v>
      </c>
      <c r="C2" s="26"/>
      <c r="D2" s="26"/>
      <c r="E2" s="26"/>
      <c r="F2" s="26"/>
      <c r="G2" s="26"/>
      <c r="H2" s="26"/>
      <c r="I2" s="26"/>
      <c r="J2" s="26"/>
      <c r="K2" s="26"/>
      <c r="L2" s="26"/>
      <c r="M2" s="26"/>
      <c r="N2" s="26"/>
      <c r="O2" s="26"/>
      <c r="P2" s="26"/>
      <c r="Q2" s="26"/>
      <c r="R2" s="10"/>
      <c r="S2" s="10"/>
      <c r="T2" s="10"/>
      <c r="U2" s="10"/>
    </row>
    <row r="3" spans="1:45" x14ac:dyDescent="0.2">
      <c r="A3" s="26"/>
      <c r="B3" s="26"/>
      <c r="C3" s="119"/>
      <c r="D3" s="26"/>
      <c r="E3" s="26"/>
      <c r="F3" s="26"/>
      <c r="G3" s="26"/>
      <c r="H3" s="26"/>
      <c r="I3" s="26"/>
      <c r="J3" s="26"/>
      <c r="K3" s="26"/>
      <c r="L3" s="26"/>
      <c r="M3" s="26"/>
      <c r="N3" s="26"/>
      <c r="O3" s="26"/>
      <c r="P3" s="26"/>
      <c r="Q3" s="26"/>
      <c r="R3" s="10"/>
      <c r="S3" s="10"/>
      <c r="T3" s="10"/>
      <c r="U3" s="10"/>
    </row>
    <row r="4" spans="1:45" ht="14.45" customHeight="1" x14ac:dyDescent="0.2">
      <c r="A4" s="26"/>
      <c r="B4" s="301"/>
      <c r="C4" s="320" t="s">
        <v>2625</v>
      </c>
      <c r="D4" s="304" t="s">
        <v>2626</v>
      </c>
      <c r="E4" s="299" t="s">
        <v>27</v>
      </c>
      <c r="F4" s="299"/>
      <c r="G4" s="299"/>
      <c r="H4" s="299"/>
      <c r="I4" s="299"/>
      <c r="J4" s="299"/>
      <c r="K4" s="299"/>
      <c r="L4" s="299"/>
      <c r="M4" s="298" t="s">
        <v>125</v>
      </c>
      <c r="N4" s="299"/>
      <c r="O4" s="299"/>
      <c r="P4" s="300"/>
      <c r="Q4" s="313" t="s">
        <v>119</v>
      </c>
      <c r="R4" s="314"/>
      <c r="S4" s="314"/>
      <c r="T4" s="315"/>
      <c r="U4" s="10"/>
    </row>
    <row r="5" spans="1:45" ht="34.5" customHeight="1" x14ac:dyDescent="0.2">
      <c r="A5" s="26"/>
      <c r="B5" s="302"/>
      <c r="C5" s="321"/>
      <c r="D5" s="305"/>
      <c r="E5" s="299" t="s">
        <v>28</v>
      </c>
      <c r="F5" s="299"/>
      <c r="G5" s="299"/>
      <c r="H5" s="299"/>
      <c r="I5" s="299" t="s">
        <v>29</v>
      </c>
      <c r="J5" s="299"/>
      <c r="K5" s="299"/>
      <c r="L5" s="299"/>
      <c r="M5" s="298" t="s">
        <v>28</v>
      </c>
      <c r="N5" s="300"/>
      <c r="O5" s="298" t="s">
        <v>29</v>
      </c>
      <c r="P5" s="300"/>
      <c r="Q5" s="313" t="s">
        <v>28</v>
      </c>
      <c r="R5" s="315"/>
      <c r="S5" s="313" t="s">
        <v>29</v>
      </c>
      <c r="T5" s="315"/>
      <c r="U5" s="10"/>
    </row>
    <row r="6" spans="1:45" ht="34.5" customHeight="1" x14ac:dyDescent="0.2">
      <c r="A6" s="26"/>
      <c r="B6" s="303"/>
      <c r="C6" s="322"/>
      <c r="D6" s="306"/>
      <c r="E6" s="21" t="s">
        <v>30</v>
      </c>
      <c r="F6" s="21" t="s">
        <v>34</v>
      </c>
      <c r="G6" s="21" t="s">
        <v>31</v>
      </c>
      <c r="H6" s="21" t="s">
        <v>32</v>
      </c>
      <c r="I6" s="112" t="s">
        <v>30</v>
      </c>
      <c r="J6" s="113" t="s">
        <v>34</v>
      </c>
      <c r="K6" s="113" t="s">
        <v>31</v>
      </c>
      <c r="L6" s="113" t="s">
        <v>32</v>
      </c>
      <c r="M6" s="202" t="s">
        <v>57</v>
      </c>
      <c r="N6" s="204" t="s">
        <v>58</v>
      </c>
      <c r="O6" s="203" t="s">
        <v>57</v>
      </c>
      <c r="P6" s="203" t="s">
        <v>58</v>
      </c>
      <c r="Q6" s="122" t="s">
        <v>123</v>
      </c>
      <c r="R6" s="123" t="s">
        <v>124</v>
      </c>
      <c r="S6" s="124" t="s">
        <v>123</v>
      </c>
      <c r="T6" s="123" t="s">
        <v>124</v>
      </c>
      <c r="U6" s="10"/>
    </row>
    <row r="7" spans="1:45" x14ac:dyDescent="0.2">
      <c r="A7" s="26"/>
      <c r="B7" s="72" t="s">
        <v>35</v>
      </c>
      <c r="C7" s="169">
        <f>SUM(C8:C9)</f>
        <v>1082</v>
      </c>
      <c r="D7" s="169">
        <f>SUM(D8:D9)</f>
        <v>982</v>
      </c>
      <c r="E7" s="170">
        <f t="shared" ref="E7:H7" si="0">SUM(E8:E9)</f>
        <v>141</v>
      </c>
      <c r="F7" s="171">
        <f t="shared" si="0"/>
        <v>521</v>
      </c>
      <c r="G7" s="171">
        <f t="shared" si="0"/>
        <v>180</v>
      </c>
      <c r="H7" s="171">
        <f t="shared" si="0"/>
        <v>139</v>
      </c>
      <c r="I7" s="261">
        <f>E7/SUM($E7:$H7)*100</f>
        <v>14.37308868501529</v>
      </c>
      <c r="J7" s="264">
        <f t="shared" ref="J7:L9" si="1">F7/SUM($E7:$H7)*100</f>
        <v>53.109072375127418</v>
      </c>
      <c r="K7" s="264">
        <f t="shared" si="1"/>
        <v>18.348623853211009</v>
      </c>
      <c r="L7" s="270">
        <f t="shared" si="1"/>
        <v>14.169215086646277</v>
      </c>
      <c r="M7" s="267">
        <f t="shared" ref="M7" si="2">SUM(M8:M9)</f>
        <v>745</v>
      </c>
      <c r="N7" s="174">
        <f t="shared" ref="N7" si="3">SUM(N8:N9)</f>
        <v>237</v>
      </c>
      <c r="O7" s="273">
        <f t="shared" ref="O7:P9" si="4">M7/SUM($M7,$N7)*100</f>
        <v>75.865580448065174</v>
      </c>
      <c r="P7" s="273">
        <f t="shared" si="4"/>
        <v>24.134419551934826</v>
      </c>
      <c r="Q7" s="88">
        <f t="shared" ref="Q7" si="5">SUM(Q8:Q9)</f>
        <v>688</v>
      </c>
      <c r="R7" s="156">
        <f t="shared" ref="R7" si="6">SUM(R8:R9)</f>
        <v>97</v>
      </c>
      <c r="S7" s="238">
        <f t="shared" ref="S7:T9" si="7">Q7/SUM($Q7,$R7)*100</f>
        <v>87.643312101910837</v>
      </c>
      <c r="T7" s="239">
        <f t="shared" si="7"/>
        <v>12.356687898089172</v>
      </c>
      <c r="U7" s="10"/>
    </row>
    <row r="8" spans="1:45" x14ac:dyDescent="0.2">
      <c r="A8" s="26"/>
      <c r="B8" s="205" t="s">
        <v>36</v>
      </c>
      <c r="C8" s="116">
        <f>COUNTIFS('D3 Most recent inspections'!$E:$E,$B8)</f>
        <v>617</v>
      </c>
      <c r="D8" s="116">
        <f>COUNTIFS('D3 Most recent inspections'!$E:$E,$B8,'D3 Most recent inspections'!$P:$P,"&lt;&gt;NULL")</f>
        <v>559</v>
      </c>
      <c r="E8" s="172">
        <f>COUNTIFS('D3 Most recent inspections'!$E:$E,$B8,'D3 Most recent inspections'!$T:$T,1)</f>
        <v>68</v>
      </c>
      <c r="F8" s="63">
        <f>COUNTIFS('D3 Most recent inspections'!$E:$E,$B8,'D3 Most recent inspections'!$T:$T,2)</f>
        <v>267</v>
      </c>
      <c r="G8" s="63">
        <f>COUNTIFS('D3 Most recent inspections'!$E:$E,$B8,'D3 Most recent inspections'!$T:$T,3)</f>
        <v>117</v>
      </c>
      <c r="H8" s="63">
        <f>COUNTIFS('D3 Most recent inspections'!$E:$E,$B8,'D3 Most recent inspections'!$T:$T,4)</f>
        <v>107</v>
      </c>
      <c r="I8" s="262">
        <f>E8/SUM($E8:$H8)*100</f>
        <v>12.164579606440071</v>
      </c>
      <c r="J8" s="265">
        <f t="shared" si="1"/>
        <v>47.763864042933811</v>
      </c>
      <c r="K8" s="265">
        <f t="shared" si="1"/>
        <v>20.930232558139537</v>
      </c>
      <c r="L8" s="271">
        <f t="shared" si="1"/>
        <v>19.141323792486585</v>
      </c>
      <c r="M8" s="268">
        <f>COUNTIFS('D3 Most recent inspections'!$E:$E,$B8,'D3 Most recent inspections'!$AB:$AB,"All standards Met")</f>
        <v>390</v>
      </c>
      <c r="N8" s="51">
        <f>COUNTIFS('D3 Most recent inspections'!$E:$E,$B8,'D3 Most recent inspections'!$AB:$AB,"Did not meet all standards")</f>
        <v>169</v>
      </c>
      <c r="O8" s="274">
        <f t="shared" si="4"/>
        <v>69.767441860465112</v>
      </c>
      <c r="P8" s="274">
        <f t="shared" si="4"/>
        <v>30.232558139534881</v>
      </c>
      <c r="Q8" s="22">
        <f>COUNTIFS('D3 Most recent inspections'!$E:$E,$B8,'D3 Most recent inspections'!$U:$U,Q$6)</f>
        <v>367</v>
      </c>
      <c r="R8" s="23">
        <f>COUNTIFS('D3 Most recent inspections'!$E:$E,$B8,'D3 Most recent inspections'!$U:$U,R$6)</f>
        <v>76</v>
      </c>
      <c r="S8" s="277">
        <f t="shared" si="7"/>
        <v>82.844243792325059</v>
      </c>
      <c r="T8" s="278">
        <f t="shared" si="7"/>
        <v>17.155756207674944</v>
      </c>
      <c r="U8" s="10"/>
    </row>
    <row r="9" spans="1:45" x14ac:dyDescent="0.2">
      <c r="A9" s="26"/>
      <c r="B9" s="207" t="s">
        <v>37</v>
      </c>
      <c r="C9" s="117">
        <f>COUNTIFS('D3 Most recent inspections'!$E:$E,$B9)</f>
        <v>465</v>
      </c>
      <c r="D9" s="117">
        <f>COUNTIFS('D3 Most recent inspections'!$E:$E,$B9,'D3 Most recent inspections'!$P:$P,"&lt;&gt;NULL")</f>
        <v>423</v>
      </c>
      <c r="E9" s="173">
        <f>COUNTIFS('D3 Most recent inspections'!$E:$E,$B9,'D3 Most recent inspections'!$T:$T,1)</f>
        <v>73</v>
      </c>
      <c r="F9" s="64">
        <f>COUNTIFS('D3 Most recent inspections'!$E:$E,$B9,'D3 Most recent inspections'!$T:$T,2)</f>
        <v>254</v>
      </c>
      <c r="G9" s="64">
        <f>COUNTIFS('D3 Most recent inspections'!$E:$E,$B9,'D3 Most recent inspections'!$T:$T,3)</f>
        <v>63</v>
      </c>
      <c r="H9" s="64">
        <f>COUNTIFS('D3 Most recent inspections'!$E:$E,$B9,'D3 Most recent inspections'!$T:$T,4)</f>
        <v>32</v>
      </c>
      <c r="I9" s="263">
        <f>E9/SUM($E9:$H9)*100</f>
        <v>17.298578199052134</v>
      </c>
      <c r="J9" s="266">
        <f t="shared" si="1"/>
        <v>60.189573459715639</v>
      </c>
      <c r="K9" s="266">
        <f t="shared" si="1"/>
        <v>14.928909952606634</v>
      </c>
      <c r="L9" s="272">
        <f t="shared" si="1"/>
        <v>7.5829383886255926</v>
      </c>
      <c r="M9" s="269">
        <f>COUNTIFS('D3 Most recent inspections'!$E:$E,$B9,'D3 Most recent inspections'!$AB:$AB,"All standards Met")</f>
        <v>355</v>
      </c>
      <c r="N9" s="52">
        <f>COUNTIFS('D3 Most recent inspections'!$E:$E,$B9,'D3 Most recent inspections'!$AB:$AB,"Did not meet all standards")</f>
        <v>68</v>
      </c>
      <c r="O9" s="275">
        <f t="shared" si="4"/>
        <v>83.924349881796687</v>
      </c>
      <c r="P9" s="276">
        <f t="shared" si="4"/>
        <v>16.07565011820331</v>
      </c>
      <c r="Q9" s="24">
        <f>COUNTIFS('D3 Most recent inspections'!$E:$E,$B9,'D3 Most recent inspections'!$U:$U,Q$6)</f>
        <v>321</v>
      </c>
      <c r="R9" s="25">
        <f>COUNTIFS('D3 Most recent inspections'!$E:$E,$B9,'D3 Most recent inspections'!$U:$U,R$6)</f>
        <v>21</v>
      </c>
      <c r="S9" s="279">
        <f t="shared" si="7"/>
        <v>93.859649122807014</v>
      </c>
      <c r="T9" s="280">
        <f t="shared" si="7"/>
        <v>6.140350877192982</v>
      </c>
      <c r="U9" s="10"/>
    </row>
    <row r="10" spans="1:45" ht="12.75" customHeight="1" x14ac:dyDescent="0.2">
      <c r="A10" s="26"/>
      <c r="B10" s="2"/>
      <c r="C10" s="3"/>
      <c r="D10" s="118"/>
      <c r="E10" s="28"/>
      <c r="F10" s="28"/>
      <c r="G10" s="28"/>
      <c r="H10" s="28"/>
      <c r="I10" s="29"/>
      <c r="J10" s="29"/>
      <c r="K10" s="29"/>
      <c r="L10" s="29"/>
      <c r="M10" s="10"/>
      <c r="N10" s="10"/>
      <c r="O10" s="10"/>
      <c r="P10" s="10"/>
      <c r="Q10" s="10"/>
      <c r="R10" s="10"/>
      <c r="S10" s="10"/>
      <c r="T10" s="19" t="s">
        <v>60</v>
      </c>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row>
    <row r="11" spans="1:45" ht="12.75" customHeight="1" x14ac:dyDescent="0.2">
      <c r="A11" s="26"/>
      <c r="B11" s="2"/>
      <c r="C11" s="3"/>
      <c r="D11" s="118"/>
      <c r="E11" s="28"/>
      <c r="F11" s="28"/>
      <c r="G11" s="28"/>
      <c r="H11" s="28"/>
      <c r="I11" s="29"/>
      <c r="J11" s="29"/>
      <c r="K11" s="29"/>
      <c r="L11" s="29"/>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row>
    <row r="12" spans="1:45" s="11" customFormat="1" x14ac:dyDescent="0.2">
      <c r="A12" s="10"/>
      <c r="B12" s="10" t="s">
        <v>61</v>
      </c>
      <c r="C12" s="10"/>
      <c r="D12" s="10"/>
      <c r="E12" s="10"/>
      <c r="F12" s="10"/>
      <c r="G12" s="10"/>
      <c r="H12" s="10"/>
      <c r="I12" s="114"/>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row>
    <row r="13" spans="1:45" s="11" customFormat="1" x14ac:dyDescent="0.2">
      <c r="A13" s="10"/>
      <c r="B13" s="217" t="s">
        <v>2984</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row>
    <row r="14" spans="1:45" s="11" customFormat="1" x14ac:dyDescent="0.2">
      <c r="A14" s="10"/>
      <c r="B14" s="55" t="s">
        <v>87</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row>
    <row r="15" spans="1:45" s="11" customFormat="1" ht="40.5" customHeight="1" x14ac:dyDescent="0.2">
      <c r="A15" s="10"/>
      <c r="B15" s="323" t="s">
        <v>3004</v>
      </c>
      <c r="C15" s="324"/>
      <c r="D15" s="324"/>
      <c r="E15" s="324"/>
      <c r="F15" s="324"/>
      <c r="G15" s="324"/>
      <c r="H15" s="324"/>
      <c r="I15" s="324"/>
      <c r="J15" s="324"/>
      <c r="K15" s="324"/>
      <c r="L15" s="324"/>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row>
    <row r="16" spans="1:45" s="11" customFormat="1" x14ac:dyDescent="0.2">
      <c r="A16" s="10"/>
      <c r="B16" s="228" t="s">
        <v>2997</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row>
    <row r="17" spans="1:45" s="10" customFormat="1" x14ac:dyDescent="0.2"/>
    <row r="18" spans="1:45" s="10" customFormat="1" x14ac:dyDescent="0.2">
      <c r="B18" s="100"/>
    </row>
    <row r="19" spans="1:45" s="54" customFormat="1" ht="35.25" customHeight="1" x14ac:dyDescent="0.2">
      <c r="A19" s="53"/>
      <c r="B19" s="319" t="s">
        <v>2852</v>
      </c>
      <c r="C19" s="319"/>
      <c r="D19" s="319"/>
      <c r="E19" s="319"/>
      <c r="F19" s="319"/>
      <c r="G19" s="319"/>
      <c r="H19" s="10"/>
      <c r="I19" s="53"/>
      <c r="J19" s="53"/>
      <c r="K19" s="53"/>
      <c r="L19" s="53"/>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row>
    <row r="20" spans="1:45" x14ac:dyDescent="0.2">
      <c r="A20" s="26"/>
      <c r="B20" s="26" t="str">
        <f>B2</f>
        <v>Most recent inspections published by 31 March 2018</v>
      </c>
      <c r="C20" s="26"/>
      <c r="D20" s="26"/>
      <c r="E20" s="26"/>
      <c r="F20" s="26"/>
      <c r="G20" s="26"/>
      <c r="H20" s="26"/>
      <c r="I20" s="26"/>
      <c r="J20" s="26"/>
      <c r="K20" s="26"/>
      <c r="L20" s="26"/>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row>
    <row r="21" spans="1:45" x14ac:dyDescent="0.2">
      <c r="A21" s="26"/>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row>
    <row r="22" spans="1:45" x14ac:dyDescent="0.2">
      <c r="A22" s="26"/>
      <c r="B22" s="10"/>
      <c r="C22" s="298" t="s">
        <v>2623</v>
      </c>
      <c r="D22" s="299"/>
      <c r="E22" s="299"/>
      <c r="F22" s="299"/>
      <c r="G22" s="30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row>
    <row r="23" spans="1:45" ht="12.75" customHeight="1" x14ac:dyDescent="0.2">
      <c r="A23" s="26"/>
      <c r="B23" s="301" t="s">
        <v>67</v>
      </c>
      <c r="C23" s="304" t="s">
        <v>59</v>
      </c>
      <c r="D23" s="299" t="s">
        <v>28</v>
      </c>
      <c r="E23" s="300"/>
      <c r="F23" s="298" t="s">
        <v>29</v>
      </c>
      <c r="G23" s="300"/>
      <c r="H23" s="26"/>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row>
    <row r="24" spans="1:45" ht="31.5" customHeight="1" x14ac:dyDescent="0.2">
      <c r="A24" s="26"/>
      <c r="B24" s="302"/>
      <c r="C24" s="306"/>
      <c r="D24" s="129" t="s">
        <v>57</v>
      </c>
      <c r="E24" s="128" t="s">
        <v>58</v>
      </c>
      <c r="F24" s="131" t="s">
        <v>57</v>
      </c>
      <c r="G24" s="128" t="s">
        <v>58</v>
      </c>
      <c r="H24" s="26"/>
      <c r="I24" s="10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row>
    <row r="25" spans="1:45" x14ac:dyDescent="0.2">
      <c r="A25" s="26"/>
      <c r="B25" s="76" t="s">
        <v>2627</v>
      </c>
      <c r="C25" s="95">
        <f t="shared" ref="C25:E25" si="8">SUM(C26:C27)</f>
        <v>104</v>
      </c>
      <c r="D25" s="93">
        <f t="shared" si="8"/>
        <v>60</v>
      </c>
      <c r="E25" s="94">
        <f t="shared" si="8"/>
        <v>44</v>
      </c>
      <c r="F25" s="255">
        <f t="shared" ref="F25:G27" si="9">D25/SUM($D25,$E25)*100</f>
        <v>57.692307692307686</v>
      </c>
      <c r="G25" s="256">
        <f t="shared" si="9"/>
        <v>42.307692307692307</v>
      </c>
      <c r="H25" s="26"/>
      <c r="I25" s="10"/>
      <c r="J25" s="10"/>
      <c r="K25" s="10"/>
      <c r="L25" s="10"/>
      <c r="M25" s="10"/>
      <c r="N25" s="10"/>
      <c r="O25" s="10"/>
      <c r="P25" s="10"/>
      <c r="Q25" s="10"/>
      <c r="R25" s="10"/>
      <c r="S25" s="10"/>
      <c r="T25" s="10"/>
      <c r="U25" s="10"/>
    </row>
    <row r="26" spans="1:45" x14ac:dyDescent="0.2">
      <c r="A26" s="26"/>
      <c r="B26" s="73" t="s">
        <v>31</v>
      </c>
      <c r="C26" s="175">
        <f>COUNTIFS('D3 Most recent inspections'!$AC:$AC,"&lt;&gt;NULL",'D3 Most recent inspections'!$T:$T,3,'D3 Most recent inspections'!$P:$P,"&lt;&gt;NULL")</f>
        <v>24</v>
      </c>
      <c r="D26" s="199">
        <f>COUNTIFS('D3 Most recent inspections'!$T:$T,3,'D3 Most recent inspections'!$P:$P,"&lt;&gt;NULL",'D3 Most recent inspections'!$AH:$AH,"Met all standards that were checked")+(COUNTIFS('D3 Most recent inspections'!$T:$T,3,'D3 Most recent inspections'!$P:$P,"&lt;&gt;NULL",'D3 Most recent inspections'!$AH:$AH,"Standards Met")+(COUNTIFS('D3 Most recent inspections'!$T:$T,3,'D3 Most recent inspections'!$P:$P,"&lt;&gt;NULL",'D3 Most recent inspections'!$AH:$AH,"Good progress")))</f>
        <v>15</v>
      </c>
      <c r="E26" s="176">
        <f>COUNTIFS('D3 Most recent inspections'!$T:$T,3,'D3 Most recent inspections'!$P:$P,"&lt;&gt;NULL",'D3 Most recent inspections'!$AH:$AH,"Did not meet all standards that were checked")+(COUNTIFS('D3 Most recent inspections'!$T:$T,3,'D3 Most recent inspections'!$P:$P,"&lt;&gt;NULL",'D3 Most recent inspections'!$AH:$AH,"Standards not met"))</f>
        <v>9</v>
      </c>
      <c r="F26" s="257">
        <f t="shared" si="9"/>
        <v>62.5</v>
      </c>
      <c r="G26" s="258">
        <f t="shared" si="9"/>
        <v>37.5</v>
      </c>
      <c r="H26" s="26"/>
      <c r="I26" s="10"/>
      <c r="J26" s="10"/>
      <c r="K26" s="10"/>
      <c r="L26" s="10"/>
      <c r="M26" s="10"/>
      <c r="N26" s="10"/>
      <c r="O26" s="10"/>
      <c r="P26" s="10"/>
      <c r="Q26" s="10"/>
      <c r="R26" s="10"/>
      <c r="S26" s="10"/>
      <c r="T26" s="10"/>
      <c r="U26" s="10"/>
    </row>
    <row r="27" spans="1:45" x14ac:dyDescent="0.2">
      <c r="A27" s="26"/>
      <c r="B27" s="74" t="s">
        <v>32</v>
      </c>
      <c r="C27" s="177">
        <f>COUNTIFS('D3 Most recent inspections'!$AC:$AC,"&lt;&gt;NULL",'D3 Most recent inspections'!$T:$T,4,'D3 Most recent inspections'!$P:$P,"&lt;&gt;NULL")</f>
        <v>80</v>
      </c>
      <c r="D27" s="200">
        <f>COUNTIFS('D3 Most recent inspections'!$T:$T,4,'D3 Most recent inspections'!$P:$P,"&lt;&gt;NULL",'D3 Most recent inspections'!$AH:$AH,"Met all standards that were checked")+(COUNTIFS('D3 Most recent inspections'!$T:$T,4,'D3 Most recent inspections'!$P:$P,"&lt;&gt;NULL",'D3 Most recent inspections'!$AH:$AH,"Standards Met")+(COUNTIFS('D3 Most recent inspections'!$T:$T,4,'D3 Most recent inspections'!$P:$P,"&lt;&gt;NULL",'D3 Most recent inspections'!$AH:$AH,"Good progress")))</f>
        <v>45</v>
      </c>
      <c r="E27" s="178">
        <f>COUNTIFS('D3 Most recent inspections'!$T:$T,4,'D3 Most recent inspections'!$P:$P,"&lt;&gt;NULL",'D3 Most recent inspections'!$AH:$AH,"Did not meet all standards that were checked")+(COUNTIFS('D3 Most recent inspections'!$T:$T,4,'D3 Most recent inspections'!$P:$P,"&lt;&gt;NULL",'D3 Most recent inspections'!$AH:$AH,"Standards not met"))</f>
        <v>35</v>
      </c>
      <c r="F27" s="259">
        <f t="shared" si="9"/>
        <v>56.25</v>
      </c>
      <c r="G27" s="260">
        <f t="shared" si="9"/>
        <v>43.75</v>
      </c>
      <c r="H27" s="26"/>
      <c r="I27" s="10"/>
      <c r="J27" s="10"/>
      <c r="K27" s="10"/>
      <c r="L27" s="10"/>
      <c r="M27" s="10"/>
      <c r="N27" s="10"/>
      <c r="O27" s="10"/>
      <c r="P27" s="10"/>
      <c r="Q27" s="10"/>
      <c r="R27" s="10"/>
      <c r="S27" s="10"/>
      <c r="T27" s="10"/>
      <c r="U27" s="10"/>
    </row>
    <row r="28" spans="1:45" x14ac:dyDescent="0.2">
      <c r="A28" s="26"/>
      <c r="B28" s="2"/>
      <c r="C28" s="2"/>
      <c r="D28" s="2"/>
      <c r="E28" s="2"/>
      <c r="F28" s="2"/>
      <c r="G28" s="19" t="s">
        <v>60</v>
      </c>
      <c r="H28" s="28"/>
      <c r="I28" s="10"/>
      <c r="J28" s="10"/>
      <c r="K28" s="10"/>
      <c r="L28" s="10"/>
      <c r="M28" s="10"/>
      <c r="N28" s="10"/>
      <c r="O28" s="10"/>
      <c r="P28" s="10"/>
      <c r="Q28" s="10"/>
      <c r="R28" s="10"/>
      <c r="S28" s="10"/>
      <c r="T28" s="10"/>
      <c r="U28" s="10"/>
    </row>
    <row r="29" spans="1:45" x14ac:dyDescent="0.2">
      <c r="A29" s="26"/>
      <c r="B29" s="2"/>
      <c r="C29" s="2"/>
      <c r="D29" s="2"/>
      <c r="E29" s="2"/>
      <c r="F29" s="2"/>
      <c r="G29" s="179"/>
      <c r="H29" s="28"/>
      <c r="I29" s="10"/>
      <c r="J29" s="10"/>
      <c r="K29" s="10"/>
      <c r="L29" s="10"/>
      <c r="M29" s="10"/>
      <c r="N29" s="10"/>
      <c r="O29" s="10"/>
      <c r="P29" s="10"/>
      <c r="Q29" s="10"/>
      <c r="R29" s="10"/>
      <c r="S29" s="10"/>
      <c r="T29" s="10"/>
      <c r="U29" s="10"/>
    </row>
    <row r="30" spans="1:45" s="11" customFormat="1" x14ac:dyDescent="0.2">
      <c r="A30" s="10"/>
      <c r="B30" s="10" t="s">
        <v>61</v>
      </c>
      <c r="C30" s="10"/>
      <c r="D30" s="10"/>
      <c r="E30" s="10"/>
      <c r="F30" s="10"/>
      <c r="G30" s="10"/>
      <c r="H30" s="10"/>
      <c r="I30" s="10"/>
      <c r="J30" s="10"/>
      <c r="K30" s="10"/>
      <c r="L30" s="10"/>
      <c r="M30" s="10"/>
      <c r="N30" s="10"/>
      <c r="O30" s="10"/>
      <c r="P30" s="10"/>
      <c r="Q30" s="10"/>
      <c r="R30" s="10"/>
      <c r="S30" s="10"/>
      <c r="T30" s="10"/>
      <c r="U30" s="10"/>
    </row>
    <row r="31" spans="1:45" s="11" customFormat="1" x14ac:dyDescent="0.2">
      <c r="A31" s="10"/>
      <c r="B31" s="217" t="s">
        <v>2984</v>
      </c>
      <c r="C31" s="10"/>
      <c r="D31" s="10"/>
      <c r="E31" s="10"/>
      <c r="F31" s="10"/>
      <c r="G31" s="10"/>
      <c r="H31" s="10"/>
      <c r="I31" s="10"/>
      <c r="J31" s="10"/>
      <c r="K31" s="10"/>
      <c r="L31" s="10"/>
      <c r="M31" s="10"/>
      <c r="N31" s="10"/>
      <c r="O31" s="10"/>
      <c r="P31" s="10"/>
      <c r="Q31" s="10"/>
      <c r="R31" s="10"/>
      <c r="S31" s="10"/>
      <c r="T31" s="10"/>
      <c r="U31" s="10"/>
    </row>
    <row r="32" spans="1:45" s="11" customFormat="1" ht="24.75" customHeight="1" x14ac:dyDescent="0.2">
      <c r="A32" s="10"/>
      <c r="B32" s="316" t="s">
        <v>2642</v>
      </c>
      <c r="C32" s="317"/>
      <c r="D32" s="317"/>
      <c r="E32" s="317"/>
      <c r="F32" s="317"/>
      <c r="G32" s="317"/>
      <c r="H32" s="10"/>
      <c r="I32" s="10"/>
      <c r="J32" s="10"/>
      <c r="K32" s="10"/>
      <c r="L32" s="10"/>
      <c r="M32" s="10"/>
      <c r="N32" s="10"/>
      <c r="O32" s="10"/>
      <c r="P32" s="10"/>
      <c r="Q32" s="10"/>
      <c r="R32" s="10"/>
      <c r="S32" s="10"/>
      <c r="T32" s="10"/>
      <c r="U32" s="10"/>
    </row>
    <row r="33" spans="1:21" s="11" customFormat="1" ht="24.75" customHeight="1" x14ac:dyDescent="0.2">
      <c r="A33" s="10"/>
      <c r="B33" s="318" t="s">
        <v>2849</v>
      </c>
      <c r="C33" s="317"/>
      <c r="D33" s="317"/>
      <c r="E33" s="317"/>
      <c r="F33" s="317"/>
      <c r="G33" s="317"/>
      <c r="H33" s="10"/>
      <c r="I33" s="10"/>
      <c r="J33" s="10"/>
      <c r="K33" s="10"/>
      <c r="L33" s="10"/>
      <c r="M33" s="10"/>
      <c r="N33" s="10"/>
      <c r="O33" s="10"/>
      <c r="P33" s="10"/>
      <c r="Q33" s="10"/>
      <c r="R33" s="10"/>
      <c r="S33" s="10"/>
      <c r="T33" s="10"/>
      <c r="U33" s="10"/>
    </row>
    <row r="34" spans="1:21" x14ac:dyDescent="0.2">
      <c r="A34" s="10"/>
      <c r="B34" s="10"/>
      <c r="C34" s="10"/>
      <c r="D34" s="10"/>
      <c r="E34" s="10"/>
      <c r="F34" s="10"/>
      <c r="G34" s="10"/>
      <c r="H34" s="10"/>
      <c r="I34" s="10"/>
      <c r="J34" s="10"/>
      <c r="K34" s="10"/>
      <c r="L34" s="10"/>
      <c r="M34" s="10"/>
      <c r="N34" s="10"/>
      <c r="O34" s="10"/>
      <c r="P34" s="10"/>
      <c r="Q34" s="10"/>
      <c r="R34" s="10"/>
      <c r="S34" s="10"/>
      <c r="T34" s="10"/>
      <c r="U34" s="10"/>
    </row>
    <row r="35" spans="1:21" x14ac:dyDescent="0.2">
      <c r="A35" s="10"/>
      <c r="B35" s="10"/>
      <c r="C35" s="10"/>
      <c r="D35" s="10"/>
      <c r="E35" s="10"/>
      <c r="F35" s="10"/>
      <c r="G35" s="10"/>
      <c r="H35" s="10"/>
      <c r="I35" s="10"/>
      <c r="J35" s="10"/>
      <c r="K35" s="10"/>
      <c r="L35" s="10"/>
      <c r="M35" s="10"/>
      <c r="N35" s="10"/>
      <c r="O35" s="10"/>
      <c r="P35" s="10"/>
      <c r="Q35" s="10"/>
      <c r="R35" s="10"/>
      <c r="S35" s="10"/>
      <c r="T35" s="10"/>
      <c r="U35" s="10"/>
    </row>
  </sheetData>
  <sheetProtection sheet="1" objects="1" scenarios="1"/>
  <mergeCells count="21">
    <mergeCell ref="B32:G32"/>
    <mergeCell ref="B33:G33"/>
    <mergeCell ref="I5:L5"/>
    <mergeCell ref="F23:G23"/>
    <mergeCell ref="B23:B24"/>
    <mergeCell ref="C23:C24"/>
    <mergeCell ref="D23:E23"/>
    <mergeCell ref="B19:G19"/>
    <mergeCell ref="B4:B6"/>
    <mergeCell ref="C4:C6"/>
    <mergeCell ref="D4:D6"/>
    <mergeCell ref="E4:L4"/>
    <mergeCell ref="E5:H5"/>
    <mergeCell ref="C22:G22"/>
    <mergeCell ref="B15:L15"/>
    <mergeCell ref="Q4:T4"/>
    <mergeCell ref="Q5:R5"/>
    <mergeCell ref="S5:T5"/>
    <mergeCell ref="M4:P4"/>
    <mergeCell ref="M5:N5"/>
    <mergeCell ref="O5:P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79998168889431442"/>
  </sheetPr>
  <dimension ref="A1:II285"/>
  <sheetViews>
    <sheetView showGridLines="0" zoomScaleNormal="100" workbookViewId="0"/>
  </sheetViews>
  <sheetFormatPr defaultColWidth="26.5703125" defaultRowHeight="15" x14ac:dyDescent="0.25"/>
  <cols>
    <col min="1" max="1" width="23.85546875" customWidth="1"/>
    <col min="2" max="2" width="10" bestFit="1" customWidth="1"/>
    <col min="3" max="3" width="10.85546875" bestFit="1" customWidth="1"/>
    <col min="4" max="4" width="42.5703125" bestFit="1" customWidth="1"/>
    <col min="5" max="5" width="31.85546875" bestFit="1" customWidth="1"/>
    <col min="6" max="6" width="25.85546875" bestFit="1" customWidth="1"/>
    <col min="7" max="7" width="35" bestFit="1" customWidth="1"/>
    <col min="8" max="8" width="27.42578125" bestFit="1" customWidth="1"/>
    <col min="9" max="9" width="24.7109375" bestFit="1" customWidth="1"/>
    <col min="10" max="10" width="11.42578125" bestFit="1" customWidth="1"/>
    <col min="11" max="11" width="20.28515625" bestFit="1" customWidth="1"/>
    <col min="12" max="12" width="27" bestFit="1" customWidth="1"/>
    <col min="13" max="13" width="15.85546875" bestFit="1" customWidth="1"/>
    <col min="14" max="14" width="14.42578125" bestFit="1" customWidth="1"/>
    <col min="15" max="15" width="20.28515625" bestFit="1" customWidth="1"/>
    <col min="16" max="16" width="23" bestFit="1" customWidth="1"/>
    <col min="17" max="17" width="22.5703125" bestFit="1" customWidth="1"/>
    <col min="18" max="18" width="17.85546875" bestFit="1" customWidth="1"/>
    <col min="19" max="19" width="58.85546875" bestFit="1" customWidth="1"/>
    <col min="20" max="20" width="31.28515625" bestFit="1" customWidth="1"/>
    <col min="21" max="21" width="22.42578125" bestFit="1" customWidth="1"/>
    <col min="22" max="22" width="44.140625" bestFit="1" customWidth="1"/>
    <col min="23" max="23" width="45.5703125" bestFit="1" customWidth="1"/>
    <col min="24" max="24" width="20.28515625" bestFit="1" customWidth="1"/>
    <col min="25" max="25" width="21.42578125" bestFit="1" customWidth="1"/>
    <col min="26" max="26" width="21.7109375" bestFit="1" customWidth="1"/>
    <col min="27" max="27" width="21.42578125" bestFit="1" customWidth="1"/>
    <col min="28" max="28" width="14.85546875" bestFit="1" customWidth="1"/>
    <col min="29" max="29" width="18.140625" bestFit="1" customWidth="1"/>
    <col min="30" max="30" width="24.5703125" bestFit="1" customWidth="1"/>
    <col min="31" max="38" width="14.85546875" bestFit="1" customWidth="1"/>
    <col min="39" max="39" width="36.42578125" bestFit="1" customWidth="1"/>
    <col min="40" max="40" width="38.85546875" bestFit="1" customWidth="1"/>
    <col min="41" max="41" width="39" bestFit="1" customWidth="1"/>
    <col min="42" max="42" width="41.140625" bestFit="1" customWidth="1"/>
    <col min="43" max="43" width="41.7109375" bestFit="1" customWidth="1"/>
    <col min="44" max="44" width="36.42578125" bestFit="1" customWidth="1"/>
    <col min="45" max="45" width="38.85546875" bestFit="1" customWidth="1"/>
    <col min="46" max="46" width="39" bestFit="1" customWidth="1"/>
    <col min="47" max="47" width="38.7109375" bestFit="1" customWidth="1"/>
    <col min="48" max="48" width="39" bestFit="1" customWidth="1"/>
    <col min="49" max="49" width="41.140625" bestFit="1" customWidth="1"/>
    <col min="50" max="50" width="41.7109375" bestFit="1" customWidth="1"/>
    <col min="51" max="51" width="39" bestFit="1" customWidth="1"/>
    <col min="52" max="52" width="41.140625" bestFit="1" customWidth="1"/>
    <col min="53" max="53" width="41.7109375" bestFit="1" customWidth="1"/>
    <col min="54" max="54" width="42.28515625" bestFit="1" customWidth="1"/>
    <col min="55" max="55" width="38.5703125" bestFit="1" customWidth="1"/>
    <col min="56" max="56" width="38.85546875" bestFit="1" customWidth="1"/>
    <col min="57" max="57" width="39" bestFit="1" customWidth="1"/>
    <col min="58" max="58" width="38.42578125" bestFit="1" customWidth="1"/>
    <col min="59" max="59" width="33.85546875" bestFit="1" customWidth="1"/>
    <col min="60" max="60" width="36.42578125" bestFit="1" customWidth="1"/>
    <col min="61" max="61" width="36.5703125" bestFit="1" customWidth="1"/>
    <col min="62" max="62" width="36.28515625" bestFit="1" customWidth="1"/>
    <col min="63" max="64" width="36.5703125" bestFit="1" customWidth="1"/>
    <col min="65" max="65" width="36.140625" bestFit="1" customWidth="1"/>
    <col min="66" max="66" width="36.42578125" bestFit="1" customWidth="1"/>
    <col min="67" max="67" width="36.5703125" bestFit="1" customWidth="1"/>
    <col min="68" max="69" width="35.85546875" bestFit="1" customWidth="1"/>
    <col min="70" max="71" width="33.85546875" bestFit="1" customWidth="1"/>
    <col min="72" max="72" width="36.42578125" bestFit="1" customWidth="1"/>
    <col min="73" max="73" width="36.5703125" bestFit="1" customWidth="1"/>
    <col min="74" max="74" width="38.5703125" bestFit="1" customWidth="1"/>
    <col min="75" max="75" width="39.140625" bestFit="1" customWidth="1"/>
    <col min="76" max="76" width="39.7109375" bestFit="1" customWidth="1"/>
    <col min="77" max="77" width="39.5703125" bestFit="1" customWidth="1"/>
    <col min="78" max="78" width="39" bestFit="1" customWidth="1"/>
    <col min="79" max="79" width="39.5703125" bestFit="1" customWidth="1"/>
    <col min="80" max="80" width="40.28515625" bestFit="1" customWidth="1"/>
    <col min="81" max="81" width="36.28515625" bestFit="1" customWidth="1"/>
    <col min="82" max="82" width="36.5703125" bestFit="1" customWidth="1"/>
    <col min="83" max="83" width="38.5703125" bestFit="1" customWidth="1"/>
    <col min="84" max="84" width="39.140625" bestFit="1" customWidth="1"/>
    <col min="85" max="85" width="39.7109375" bestFit="1" customWidth="1"/>
    <col min="86" max="86" width="33.85546875" bestFit="1" customWidth="1"/>
    <col min="87" max="87" width="36.42578125" bestFit="1" customWidth="1"/>
    <col min="88" max="88" width="36.5703125" bestFit="1" customWidth="1"/>
    <col min="89" max="91" width="37.28515625" bestFit="1" customWidth="1"/>
    <col min="92" max="92" width="33.85546875" bestFit="1" customWidth="1"/>
    <col min="93" max="93" width="36.42578125" bestFit="1" customWidth="1"/>
    <col min="94" max="94" width="36.5703125" bestFit="1" customWidth="1"/>
    <col min="95" max="95" width="36.28515625" bestFit="1" customWidth="1"/>
    <col min="96" max="102" width="34.85546875" bestFit="1" customWidth="1"/>
    <col min="103" max="103" width="37.42578125" bestFit="1" customWidth="1"/>
    <col min="104" max="104" width="37.5703125" bestFit="1" customWidth="1"/>
    <col min="105" max="105" width="37.42578125" bestFit="1" customWidth="1"/>
    <col min="106" max="106" width="39.85546875" bestFit="1" customWidth="1"/>
    <col min="107" max="107" width="40" bestFit="1" customWidth="1"/>
    <col min="108" max="108" width="39.7109375" bestFit="1" customWidth="1"/>
    <col min="109" max="109" width="41.85546875" bestFit="1" customWidth="1"/>
    <col min="110" max="110" width="42.42578125" bestFit="1" customWidth="1"/>
    <col min="111" max="111" width="43" bestFit="1" customWidth="1"/>
    <col min="112" max="112" width="42.85546875" bestFit="1" customWidth="1"/>
    <col min="113" max="114" width="40" bestFit="1" customWidth="1"/>
    <col min="115" max="115" width="39.5703125" bestFit="1" customWidth="1"/>
    <col min="116" max="117" width="37.42578125" bestFit="1" customWidth="1"/>
    <col min="118" max="118" width="39.85546875" bestFit="1" customWidth="1"/>
    <col min="119" max="119" width="42" bestFit="1" customWidth="1"/>
    <col min="120" max="120" width="45.5703125" bestFit="1" customWidth="1"/>
    <col min="121" max="121" width="45.85546875" bestFit="1" customWidth="1"/>
    <col min="122" max="122" width="45.28515625" bestFit="1" customWidth="1"/>
    <col min="123" max="123" width="42.5703125" bestFit="1" customWidth="1"/>
    <col min="124" max="124" width="40" bestFit="1" customWidth="1"/>
    <col min="125" max="125" width="39.7109375" bestFit="1" customWidth="1"/>
    <col min="126" max="126" width="40" bestFit="1" customWidth="1"/>
    <col min="127" max="127" width="42.140625" bestFit="1" customWidth="1"/>
    <col min="128" max="128" width="42.7109375" bestFit="1" customWidth="1"/>
    <col min="129" max="129" width="40" bestFit="1" customWidth="1"/>
    <col min="130" max="131" width="37.42578125" bestFit="1" customWidth="1"/>
    <col min="132" max="132" width="39.85546875" bestFit="1" customWidth="1"/>
    <col min="133" max="133" width="42" bestFit="1" customWidth="1"/>
    <col min="134" max="134" width="42.5703125" bestFit="1" customWidth="1"/>
    <col min="135" max="135" width="40" bestFit="1" customWidth="1"/>
    <col min="136" max="136" width="42.140625" bestFit="1" customWidth="1"/>
    <col min="137" max="137" width="42.7109375" bestFit="1" customWidth="1"/>
    <col min="138" max="138" width="43.28515625" bestFit="1" customWidth="1"/>
    <col min="139" max="139" width="39.7109375" bestFit="1" customWidth="1"/>
    <col min="140" max="142" width="37.42578125" bestFit="1" customWidth="1"/>
    <col min="143" max="143" width="39.85546875" bestFit="1" customWidth="1"/>
    <col min="144" max="144" width="42" bestFit="1" customWidth="1"/>
    <col min="145" max="145" width="42.5703125" bestFit="1" customWidth="1"/>
    <col min="146" max="146" width="43.140625" bestFit="1" customWidth="1"/>
    <col min="147" max="147" width="43" bestFit="1" customWidth="1"/>
    <col min="148" max="148" width="42.42578125" bestFit="1" customWidth="1"/>
    <col min="149" max="149" width="43" bestFit="1" customWidth="1"/>
    <col min="150" max="150" width="43.5703125" bestFit="1" customWidth="1"/>
    <col min="151" max="151" width="44.140625" bestFit="1" customWidth="1"/>
    <col min="152" max="152" width="40" bestFit="1" customWidth="1"/>
    <col min="153" max="154" width="37.42578125" bestFit="1" customWidth="1"/>
    <col min="155" max="155" width="39.85546875" bestFit="1" customWidth="1"/>
    <col min="156" max="156" width="42" bestFit="1" customWidth="1"/>
    <col min="157" max="157" width="42.5703125" bestFit="1" customWidth="1"/>
    <col min="158" max="158" width="40" bestFit="1" customWidth="1"/>
    <col min="159" max="159" width="39.7109375" bestFit="1" customWidth="1"/>
    <col min="160" max="161" width="37.42578125" bestFit="1" customWidth="1"/>
    <col min="162" max="162" width="39.85546875" bestFit="1" customWidth="1"/>
    <col min="163" max="163" width="40" bestFit="1" customWidth="1"/>
    <col min="164" max="164" width="37.42578125" bestFit="1" customWidth="1"/>
    <col min="165" max="165" width="39.85546875" bestFit="1" customWidth="1"/>
    <col min="166" max="166" width="40" bestFit="1" customWidth="1"/>
    <col min="167" max="167" width="39.7109375" bestFit="1" customWidth="1"/>
    <col min="168" max="168" width="37.42578125" bestFit="1" customWidth="1"/>
    <col min="169" max="169" width="39.85546875" bestFit="1" customWidth="1"/>
    <col min="170" max="170" width="40" bestFit="1" customWidth="1"/>
    <col min="171" max="171" width="39.7109375" bestFit="1" customWidth="1"/>
    <col min="172" max="172" width="37.42578125" bestFit="1" customWidth="1"/>
    <col min="173" max="175" width="34.85546875" bestFit="1" customWidth="1"/>
    <col min="176" max="176" width="37.42578125" bestFit="1" customWidth="1"/>
    <col min="177" max="177" width="37.5703125" bestFit="1" customWidth="1"/>
    <col min="178" max="178" width="37.42578125" bestFit="1" customWidth="1"/>
    <col min="179" max="179" width="39.85546875" bestFit="1" customWidth="1"/>
    <col min="180" max="180" width="40" bestFit="1" customWidth="1"/>
    <col min="181" max="181" width="39.7109375" bestFit="1" customWidth="1"/>
    <col min="182" max="182" width="40" bestFit="1" customWidth="1"/>
    <col min="183" max="183" width="37.42578125" bestFit="1" customWidth="1"/>
    <col min="184" max="184" width="39.85546875" bestFit="1" customWidth="1"/>
    <col min="185" max="185" width="40" bestFit="1" customWidth="1"/>
    <col min="186" max="186" width="37.42578125" bestFit="1" customWidth="1"/>
    <col min="187" max="187" width="39.85546875" bestFit="1" customWidth="1"/>
    <col min="188" max="188" width="40" bestFit="1" customWidth="1"/>
    <col min="189" max="189" width="37.28515625" bestFit="1" customWidth="1"/>
    <col min="190" max="190" width="37.42578125" bestFit="1" customWidth="1"/>
    <col min="191" max="191" width="39.85546875" bestFit="1" customWidth="1"/>
    <col min="192" max="192" width="40" bestFit="1" customWidth="1"/>
    <col min="193" max="193" width="39.7109375" bestFit="1" customWidth="1"/>
    <col min="194" max="195" width="40" bestFit="1" customWidth="1"/>
    <col min="196" max="196" width="39.5703125" bestFit="1" customWidth="1"/>
    <col min="197" max="197" width="39.85546875" bestFit="1" customWidth="1"/>
    <col min="198" max="198" width="40" bestFit="1" customWidth="1"/>
    <col min="199" max="200" width="39.42578125" bestFit="1" customWidth="1"/>
    <col min="201" max="201" width="37.42578125" bestFit="1" customWidth="1"/>
    <col min="202" max="202" width="39.85546875" bestFit="1" customWidth="1"/>
    <col min="203" max="203" width="40" bestFit="1" customWidth="1"/>
    <col min="204" max="204" width="42.140625" bestFit="1" customWidth="1"/>
    <col min="205" max="205" width="42.7109375" bestFit="1" customWidth="1"/>
    <col min="206" max="206" width="39.7109375" bestFit="1" customWidth="1"/>
    <col min="207" max="207" width="40" bestFit="1" customWidth="1"/>
    <col min="208" max="208" width="37.42578125" bestFit="1" customWidth="1"/>
    <col min="209" max="209" width="39.85546875" bestFit="1" customWidth="1"/>
    <col min="210" max="210" width="40" bestFit="1" customWidth="1"/>
    <col min="211" max="211" width="39.7109375" bestFit="1" customWidth="1"/>
    <col min="212" max="213" width="40" bestFit="1" customWidth="1"/>
    <col min="214" max="214" width="39.5703125" bestFit="1" customWidth="1"/>
    <col min="215" max="215" width="39.85546875" bestFit="1" customWidth="1"/>
    <col min="216" max="216" width="37.42578125" bestFit="1" customWidth="1"/>
    <col min="217" max="217" width="39.85546875" bestFit="1" customWidth="1"/>
    <col min="218" max="218" width="40" bestFit="1" customWidth="1"/>
    <col min="219" max="219" width="39.7109375" bestFit="1" customWidth="1"/>
    <col min="220" max="220" width="34.85546875" bestFit="1" customWidth="1"/>
    <col min="221" max="221" width="37.42578125" bestFit="1" customWidth="1"/>
    <col min="222" max="222" width="37.5703125" bestFit="1" customWidth="1"/>
    <col min="223" max="223" width="37.28515625" bestFit="1" customWidth="1"/>
    <col min="224" max="225" width="37.5703125" bestFit="1" customWidth="1"/>
    <col min="226" max="226" width="37.140625" bestFit="1" customWidth="1"/>
    <col min="227" max="227" width="37.42578125" bestFit="1" customWidth="1"/>
    <col min="228" max="228" width="37.5703125" bestFit="1" customWidth="1"/>
    <col min="229" max="229" width="37" bestFit="1" customWidth="1"/>
    <col min="230" max="230" width="39" bestFit="1" customWidth="1"/>
    <col min="231" max="231" width="39.5703125" bestFit="1" customWidth="1"/>
    <col min="232" max="232" width="37" bestFit="1" customWidth="1"/>
    <col min="233" max="233" width="39" bestFit="1" customWidth="1"/>
    <col min="234" max="234" width="39.5703125" bestFit="1" customWidth="1"/>
    <col min="235" max="236" width="37.42578125" bestFit="1" customWidth="1"/>
    <col min="237" max="237" width="39.85546875" bestFit="1" customWidth="1"/>
    <col min="238" max="238" width="40" bestFit="1" customWidth="1"/>
    <col min="239" max="239" width="39.7109375" bestFit="1" customWidth="1"/>
    <col min="240" max="242" width="26.28515625" bestFit="1" customWidth="1"/>
    <col min="243" max="243" width="29.7109375" bestFit="1" customWidth="1"/>
  </cols>
  <sheetData>
    <row r="1" spans="1:243" ht="15.75" x14ac:dyDescent="0.25">
      <c r="A1" s="194" t="s">
        <v>66</v>
      </c>
      <c r="B1" s="10"/>
      <c r="C1" s="10"/>
      <c r="D1" s="10"/>
      <c r="E1" s="10"/>
      <c r="F1" s="10"/>
      <c r="L1" s="9"/>
    </row>
    <row r="2" spans="1:243" x14ac:dyDescent="0.25">
      <c r="A2" s="10" t="str">
        <f>Cover!C8</f>
        <v>Inspections from 1 September 2017 to 31 March 2018, published by 31 March 2018</v>
      </c>
      <c r="B2" s="10"/>
      <c r="C2" s="10"/>
      <c r="D2" s="10"/>
      <c r="E2" s="10"/>
      <c r="F2" s="10"/>
    </row>
    <row r="4" spans="1:243" s="99" customFormat="1" x14ac:dyDescent="0.25">
      <c r="A4" s="99" t="s">
        <v>38</v>
      </c>
      <c r="B4" s="99" t="s">
        <v>39</v>
      </c>
      <c r="C4" s="99" t="s">
        <v>40</v>
      </c>
      <c r="D4" s="99" t="s">
        <v>2858</v>
      </c>
      <c r="E4" s="99" t="s">
        <v>2860</v>
      </c>
      <c r="F4" s="99" t="s">
        <v>2969</v>
      </c>
      <c r="G4" s="99" t="s">
        <v>127</v>
      </c>
      <c r="H4" s="99" t="s">
        <v>128</v>
      </c>
      <c r="I4" s="99" t="s">
        <v>129</v>
      </c>
      <c r="J4" s="99" t="s">
        <v>44</v>
      </c>
      <c r="K4" s="99" t="s">
        <v>62</v>
      </c>
      <c r="L4" s="99" t="s">
        <v>63</v>
      </c>
      <c r="M4" s="99" t="s">
        <v>130</v>
      </c>
      <c r="N4" s="99" t="s">
        <v>65</v>
      </c>
      <c r="O4" s="99" t="s">
        <v>45</v>
      </c>
      <c r="P4" s="99" t="s">
        <v>46</v>
      </c>
      <c r="Q4" s="99" t="s">
        <v>47</v>
      </c>
      <c r="R4" s="99" t="s">
        <v>48</v>
      </c>
      <c r="S4" s="99" t="s">
        <v>49</v>
      </c>
      <c r="T4" s="99" t="s">
        <v>131</v>
      </c>
      <c r="U4" s="99" t="s">
        <v>27</v>
      </c>
      <c r="V4" s="99" t="s">
        <v>50</v>
      </c>
      <c r="W4" s="99" t="s">
        <v>51</v>
      </c>
      <c r="X4" s="99" t="s">
        <v>52</v>
      </c>
      <c r="Y4" s="99" t="s">
        <v>53</v>
      </c>
      <c r="Z4" s="99" t="s">
        <v>54</v>
      </c>
      <c r="AA4" s="99" t="s">
        <v>55</v>
      </c>
      <c r="AB4" s="99" t="s">
        <v>56</v>
      </c>
      <c r="AC4" s="99" t="s">
        <v>132</v>
      </c>
      <c r="AD4" s="99" t="s">
        <v>2611</v>
      </c>
      <c r="AE4" s="99" t="s">
        <v>2612</v>
      </c>
      <c r="AF4" s="99" t="s">
        <v>2613</v>
      </c>
      <c r="AG4" s="99" t="s">
        <v>2614</v>
      </c>
      <c r="AH4" s="99" t="s">
        <v>2615</v>
      </c>
      <c r="AI4" s="99" t="s">
        <v>2616</v>
      </c>
      <c r="AJ4" s="99" t="s">
        <v>2617</v>
      </c>
      <c r="AK4" s="99" t="s">
        <v>2618</v>
      </c>
      <c r="AL4" s="99" t="s">
        <v>2619</v>
      </c>
      <c r="AM4" s="99" t="s">
        <v>2643</v>
      </c>
      <c r="AN4" s="99" t="s">
        <v>2644</v>
      </c>
      <c r="AO4" s="99" t="s">
        <v>2645</v>
      </c>
      <c r="AP4" s="99" t="s">
        <v>2646</v>
      </c>
      <c r="AQ4" s="99" t="s">
        <v>2647</v>
      </c>
      <c r="AR4" s="99" t="s">
        <v>2648</v>
      </c>
      <c r="AS4" s="99" t="s">
        <v>2649</v>
      </c>
      <c r="AT4" s="99" t="s">
        <v>2650</v>
      </c>
      <c r="AU4" s="99" t="s">
        <v>2651</v>
      </c>
      <c r="AV4" s="99" t="s">
        <v>2652</v>
      </c>
      <c r="AW4" s="99" t="s">
        <v>2653</v>
      </c>
      <c r="AX4" s="99" t="s">
        <v>2654</v>
      </c>
      <c r="AY4" s="99" t="s">
        <v>2655</v>
      </c>
      <c r="AZ4" s="99" t="s">
        <v>2656</v>
      </c>
      <c r="BA4" s="99" t="s">
        <v>2657</v>
      </c>
      <c r="BB4" s="99" t="s">
        <v>2658</v>
      </c>
      <c r="BC4" s="99" t="s">
        <v>2659</v>
      </c>
      <c r="BD4" s="99" t="s">
        <v>2660</v>
      </c>
      <c r="BE4" s="99" t="s">
        <v>2661</v>
      </c>
      <c r="BF4" s="99" t="s">
        <v>2662</v>
      </c>
      <c r="BG4" s="99" t="s">
        <v>2663</v>
      </c>
      <c r="BH4" s="99" t="s">
        <v>2664</v>
      </c>
      <c r="BI4" s="99" t="s">
        <v>2665</v>
      </c>
      <c r="BJ4" s="99" t="s">
        <v>2666</v>
      </c>
      <c r="BK4" s="99" t="s">
        <v>2667</v>
      </c>
      <c r="BL4" s="99" t="s">
        <v>2668</v>
      </c>
      <c r="BM4" s="99" t="s">
        <v>2669</v>
      </c>
      <c r="BN4" s="99" t="s">
        <v>2670</v>
      </c>
      <c r="BO4" s="99" t="s">
        <v>2671</v>
      </c>
      <c r="BP4" s="99" t="s">
        <v>2672</v>
      </c>
      <c r="BQ4" s="99" t="s">
        <v>2673</v>
      </c>
      <c r="BR4" s="99" t="s">
        <v>2674</v>
      </c>
      <c r="BS4" s="99" t="s">
        <v>2675</v>
      </c>
      <c r="BT4" s="99" t="s">
        <v>2676</v>
      </c>
      <c r="BU4" s="99" t="s">
        <v>2677</v>
      </c>
      <c r="BV4" s="99" t="s">
        <v>2678</v>
      </c>
      <c r="BW4" s="99" t="s">
        <v>2679</v>
      </c>
      <c r="BX4" s="99" t="s">
        <v>2680</v>
      </c>
      <c r="BY4" s="99" t="s">
        <v>2681</v>
      </c>
      <c r="BZ4" s="99" t="s">
        <v>2682</v>
      </c>
      <c r="CA4" s="99" t="s">
        <v>2683</v>
      </c>
      <c r="CB4" s="99" t="s">
        <v>2684</v>
      </c>
      <c r="CC4" s="99" t="s">
        <v>2685</v>
      </c>
      <c r="CD4" s="99" t="s">
        <v>2686</v>
      </c>
      <c r="CE4" s="99" t="s">
        <v>2687</v>
      </c>
      <c r="CF4" s="99" t="s">
        <v>2688</v>
      </c>
      <c r="CG4" s="99" t="s">
        <v>2689</v>
      </c>
      <c r="CH4" s="99" t="s">
        <v>2690</v>
      </c>
      <c r="CI4" s="99" t="s">
        <v>2691</v>
      </c>
      <c r="CJ4" s="99" t="s">
        <v>2692</v>
      </c>
      <c r="CK4" s="99" t="s">
        <v>2693</v>
      </c>
      <c r="CL4" s="99" t="s">
        <v>2694</v>
      </c>
      <c r="CM4" s="99" t="s">
        <v>2695</v>
      </c>
      <c r="CN4" s="99" t="s">
        <v>2696</v>
      </c>
      <c r="CO4" s="99" t="s">
        <v>2697</v>
      </c>
      <c r="CP4" s="99" t="s">
        <v>2698</v>
      </c>
      <c r="CQ4" s="99" t="s">
        <v>2699</v>
      </c>
      <c r="CR4" s="99" t="s">
        <v>2700</v>
      </c>
      <c r="CS4" s="99" t="s">
        <v>2701</v>
      </c>
      <c r="CT4" s="99" t="s">
        <v>2702</v>
      </c>
      <c r="CU4" s="99" t="s">
        <v>2703</v>
      </c>
      <c r="CV4" s="99" t="s">
        <v>2704</v>
      </c>
      <c r="CW4" s="99" t="s">
        <v>2705</v>
      </c>
      <c r="CX4" s="99" t="s">
        <v>2706</v>
      </c>
      <c r="CY4" s="99" t="s">
        <v>2707</v>
      </c>
      <c r="CZ4" s="99" t="s">
        <v>2708</v>
      </c>
      <c r="DA4" s="99" t="s">
        <v>2709</v>
      </c>
      <c r="DB4" s="99" t="s">
        <v>2710</v>
      </c>
      <c r="DC4" s="99" t="s">
        <v>2711</v>
      </c>
      <c r="DD4" s="99" t="s">
        <v>2712</v>
      </c>
      <c r="DE4" s="99" t="s">
        <v>2713</v>
      </c>
      <c r="DF4" s="99" t="s">
        <v>2714</v>
      </c>
      <c r="DG4" s="99" t="s">
        <v>2715</v>
      </c>
      <c r="DH4" s="99" t="s">
        <v>2716</v>
      </c>
      <c r="DI4" s="99" t="s">
        <v>2717</v>
      </c>
      <c r="DJ4" s="99" t="s">
        <v>2718</v>
      </c>
      <c r="DK4" s="99" t="s">
        <v>2719</v>
      </c>
      <c r="DL4" s="99" t="s">
        <v>2720</v>
      </c>
      <c r="DM4" s="99" t="s">
        <v>2721</v>
      </c>
      <c r="DN4" s="99" t="s">
        <v>2722</v>
      </c>
      <c r="DO4" s="99" t="s">
        <v>2723</v>
      </c>
      <c r="DP4" s="99" t="s">
        <v>2724</v>
      </c>
      <c r="DQ4" s="99" t="s">
        <v>2725</v>
      </c>
      <c r="DR4" s="99" t="s">
        <v>2726</v>
      </c>
      <c r="DS4" s="99" t="s">
        <v>2727</v>
      </c>
      <c r="DT4" s="99" t="s">
        <v>2728</v>
      </c>
      <c r="DU4" s="99" t="s">
        <v>2729</v>
      </c>
      <c r="DV4" s="99" t="s">
        <v>2730</v>
      </c>
      <c r="DW4" s="99" t="s">
        <v>2731</v>
      </c>
      <c r="DX4" s="99" t="s">
        <v>2732</v>
      </c>
      <c r="DY4" s="99" t="s">
        <v>2733</v>
      </c>
      <c r="DZ4" s="99" t="s">
        <v>2734</v>
      </c>
      <c r="EA4" s="99" t="s">
        <v>2735</v>
      </c>
      <c r="EB4" s="99" t="s">
        <v>2736</v>
      </c>
      <c r="EC4" s="99" t="s">
        <v>2737</v>
      </c>
      <c r="ED4" s="99" t="s">
        <v>2738</v>
      </c>
      <c r="EE4" s="99" t="s">
        <v>2739</v>
      </c>
      <c r="EF4" s="99" t="s">
        <v>2740</v>
      </c>
      <c r="EG4" s="99" t="s">
        <v>2741</v>
      </c>
      <c r="EH4" s="99" t="s">
        <v>2742</v>
      </c>
      <c r="EI4" s="99" t="s">
        <v>2743</v>
      </c>
      <c r="EJ4" s="99" t="s">
        <v>2744</v>
      </c>
      <c r="EK4" s="99" t="s">
        <v>2745</v>
      </c>
      <c r="EL4" s="99" t="s">
        <v>2746</v>
      </c>
      <c r="EM4" s="99" t="s">
        <v>2747</v>
      </c>
      <c r="EN4" s="99" t="s">
        <v>2748</v>
      </c>
      <c r="EO4" s="99" t="s">
        <v>2749</v>
      </c>
      <c r="EP4" s="99" t="s">
        <v>2750</v>
      </c>
      <c r="EQ4" s="99" t="s">
        <v>2751</v>
      </c>
      <c r="ER4" s="99" t="s">
        <v>2752</v>
      </c>
      <c r="ES4" s="99" t="s">
        <v>2753</v>
      </c>
      <c r="ET4" s="99" t="s">
        <v>2754</v>
      </c>
      <c r="EU4" s="99" t="s">
        <v>2755</v>
      </c>
      <c r="EV4" s="99" t="s">
        <v>2756</v>
      </c>
      <c r="EW4" s="99" t="s">
        <v>2757</v>
      </c>
      <c r="EX4" s="99" t="s">
        <v>2758</v>
      </c>
      <c r="EY4" s="99" t="s">
        <v>2759</v>
      </c>
      <c r="EZ4" s="99" t="s">
        <v>2760</v>
      </c>
      <c r="FA4" s="99" t="s">
        <v>2761</v>
      </c>
      <c r="FB4" s="99" t="s">
        <v>2762</v>
      </c>
      <c r="FC4" s="99" t="s">
        <v>2763</v>
      </c>
      <c r="FD4" s="99" t="s">
        <v>2764</v>
      </c>
      <c r="FE4" s="99" t="s">
        <v>2765</v>
      </c>
      <c r="FF4" s="99" t="s">
        <v>2766</v>
      </c>
      <c r="FG4" s="99" t="s">
        <v>2767</v>
      </c>
      <c r="FH4" s="99" t="s">
        <v>2768</v>
      </c>
      <c r="FI4" s="99" t="s">
        <v>2769</v>
      </c>
      <c r="FJ4" s="99" t="s">
        <v>2770</v>
      </c>
      <c r="FK4" s="99" t="s">
        <v>2771</v>
      </c>
      <c r="FL4" s="99" t="s">
        <v>2772</v>
      </c>
      <c r="FM4" s="99" t="s">
        <v>2773</v>
      </c>
      <c r="FN4" s="99" t="s">
        <v>2774</v>
      </c>
      <c r="FO4" s="99" t="s">
        <v>2775</v>
      </c>
      <c r="FP4" s="99" t="s">
        <v>2776</v>
      </c>
      <c r="FQ4" s="99" t="s">
        <v>2777</v>
      </c>
      <c r="FR4" s="99" t="s">
        <v>2778</v>
      </c>
      <c r="FS4" s="99" t="s">
        <v>2779</v>
      </c>
      <c r="FT4" s="99" t="s">
        <v>2780</v>
      </c>
      <c r="FU4" s="99" t="s">
        <v>2781</v>
      </c>
      <c r="FV4" s="99" t="s">
        <v>2782</v>
      </c>
      <c r="FW4" s="99" t="s">
        <v>2783</v>
      </c>
      <c r="FX4" s="99" t="s">
        <v>2784</v>
      </c>
      <c r="FY4" s="99" t="s">
        <v>2785</v>
      </c>
      <c r="FZ4" s="99" t="s">
        <v>2786</v>
      </c>
      <c r="GA4" s="99" t="s">
        <v>2787</v>
      </c>
      <c r="GB4" s="99" t="s">
        <v>2788</v>
      </c>
      <c r="GC4" s="99" t="s">
        <v>2789</v>
      </c>
      <c r="GD4" s="99" t="s">
        <v>2790</v>
      </c>
      <c r="GE4" s="99" t="s">
        <v>2791</v>
      </c>
      <c r="GF4" s="99" t="s">
        <v>2792</v>
      </c>
      <c r="GG4" s="99" t="s">
        <v>2793</v>
      </c>
      <c r="GH4" s="99" t="s">
        <v>2794</v>
      </c>
      <c r="GI4" s="99" t="s">
        <v>2795</v>
      </c>
      <c r="GJ4" s="99" t="s">
        <v>2796</v>
      </c>
      <c r="GK4" s="99" t="s">
        <v>2797</v>
      </c>
      <c r="GL4" s="99" t="s">
        <v>2798</v>
      </c>
      <c r="GM4" s="99" t="s">
        <v>2799</v>
      </c>
      <c r="GN4" s="99" t="s">
        <v>2800</v>
      </c>
      <c r="GO4" s="99" t="s">
        <v>2801</v>
      </c>
      <c r="GP4" s="99" t="s">
        <v>2802</v>
      </c>
      <c r="GQ4" s="99" t="s">
        <v>2803</v>
      </c>
      <c r="GR4" s="99" t="s">
        <v>2804</v>
      </c>
      <c r="GS4" s="99" t="s">
        <v>2805</v>
      </c>
      <c r="GT4" s="99" t="s">
        <v>2806</v>
      </c>
      <c r="GU4" s="99" t="s">
        <v>2807</v>
      </c>
      <c r="GV4" s="99" t="s">
        <v>2808</v>
      </c>
      <c r="GW4" s="99" t="s">
        <v>2809</v>
      </c>
      <c r="GX4" s="99" t="s">
        <v>2810</v>
      </c>
      <c r="GY4" s="99" t="s">
        <v>2811</v>
      </c>
      <c r="GZ4" s="99" t="s">
        <v>2812</v>
      </c>
      <c r="HA4" s="99" t="s">
        <v>2813</v>
      </c>
      <c r="HB4" s="99" t="s">
        <v>2814</v>
      </c>
      <c r="HC4" s="99" t="s">
        <v>2815</v>
      </c>
      <c r="HD4" s="99" t="s">
        <v>2816</v>
      </c>
      <c r="HE4" s="99" t="s">
        <v>2817</v>
      </c>
      <c r="HF4" s="99" t="s">
        <v>2818</v>
      </c>
      <c r="HG4" s="99" t="s">
        <v>2819</v>
      </c>
      <c r="HH4" s="99" t="s">
        <v>2820</v>
      </c>
      <c r="HI4" s="99" t="s">
        <v>2821</v>
      </c>
      <c r="HJ4" s="99" t="s">
        <v>2822</v>
      </c>
      <c r="HK4" s="99" t="s">
        <v>2823</v>
      </c>
      <c r="HL4" s="99" t="s">
        <v>2824</v>
      </c>
      <c r="HM4" s="99" t="s">
        <v>2825</v>
      </c>
      <c r="HN4" s="99" t="s">
        <v>2826</v>
      </c>
      <c r="HO4" s="99" t="s">
        <v>2827</v>
      </c>
      <c r="HP4" s="99" t="s">
        <v>2828</v>
      </c>
      <c r="HQ4" s="99" t="s">
        <v>2829</v>
      </c>
      <c r="HR4" s="99" t="s">
        <v>2830</v>
      </c>
      <c r="HS4" s="99" t="s">
        <v>2831</v>
      </c>
      <c r="HT4" s="99" t="s">
        <v>2832</v>
      </c>
      <c r="HU4" s="99" t="s">
        <v>2833</v>
      </c>
      <c r="HV4" s="99" t="s">
        <v>2834</v>
      </c>
      <c r="HW4" s="99" t="s">
        <v>2835</v>
      </c>
      <c r="HX4" s="99" t="s">
        <v>2836</v>
      </c>
      <c r="HY4" s="99" t="s">
        <v>2837</v>
      </c>
      <c r="HZ4" s="99" t="s">
        <v>2838</v>
      </c>
      <c r="IA4" s="99" t="s">
        <v>2839</v>
      </c>
      <c r="IB4" s="99" t="s">
        <v>2840</v>
      </c>
      <c r="IC4" s="99" t="s">
        <v>2841</v>
      </c>
      <c r="ID4" s="99" t="s">
        <v>2842</v>
      </c>
      <c r="IE4" s="99" t="s">
        <v>2843</v>
      </c>
      <c r="IF4" s="99" t="s">
        <v>133</v>
      </c>
      <c r="IG4" s="99" t="s">
        <v>134</v>
      </c>
      <c r="IH4" s="99" t="s">
        <v>135</v>
      </c>
      <c r="II4" s="99" t="s">
        <v>136</v>
      </c>
    </row>
    <row r="5" spans="1:243" x14ac:dyDescent="0.25">
      <c r="A5" s="111" t="str">
        <f>HYPERLINK("http://www.ofsted.gov.uk/inspection-reports/find-inspection-report/provider/ELS/100073 ","Ofsted School Webpage")</f>
        <v>Ofsted School Webpage</v>
      </c>
      <c r="B5">
        <v>100073</v>
      </c>
      <c r="C5">
        <v>2026264</v>
      </c>
      <c r="D5" t="s">
        <v>1456</v>
      </c>
      <c r="E5" t="s">
        <v>36</v>
      </c>
      <c r="F5" t="s">
        <v>166</v>
      </c>
      <c r="G5" t="s">
        <v>189</v>
      </c>
      <c r="H5" t="s">
        <v>189</v>
      </c>
      <c r="I5" t="s">
        <v>491</v>
      </c>
      <c r="J5" t="s">
        <v>1457</v>
      </c>
      <c r="K5" t="s">
        <v>142</v>
      </c>
      <c r="L5" t="s">
        <v>142</v>
      </c>
      <c r="M5" t="s">
        <v>2596</v>
      </c>
      <c r="N5" t="s">
        <v>143</v>
      </c>
      <c r="O5">
        <v>10038147</v>
      </c>
      <c r="P5" s="108">
        <v>43151</v>
      </c>
      <c r="Q5" s="108">
        <v>43153</v>
      </c>
      <c r="R5" s="108">
        <v>43173</v>
      </c>
      <c r="S5" t="s">
        <v>153</v>
      </c>
      <c r="T5" t="s">
        <v>154</v>
      </c>
      <c r="U5">
        <v>1</v>
      </c>
      <c r="V5">
        <v>1</v>
      </c>
      <c r="W5">
        <v>1</v>
      </c>
      <c r="X5">
        <v>1</v>
      </c>
      <c r="Y5">
        <v>1</v>
      </c>
      <c r="Z5">
        <v>1</v>
      </c>
      <c r="AA5" t="s">
        <v>2596</v>
      </c>
      <c r="AB5" t="s">
        <v>123</v>
      </c>
      <c r="AC5" t="s">
        <v>2596</v>
      </c>
      <c r="AD5" t="s">
        <v>2598</v>
      </c>
      <c r="AE5" t="s">
        <v>57</v>
      </c>
      <c r="AF5" t="s">
        <v>57</v>
      </c>
      <c r="AG5" t="s">
        <v>57</v>
      </c>
      <c r="AH5" t="s">
        <v>57</v>
      </c>
      <c r="AI5" t="s">
        <v>57</v>
      </c>
      <c r="AJ5" t="s">
        <v>57</v>
      </c>
      <c r="AK5" t="s">
        <v>57</v>
      </c>
      <c r="AL5" t="s">
        <v>57</v>
      </c>
      <c r="AM5" t="s">
        <v>57</v>
      </c>
      <c r="AN5" t="s">
        <v>57</v>
      </c>
      <c r="AO5" t="s">
        <v>57</v>
      </c>
      <c r="AP5" t="s">
        <v>57</v>
      </c>
      <c r="AQ5" t="s">
        <v>57</v>
      </c>
      <c r="AR5" t="s">
        <v>57</v>
      </c>
      <c r="AS5" t="s">
        <v>57</v>
      </c>
      <c r="AT5" t="s">
        <v>57</v>
      </c>
      <c r="AU5" t="s">
        <v>175</v>
      </c>
      <c r="AV5" t="s">
        <v>57</v>
      </c>
      <c r="AW5" t="s">
        <v>57</v>
      </c>
      <c r="AX5" t="s">
        <v>57</v>
      </c>
      <c r="AY5" t="s">
        <v>175</v>
      </c>
      <c r="AZ5" t="s">
        <v>175</v>
      </c>
      <c r="BA5" t="s">
        <v>175</v>
      </c>
      <c r="BB5" t="s">
        <v>175</v>
      </c>
      <c r="BC5" t="s">
        <v>57</v>
      </c>
      <c r="BD5" t="s">
        <v>175</v>
      </c>
      <c r="BE5" t="s">
        <v>57</v>
      </c>
      <c r="BF5" t="s">
        <v>57</v>
      </c>
      <c r="BG5" t="s">
        <v>57</v>
      </c>
      <c r="BH5" t="s">
        <v>57</v>
      </c>
      <c r="BI5" t="s">
        <v>57</v>
      </c>
      <c r="BJ5" t="s">
        <v>57</v>
      </c>
      <c r="BK5" t="s">
        <v>57</v>
      </c>
      <c r="BL5" t="s">
        <v>57</v>
      </c>
      <c r="BM5" t="s">
        <v>57</v>
      </c>
      <c r="BN5" t="s">
        <v>57</v>
      </c>
      <c r="BO5" t="s">
        <v>57</v>
      </c>
      <c r="BP5" t="s">
        <v>57</v>
      </c>
      <c r="BQ5" t="s">
        <v>57</v>
      </c>
      <c r="BR5" t="s">
        <v>57</v>
      </c>
      <c r="BS5" t="s">
        <v>57</v>
      </c>
      <c r="BT5" t="s">
        <v>57</v>
      </c>
      <c r="BU5" t="s">
        <v>57</v>
      </c>
      <c r="BV5" t="s">
        <v>57</v>
      </c>
      <c r="BW5" t="s">
        <v>57</v>
      </c>
      <c r="BX5" t="s">
        <v>57</v>
      </c>
      <c r="BY5" t="s">
        <v>57</v>
      </c>
      <c r="BZ5" t="s">
        <v>57</v>
      </c>
      <c r="CA5" t="s">
        <v>57</v>
      </c>
      <c r="CB5" t="s">
        <v>57</v>
      </c>
      <c r="CC5" t="s">
        <v>57</v>
      </c>
      <c r="CD5" t="s">
        <v>57</v>
      </c>
      <c r="CE5" t="s">
        <v>57</v>
      </c>
      <c r="CF5" t="s">
        <v>57</v>
      </c>
      <c r="CG5" t="s">
        <v>57</v>
      </c>
      <c r="CH5" t="s">
        <v>57</v>
      </c>
      <c r="CI5" t="s">
        <v>57</v>
      </c>
      <c r="CJ5" t="s">
        <v>57</v>
      </c>
      <c r="CK5" t="s">
        <v>175</v>
      </c>
      <c r="CL5" t="s">
        <v>175</v>
      </c>
      <c r="CM5" t="s">
        <v>175</v>
      </c>
      <c r="CN5" t="s">
        <v>57</v>
      </c>
      <c r="CO5" t="s">
        <v>57</v>
      </c>
      <c r="CP5" t="s">
        <v>57</v>
      </c>
      <c r="CQ5" t="s">
        <v>57</v>
      </c>
      <c r="CR5" t="s">
        <v>57</v>
      </c>
      <c r="CS5" t="s">
        <v>57</v>
      </c>
      <c r="CT5" t="s">
        <v>57</v>
      </c>
      <c r="CU5" t="s">
        <v>57</v>
      </c>
      <c r="CV5" t="s">
        <v>57</v>
      </c>
      <c r="CW5" t="s">
        <v>57</v>
      </c>
      <c r="CX5" t="s">
        <v>57</v>
      </c>
      <c r="CY5" t="s">
        <v>57</v>
      </c>
      <c r="CZ5" t="s">
        <v>57</v>
      </c>
      <c r="DA5" t="s">
        <v>57</v>
      </c>
      <c r="DB5" t="s">
        <v>57</v>
      </c>
      <c r="DC5" t="s">
        <v>57</v>
      </c>
      <c r="DD5" t="s">
        <v>57</v>
      </c>
      <c r="DE5" t="s">
        <v>57</v>
      </c>
      <c r="DF5" t="s">
        <v>57</v>
      </c>
      <c r="DG5" t="s">
        <v>57</v>
      </c>
      <c r="DH5" t="s">
        <v>57</v>
      </c>
      <c r="DI5" t="s">
        <v>57</v>
      </c>
      <c r="DJ5" t="s">
        <v>57</v>
      </c>
      <c r="DK5" t="s">
        <v>175</v>
      </c>
      <c r="DL5" t="s">
        <v>57</v>
      </c>
      <c r="DM5" t="s">
        <v>57</v>
      </c>
      <c r="DN5" t="s">
        <v>57</v>
      </c>
      <c r="DO5" t="s">
        <v>57</v>
      </c>
      <c r="DP5" t="s">
        <v>57</v>
      </c>
      <c r="DQ5" t="s">
        <v>57</v>
      </c>
      <c r="DR5" t="s">
        <v>57</v>
      </c>
      <c r="DS5" t="s">
        <v>57</v>
      </c>
      <c r="DT5" t="s">
        <v>57</v>
      </c>
      <c r="DU5" t="s">
        <v>57</v>
      </c>
      <c r="DV5" t="s">
        <v>57</v>
      </c>
      <c r="DW5" t="s">
        <v>57</v>
      </c>
      <c r="DX5" t="s">
        <v>57</v>
      </c>
      <c r="DY5" t="s">
        <v>175</v>
      </c>
      <c r="DZ5" t="s">
        <v>57</v>
      </c>
      <c r="EA5" t="s">
        <v>57</v>
      </c>
      <c r="EB5" t="s">
        <v>57</v>
      </c>
      <c r="EC5" t="s">
        <v>57</v>
      </c>
      <c r="ED5" t="s">
        <v>57</v>
      </c>
      <c r="EE5" t="s">
        <v>57</v>
      </c>
      <c r="EF5" t="s">
        <v>57</v>
      </c>
      <c r="EG5" t="s">
        <v>57</v>
      </c>
      <c r="EH5" t="s">
        <v>57</v>
      </c>
      <c r="EI5" t="s">
        <v>57</v>
      </c>
      <c r="EJ5" t="s">
        <v>57</v>
      </c>
      <c r="EK5" t="s">
        <v>57</v>
      </c>
      <c r="EL5" t="s">
        <v>57</v>
      </c>
      <c r="EM5" t="s">
        <v>57</v>
      </c>
      <c r="EN5" t="s">
        <v>57</v>
      </c>
      <c r="EO5" t="s">
        <v>57</v>
      </c>
      <c r="EP5" t="s">
        <v>57</v>
      </c>
      <c r="EQ5" t="s">
        <v>57</v>
      </c>
      <c r="ER5" t="s">
        <v>57</v>
      </c>
      <c r="ES5" t="s">
        <v>57</v>
      </c>
      <c r="ET5" t="s">
        <v>57</v>
      </c>
      <c r="EU5" t="s">
        <v>57</v>
      </c>
      <c r="EV5" t="s">
        <v>57</v>
      </c>
      <c r="EW5" t="s">
        <v>57</v>
      </c>
      <c r="EX5" t="s">
        <v>57</v>
      </c>
      <c r="EY5" t="s">
        <v>57</v>
      </c>
      <c r="EZ5" t="s">
        <v>57</v>
      </c>
      <c r="FA5" t="s">
        <v>57</v>
      </c>
      <c r="FB5" t="s">
        <v>57</v>
      </c>
      <c r="FC5" t="s">
        <v>57</v>
      </c>
      <c r="FD5" t="s">
        <v>57</v>
      </c>
      <c r="FE5" t="s">
        <v>57</v>
      </c>
      <c r="FF5" t="s">
        <v>57</v>
      </c>
      <c r="FG5" t="s">
        <v>57</v>
      </c>
      <c r="FH5" t="s">
        <v>57</v>
      </c>
      <c r="FI5" t="s">
        <v>57</v>
      </c>
      <c r="FJ5" t="s">
        <v>175</v>
      </c>
      <c r="FK5" t="s">
        <v>175</v>
      </c>
      <c r="FL5" t="s">
        <v>57</v>
      </c>
      <c r="FM5" t="s">
        <v>57</v>
      </c>
      <c r="FN5" t="s">
        <v>57</v>
      </c>
      <c r="FO5" t="s">
        <v>57</v>
      </c>
      <c r="FP5" t="s">
        <v>57</v>
      </c>
      <c r="FQ5" t="s">
        <v>57</v>
      </c>
      <c r="FR5" t="s">
        <v>57</v>
      </c>
      <c r="FS5" t="s">
        <v>57</v>
      </c>
      <c r="FT5" t="s">
        <v>57</v>
      </c>
      <c r="FU5" t="s">
        <v>57</v>
      </c>
      <c r="FV5" t="s">
        <v>57</v>
      </c>
      <c r="FW5" t="s">
        <v>57</v>
      </c>
      <c r="FX5" t="s">
        <v>57</v>
      </c>
      <c r="FY5" t="s">
        <v>57</v>
      </c>
      <c r="FZ5" t="s">
        <v>57</v>
      </c>
      <c r="GA5" t="s">
        <v>57</v>
      </c>
      <c r="GB5" t="s">
        <v>57</v>
      </c>
      <c r="GC5" t="s">
        <v>57</v>
      </c>
      <c r="GD5" t="s">
        <v>57</v>
      </c>
      <c r="GE5" t="s">
        <v>57</v>
      </c>
      <c r="GF5" t="s">
        <v>57</v>
      </c>
      <c r="GG5" t="s">
        <v>175</v>
      </c>
      <c r="GH5" t="s">
        <v>57</v>
      </c>
      <c r="GI5" t="s">
        <v>57</v>
      </c>
      <c r="GJ5" t="s">
        <v>57</v>
      </c>
      <c r="GK5" t="s">
        <v>57</v>
      </c>
      <c r="GL5" t="s">
        <v>57</v>
      </c>
      <c r="GM5" t="s">
        <v>175</v>
      </c>
      <c r="GN5" t="s">
        <v>57</v>
      </c>
      <c r="GO5" t="s">
        <v>57</v>
      </c>
      <c r="GP5" t="s">
        <v>175</v>
      </c>
      <c r="GQ5" t="s">
        <v>175</v>
      </c>
      <c r="GR5" t="s">
        <v>57</v>
      </c>
      <c r="GS5" t="s">
        <v>57</v>
      </c>
      <c r="GT5" t="s">
        <v>57</v>
      </c>
      <c r="GU5" t="s">
        <v>57</v>
      </c>
      <c r="GV5" t="s">
        <v>57</v>
      </c>
      <c r="GW5" t="s">
        <v>175</v>
      </c>
      <c r="GX5" t="s">
        <v>175</v>
      </c>
      <c r="GY5" t="s">
        <v>57</v>
      </c>
      <c r="GZ5" t="s">
        <v>57</v>
      </c>
      <c r="HA5" t="s">
        <v>57</v>
      </c>
      <c r="HB5" t="s">
        <v>175</v>
      </c>
      <c r="HC5" t="s">
        <v>57</v>
      </c>
      <c r="HD5" t="s">
        <v>57</v>
      </c>
      <c r="HE5" t="s">
        <v>57</v>
      </c>
      <c r="HF5" t="s">
        <v>57</v>
      </c>
      <c r="HG5" t="s">
        <v>57</v>
      </c>
      <c r="HH5" t="s">
        <v>175</v>
      </c>
      <c r="HI5" t="s">
        <v>175</v>
      </c>
      <c r="HJ5" t="s">
        <v>175</v>
      </c>
      <c r="HK5" t="s">
        <v>175</v>
      </c>
      <c r="HL5" t="s">
        <v>57</v>
      </c>
      <c r="HM5" t="s">
        <v>57</v>
      </c>
      <c r="HN5" t="s">
        <v>57</v>
      </c>
      <c r="HO5" t="s">
        <v>57</v>
      </c>
      <c r="HP5" t="s">
        <v>57</v>
      </c>
      <c r="HQ5" t="s">
        <v>57</v>
      </c>
      <c r="HR5" t="s">
        <v>57</v>
      </c>
      <c r="HS5" t="s">
        <v>57</v>
      </c>
      <c r="HT5" t="s">
        <v>57</v>
      </c>
      <c r="HU5" t="s">
        <v>57</v>
      </c>
      <c r="HV5" t="s">
        <v>57</v>
      </c>
      <c r="HW5" t="s">
        <v>57</v>
      </c>
      <c r="HX5" t="s">
        <v>57</v>
      </c>
      <c r="HY5" t="s">
        <v>57</v>
      </c>
      <c r="HZ5" t="s">
        <v>57</v>
      </c>
      <c r="IA5" t="s">
        <v>57</v>
      </c>
      <c r="IB5" t="s">
        <v>57</v>
      </c>
      <c r="IC5" t="s">
        <v>57</v>
      </c>
      <c r="ID5" t="s">
        <v>57</v>
      </c>
      <c r="IE5" t="s">
        <v>57</v>
      </c>
      <c r="IF5" t="s">
        <v>124</v>
      </c>
      <c r="IG5" t="s">
        <v>148</v>
      </c>
      <c r="IH5" t="s">
        <v>123</v>
      </c>
      <c r="II5" t="s">
        <v>156</v>
      </c>
    </row>
    <row r="6" spans="1:243" x14ac:dyDescent="0.25">
      <c r="A6" s="111" t="str">
        <f>HYPERLINK("http://www.ofsted.gov.uk/inspection-reports/find-inspection-report/provider/ELS/100078 ","Ofsted School Webpage")</f>
        <v>Ofsted School Webpage</v>
      </c>
      <c r="B6">
        <v>100078</v>
      </c>
      <c r="C6">
        <v>2026360</v>
      </c>
      <c r="D6" t="s">
        <v>490</v>
      </c>
      <c r="E6" t="s">
        <v>36</v>
      </c>
      <c r="F6" t="s">
        <v>166</v>
      </c>
      <c r="G6" t="s">
        <v>189</v>
      </c>
      <c r="H6" t="s">
        <v>189</v>
      </c>
      <c r="I6" t="s">
        <v>491</v>
      </c>
      <c r="J6" t="s">
        <v>492</v>
      </c>
      <c r="K6" t="s">
        <v>142</v>
      </c>
      <c r="L6" t="s">
        <v>142</v>
      </c>
      <c r="M6" t="s">
        <v>2596</v>
      </c>
      <c r="N6" t="s">
        <v>143</v>
      </c>
      <c r="O6">
        <v>10012781</v>
      </c>
      <c r="P6" s="108">
        <v>42997</v>
      </c>
      <c r="Q6" s="108">
        <v>42999</v>
      </c>
      <c r="R6" s="108">
        <v>43052</v>
      </c>
      <c r="S6" t="s">
        <v>153</v>
      </c>
      <c r="T6" t="s">
        <v>154</v>
      </c>
      <c r="U6">
        <v>1</v>
      </c>
      <c r="V6">
        <v>1</v>
      </c>
      <c r="W6">
        <v>1</v>
      </c>
      <c r="X6">
        <v>1</v>
      </c>
      <c r="Y6">
        <v>1</v>
      </c>
      <c r="Z6">
        <v>2</v>
      </c>
      <c r="AA6" t="s">
        <v>2596</v>
      </c>
      <c r="AB6" t="s">
        <v>123</v>
      </c>
      <c r="AC6" t="s">
        <v>2596</v>
      </c>
      <c r="AD6" t="s">
        <v>2598</v>
      </c>
      <c r="AE6" t="s">
        <v>57</v>
      </c>
      <c r="AF6" t="s">
        <v>57</v>
      </c>
      <c r="AG6" t="s">
        <v>57</v>
      </c>
      <c r="AH6" t="s">
        <v>57</v>
      </c>
      <c r="AI6" t="s">
        <v>57</v>
      </c>
      <c r="AJ6" t="s">
        <v>57</v>
      </c>
      <c r="AK6" t="s">
        <v>57</v>
      </c>
      <c r="AL6" t="s">
        <v>57</v>
      </c>
      <c r="AM6" t="s">
        <v>57</v>
      </c>
      <c r="AN6" t="s">
        <v>57</v>
      </c>
      <c r="AO6" t="s">
        <v>57</v>
      </c>
      <c r="AP6" t="s">
        <v>57</v>
      </c>
      <c r="AQ6" t="s">
        <v>57</v>
      </c>
      <c r="AR6" t="s">
        <v>57</v>
      </c>
      <c r="AS6" t="s">
        <v>57</v>
      </c>
      <c r="AT6" t="s">
        <v>57</v>
      </c>
      <c r="AU6" t="s">
        <v>148</v>
      </c>
      <c r="AV6" t="s">
        <v>57</v>
      </c>
      <c r="AW6" t="s">
        <v>57</v>
      </c>
      <c r="AX6" t="s">
        <v>57</v>
      </c>
      <c r="AY6" t="s">
        <v>57</v>
      </c>
      <c r="AZ6" t="s">
        <v>57</v>
      </c>
      <c r="BA6" t="s">
        <v>57</v>
      </c>
      <c r="BB6" t="s">
        <v>57</v>
      </c>
      <c r="BC6" t="s">
        <v>57</v>
      </c>
      <c r="BD6" t="s">
        <v>148</v>
      </c>
      <c r="BE6" t="s">
        <v>57</v>
      </c>
      <c r="BF6" t="s">
        <v>57</v>
      </c>
      <c r="BG6" t="s">
        <v>57</v>
      </c>
      <c r="BH6" t="s">
        <v>57</v>
      </c>
      <c r="BI6" t="s">
        <v>57</v>
      </c>
      <c r="BJ6" t="s">
        <v>57</v>
      </c>
      <c r="BK6" t="s">
        <v>57</v>
      </c>
      <c r="BL6" t="s">
        <v>57</v>
      </c>
      <c r="BM6" t="s">
        <v>57</v>
      </c>
      <c r="BN6" t="s">
        <v>57</v>
      </c>
      <c r="BO6" t="s">
        <v>57</v>
      </c>
      <c r="BP6" t="s">
        <v>57</v>
      </c>
      <c r="BQ6" t="s">
        <v>57</v>
      </c>
      <c r="BR6" t="s">
        <v>57</v>
      </c>
      <c r="BS6" t="s">
        <v>57</v>
      </c>
      <c r="BT6" t="s">
        <v>57</v>
      </c>
      <c r="BU6" t="s">
        <v>57</v>
      </c>
      <c r="BV6" t="s">
        <v>57</v>
      </c>
      <c r="BW6" t="s">
        <v>57</v>
      </c>
      <c r="BX6" t="s">
        <v>57</v>
      </c>
      <c r="BY6" t="s">
        <v>57</v>
      </c>
      <c r="BZ6" t="s">
        <v>57</v>
      </c>
      <c r="CA6" t="s">
        <v>57</v>
      </c>
      <c r="CB6" t="s">
        <v>57</v>
      </c>
      <c r="CC6" t="s">
        <v>57</v>
      </c>
      <c r="CD6" t="s">
        <v>57</v>
      </c>
      <c r="CE6" t="s">
        <v>57</v>
      </c>
      <c r="CF6" t="s">
        <v>57</v>
      </c>
      <c r="CG6" t="s">
        <v>57</v>
      </c>
      <c r="CH6" t="s">
        <v>57</v>
      </c>
      <c r="CI6" t="s">
        <v>57</v>
      </c>
      <c r="CJ6" t="s">
        <v>57</v>
      </c>
      <c r="CK6" t="s">
        <v>148</v>
      </c>
      <c r="CL6" t="s">
        <v>148</v>
      </c>
      <c r="CM6" t="s">
        <v>148</v>
      </c>
      <c r="CN6" t="s">
        <v>57</v>
      </c>
      <c r="CO6" t="s">
        <v>57</v>
      </c>
      <c r="CP6" t="s">
        <v>57</v>
      </c>
      <c r="CQ6" t="s">
        <v>57</v>
      </c>
      <c r="CR6" t="s">
        <v>57</v>
      </c>
      <c r="CS6" t="s">
        <v>57</v>
      </c>
      <c r="CT6" t="s">
        <v>57</v>
      </c>
      <c r="CU6" t="s">
        <v>57</v>
      </c>
      <c r="CV6" t="s">
        <v>57</v>
      </c>
      <c r="CW6" t="s">
        <v>57</v>
      </c>
      <c r="CX6" t="s">
        <v>57</v>
      </c>
      <c r="CY6" t="s">
        <v>57</v>
      </c>
      <c r="CZ6" t="s">
        <v>57</v>
      </c>
      <c r="DA6" t="s">
        <v>57</v>
      </c>
      <c r="DB6" t="s">
        <v>57</v>
      </c>
      <c r="DC6" t="s">
        <v>57</v>
      </c>
      <c r="DD6" t="s">
        <v>57</v>
      </c>
      <c r="DE6" t="s">
        <v>57</v>
      </c>
      <c r="DF6" t="s">
        <v>57</v>
      </c>
      <c r="DG6" t="s">
        <v>57</v>
      </c>
      <c r="DH6" t="s">
        <v>57</v>
      </c>
      <c r="DI6" t="s">
        <v>57</v>
      </c>
      <c r="DJ6" t="s">
        <v>148</v>
      </c>
      <c r="DK6" t="s">
        <v>148</v>
      </c>
      <c r="DL6" t="s">
        <v>57</v>
      </c>
      <c r="DM6" t="s">
        <v>148</v>
      </c>
      <c r="DN6" t="s">
        <v>148</v>
      </c>
      <c r="DO6" t="s">
        <v>148</v>
      </c>
      <c r="DP6" t="s">
        <v>148</v>
      </c>
      <c r="DQ6" t="s">
        <v>148</v>
      </c>
      <c r="DR6" t="s">
        <v>148</v>
      </c>
      <c r="DS6" t="s">
        <v>148</v>
      </c>
      <c r="DT6" t="s">
        <v>148</v>
      </c>
      <c r="DU6" t="s">
        <v>148</v>
      </c>
      <c r="DV6" t="s">
        <v>148</v>
      </c>
      <c r="DW6" t="s">
        <v>148</v>
      </c>
      <c r="DX6" t="s">
        <v>148</v>
      </c>
      <c r="DY6" t="s">
        <v>148</v>
      </c>
      <c r="DZ6" t="s">
        <v>57</v>
      </c>
      <c r="EA6" t="s">
        <v>57</v>
      </c>
      <c r="EB6" t="s">
        <v>57</v>
      </c>
      <c r="EC6" t="s">
        <v>57</v>
      </c>
      <c r="ED6" t="s">
        <v>57</v>
      </c>
      <c r="EE6" t="s">
        <v>57</v>
      </c>
      <c r="EF6" t="s">
        <v>57</v>
      </c>
      <c r="EG6" t="s">
        <v>57</v>
      </c>
      <c r="EH6" t="s">
        <v>148</v>
      </c>
      <c r="EI6" t="s">
        <v>57</v>
      </c>
      <c r="EJ6" t="s">
        <v>57</v>
      </c>
      <c r="EK6" t="s">
        <v>57</v>
      </c>
      <c r="EL6" t="s">
        <v>57</v>
      </c>
      <c r="EM6" t="s">
        <v>57</v>
      </c>
      <c r="EN6" t="s">
        <v>57</v>
      </c>
      <c r="EO6" t="s">
        <v>57</v>
      </c>
      <c r="EP6" t="s">
        <v>57</v>
      </c>
      <c r="EQ6" t="s">
        <v>57</v>
      </c>
      <c r="ER6" t="s">
        <v>57</v>
      </c>
      <c r="ES6" t="s">
        <v>57</v>
      </c>
      <c r="ET6" t="s">
        <v>57</v>
      </c>
      <c r="EU6" t="s">
        <v>57</v>
      </c>
      <c r="EV6" t="s">
        <v>57</v>
      </c>
      <c r="EW6" t="s">
        <v>57</v>
      </c>
      <c r="EX6" t="s">
        <v>148</v>
      </c>
      <c r="EY6" t="s">
        <v>148</v>
      </c>
      <c r="EZ6" t="s">
        <v>148</v>
      </c>
      <c r="FA6" t="s">
        <v>148</v>
      </c>
      <c r="FB6" t="s">
        <v>148</v>
      </c>
      <c r="FC6" t="s">
        <v>148</v>
      </c>
      <c r="FD6" t="s">
        <v>57</v>
      </c>
      <c r="FE6" t="s">
        <v>57</v>
      </c>
      <c r="FF6" t="s">
        <v>57</v>
      </c>
      <c r="FG6" t="s">
        <v>57</v>
      </c>
      <c r="FH6" t="s">
        <v>57</v>
      </c>
      <c r="FI6" t="s">
        <v>57</v>
      </c>
      <c r="FJ6" t="s">
        <v>57</v>
      </c>
      <c r="FK6" t="s">
        <v>57</v>
      </c>
      <c r="FL6" t="s">
        <v>57</v>
      </c>
      <c r="FM6" t="s">
        <v>57</v>
      </c>
      <c r="FN6" t="s">
        <v>57</v>
      </c>
      <c r="FO6" t="s">
        <v>148</v>
      </c>
      <c r="FP6" t="s">
        <v>57</v>
      </c>
      <c r="FQ6" t="s">
        <v>57</v>
      </c>
      <c r="FR6" t="s">
        <v>57</v>
      </c>
      <c r="FS6" t="s">
        <v>57</v>
      </c>
      <c r="FT6" t="s">
        <v>57</v>
      </c>
      <c r="FU6" t="s">
        <v>57</v>
      </c>
      <c r="FV6" t="s">
        <v>57</v>
      </c>
      <c r="FW6" t="s">
        <v>57</v>
      </c>
      <c r="FX6" t="s">
        <v>57</v>
      </c>
      <c r="FY6" t="s">
        <v>57</v>
      </c>
      <c r="FZ6" t="s">
        <v>57</v>
      </c>
      <c r="GA6" t="s">
        <v>57</v>
      </c>
      <c r="GB6" t="s">
        <v>57</v>
      </c>
      <c r="GC6" t="s">
        <v>57</v>
      </c>
      <c r="GD6" t="s">
        <v>57</v>
      </c>
      <c r="GE6" t="s">
        <v>57</v>
      </c>
      <c r="GF6" t="s">
        <v>57</v>
      </c>
      <c r="GG6" t="s">
        <v>148</v>
      </c>
      <c r="GH6" t="s">
        <v>57</v>
      </c>
      <c r="GI6" t="s">
        <v>57</v>
      </c>
      <c r="GJ6" t="s">
        <v>57</v>
      </c>
      <c r="GK6" t="s">
        <v>57</v>
      </c>
      <c r="GL6" t="s">
        <v>57</v>
      </c>
      <c r="GM6" t="s">
        <v>57</v>
      </c>
      <c r="GN6" t="s">
        <v>57</v>
      </c>
      <c r="GO6" t="s">
        <v>57</v>
      </c>
      <c r="GP6" t="s">
        <v>148</v>
      </c>
      <c r="GQ6" t="s">
        <v>148</v>
      </c>
      <c r="GR6" t="s">
        <v>57</v>
      </c>
      <c r="GS6" t="s">
        <v>57</v>
      </c>
      <c r="GT6" t="s">
        <v>57</v>
      </c>
      <c r="GU6" t="s">
        <v>57</v>
      </c>
      <c r="GV6" t="s">
        <v>57</v>
      </c>
      <c r="GW6" t="s">
        <v>148</v>
      </c>
      <c r="GX6" t="s">
        <v>148</v>
      </c>
      <c r="GY6" t="s">
        <v>57</v>
      </c>
      <c r="GZ6" t="s">
        <v>57</v>
      </c>
      <c r="HA6" t="s">
        <v>57</v>
      </c>
      <c r="HB6" t="s">
        <v>148</v>
      </c>
      <c r="HC6" t="s">
        <v>57</v>
      </c>
      <c r="HD6" t="s">
        <v>57</v>
      </c>
      <c r="HE6" t="s">
        <v>57</v>
      </c>
      <c r="HF6" t="s">
        <v>57</v>
      </c>
      <c r="HG6" t="s">
        <v>57</v>
      </c>
      <c r="HH6" t="s">
        <v>148</v>
      </c>
      <c r="HI6" t="s">
        <v>148</v>
      </c>
      <c r="HJ6" t="s">
        <v>148</v>
      </c>
      <c r="HK6" t="s">
        <v>148</v>
      </c>
      <c r="HL6" t="s">
        <v>57</v>
      </c>
      <c r="HM6" t="s">
        <v>57</v>
      </c>
      <c r="HN6" t="s">
        <v>57</v>
      </c>
      <c r="HO6" t="s">
        <v>57</v>
      </c>
      <c r="HP6" t="s">
        <v>57</v>
      </c>
      <c r="HQ6" t="s">
        <v>57</v>
      </c>
      <c r="HR6" t="s">
        <v>57</v>
      </c>
      <c r="HS6" t="s">
        <v>57</v>
      </c>
      <c r="HT6" t="s">
        <v>57</v>
      </c>
      <c r="HU6" t="s">
        <v>57</v>
      </c>
      <c r="HV6" t="s">
        <v>57</v>
      </c>
      <c r="HW6" t="s">
        <v>57</v>
      </c>
      <c r="HX6" t="s">
        <v>57</v>
      </c>
      <c r="HY6" t="s">
        <v>57</v>
      </c>
      <c r="HZ6" t="s">
        <v>57</v>
      </c>
      <c r="IA6" t="s">
        <v>57</v>
      </c>
      <c r="IB6" t="s">
        <v>57</v>
      </c>
      <c r="IC6" t="s">
        <v>57</v>
      </c>
      <c r="ID6" t="s">
        <v>57</v>
      </c>
      <c r="IE6" t="s">
        <v>57</v>
      </c>
      <c r="IF6" t="s">
        <v>124</v>
      </c>
      <c r="IG6" t="s">
        <v>155</v>
      </c>
      <c r="IH6" t="s">
        <v>123</v>
      </c>
      <c r="II6" t="s">
        <v>156</v>
      </c>
    </row>
    <row r="7" spans="1:243" x14ac:dyDescent="0.25">
      <c r="A7" s="111" t="str">
        <f>HYPERLINK("http://www.ofsted.gov.uk/inspection-reports/find-inspection-report/provider/ELS/100086 ","Ofsted School Webpage")</f>
        <v>Ofsted School Webpage</v>
      </c>
      <c r="B7">
        <v>100086</v>
      </c>
      <c r="C7">
        <v>2026390</v>
      </c>
      <c r="D7" t="s">
        <v>1975</v>
      </c>
      <c r="E7" t="s">
        <v>36</v>
      </c>
      <c r="F7" t="s">
        <v>166</v>
      </c>
      <c r="G7" t="s">
        <v>189</v>
      </c>
      <c r="H7" t="s">
        <v>189</v>
      </c>
      <c r="I7" t="s">
        <v>491</v>
      </c>
      <c r="J7" t="s">
        <v>1976</v>
      </c>
      <c r="K7" t="s">
        <v>142</v>
      </c>
      <c r="L7" t="s">
        <v>142</v>
      </c>
      <c r="M7" t="s">
        <v>2596</v>
      </c>
      <c r="N7" t="s">
        <v>143</v>
      </c>
      <c r="O7">
        <v>10020718</v>
      </c>
      <c r="P7" s="108">
        <v>43123</v>
      </c>
      <c r="Q7" s="108">
        <v>43125</v>
      </c>
      <c r="R7" s="108">
        <v>43157</v>
      </c>
      <c r="S7" t="s">
        <v>153</v>
      </c>
      <c r="T7" t="s">
        <v>154</v>
      </c>
      <c r="U7">
        <v>2</v>
      </c>
      <c r="V7">
        <v>2</v>
      </c>
      <c r="W7">
        <v>1</v>
      </c>
      <c r="X7">
        <v>2</v>
      </c>
      <c r="Y7">
        <v>2</v>
      </c>
      <c r="Z7">
        <v>2</v>
      </c>
      <c r="AA7" t="s">
        <v>2596</v>
      </c>
      <c r="AB7" t="s">
        <v>123</v>
      </c>
      <c r="AC7" t="s">
        <v>2596</v>
      </c>
      <c r="AD7" t="s">
        <v>2598</v>
      </c>
      <c r="AE7" t="s">
        <v>57</v>
      </c>
      <c r="AF7" t="s">
        <v>57</v>
      </c>
      <c r="AG7" t="s">
        <v>57</v>
      </c>
      <c r="AH7" t="s">
        <v>57</v>
      </c>
      <c r="AI7" t="s">
        <v>57</v>
      </c>
      <c r="AJ7" t="s">
        <v>57</v>
      </c>
      <c r="AK7" t="s">
        <v>57</v>
      </c>
      <c r="AL7" t="s">
        <v>57</v>
      </c>
      <c r="AM7" t="s">
        <v>57</v>
      </c>
      <c r="AN7" t="s">
        <v>57</v>
      </c>
      <c r="AO7" t="s">
        <v>57</v>
      </c>
      <c r="AP7" t="s">
        <v>57</v>
      </c>
      <c r="AQ7" t="s">
        <v>57</v>
      </c>
      <c r="AR7" t="s">
        <v>57</v>
      </c>
      <c r="AS7" t="s">
        <v>57</v>
      </c>
      <c r="AT7" t="s">
        <v>57</v>
      </c>
      <c r="AU7" t="s">
        <v>175</v>
      </c>
      <c r="AV7" t="s">
        <v>57</v>
      </c>
      <c r="AW7" t="s">
        <v>57</v>
      </c>
      <c r="AX7" t="s">
        <v>57</v>
      </c>
      <c r="AY7" t="s">
        <v>175</v>
      </c>
      <c r="AZ7" t="s">
        <v>175</v>
      </c>
      <c r="BA7" t="s">
        <v>175</v>
      </c>
      <c r="BB7" t="s">
        <v>175</v>
      </c>
      <c r="BC7" t="s">
        <v>57</v>
      </c>
      <c r="BD7" t="s">
        <v>57</v>
      </c>
      <c r="BE7" t="s">
        <v>57</v>
      </c>
      <c r="BF7" t="s">
        <v>57</v>
      </c>
      <c r="BG7" t="s">
        <v>57</v>
      </c>
      <c r="BH7" t="s">
        <v>57</v>
      </c>
      <c r="BI7" t="s">
        <v>57</v>
      </c>
      <c r="BJ7" t="s">
        <v>57</v>
      </c>
      <c r="BK7" t="s">
        <v>57</v>
      </c>
      <c r="BL7" t="s">
        <v>57</v>
      </c>
      <c r="BM7" t="s">
        <v>57</v>
      </c>
      <c r="BN7" t="s">
        <v>57</v>
      </c>
      <c r="BO7" t="s">
        <v>57</v>
      </c>
      <c r="BP7" t="s">
        <v>57</v>
      </c>
      <c r="BQ7" t="s">
        <v>57</v>
      </c>
      <c r="BR7" t="s">
        <v>57</v>
      </c>
      <c r="BS7" t="s">
        <v>57</v>
      </c>
      <c r="BT7" t="s">
        <v>57</v>
      </c>
      <c r="BU7" t="s">
        <v>57</v>
      </c>
      <c r="BV7" t="s">
        <v>57</v>
      </c>
      <c r="BW7" t="s">
        <v>57</v>
      </c>
      <c r="BX7" t="s">
        <v>57</v>
      </c>
      <c r="BY7" t="s">
        <v>57</v>
      </c>
      <c r="BZ7" t="s">
        <v>57</v>
      </c>
      <c r="CA7" t="s">
        <v>57</v>
      </c>
      <c r="CB7" t="s">
        <v>57</v>
      </c>
      <c r="CC7" t="s">
        <v>57</v>
      </c>
      <c r="CD7" t="s">
        <v>57</v>
      </c>
      <c r="CE7" t="s">
        <v>57</v>
      </c>
      <c r="CF7" t="s">
        <v>57</v>
      </c>
      <c r="CG7" t="s">
        <v>57</v>
      </c>
      <c r="CH7" t="s">
        <v>57</v>
      </c>
      <c r="CI7" t="s">
        <v>57</v>
      </c>
      <c r="CJ7" t="s">
        <v>57</v>
      </c>
      <c r="CK7" t="s">
        <v>175</v>
      </c>
      <c r="CL7" t="s">
        <v>175</v>
      </c>
      <c r="CM7" t="s">
        <v>175</v>
      </c>
      <c r="CN7" t="s">
        <v>57</v>
      </c>
      <c r="CO7" t="s">
        <v>57</v>
      </c>
      <c r="CP7" t="s">
        <v>57</v>
      </c>
      <c r="CQ7" t="s">
        <v>57</v>
      </c>
      <c r="CR7" t="s">
        <v>57</v>
      </c>
      <c r="CS7" t="s">
        <v>57</v>
      </c>
      <c r="CT7" t="s">
        <v>57</v>
      </c>
      <c r="CU7" t="s">
        <v>57</v>
      </c>
      <c r="CV7" t="s">
        <v>57</v>
      </c>
      <c r="CW7" t="s">
        <v>57</v>
      </c>
      <c r="CX7" t="s">
        <v>57</v>
      </c>
      <c r="CY7" t="s">
        <v>57</v>
      </c>
      <c r="CZ7" t="s">
        <v>57</v>
      </c>
      <c r="DA7" t="s">
        <v>57</v>
      </c>
      <c r="DB7" t="s">
        <v>57</v>
      </c>
      <c r="DC7" t="s">
        <v>57</v>
      </c>
      <c r="DD7" t="s">
        <v>57</v>
      </c>
      <c r="DE7" t="s">
        <v>57</v>
      </c>
      <c r="DF7" t="s">
        <v>57</v>
      </c>
      <c r="DG7" t="s">
        <v>57</v>
      </c>
      <c r="DH7" t="s">
        <v>57</v>
      </c>
      <c r="DI7" t="s">
        <v>57</v>
      </c>
      <c r="DJ7" t="s">
        <v>57</v>
      </c>
      <c r="DK7" t="s">
        <v>175</v>
      </c>
      <c r="DL7" t="s">
        <v>57</v>
      </c>
      <c r="DM7" t="s">
        <v>57</v>
      </c>
      <c r="DN7" t="s">
        <v>57</v>
      </c>
      <c r="DO7" t="s">
        <v>57</v>
      </c>
      <c r="DP7" t="s">
        <v>57</v>
      </c>
      <c r="DQ7" t="s">
        <v>57</v>
      </c>
      <c r="DR7" t="s">
        <v>57</v>
      </c>
      <c r="DS7" t="s">
        <v>57</v>
      </c>
      <c r="DT7" t="s">
        <v>57</v>
      </c>
      <c r="DU7" t="s">
        <v>57</v>
      </c>
      <c r="DV7" t="s">
        <v>57</v>
      </c>
      <c r="DW7" t="s">
        <v>57</v>
      </c>
      <c r="DX7" t="s">
        <v>57</v>
      </c>
      <c r="DY7" t="s">
        <v>175</v>
      </c>
      <c r="DZ7" t="s">
        <v>57</v>
      </c>
      <c r="EA7" t="s">
        <v>57</v>
      </c>
      <c r="EB7" t="s">
        <v>57</v>
      </c>
      <c r="EC7" t="s">
        <v>57</v>
      </c>
      <c r="ED7" t="s">
        <v>57</v>
      </c>
      <c r="EE7" t="s">
        <v>57</v>
      </c>
      <c r="EF7" t="s">
        <v>57</v>
      </c>
      <c r="EG7" t="s">
        <v>57</v>
      </c>
      <c r="EH7" t="s">
        <v>57</v>
      </c>
      <c r="EI7" t="s">
        <v>57</v>
      </c>
      <c r="EJ7" t="s">
        <v>57</v>
      </c>
      <c r="EK7" t="s">
        <v>57</v>
      </c>
      <c r="EL7" t="s">
        <v>57</v>
      </c>
      <c r="EM7" t="s">
        <v>57</v>
      </c>
      <c r="EN7" t="s">
        <v>57</v>
      </c>
      <c r="EO7" t="s">
        <v>57</v>
      </c>
      <c r="EP7" t="s">
        <v>57</v>
      </c>
      <c r="EQ7" t="s">
        <v>57</v>
      </c>
      <c r="ER7" t="s">
        <v>57</v>
      </c>
      <c r="ES7" t="s">
        <v>57</v>
      </c>
      <c r="ET7" t="s">
        <v>57</v>
      </c>
      <c r="EU7" t="s">
        <v>57</v>
      </c>
      <c r="EV7" t="s">
        <v>57</v>
      </c>
      <c r="EW7" t="s">
        <v>57</v>
      </c>
      <c r="EX7" t="s">
        <v>57</v>
      </c>
      <c r="EY7" t="s">
        <v>57</v>
      </c>
      <c r="EZ7" t="s">
        <v>57</v>
      </c>
      <c r="FA7" t="s">
        <v>57</v>
      </c>
      <c r="FB7" t="s">
        <v>57</v>
      </c>
      <c r="FC7" t="s">
        <v>57</v>
      </c>
      <c r="FD7" t="s">
        <v>57</v>
      </c>
      <c r="FE7" t="s">
        <v>57</v>
      </c>
      <c r="FF7" t="s">
        <v>57</v>
      </c>
      <c r="FG7" t="s">
        <v>57</v>
      </c>
      <c r="FH7" t="s">
        <v>57</v>
      </c>
      <c r="FI7" t="s">
        <v>57</v>
      </c>
      <c r="FJ7" t="s">
        <v>57</v>
      </c>
      <c r="FK7" t="s">
        <v>57</v>
      </c>
      <c r="FL7" t="s">
        <v>57</v>
      </c>
      <c r="FM7" t="s">
        <v>57</v>
      </c>
      <c r="FN7" t="s">
        <v>57</v>
      </c>
      <c r="FO7" t="s">
        <v>175</v>
      </c>
      <c r="FP7" t="s">
        <v>57</v>
      </c>
      <c r="FQ7" t="s">
        <v>57</v>
      </c>
      <c r="FR7" t="s">
        <v>57</v>
      </c>
      <c r="FS7" t="s">
        <v>57</v>
      </c>
      <c r="FT7" t="s">
        <v>57</v>
      </c>
      <c r="FU7" t="s">
        <v>57</v>
      </c>
      <c r="FV7" t="s">
        <v>57</v>
      </c>
      <c r="FW7" t="s">
        <v>57</v>
      </c>
      <c r="FX7" t="s">
        <v>57</v>
      </c>
      <c r="FY7" t="s">
        <v>57</v>
      </c>
      <c r="FZ7" t="s">
        <v>57</v>
      </c>
      <c r="GA7" t="s">
        <v>57</v>
      </c>
      <c r="GB7" t="s">
        <v>57</v>
      </c>
      <c r="GC7" t="s">
        <v>57</v>
      </c>
      <c r="GD7" t="s">
        <v>57</v>
      </c>
      <c r="GE7" t="s">
        <v>57</v>
      </c>
      <c r="GF7" t="s">
        <v>57</v>
      </c>
      <c r="GG7" t="s">
        <v>175</v>
      </c>
      <c r="GH7" t="s">
        <v>57</v>
      </c>
      <c r="GI7" t="s">
        <v>57</v>
      </c>
      <c r="GJ7" t="s">
        <v>57</v>
      </c>
      <c r="GK7" t="s">
        <v>57</v>
      </c>
      <c r="GL7" t="s">
        <v>57</v>
      </c>
      <c r="GM7" t="s">
        <v>175</v>
      </c>
      <c r="GN7" t="s">
        <v>57</v>
      </c>
      <c r="GO7" t="s">
        <v>57</v>
      </c>
      <c r="GP7" t="s">
        <v>175</v>
      </c>
      <c r="GQ7" t="s">
        <v>175</v>
      </c>
      <c r="GR7" t="s">
        <v>57</v>
      </c>
      <c r="GS7" t="s">
        <v>57</v>
      </c>
      <c r="GT7" t="s">
        <v>57</v>
      </c>
      <c r="GU7" t="s">
        <v>57</v>
      </c>
      <c r="GV7" t="s">
        <v>57</v>
      </c>
      <c r="GW7" t="s">
        <v>175</v>
      </c>
      <c r="GX7" t="s">
        <v>175</v>
      </c>
      <c r="GY7" t="s">
        <v>57</v>
      </c>
      <c r="GZ7" t="s">
        <v>57</v>
      </c>
      <c r="HA7" t="s">
        <v>57</v>
      </c>
      <c r="HB7" t="s">
        <v>57</v>
      </c>
      <c r="HC7" t="s">
        <v>57</v>
      </c>
      <c r="HD7" t="s">
        <v>57</v>
      </c>
      <c r="HE7" t="s">
        <v>57</v>
      </c>
      <c r="HF7" t="s">
        <v>57</v>
      </c>
      <c r="HG7" t="s">
        <v>57</v>
      </c>
      <c r="HH7" t="s">
        <v>175</v>
      </c>
      <c r="HI7" t="s">
        <v>175</v>
      </c>
      <c r="HJ7" t="s">
        <v>175</v>
      </c>
      <c r="HK7" t="s">
        <v>175</v>
      </c>
      <c r="HL7" t="s">
        <v>57</v>
      </c>
      <c r="HM7" t="s">
        <v>57</v>
      </c>
      <c r="HN7" t="s">
        <v>57</v>
      </c>
      <c r="HO7" t="s">
        <v>57</v>
      </c>
      <c r="HP7" t="s">
        <v>57</v>
      </c>
      <c r="HQ7" t="s">
        <v>57</v>
      </c>
      <c r="HR7" t="s">
        <v>57</v>
      </c>
      <c r="HS7" t="s">
        <v>57</v>
      </c>
      <c r="HT7" t="s">
        <v>57</v>
      </c>
      <c r="HU7" t="s">
        <v>57</v>
      </c>
      <c r="HV7" t="s">
        <v>57</v>
      </c>
      <c r="HW7" t="s">
        <v>57</v>
      </c>
      <c r="HX7" t="s">
        <v>57</v>
      </c>
      <c r="HY7" t="s">
        <v>57</v>
      </c>
      <c r="HZ7" t="s">
        <v>57</v>
      </c>
      <c r="IA7" t="s">
        <v>57</v>
      </c>
      <c r="IB7" t="s">
        <v>57</v>
      </c>
      <c r="IC7" t="s">
        <v>57</v>
      </c>
      <c r="ID7" t="s">
        <v>57</v>
      </c>
      <c r="IE7" t="s">
        <v>57</v>
      </c>
      <c r="IF7" t="s">
        <v>124</v>
      </c>
      <c r="IG7" t="s">
        <v>148</v>
      </c>
      <c r="IH7" t="s">
        <v>123</v>
      </c>
      <c r="II7" t="s">
        <v>156</v>
      </c>
    </row>
    <row r="8" spans="1:243" x14ac:dyDescent="0.25">
      <c r="A8" s="111" t="str">
        <f>HYPERLINK("http://www.ofsted.gov.uk/inspection-reports/find-inspection-report/provider/ELS/100289 ","Ofsted School Webpage")</f>
        <v>Ofsted School Webpage</v>
      </c>
      <c r="B8">
        <v>100289</v>
      </c>
      <c r="C8">
        <v>2046233</v>
      </c>
      <c r="D8" t="s">
        <v>433</v>
      </c>
      <c r="E8" t="s">
        <v>36</v>
      </c>
      <c r="F8" t="s">
        <v>166</v>
      </c>
      <c r="G8" t="s">
        <v>189</v>
      </c>
      <c r="H8" t="s">
        <v>189</v>
      </c>
      <c r="I8" t="s">
        <v>434</v>
      </c>
      <c r="J8" t="s">
        <v>435</v>
      </c>
      <c r="K8" t="s">
        <v>142</v>
      </c>
      <c r="L8" t="s">
        <v>142</v>
      </c>
      <c r="M8" t="s">
        <v>2596</v>
      </c>
      <c r="N8" t="s">
        <v>143</v>
      </c>
      <c r="O8">
        <v>10038148</v>
      </c>
      <c r="P8" s="108">
        <v>42990</v>
      </c>
      <c r="Q8" s="108">
        <v>42992</v>
      </c>
      <c r="R8" s="108">
        <v>43062</v>
      </c>
      <c r="S8" t="s">
        <v>153</v>
      </c>
      <c r="T8" t="s">
        <v>154</v>
      </c>
      <c r="U8">
        <v>4</v>
      </c>
      <c r="V8">
        <v>4</v>
      </c>
      <c r="W8">
        <v>4</v>
      </c>
      <c r="X8">
        <v>4</v>
      </c>
      <c r="Y8">
        <v>4</v>
      </c>
      <c r="Z8">
        <v>4</v>
      </c>
      <c r="AA8" t="s">
        <v>2596</v>
      </c>
      <c r="AB8" t="s">
        <v>123</v>
      </c>
      <c r="AC8" t="s">
        <v>2596</v>
      </c>
      <c r="AD8" t="s">
        <v>2599</v>
      </c>
      <c r="AE8" t="s">
        <v>58</v>
      </c>
      <c r="AF8" t="s">
        <v>58</v>
      </c>
      <c r="AG8" t="s">
        <v>57</v>
      </c>
      <c r="AH8" t="s">
        <v>57</v>
      </c>
      <c r="AI8" t="s">
        <v>57</v>
      </c>
      <c r="AJ8" t="s">
        <v>57</v>
      </c>
      <c r="AK8" t="s">
        <v>57</v>
      </c>
      <c r="AL8" t="s">
        <v>58</v>
      </c>
      <c r="AM8" t="s">
        <v>58</v>
      </c>
      <c r="AN8" t="s">
        <v>58</v>
      </c>
      <c r="AO8" t="s">
        <v>58</v>
      </c>
      <c r="AP8" t="s">
        <v>58</v>
      </c>
      <c r="AQ8" t="s">
        <v>57</v>
      </c>
      <c r="AR8" t="s">
        <v>58</v>
      </c>
      <c r="AS8" t="s">
        <v>58</v>
      </c>
      <c r="AT8" t="s">
        <v>57</v>
      </c>
      <c r="AU8" t="s">
        <v>57</v>
      </c>
      <c r="AV8" t="s">
        <v>58</v>
      </c>
      <c r="AW8" t="s">
        <v>57</v>
      </c>
      <c r="AX8" t="s">
        <v>58</v>
      </c>
      <c r="AY8" t="s">
        <v>57</v>
      </c>
      <c r="AZ8" t="s">
        <v>57</v>
      </c>
      <c r="BA8" t="s">
        <v>57</v>
      </c>
      <c r="BB8" t="s">
        <v>57</v>
      </c>
      <c r="BC8" t="s">
        <v>57</v>
      </c>
      <c r="BD8" t="s">
        <v>148</v>
      </c>
      <c r="BE8" t="s">
        <v>57</v>
      </c>
      <c r="BF8" t="s">
        <v>58</v>
      </c>
      <c r="BG8" t="s">
        <v>58</v>
      </c>
      <c r="BH8" t="s">
        <v>58</v>
      </c>
      <c r="BI8" t="s">
        <v>58</v>
      </c>
      <c r="BJ8" t="s">
        <v>58</v>
      </c>
      <c r="BK8" t="s">
        <v>58</v>
      </c>
      <c r="BL8" t="s">
        <v>58</v>
      </c>
      <c r="BM8" t="s">
        <v>58</v>
      </c>
      <c r="BN8" t="s">
        <v>58</v>
      </c>
      <c r="BO8" t="s">
        <v>57</v>
      </c>
      <c r="BP8" t="s">
        <v>57</v>
      </c>
      <c r="BQ8" t="s">
        <v>57</v>
      </c>
      <c r="BR8" t="s">
        <v>57</v>
      </c>
      <c r="BS8" t="s">
        <v>58</v>
      </c>
      <c r="BT8" t="s">
        <v>57</v>
      </c>
      <c r="BU8" t="s">
        <v>58</v>
      </c>
      <c r="BV8" t="s">
        <v>57</v>
      </c>
      <c r="BW8" t="s">
        <v>57</v>
      </c>
      <c r="BX8" t="s">
        <v>57</v>
      </c>
      <c r="BY8" t="s">
        <v>57</v>
      </c>
      <c r="BZ8" t="s">
        <v>58</v>
      </c>
      <c r="CA8" t="s">
        <v>58</v>
      </c>
      <c r="CB8" t="s">
        <v>57</v>
      </c>
      <c r="CC8" t="s">
        <v>57</v>
      </c>
      <c r="CD8" t="s">
        <v>57</v>
      </c>
      <c r="CE8" t="s">
        <v>57</v>
      </c>
      <c r="CF8" t="s">
        <v>57</v>
      </c>
      <c r="CG8" t="s">
        <v>57</v>
      </c>
      <c r="CH8" t="s">
        <v>57</v>
      </c>
      <c r="CI8" t="s">
        <v>57</v>
      </c>
      <c r="CJ8" t="s">
        <v>57</v>
      </c>
      <c r="CK8" t="s">
        <v>148</v>
      </c>
      <c r="CL8" t="s">
        <v>148</v>
      </c>
      <c r="CM8" t="s">
        <v>148</v>
      </c>
      <c r="CN8" t="s">
        <v>57</v>
      </c>
      <c r="CO8" t="s">
        <v>57</v>
      </c>
      <c r="CP8" t="s">
        <v>57</v>
      </c>
      <c r="CQ8" t="s">
        <v>57</v>
      </c>
      <c r="CR8" t="s">
        <v>57</v>
      </c>
      <c r="CS8" t="s">
        <v>57</v>
      </c>
      <c r="CT8" t="s">
        <v>57</v>
      </c>
      <c r="CU8" t="s">
        <v>57</v>
      </c>
      <c r="CV8" t="s">
        <v>57</v>
      </c>
      <c r="CW8" t="s">
        <v>57</v>
      </c>
      <c r="CX8" t="s">
        <v>57</v>
      </c>
      <c r="CY8" t="s">
        <v>57</v>
      </c>
      <c r="CZ8" t="s">
        <v>57</v>
      </c>
      <c r="DA8" t="s">
        <v>57</v>
      </c>
      <c r="DB8" t="s">
        <v>57</v>
      </c>
      <c r="DC8" t="s">
        <v>57</v>
      </c>
      <c r="DD8" t="s">
        <v>57</v>
      </c>
      <c r="DE8" t="s">
        <v>57</v>
      </c>
      <c r="DF8" t="s">
        <v>57</v>
      </c>
      <c r="DG8" t="s">
        <v>57</v>
      </c>
      <c r="DH8" t="s">
        <v>57</v>
      </c>
      <c r="DI8" t="s">
        <v>57</v>
      </c>
      <c r="DJ8" t="s">
        <v>57</v>
      </c>
      <c r="DK8" t="s">
        <v>148</v>
      </c>
      <c r="DL8" t="s">
        <v>57</v>
      </c>
      <c r="DM8" t="s">
        <v>57</v>
      </c>
      <c r="DN8" t="s">
        <v>57</v>
      </c>
      <c r="DO8" t="s">
        <v>57</v>
      </c>
      <c r="DP8" t="s">
        <v>57</v>
      </c>
      <c r="DQ8" t="s">
        <v>57</v>
      </c>
      <c r="DR8" t="s">
        <v>57</v>
      </c>
      <c r="DS8" t="s">
        <v>57</v>
      </c>
      <c r="DT8" t="s">
        <v>57</v>
      </c>
      <c r="DU8" t="s">
        <v>57</v>
      </c>
      <c r="DV8" t="s">
        <v>57</v>
      </c>
      <c r="DW8" t="s">
        <v>57</v>
      </c>
      <c r="DX8" t="s">
        <v>57</v>
      </c>
      <c r="DY8" t="s">
        <v>148</v>
      </c>
      <c r="DZ8" t="s">
        <v>57</v>
      </c>
      <c r="EA8" t="s">
        <v>57</v>
      </c>
      <c r="EB8" t="s">
        <v>57</v>
      </c>
      <c r="EC8" t="s">
        <v>57</v>
      </c>
      <c r="ED8" t="s">
        <v>57</v>
      </c>
      <c r="EE8" t="s">
        <v>57</v>
      </c>
      <c r="EF8" t="s">
        <v>57</v>
      </c>
      <c r="EG8" t="s">
        <v>57</v>
      </c>
      <c r="EH8" t="s">
        <v>57</v>
      </c>
      <c r="EI8" t="s">
        <v>57</v>
      </c>
      <c r="EJ8" t="s">
        <v>57</v>
      </c>
      <c r="EK8" t="s">
        <v>57</v>
      </c>
      <c r="EL8" t="s">
        <v>57</v>
      </c>
      <c r="EM8" t="s">
        <v>57</v>
      </c>
      <c r="EN8" t="s">
        <v>57</v>
      </c>
      <c r="EO8" t="s">
        <v>57</v>
      </c>
      <c r="EP8" t="s">
        <v>57</v>
      </c>
      <c r="EQ8" t="s">
        <v>57</v>
      </c>
      <c r="ER8" t="s">
        <v>57</v>
      </c>
      <c r="ES8" t="s">
        <v>57</v>
      </c>
      <c r="ET8" t="s">
        <v>57</v>
      </c>
      <c r="EU8" t="s">
        <v>57</v>
      </c>
      <c r="EV8" t="s">
        <v>57</v>
      </c>
      <c r="EW8" t="s">
        <v>57</v>
      </c>
      <c r="EX8" t="s">
        <v>57</v>
      </c>
      <c r="EY8" t="s">
        <v>57</v>
      </c>
      <c r="EZ8" t="s">
        <v>57</v>
      </c>
      <c r="FA8" t="s">
        <v>57</v>
      </c>
      <c r="FB8" t="s">
        <v>57</v>
      </c>
      <c r="FC8" t="s">
        <v>57</v>
      </c>
      <c r="FD8" t="s">
        <v>57</v>
      </c>
      <c r="FE8" t="s">
        <v>57</v>
      </c>
      <c r="FF8" t="s">
        <v>57</v>
      </c>
      <c r="FG8" t="s">
        <v>57</v>
      </c>
      <c r="FH8" t="s">
        <v>57</v>
      </c>
      <c r="FI8" t="s">
        <v>57</v>
      </c>
      <c r="FJ8" t="s">
        <v>57</v>
      </c>
      <c r="FK8" t="s">
        <v>57</v>
      </c>
      <c r="FL8" t="s">
        <v>57</v>
      </c>
      <c r="FM8" t="s">
        <v>57</v>
      </c>
      <c r="FN8" t="s">
        <v>57</v>
      </c>
      <c r="FO8" t="s">
        <v>148</v>
      </c>
      <c r="FP8" t="s">
        <v>57</v>
      </c>
      <c r="FQ8" t="s">
        <v>57</v>
      </c>
      <c r="FR8" t="s">
        <v>57</v>
      </c>
      <c r="FS8" t="s">
        <v>57</v>
      </c>
      <c r="FT8" t="s">
        <v>57</v>
      </c>
      <c r="FU8" t="s">
        <v>57</v>
      </c>
      <c r="FV8" t="s">
        <v>57</v>
      </c>
      <c r="FW8" t="s">
        <v>57</v>
      </c>
      <c r="FX8" t="s">
        <v>57</v>
      </c>
      <c r="FY8" t="s">
        <v>57</v>
      </c>
      <c r="FZ8" t="s">
        <v>57</v>
      </c>
      <c r="GA8" t="s">
        <v>57</v>
      </c>
      <c r="GB8" t="s">
        <v>57</v>
      </c>
      <c r="GC8" t="s">
        <v>57</v>
      </c>
      <c r="GD8" t="s">
        <v>57</v>
      </c>
      <c r="GE8" t="s">
        <v>57</v>
      </c>
      <c r="GF8" t="s">
        <v>57</v>
      </c>
      <c r="GG8" t="s">
        <v>148</v>
      </c>
      <c r="GH8" t="s">
        <v>57</v>
      </c>
      <c r="GI8" t="s">
        <v>57</v>
      </c>
      <c r="GJ8" t="s">
        <v>57</v>
      </c>
      <c r="GK8" t="s">
        <v>57</v>
      </c>
      <c r="GL8" t="s">
        <v>57</v>
      </c>
      <c r="GM8" t="s">
        <v>148</v>
      </c>
      <c r="GN8" t="s">
        <v>57</v>
      </c>
      <c r="GO8" t="s">
        <v>57</v>
      </c>
      <c r="GP8" t="s">
        <v>57</v>
      </c>
      <c r="GQ8" t="s">
        <v>57</v>
      </c>
      <c r="GR8" t="s">
        <v>57</v>
      </c>
      <c r="GS8" t="s">
        <v>57</v>
      </c>
      <c r="GT8" t="s">
        <v>57</v>
      </c>
      <c r="GU8" t="s">
        <v>57</v>
      </c>
      <c r="GV8" t="s">
        <v>57</v>
      </c>
      <c r="GW8" t="s">
        <v>57</v>
      </c>
      <c r="GX8" t="s">
        <v>57</v>
      </c>
      <c r="GY8" t="s">
        <v>57</v>
      </c>
      <c r="GZ8" t="s">
        <v>57</v>
      </c>
      <c r="HA8" t="s">
        <v>57</v>
      </c>
      <c r="HB8" t="s">
        <v>57</v>
      </c>
      <c r="HC8" t="s">
        <v>57</v>
      </c>
      <c r="HD8" t="s">
        <v>57</v>
      </c>
      <c r="HE8" t="s">
        <v>57</v>
      </c>
      <c r="HF8" t="s">
        <v>57</v>
      </c>
      <c r="HG8" t="s">
        <v>57</v>
      </c>
      <c r="HH8" t="s">
        <v>148</v>
      </c>
      <c r="HI8" t="s">
        <v>148</v>
      </c>
      <c r="HJ8" t="s">
        <v>148</v>
      </c>
      <c r="HK8" t="s">
        <v>148</v>
      </c>
      <c r="HL8" t="s">
        <v>57</v>
      </c>
      <c r="HM8" t="s">
        <v>57</v>
      </c>
      <c r="HN8" t="s">
        <v>57</v>
      </c>
      <c r="HO8" t="s">
        <v>57</v>
      </c>
      <c r="HP8" t="s">
        <v>57</v>
      </c>
      <c r="HQ8" t="s">
        <v>57</v>
      </c>
      <c r="HR8" t="s">
        <v>57</v>
      </c>
      <c r="HS8" t="s">
        <v>57</v>
      </c>
      <c r="HT8" t="s">
        <v>57</v>
      </c>
      <c r="HU8" t="s">
        <v>57</v>
      </c>
      <c r="HV8" t="s">
        <v>57</v>
      </c>
      <c r="HW8" t="s">
        <v>57</v>
      </c>
      <c r="HX8" t="s">
        <v>57</v>
      </c>
      <c r="HY8" t="s">
        <v>57</v>
      </c>
      <c r="HZ8" t="s">
        <v>57</v>
      </c>
      <c r="IA8" t="s">
        <v>57</v>
      </c>
      <c r="IB8" t="s">
        <v>58</v>
      </c>
      <c r="IC8" t="s">
        <v>58</v>
      </c>
      <c r="ID8" t="s">
        <v>58</v>
      </c>
      <c r="IE8" t="s">
        <v>57</v>
      </c>
      <c r="IF8" t="s">
        <v>124</v>
      </c>
      <c r="IG8" t="s">
        <v>155</v>
      </c>
      <c r="IH8" t="s">
        <v>123</v>
      </c>
      <c r="II8" t="s">
        <v>156</v>
      </c>
    </row>
    <row r="9" spans="1:243" x14ac:dyDescent="0.25">
      <c r="A9" s="111" t="str">
        <f>HYPERLINK("http://www.ofsted.gov.uk/inspection-reports/find-inspection-report/provider/ELS/100296 ","Ofsted School Webpage")</f>
        <v>Ofsted School Webpage</v>
      </c>
      <c r="B9">
        <v>100296</v>
      </c>
      <c r="C9">
        <v>2046377</v>
      </c>
      <c r="D9" t="s">
        <v>2487</v>
      </c>
      <c r="E9" t="s">
        <v>36</v>
      </c>
      <c r="F9" t="s">
        <v>166</v>
      </c>
      <c r="G9" t="s">
        <v>189</v>
      </c>
      <c r="H9" t="s">
        <v>189</v>
      </c>
      <c r="I9" t="s">
        <v>434</v>
      </c>
      <c r="J9" t="s">
        <v>2488</v>
      </c>
      <c r="K9" t="s">
        <v>142</v>
      </c>
      <c r="L9" t="s">
        <v>275</v>
      </c>
      <c r="M9" t="s">
        <v>2596</v>
      </c>
      <c r="N9" t="s">
        <v>143</v>
      </c>
      <c r="O9">
        <v>10035771</v>
      </c>
      <c r="P9" s="108">
        <v>43109</v>
      </c>
      <c r="Q9" s="108">
        <v>43111</v>
      </c>
      <c r="R9" s="108">
        <v>43173</v>
      </c>
      <c r="S9" t="s">
        <v>153</v>
      </c>
      <c r="T9" t="s">
        <v>154</v>
      </c>
      <c r="U9">
        <v>4</v>
      </c>
      <c r="V9">
        <v>4</v>
      </c>
      <c r="W9">
        <v>4</v>
      </c>
      <c r="X9">
        <v>4</v>
      </c>
      <c r="Y9">
        <v>4</v>
      </c>
      <c r="Z9">
        <v>4</v>
      </c>
      <c r="AA9" t="s">
        <v>2596</v>
      </c>
      <c r="AB9" t="s">
        <v>124</v>
      </c>
      <c r="AC9" t="s">
        <v>2596</v>
      </c>
      <c r="AD9" t="s">
        <v>2599</v>
      </c>
      <c r="AE9" t="s">
        <v>58</v>
      </c>
      <c r="AF9" t="s">
        <v>58</v>
      </c>
      <c r="AG9" t="s">
        <v>58</v>
      </c>
      <c r="AH9" t="s">
        <v>57</v>
      </c>
      <c r="AI9" t="s">
        <v>57</v>
      </c>
      <c r="AJ9" t="s">
        <v>57</v>
      </c>
      <c r="AK9" t="s">
        <v>57</v>
      </c>
      <c r="AL9" t="s">
        <v>58</v>
      </c>
      <c r="AM9" t="s">
        <v>58</v>
      </c>
      <c r="AN9" t="s">
        <v>58</v>
      </c>
      <c r="AO9" t="s">
        <v>58</v>
      </c>
      <c r="AP9" t="s">
        <v>58</v>
      </c>
      <c r="AQ9" t="s">
        <v>57</v>
      </c>
      <c r="AR9" t="s">
        <v>58</v>
      </c>
      <c r="AS9" t="s">
        <v>58</v>
      </c>
      <c r="AT9" t="s">
        <v>57</v>
      </c>
      <c r="AU9" t="s">
        <v>57</v>
      </c>
      <c r="AV9" t="s">
        <v>58</v>
      </c>
      <c r="AW9" t="s">
        <v>57</v>
      </c>
      <c r="AX9" t="s">
        <v>58</v>
      </c>
      <c r="AY9" t="s">
        <v>57</v>
      </c>
      <c r="AZ9" t="s">
        <v>57</v>
      </c>
      <c r="BA9" t="s">
        <v>57</v>
      </c>
      <c r="BB9" t="s">
        <v>57</v>
      </c>
      <c r="BC9" t="s">
        <v>58</v>
      </c>
      <c r="BD9" t="s">
        <v>175</v>
      </c>
      <c r="BE9" t="s">
        <v>57</v>
      </c>
      <c r="BF9" t="s">
        <v>58</v>
      </c>
      <c r="BG9" t="s">
        <v>58</v>
      </c>
      <c r="BH9" t="s">
        <v>58</v>
      </c>
      <c r="BI9" t="s">
        <v>57</v>
      </c>
      <c r="BJ9" t="s">
        <v>58</v>
      </c>
      <c r="BK9" t="s">
        <v>58</v>
      </c>
      <c r="BL9" t="s">
        <v>57</v>
      </c>
      <c r="BM9" t="s">
        <v>57</v>
      </c>
      <c r="BN9" t="s">
        <v>57</v>
      </c>
      <c r="BO9" t="s">
        <v>57</v>
      </c>
      <c r="BP9" t="s">
        <v>57</v>
      </c>
      <c r="BQ9" t="s">
        <v>57</v>
      </c>
      <c r="BR9" t="s">
        <v>57</v>
      </c>
      <c r="BS9" t="s">
        <v>58</v>
      </c>
      <c r="BT9" t="s">
        <v>57</v>
      </c>
      <c r="BU9" t="s">
        <v>58</v>
      </c>
      <c r="BV9" t="s">
        <v>57</v>
      </c>
      <c r="BW9" t="s">
        <v>57</v>
      </c>
      <c r="BX9" t="s">
        <v>57</v>
      </c>
      <c r="BY9" t="s">
        <v>57</v>
      </c>
      <c r="BZ9" t="s">
        <v>57</v>
      </c>
      <c r="CA9" t="s">
        <v>58</v>
      </c>
      <c r="CB9" t="s">
        <v>57</v>
      </c>
      <c r="CC9" t="s">
        <v>57</v>
      </c>
      <c r="CD9" t="s">
        <v>57</v>
      </c>
      <c r="CE9" t="s">
        <v>57</v>
      </c>
      <c r="CF9" t="s">
        <v>57</v>
      </c>
      <c r="CG9" t="s">
        <v>57</v>
      </c>
      <c r="CH9" t="s">
        <v>58</v>
      </c>
      <c r="CI9" t="s">
        <v>58</v>
      </c>
      <c r="CJ9" t="s">
        <v>58</v>
      </c>
      <c r="CK9" t="s">
        <v>175</v>
      </c>
      <c r="CL9" t="s">
        <v>175</v>
      </c>
      <c r="CM9" t="s">
        <v>175</v>
      </c>
      <c r="CN9" t="s">
        <v>58</v>
      </c>
      <c r="CO9" t="s">
        <v>57</v>
      </c>
      <c r="CP9" t="s">
        <v>58</v>
      </c>
      <c r="CQ9" t="s">
        <v>57</v>
      </c>
      <c r="CR9" t="s">
        <v>57</v>
      </c>
      <c r="CS9" t="s">
        <v>57</v>
      </c>
      <c r="CT9" t="s">
        <v>57</v>
      </c>
      <c r="CU9" t="s">
        <v>57</v>
      </c>
      <c r="CV9" t="s">
        <v>57</v>
      </c>
      <c r="CW9" t="s">
        <v>57</v>
      </c>
      <c r="CX9" t="s">
        <v>57</v>
      </c>
      <c r="CY9" t="s">
        <v>57</v>
      </c>
      <c r="CZ9" t="s">
        <v>57</v>
      </c>
      <c r="DA9" t="s">
        <v>57</v>
      </c>
      <c r="DB9" t="s">
        <v>57</v>
      </c>
      <c r="DC9" t="s">
        <v>57</v>
      </c>
      <c r="DD9" t="s">
        <v>57</v>
      </c>
      <c r="DE9" t="s">
        <v>57</v>
      </c>
      <c r="DF9" t="s">
        <v>57</v>
      </c>
      <c r="DG9" t="s">
        <v>57</v>
      </c>
      <c r="DH9" t="s">
        <v>57</v>
      </c>
      <c r="DI9" t="s">
        <v>57</v>
      </c>
      <c r="DJ9" t="s">
        <v>57</v>
      </c>
      <c r="DK9" t="s">
        <v>175</v>
      </c>
      <c r="DL9" t="s">
        <v>57</v>
      </c>
      <c r="DM9" t="s">
        <v>57</v>
      </c>
      <c r="DN9" t="s">
        <v>57</v>
      </c>
      <c r="DO9" t="s">
        <v>57</v>
      </c>
      <c r="DP9" t="s">
        <v>57</v>
      </c>
      <c r="DQ9" t="s">
        <v>57</v>
      </c>
      <c r="DR9" t="s">
        <v>57</v>
      </c>
      <c r="DS9" t="s">
        <v>57</v>
      </c>
      <c r="DT9" t="s">
        <v>57</v>
      </c>
      <c r="DU9" t="s">
        <v>57</v>
      </c>
      <c r="DV9" t="s">
        <v>57</v>
      </c>
      <c r="DW9" t="s">
        <v>57</v>
      </c>
      <c r="DX9" t="s">
        <v>57</v>
      </c>
      <c r="DY9" t="s">
        <v>175</v>
      </c>
      <c r="DZ9" t="s">
        <v>57</v>
      </c>
      <c r="EA9" t="s">
        <v>57</v>
      </c>
      <c r="EB9" t="s">
        <v>57</v>
      </c>
      <c r="EC9" t="s">
        <v>57</v>
      </c>
      <c r="ED9" t="s">
        <v>57</v>
      </c>
      <c r="EE9" t="s">
        <v>57</v>
      </c>
      <c r="EF9" t="s">
        <v>57</v>
      </c>
      <c r="EG9" t="s">
        <v>57</v>
      </c>
      <c r="EH9" t="s">
        <v>57</v>
      </c>
      <c r="EI9" t="s">
        <v>57</v>
      </c>
      <c r="EJ9" t="s">
        <v>57</v>
      </c>
      <c r="EK9" t="s">
        <v>57</v>
      </c>
      <c r="EL9" t="s">
        <v>57</v>
      </c>
      <c r="EM9" t="s">
        <v>57</v>
      </c>
      <c r="EN9" t="s">
        <v>57</v>
      </c>
      <c r="EO9" t="s">
        <v>57</v>
      </c>
      <c r="EP9" t="s">
        <v>57</v>
      </c>
      <c r="EQ9" t="s">
        <v>57</v>
      </c>
      <c r="ER9" t="s">
        <v>57</v>
      </c>
      <c r="ES9" t="s">
        <v>57</v>
      </c>
      <c r="ET9" t="s">
        <v>57</v>
      </c>
      <c r="EU9" t="s">
        <v>57</v>
      </c>
      <c r="EV9" t="s">
        <v>57</v>
      </c>
      <c r="EW9" t="s">
        <v>57</v>
      </c>
      <c r="EX9" t="s">
        <v>57</v>
      </c>
      <c r="EY9" t="s">
        <v>57</v>
      </c>
      <c r="EZ9" t="s">
        <v>57</v>
      </c>
      <c r="FA9" t="s">
        <v>57</v>
      </c>
      <c r="FB9" t="s">
        <v>57</v>
      </c>
      <c r="FC9" t="s">
        <v>57</v>
      </c>
      <c r="FD9" t="s">
        <v>57</v>
      </c>
      <c r="FE9" t="s">
        <v>57</v>
      </c>
      <c r="FF9" t="s">
        <v>57</v>
      </c>
      <c r="FG9" t="s">
        <v>57</v>
      </c>
      <c r="FH9" t="s">
        <v>57</v>
      </c>
      <c r="FI9" t="s">
        <v>57</v>
      </c>
      <c r="FJ9" t="s">
        <v>57</v>
      </c>
      <c r="FK9" t="s">
        <v>57</v>
      </c>
      <c r="FL9" t="s">
        <v>57</v>
      </c>
      <c r="FM9" t="s">
        <v>57</v>
      </c>
      <c r="FN9" t="s">
        <v>57</v>
      </c>
      <c r="FO9" t="s">
        <v>175</v>
      </c>
      <c r="FP9" t="s">
        <v>57</v>
      </c>
      <c r="FQ9" t="s">
        <v>57</v>
      </c>
      <c r="FR9" t="s">
        <v>57</v>
      </c>
      <c r="FS9" t="s">
        <v>57</v>
      </c>
      <c r="FT9" t="s">
        <v>57</v>
      </c>
      <c r="FU9" t="s">
        <v>57</v>
      </c>
      <c r="FV9" t="s">
        <v>57</v>
      </c>
      <c r="FW9" t="s">
        <v>57</v>
      </c>
      <c r="FX9" t="s">
        <v>57</v>
      </c>
      <c r="FY9" t="s">
        <v>57</v>
      </c>
      <c r="FZ9" t="s">
        <v>57</v>
      </c>
      <c r="GA9" t="s">
        <v>57</v>
      </c>
      <c r="GB9" t="s">
        <v>57</v>
      </c>
      <c r="GC9" t="s">
        <v>57</v>
      </c>
      <c r="GD9" t="s">
        <v>57</v>
      </c>
      <c r="GE9" t="s">
        <v>57</v>
      </c>
      <c r="GF9" t="s">
        <v>57</v>
      </c>
      <c r="GG9" t="s">
        <v>175</v>
      </c>
      <c r="GH9" t="s">
        <v>57</v>
      </c>
      <c r="GI9" t="s">
        <v>57</v>
      </c>
      <c r="GJ9" t="s">
        <v>57</v>
      </c>
      <c r="GK9" t="s">
        <v>57</v>
      </c>
      <c r="GL9" t="s">
        <v>57</v>
      </c>
      <c r="GM9" t="s">
        <v>175</v>
      </c>
      <c r="GN9" t="s">
        <v>57</v>
      </c>
      <c r="GO9" t="s">
        <v>57</v>
      </c>
      <c r="GP9" t="s">
        <v>57</v>
      </c>
      <c r="GQ9" t="s">
        <v>57</v>
      </c>
      <c r="GR9" t="s">
        <v>57</v>
      </c>
      <c r="GS9" t="s">
        <v>57</v>
      </c>
      <c r="GT9" t="s">
        <v>57</v>
      </c>
      <c r="GU9" t="s">
        <v>57</v>
      </c>
      <c r="GV9" t="s">
        <v>57</v>
      </c>
      <c r="GW9" t="s">
        <v>57</v>
      </c>
      <c r="GX9" t="s">
        <v>57</v>
      </c>
      <c r="GY9" t="s">
        <v>57</v>
      </c>
      <c r="GZ9" t="s">
        <v>57</v>
      </c>
      <c r="HA9" t="s">
        <v>57</v>
      </c>
      <c r="HB9" t="s">
        <v>57</v>
      </c>
      <c r="HC9" t="s">
        <v>57</v>
      </c>
      <c r="HD9" t="s">
        <v>57</v>
      </c>
      <c r="HE9" t="s">
        <v>57</v>
      </c>
      <c r="HF9" t="s">
        <v>57</v>
      </c>
      <c r="HG9" t="s">
        <v>57</v>
      </c>
      <c r="HH9" t="s">
        <v>57</v>
      </c>
      <c r="HI9" t="s">
        <v>57</v>
      </c>
      <c r="HJ9" t="s">
        <v>57</v>
      </c>
      <c r="HK9" t="s">
        <v>57</v>
      </c>
      <c r="HL9" t="s">
        <v>57</v>
      </c>
      <c r="HM9" t="s">
        <v>57</v>
      </c>
      <c r="HN9" t="s">
        <v>57</v>
      </c>
      <c r="HO9" t="s">
        <v>57</v>
      </c>
      <c r="HP9" t="s">
        <v>57</v>
      </c>
      <c r="HQ9" t="s">
        <v>57</v>
      </c>
      <c r="HR9" t="s">
        <v>57</v>
      </c>
      <c r="HS9" t="s">
        <v>57</v>
      </c>
      <c r="HT9" t="s">
        <v>57</v>
      </c>
      <c r="HU9" t="s">
        <v>57</v>
      </c>
      <c r="HV9" t="s">
        <v>57</v>
      </c>
      <c r="HW9" t="s">
        <v>57</v>
      </c>
      <c r="HX9" t="s">
        <v>57</v>
      </c>
      <c r="HY9" t="s">
        <v>57</v>
      </c>
      <c r="HZ9" t="s">
        <v>57</v>
      </c>
      <c r="IA9" t="s">
        <v>57</v>
      </c>
      <c r="IB9" t="s">
        <v>58</v>
      </c>
      <c r="IC9" t="s">
        <v>58</v>
      </c>
      <c r="ID9" t="s">
        <v>58</v>
      </c>
      <c r="IE9" t="s">
        <v>58</v>
      </c>
      <c r="IF9" t="s">
        <v>123</v>
      </c>
      <c r="IG9" t="s">
        <v>124</v>
      </c>
      <c r="IH9" t="s">
        <v>123</v>
      </c>
      <c r="II9" t="s">
        <v>156</v>
      </c>
    </row>
    <row r="10" spans="1:243" x14ac:dyDescent="0.25">
      <c r="A10" s="111" t="str">
        <f>HYPERLINK("http://www.ofsted.gov.uk/inspection-reports/find-inspection-report/provider/ELS/100301 ","Ofsted School Webpage")</f>
        <v>Ofsted School Webpage</v>
      </c>
      <c r="B10">
        <v>100301</v>
      </c>
      <c r="C10">
        <v>2046389</v>
      </c>
      <c r="D10" t="s">
        <v>2028</v>
      </c>
      <c r="E10" t="s">
        <v>36</v>
      </c>
      <c r="F10" t="s">
        <v>166</v>
      </c>
      <c r="G10" t="s">
        <v>189</v>
      </c>
      <c r="H10" t="s">
        <v>189</v>
      </c>
      <c r="I10" t="s">
        <v>434</v>
      </c>
      <c r="J10" t="s">
        <v>2029</v>
      </c>
      <c r="K10" t="s">
        <v>142</v>
      </c>
      <c r="L10" t="s">
        <v>169</v>
      </c>
      <c r="M10" t="s">
        <v>2596</v>
      </c>
      <c r="N10" t="s">
        <v>143</v>
      </c>
      <c r="O10">
        <v>10026269</v>
      </c>
      <c r="P10" s="108">
        <v>43067</v>
      </c>
      <c r="Q10" s="108">
        <v>43069</v>
      </c>
      <c r="R10" s="108">
        <v>43088</v>
      </c>
      <c r="S10" t="s">
        <v>153</v>
      </c>
      <c r="T10" t="s">
        <v>154</v>
      </c>
      <c r="U10">
        <v>3</v>
      </c>
      <c r="V10">
        <v>3</v>
      </c>
      <c r="W10">
        <v>2</v>
      </c>
      <c r="X10">
        <v>3</v>
      </c>
      <c r="Y10">
        <v>3</v>
      </c>
      <c r="Z10">
        <v>3</v>
      </c>
      <c r="AA10" t="s">
        <v>2596</v>
      </c>
      <c r="AB10" t="s">
        <v>123</v>
      </c>
      <c r="AC10" t="s">
        <v>2596</v>
      </c>
      <c r="AD10" t="s">
        <v>2598</v>
      </c>
      <c r="AE10" t="s">
        <v>57</v>
      </c>
      <c r="AF10" t="s">
        <v>57</v>
      </c>
      <c r="AG10" t="s">
        <v>57</v>
      </c>
      <c r="AH10" t="s">
        <v>57</v>
      </c>
      <c r="AI10" t="s">
        <v>57</v>
      </c>
      <c r="AJ10" t="s">
        <v>57</v>
      </c>
      <c r="AK10" t="s">
        <v>57</v>
      </c>
      <c r="AL10" t="s">
        <v>57</v>
      </c>
      <c r="AM10" t="s">
        <v>57</v>
      </c>
      <c r="AN10" t="s">
        <v>57</v>
      </c>
      <c r="AO10" t="s">
        <v>57</v>
      </c>
      <c r="AP10" t="s">
        <v>57</v>
      </c>
      <c r="AQ10" t="s">
        <v>57</v>
      </c>
      <c r="AR10" t="s">
        <v>57</v>
      </c>
      <c r="AS10" t="s">
        <v>57</v>
      </c>
      <c r="AT10" t="s">
        <v>57</v>
      </c>
      <c r="AU10" t="s">
        <v>175</v>
      </c>
      <c r="AV10" t="s">
        <v>57</v>
      </c>
      <c r="AW10" t="s">
        <v>57</v>
      </c>
      <c r="AX10" t="s">
        <v>57</v>
      </c>
      <c r="AY10" t="s">
        <v>57</v>
      </c>
      <c r="AZ10" t="s">
        <v>57</v>
      </c>
      <c r="BA10" t="s">
        <v>57</v>
      </c>
      <c r="BB10" t="s">
        <v>57</v>
      </c>
      <c r="BC10" t="s">
        <v>57</v>
      </c>
      <c r="BD10" t="s">
        <v>175</v>
      </c>
      <c r="BE10" t="s">
        <v>57</v>
      </c>
      <c r="BF10" t="s">
        <v>57</v>
      </c>
      <c r="BG10" t="s">
        <v>57</v>
      </c>
      <c r="BH10" t="s">
        <v>57</v>
      </c>
      <c r="BI10" t="s">
        <v>57</v>
      </c>
      <c r="BJ10" t="s">
        <v>57</v>
      </c>
      <c r="BK10" t="s">
        <v>57</v>
      </c>
      <c r="BL10" t="s">
        <v>57</v>
      </c>
      <c r="BM10" t="s">
        <v>57</v>
      </c>
      <c r="BN10" t="s">
        <v>57</v>
      </c>
      <c r="BO10" t="s">
        <v>57</v>
      </c>
      <c r="BP10" t="s">
        <v>57</v>
      </c>
      <c r="BQ10" t="s">
        <v>57</v>
      </c>
      <c r="BR10" t="s">
        <v>57</v>
      </c>
      <c r="BS10" t="s">
        <v>57</v>
      </c>
      <c r="BT10" t="s">
        <v>57</v>
      </c>
      <c r="BU10" t="s">
        <v>57</v>
      </c>
      <c r="BV10" t="s">
        <v>57</v>
      </c>
      <c r="BW10" t="s">
        <v>57</v>
      </c>
      <c r="BX10" t="s">
        <v>57</v>
      </c>
      <c r="BY10" t="s">
        <v>57</v>
      </c>
      <c r="BZ10" t="s">
        <v>57</v>
      </c>
      <c r="CA10" t="s">
        <v>57</v>
      </c>
      <c r="CB10" t="s">
        <v>57</v>
      </c>
      <c r="CC10" t="s">
        <v>57</v>
      </c>
      <c r="CD10" t="s">
        <v>57</v>
      </c>
      <c r="CE10" t="s">
        <v>57</v>
      </c>
      <c r="CF10" t="s">
        <v>57</v>
      </c>
      <c r="CG10" t="s">
        <v>57</v>
      </c>
      <c r="CH10" t="s">
        <v>57</v>
      </c>
      <c r="CI10" t="s">
        <v>57</v>
      </c>
      <c r="CJ10" t="s">
        <v>57</v>
      </c>
      <c r="CK10" t="s">
        <v>175</v>
      </c>
      <c r="CL10" t="s">
        <v>175</v>
      </c>
      <c r="CM10" t="s">
        <v>175</v>
      </c>
      <c r="CN10" t="s">
        <v>57</v>
      </c>
      <c r="CO10" t="s">
        <v>57</v>
      </c>
      <c r="CP10" t="s">
        <v>57</v>
      </c>
      <c r="CQ10" t="s">
        <v>57</v>
      </c>
      <c r="CR10" t="s">
        <v>57</v>
      </c>
      <c r="CS10" t="s">
        <v>57</v>
      </c>
      <c r="CT10" t="s">
        <v>57</v>
      </c>
      <c r="CU10" t="s">
        <v>57</v>
      </c>
      <c r="CV10" t="s">
        <v>57</v>
      </c>
      <c r="CW10" t="s">
        <v>57</v>
      </c>
      <c r="CX10" t="s">
        <v>57</v>
      </c>
      <c r="CY10" t="s">
        <v>57</v>
      </c>
      <c r="CZ10" t="s">
        <v>57</v>
      </c>
      <c r="DA10" t="s">
        <v>57</v>
      </c>
      <c r="DB10" t="s">
        <v>57</v>
      </c>
      <c r="DC10" t="s">
        <v>57</v>
      </c>
      <c r="DD10" t="s">
        <v>57</v>
      </c>
      <c r="DE10" t="s">
        <v>57</v>
      </c>
      <c r="DF10" t="s">
        <v>57</v>
      </c>
      <c r="DG10" t="s">
        <v>57</v>
      </c>
      <c r="DH10" t="s">
        <v>57</v>
      </c>
      <c r="DI10" t="s">
        <v>57</v>
      </c>
      <c r="DJ10" t="s">
        <v>57</v>
      </c>
      <c r="DK10" t="s">
        <v>175</v>
      </c>
      <c r="DL10" t="s">
        <v>57</v>
      </c>
      <c r="DM10" t="s">
        <v>175</v>
      </c>
      <c r="DN10" t="s">
        <v>175</v>
      </c>
      <c r="DO10" t="s">
        <v>175</v>
      </c>
      <c r="DP10" t="s">
        <v>175</v>
      </c>
      <c r="DQ10" t="s">
        <v>175</v>
      </c>
      <c r="DR10" t="s">
        <v>175</v>
      </c>
      <c r="DS10" t="s">
        <v>175</v>
      </c>
      <c r="DT10" t="s">
        <v>175</v>
      </c>
      <c r="DU10" t="s">
        <v>175</v>
      </c>
      <c r="DV10" t="s">
        <v>175</v>
      </c>
      <c r="DW10" t="s">
        <v>175</v>
      </c>
      <c r="DX10" t="s">
        <v>175</v>
      </c>
      <c r="DY10" t="s">
        <v>175</v>
      </c>
      <c r="DZ10" t="s">
        <v>175</v>
      </c>
      <c r="EA10" t="s">
        <v>57</v>
      </c>
      <c r="EB10" t="s">
        <v>57</v>
      </c>
      <c r="EC10" t="s">
        <v>57</v>
      </c>
      <c r="ED10" t="s">
        <v>57</v>
      </c>
      <c r="EE10" t="s">
        <v>57</v>
      </c>
      <c r="EF10" t="s">
        <v>57</v>
      </c>
      <c r="EG10" t="s">
        <v>57</v>
      </c>
      <c r="EH10" t="s">
        <v>175</v>
      </c>
      <c r="EI10" t="s">
        <v>57</v>
      </c>
      <c r="EJ10" t="s">
        <v>57</v>
      </c>
      <c r="EK10" t="s">
        <v>57</v>
      </c>
      <c r="EL10" t="s">
        <v>57</v>
      </c>
      <c r="EM10" t="s">
        <v>57</v>
      </c>
      <c r="EN10" t="s">
        <v>57</v>
      </c>
      <c r="EO10" t="s">
        <v>57</v>
      </c>
      <c r="EP10" t="s">
        <v>57</v>
      </c>
      <c r="EQ10" t="s">
        <v>57</v>
      </c>
      <c r="ER10" t="s">
        <v>57</v>
      </c>
      <c r="ES10" t="s">
        <v>57</v>
      </c>
      <c r="ET10" t="s">
        <v>57</v>
      </c>
      <c r="EU10" t="s">
        <v>57</v>
      </c>
      <c r="EV10" t="s">
        <v>57</v>
      </c>
      <c r="EW10" t="s">
        <v>57</v>
      </c>
      <c r="EX10" t="s">
        <v>175</v>
      </c>
      <c r="EY10" t="s">
        <v>175</v>
      </c>
      <c r="EZ10" t="s">
        <v>175</v>
      </c>
      <c r="FA10" t="s">
        <v>175</v>
      </c>
      <c r="FB10" t="s">
        <v>175</v>
      </c>
      <c r="FC10" t="s">
        <v>175</v>
      </c>
      <c r="FD10" t="s">
        <v>57</v>
      </c>
      <c r="FE10" t="s">
        <v>57</v>
      </c>
      <c r="FF10" t="s">
        <v>57</v>
      </c>
      <c r="FG10" t="s">
        <v>57</v>
      </c>
      <c r="FH10" t="s">
        <v>57</v>
      </c>
      <c r="FI10" t="s">
        <v>57</v>
      </c>
      <c r="FJ10" t="s">
        <v>57</v>
      </c>
      <c r="FK10" t="s">
        <v>57</v>
      </c>
      <c r="FL10" t="s">
        <v>57</v>
      </c>
      <c r="FM10" t="s">
        <v>57</v>
      </c>
      <c r="FN10" t="s">
        <v>57</v>
      </c>
      <c r="FO10" t="s">
        <v>175</v>
      </c>
      <c r="FP10" t="s">
        <v>57</v>
      </c>
      <c r="FQ10" t="s">
        <v>57</v>
      </c>
      <c r="FR10" t="s">
        <v>57</v>
      </c>
      <c r="FS10" t="s">
        <v>57</v>
      </c>
      <c r="FT10" t="s">
        <v>57</v>
      </c>
      <c r="FU10" t="s">
        <v>57</v>
      </c>
      <c r="FV10" t="s">
        <v>57</v>
      </c>
      <c r="FW10" t="s">
        <v>57</v>
      </c>
      <c r="FX10" t="s">
        <v>57</v>
      </c>
      <c r="FY10" t="s">
        <v>57</v>
      </c>
      <c r="FZ10" t="s">
        <v>57</v>
      </c>
      <c r="GA10" t="s">
        <v>57</v>
      </c>
      <c r="GB10" t="s">
        <v>57</v>
      </c>
      <c r="GC10" t="s">
        <v>57</v>
      </c>
      <c r="GD10" t="s">
        <v>57</v>
      </c>
      <c r="GE10" t="s">
        <v>57</v>
      </c>
      <c r="GF10" t="s">
        <v>57</v>
      </c>
      <c r="GG10" t="s">
        <v>175</v>
      </c>
      <c r="GH10" t="s">
        <v>57</v>
      </c>
      <c r="GI10" t="s">
        <v>57</v>
      </c>
      <c r="GJ10" t="s">
        <v>57</v>
      </c>
      <c r="GK10" t="s">
        <v>57</v>
      </c>
      <c r="GL10" t="s">
        <v>57</v>
      </c>
      <c r="GM10" t="s">
        <v>175</v>
      </c>
      <c r="GN10" t="s">
        <v>57</v>
      </c>
      <c r="GO10" t="s">
        <v>57</v>
      </c>
      <c r="GP10" t="s">
        <v>175</v>
      </c>
      <c r="GQ10" t="s">
        <v>175</v>
      </c>
      <c r="GR10" t="s">
        <v>57</v>
      </c>
      <c r="GS10" t="s">
        <v>57</v>
      </c>
      <c r="GT10" t="s">
        <v>57</v>
      </c>
      <c r="GU10" t="s">
        <v>57</v>
      </c>
      <c r="GV10" t="s">
        <v>175</v>
      </c>
      <c r="GW10" t="s">
        <v>57</v>
      </c>
      <c r="GX10" t="s">
        <v>57</v>
      </c>
      <c r="GY10" t="s">
        <v>57</v>
      </c>
      <c r="GZ10" t="s">
        <v>57</v>
      </c>
      <c r="HA10" t="s">
        <v>57</v>
      </c>
      <c r="HB10" t="s">
        <v>57</v>
      </c>
      <c r="HC10" t="s">
        <v>57</v>
      </c>
      <c r="HD10" t="s">
        <v>57</v>
      </c>
      <c r="HE10" t="s">
        <v>57</v>
      </c>
      <c r="HF10" t="s">
        <v>57</v>
      </c>
      <c r="HG10" t="s">
        <v>57</v>
      </c>
      <c r="HH10" t="s">
        <v>175</v>
      </c>
      <c r="HI10" t="s">
        <v>175</v>
      </c>
      <c r="HJ10" t="s">
        <v>175</v>
      </c>
      <c r="HK10" t="s">
        <v>175</v>
      </c>
      <c r="HL10" t="s">
        <v>57</v>
      </c>
      <c r="HM10" t="s">
        <v>57</v>
      </c>
      <c r="HN10" t="s">
        <v>57</v>
      </c>
      <c r="HO10" t="s">
        <v>57</v>
      </c>
      <c r="HP10" t="s">
        <v>57</v>
      </c>
      <c r="HQ10" t="s">
        <v>57</v>
      </c>
      <c r="HR10" t="s">
        <v>57</v>
      </c>
      <c r="HS10" t="s">
        <v>57</v>
      </c>
      <c r="HT10" t="s">
        <v>57</v>
      </c>
      <c r="HU10" t="s">
        <v>57</v>
      </c>
      <c r="HV10" t="s">
        <v>57</v>
      </c>
      <c r="HW10" t="s">
        <v>57</v>
      </c>
      <c r="HX10" t="s">
        <v>57</v>
      </c>
      <c r="HY10" t="s">
        <v>57</v>
      </c>
      <c r="HZ10" t="s">
        <v>57</v>
      </c>
      <c r="IA10" t="s">
        <v>57</v>
      </c>
      <c r="IB10" t="s">
        <v>57</v>
      </c>
      <c r="IC10" t="s">
        <v>57</v>
      </c>
      <c r="ID10" t="s">
        <v>57</v>
      </c>
      <c r="IE10" t="s">
        <v>57</v>
      </c>
      <c r="IF10" t="s">
        <v>124</v>
      </c>
      <c r="IG10" t="s">
        <v>148</v>
      </c>
      <c r="IH10" t="s">
        <v>123</v>
      </c>
      <c r="II10" t="s">
        <v>156</v>
      </c>
    </row>
    <row r="11" spans="1:243" x14ac:dyDescent="0.25">
      <c r="A11" s="111" t="str">
        <f>HYPERLINK("http://www.ofsted.gov.uk/inspection-reports/find-inspection-report/provider/ELS/100372 ","Ofsted School Webpage")</f>
        <v>Ofsted School Webpage</v>
      </c>
      <c r="B11">
        <v>100372</v>
      </c>
      <c r="C11">
        <v>2056382</v>
      </c>
      <c r="D11" t="s">
        <v>259</v>
      </c>
      <c r="E11" t="s">
        <v>36</v>
      </c>
      <c r="F11" t="s">
        <v>166</v>
      </c>
      <c r="G11" t="s">
        <v>189</v>
      </c>
      <c r="H11" t="s">
        <v>189</v>
      </c>
      <c r="I11" t="s">
        <v>257</v>
      </c>
      <c r="J11" t="s">
        <v>260</v>
      </c>
      <c r="K11" t="s">
        <v>261</v>
      </c>
      <c r="L11" t="s">
        <v>180</v>
      </c>
      <c r="M11" t="s">
        <v>2596</v>
      </c>
      <c r="N11" t="s">
        <v>143</v>
      </c>
      <c r="O11">
        <v>10035773</v>
      </c>
      <c r="P11" s="108">
        <v>42990</v>
      </c>
      <c r="Q11" s="108">
        <v>42992</v>
      </c>
      <c r="R11" s="108">
        <v>43054</v>
      </c>
      <c r="S11" t="s">
        <v>153</v>
      </c>
      <c r="T11" t="s">
        <v>154</v>
      </c>
      <c r="U11">
        <v>3</v>
      </c>
      <c r="V11">
        <v>3</v>
      </c>
      <c r="W11">
        <v>3</v>
      </c>
      <c r="X11">
        <v>3</v>
      </c>
      <c r="Y11">
        <v>3</v>
      </c>
      <c r="Z11">
        <v>3</v>
      </c>
      <c r="AA11" t="s">
        <v>2596</v>
      </c>
      <c r="AB11" t="s">
        <v>123</v>
      </c>
      <c r="AC11" t="s">
        <v>2596</v>
      </c>
      <c r="AD11" t="s">
        <v>2598</v>
      </c>
      <c r="AE11" t="s">
        <v>57</v>
      </c>
      <c r="AF11" t="s">
        <v>57</v>
      </c>
      <c r="AG11" t="s">
        <v>57</v>
      </c>
      <c r="AH11" t="s">
        <v>57</v>
      </c>
      <c r="AI11" t="s">
        <v>57</v>
      </c>
      <c r="AJ11" t="s">
        <v>57</v>
      </c>
      <c r="AK11" t="s">
        <v>57</v>
      </c>
      <c r="AL11" t="s">
        <v>57</v>
      </c>
      <c r="AM11" t="s">
        <v>57</v>
      </c>
      <c r="AN11" t="s">
        <v>57</v>
      </c>
      <c r="AO11" t="s">
        <v>57</v>
      </c>
      <c r="AP11" t="s">
        <v>57</v>
      </c>
      <c r="AQ11" t="s">
        <v>57</v>
      </c>
      <c r="AR11" t="s">
        <v>57</v>
      </c>
      <c r="AS11" t="s">
        <v>57</v>
      </c>
      <c r="AT11" t="s">
        <v>57</v>
      </c>
      <c r="AU11" t="s">
        <v>148</v>
      </c>
      <c r="AV11" t="s">
        <v>57</v>
      </c>
      <c r="AW11" t="s">
        <v>57</v>
      </c>
      <c r="AX11" t="s">
        <v>160</v>
      </c>
      <c r="AY11" t="s">
        <v>148</v>
      </c>
      <c r="AZ11" t="s">
        <v>148</v>
      </c>
      <c r="BA11" t="s">
        <v>148</v>
      </c>
      <c r="BB11" t="s">
        <v>148</v>
      </c>
      <c r="BC11" t="s">
        <v>57</v>
      </c>
      <c r="BD11" t="s">
        <v>148</v>
      </c>
      <c r="BE11" t="s">
        <v>57</v>
      </c>
      <c r="BF11" t="s">
        <v>57</v>
      </c>
      <c r="BG11" t="s">
        <v>57</v>
      </c>
      <c r="BH11" t="s">
        <v>57</v>
      </c>
      <c r="BI11" t="s">
        <v>57</v>
      </c>
      <c r="BJ11" t="s">
        <v>57</v>
      </c>
      <c r="BK11" t="s">
        <v>57</v>
      </c>
      <c r="BL11" t="s">
        <v>57</v>
      </c>
      <c r="BM11" t="s">
        <v>160</v>
      </c>
      <c r="BN11" t="s">
        <v>57</v>
      </c>
      <c r="BO11" t="s">
        <v>57</v>
      </c>
      <c r="BP11" t="s">
        <v>57</v>
      </c>
      <c r="BQ11" t="s">
        <v>57</v>
      </c>
      <c r="BR11" t="s">
        <v>57</v>
      </c>
      <c r="BS11" t="s">
        <v>57</v>
      </c>
      <c r="BT11" t="s">
        <v>57</v>
      </c>
      <c r="BU11" t="s">
        <v>57</v>
      </c>
      <c r="BV11" t="s">
        <v>57</v>
      </c>
      <c r="BW11" t="s">
        <v>57</v>
      </c>
      <c r="BX11" t="s">
        <v>57</v>
      </c>
      <c r="BY11" t="s">
        <v>57</v>
      </c>
      <c r="BZ11" t="s">
        <v>57</v>
      </c>
      <c r="CA11" t="s">
        <v>57</v>
      </c>
      <c r="CB11" t="s">
        <v>57</v>
      </c>
      <c r="CC11" t="s">
        <v>57</v>
      </c>
      <c r="CD11" t="s">
        <v>57</v>
      </c>
      <c r="CE11" t="s">
        <v>57</v>
      </c>
      <c r="CF11" t="s">
        <v>57</v>
      </c>
      <c r="CG11" t="s">
        <v>57</v>
      </c>
      <c r="CH11" t="s">
        <v>57</v>
      </c>
      <c r="CI11" t="s">
        <v>57</v>
      </c>
      <c r="CJ11" t="s">
        <v>57</v>
      </c>
      <c r="CK11" t="s">
        <v>148</v>
      </c>
      <c r="CL11" t="s">
        <v>148</v>
      </c>
      <c r="CM11" t="s">
        <v>148</v>
      </c>
      <c r="CN11" t="s">
        <v>160</v>
      </c>
      <c r="CO11" t="s">
        <v>57</v>
      </c>
      <c r="CP11" t="s">
        <v>57</v>
      </c>
      <c r="CQ11" t="s">
        <v>57</v>
      </c>
      <c r="CR11" t="s">
        <v>57</v>
      </c>
      <c r="CS11" t="s">
        <v>57</v>
      </c>
      <c r="CT11" t="s">
        <v>57</v>
      </c>
      <c r="CU11" t="s">
        <v>57</v>
      </c>
      <c r="CV11" t="s">
        <v>57</v>
      </c>
      <c r="CW11" t="s">
        <v>57</v>
      </c>
      <c r="CX11" t="s">
        <v>57</v>
      </c>
      <c r="CY11" t="s">
        <v>57</v>
      </c>
      <c r="CZ11" t="s">
        <v>57</v>
      </c>
      <c r="DA11" t="s">
        <v>57</v>
      </c>
      <c r="DB11" t="s">
        <v>57</v>
      </c>
      <c r="DC11" t="s">
        <v>57</v>
      </c>
      <c r="DD11" t="s">
        <v>57</v>
      </c>
      <c r="DE11" t="s">
        <v>57</v>
      </c>
      <c r="DF11" t="s">
        <v>57</v>
      </c>
      <c r="DG11" t="s">
        <v>57</v>
      </c>
      <c r="DH11" t="s">
        <v>57</v>
      </c>
      <c r="DI11" t="s">
        <v>57</v>
      </c>
      <c r="DJ11" t="s">
        <v>57</v>
      </c>
      <c r="DK11" t="s">
        <v>148</v>
      </c>
      <c r="DL11" t="s">
        <v>57</v>
      </c>
      <c r="DM11" t="s">
        <v>148</v>
      </c>
      <c r="DN11" t="s">
        <v>148</v>
      </c>
      <c r="DO11" t="s">
        <v>148</v>
      </c>
      <c r="DP11" t="s">
        <v>148</v>
      </c>
      <c r="DQ11" t="s">
        <v>148</v>
      </c>
      <c r="DR11" t="s">
        <v>148</v>
      </c>
      <c r="DS11" t="s">
        <v>148</v>
      </c>
      <c r="DT11" t="s">
        <v>148</v>
      </c>
      <c r="DU11" t="s">
        <v>148</v>
      </c>
      <c r="DV11" t="s">
        <v>148</v>
      </c>
      <c r="DW11" t="s">
        <v>148</v>
      </c>
      <c r="DX11" t="s">
        <v>148</v>
      </c>
      <c r="DY11" t="s">
        <v>148</v>
      </c>
      <c r="DZ11" t="s">
        <v>148</v>
      </c>
      <c r="EA11" t="s">
        <v>57</v>
      </c>
      <c r="EB11" t="s">
        <v>57</v>
      </c>
      <c r="EC11" t="s">
        <v>57</v>
      </c>
      <c r="ED11" t="s">
        <v>57</v>
      </c>
      <c r="EE11" t="s">
        <v>57</v>
      </c>
      <c r="EF11" t="s">
        <v>57</v>
      </c>
      <c r="EG11" t="s">
        <v>57</v>
      </c>
      <c r="EH11" t="s">
        <v>57</v>
      </c>
      <c r="EI11" t="s">
        <v>57</v>
      </c>
      <c r="EJ11" t="s">
        <v>160</v>
      </c>
      <c r="EK11" t="s">
        <v>57</v>
      </c>
      <c r="EL11" t="s">
        <v>57</v>
      </c>
      <c r="EM11" t="s">
        <v>57</v>
      </c>
      <c r="EN11" t="s">
        <v>57</v>
      </c>
      <c r="EO11" t="s">
        <v>57</v>
      </c>
      <c r="EP11" t="s">
        <v>57</v>
      </c>
      <c r="EQ11" t="s">
        <v>57</v>
      </c>
      <c r="ER11" t="s">
        <v>57</v>
      </c>
      <c r="ES11" t="s">
        <v>57</v>
      </c>
      <c r="ET11" t="s">
        <v>57</v>
      </c>
      <c r="EU11" t="s">
        <v>57</v>
      </c>
      <c r="EV11" t="s">
        <v>57</v>
      </c>
      <c r="EW11" t="s">
        <v>57</v>
      </c>
      <c r="EX11" t="s">
        <v>148</v>
      </c>
      <c r="EY11" t="s">
        <v>148</v>
      </c>
      <c r="EZ11" t="s">
        <v>148</v>
      </c>
      <c r="FA11" t="s">
        <v>148</v>
      </c>
      <c r="FB11" t="s">
        <v>148</v>
      </c>
      <c r="FC11" t="s">
        <v>148</v>
      </c>
      <c r="FD11" t="s">
        <v>148</v>
      </c>
      <c r="FE11" t="s">
        <v>57</v>
      </c>
      <c r="FF11" t="s">
        <v>57</v>
      </c>
      <c r="FG11" t="s">
        <v>57</v>
      </c>
      <c r="FH11" t="s">
        <v>57</v>
      </c>
      <c r="FI11" t="s">
        <v>57</v>
      </c>
      <c r="FJ11" t="s">
        <v>57</v>
      </c>
      <c r="FK11" t="s">
        <v>148</v>
      </c>
      <c r="FL11" t="s">
        <v>57</v>
      </c>
      <c r="FM11" t="s">
        <v>57</v>
      </c>
      <c r="FN11" t="s">
        <v>57</v>
      </c>
      <c r="FO11" t="s">
        <v>148</v>
      </c>
      <c r="FP11" t="s">
        <v>57</v>
      </c>
      <c r="FQ11" t="s">
        <v>57</v>
      </c>
      <c r="FR11" t="s">
        <v>57</v>
      </c>
      <c r="FS11" t="s">
        <v>57</v>
      </c>
      <c r="FT11" t="s">
        <v>57</v>
      </c>
      <c r="FU11" t="s">
        <v>57</v>
      </c>
      <c r="FV11" t="s">
        <v>57</v>
      </c>
      <c r="FW11" t="s">
        <v>57</v>
      </c>
      <c r="FX11" t="s">
        <v>57</v>
      </c>
      <c r="FY11" t="s">
        <v>57</v>
      </c>
      <c r="FZ11" t="s">
        <v>57</v>
      </c>
      <c r="GA11" t="s">
        <v>57</v>
      </c>
      <c r="GB11" t="s">
        <v>57</v>
      </c>
      <c r="GC11" t="s">
        <v>160</v>
      </c>
      <c r="GD11" t="s">
        <v>57</v>
      </c>
      <c r="GE11" t="s">
        <v>57</v>
      </c>
      <c r="GF11" t="s">
        <v>57</v>
      </c>
      <c r="GG11" t="s">
        <v>148</v>
      </c>
      <c r="GH11" t="s">
        <v>57</v>
      </c>
      <c r="GI11" t="s">
        <v>57</v>
      </c>
      <c r="GJ11" t="s">
        <v>57</v>
      </c>
      <c r="GK11" t="s">
        <v>57</v>
      </c>
      <c r="GL11" t="s">
        <v>57</v>
      </c>
      <c r="GM11" t="s">
        <v>148</v>
      </c>
      <c r="GN11" t="s">
        <v>57</v>
      </c>
      <c r="GO11" t="s">
        <v>57</v>
      </c>
      <c r="GP11" t="s">
        <v>148</v>
      </c>
      <c r="GQ11" t="s">
        <v>148</v>
      </c>
      <c r="GR11" t="s">
        <v>57</v>
      </c>
      <c r="GS11" t="s">
        <v>57</v>
      </c>
      <c r="GT11" t="s">
        <v>57</v>
      </c>
      <c r="GU11" t="s">
        <v>57</v>
      </c>
      <c r="GV11" t="s">
        <v>148</v>
      </c>
      <c r="GW11" t="s">
        <v>160</v>
      </c>
      <c r="GX11" t="s">
        <v>148</v>
      </c>
      <c r="GY11" t="s">
        <v>57</v>
      </c>
      <c r="GZ11" t="s">
        <v>57</v>
      </c>
      <c r="HA11" t="s">
        <v>57</v>
      </c>
      <c r="HB11" t="s">
        <v>148</v>
      </c>
      <c r="HC11" t="s">
        <v>160</v>
      </c>
      <c r="HD11" t="s">
        <v>57</v>
      </c>
      <c r="HE11" t="s">
        <v>57</v>
      </c>
      <c r="HF11" t="s">
        <v>57</v>
      </c>
      <c r="HG11" t="s">
        <v>57</v>
      </c>
      <c r="HH11" t="s">
        <v>57</v>
      </c>
      <c r="HI11" t="s">
        <v>148</v>
      </c>
      <c r="HJ11" t="s">
        <v>148</v>
      </c>
      <c r="HK11" t="s">
        <v>148</v>
      </c>
      <c r="HL11" t="s">
        <v>57</v>
      </c>
      <c r="HM11" t="s">
        <v>57</v>
      </c>
      <c r="HN11" t="s">
        <v>57</v>
      </c>
      <c r="HO11" t="s">
        <v>57</v>
      </c>
      <c r="HP11" t="s">
        <v>57</v>
      </c>
      <c r="HQ11" t="s">
        <v>57</v>
      </c>
      <c r="HR11" t="s">
        <v>57</v>
      </c>
      <c r="HS11" t="s">
        <v>57</v>
      </c>
      <c r="HT11" t="s">
        <v>57</v>
      </c>
      <c r="HU11" t="s">
        <v>57</v>
      </c>
      <c r="HV11" t="s">
        <v>57</v>
      </c>
      <c r="HW11" t="s">
        <v>57</v>
      </c>
      <c r="HX11" t="s">
        <v>57</v>
      </c>
      <c r="HY11" t="s">
        <v>57</v>
      </c>
      <c r="HZ11" t="s">
        <v>57</v>
      </c>
      <c r="IA11" t="s">
        <v>57</v>
      </c>
      <c r="IB11" t="s">
        <v>57</v>
      </c>
      <c r="IC11" t="s">
        <v>57</v>
      </c>
      <c r="ID11" t="s">
        <v>57</v>
      </c>
      <c r="IE11" t="s">
        <v>57</v>
      </c>
      <c r="IF11" t="s">
        <v>124</v>
      </c>
      <c r="IG11" t="s">
        <v>155</v>
      </c>
      <c r="IH11" t="s">
        <v>123</v>
      </c>
      <c r="II11" t="s">
        <v>156</v>
      </c>
    </row>
    <row r="12" spans="1:243" x14ac:dyDescent="0.25">
      <c r="A12" s="111" t="str">
        <f>HYPERLINK("http://www.ofsted.gov.uk/inspection-reports/find-inspection-report/provider/ELS/100375 ","Ofsted School Webpage")</f>
        <v>Ofsted School Webpage</v>
      </c>
      <c r="B12">
        <v>100375</v>
      </c>
      <c r="C12">
        <v>2056386</v>
      </c>
      <c r="D12" t="s">
        <v>1657</v>
      </c>
      <c r="E12" t="s">
        <v>36</v>
      </c>
      <c r="F12" t="s">
        <v>166</v>
      </c>
      <c r="G12" t="s">
        <v>189</v>
      </c>
      <c r="H12" t="s">
        <v>189</v>
      </c>
      <c r="I12" t="s">
        <v>257</v>
      </c>
      <c r="J12" t="s">
        <v>1658</v>
      </c>
      <c r="K12" t="s">
        <v>142</v>
      </c>
      <c r="L12" t="s">
        <v>142</v>
      </c>
      <c r="M12" t="s">
        <v>2596</v>
      </c>
      <c r="N12" t="s">
        <v>143</v>
      </c>
      <c r="O12">
        <v>10008534</v>
      </c>
      <c r="P12" s="108">
        <v>43060</v>
      </c>
      <c r="Q12" s="108">
        <v>43062</v>
      </c>
      <c r="R12" s="108">
        <v>43096</v>
      </c>
      <c r="S12" t="s">
        <v>153</v>
      </c>
      <c r="T12" t="s">
        <v>154</v>
      </c>
      <c r="U12">
        <v>1</v>
      </c>
      <c r="V12">
        <v>1</v>
      </c>
      <c r="W12">
        <v>1</v>
      </c>
      <c r="X12">
        <v>1</v>
      </c>
      <c r="Y12">
        <v>1</v>
      </c>
      <c r="Z12">
        <v>1</v>
      </c>
      <c r="AA12" t="s">
        <v>2596</v>
      </c>
      <c r="AB12" t="s">
        <v>123</v>
      </c>
      <c r="AC12" t="s">
        <v>2596</v>
      </c>
      <c r="AD12" t="s">
        <v>2598</v>
      </c>
      <c r="AE12" t="s">
        <v>57</v>
      </c>
      <c r="AF12" t="s">
        <v>57</v>
      </c>
      <c r="AG12" t="s">
        <v>57</v>
      </c>
      <c r="AH12" t="s">
        <v>57</v>
      </c>
      <c r="AI12" t="s">
        <v>57</v>
      </c>
      <c r="AJ12" t="s">
        <v>57</v>
      </c>
      <c r="AK12" t="s">
        <v>57</v>
      </c>
      <c r="AL12" t="s">
        <v>57</v>
      </c>
      <c r="AM12" t="s">
        <v>57</v>
      </c>
      <c r="AN12" t="s">
        <v>57</v>
      </c>
      <c r="AO12" t="s">
        <v>57</v>
      </c>
      <c r="AP12" t="s">
        <v>57</v>
      </c>
      <c r="AQ12" t="s">
        <v>57</v>
      </c>
      <c r="AR12" t="s">
        <v>57</v>
      </c>
      <c r="AS12" t="s">
        <v>57</v>
      </c>
      <c r="AT12" t="s">
        <v>57</v>
      </c>
      <c r="AU12" t="s">
        <v>57</v>
      </c>
      <c r="AV12" t="s">
        <v>57</v>
      </c>
      <c r="AW12" t="s">
        <v>57</v>
      </c>
      <c r="AX12" t="s">
        <v>57</v>
      </c>
      <c r="AY12" t="s">
        <v>148</v>
      </c>
      <c r="AZ12" t="s">
        <v>148</v>
      </c>
      <c r="BA12" t="s">
        <v>148</v>
      </c>
      <c r="BB12" t="s">
        <v>148</v>
      </c>
      <c r="BC12" t="s">
        <v>57</v>
      </c>
      <c r="BD12" t="s">
        <v>57</v>
      </c>
      <c r="BE12" t="s">
        <v>57</v>
      </c>
      <c r="BF12" t="s">
        <v>57</v>
      </c>
      <c r="BG12" t="s">
        <v>57</v>
      </c>
      <c r="BH12" t="s">
        <v>57</v>
      </c>
      <c r="BI12" t="s">
        <v>57</v>
      </c>
      <c r="BJ12" t="s">
        <v>57</v>
      </c>
      <c r="BK12" t="s">
        <v>57</v>
      </c>
      <c r="BL12" t="s">
        <v>57</v>
      </c>
      <c r="BM12" t="s">
        <v>57</v>
      </c>
      <c r="BN12" t="s">
        <v>57</v>
      </c>
      <c r="BO12" t="s">
        <v>57</v>
      </c>
      <c r="BP12" t="s">
        <v>57</v>
      </c>
      <c r="BQ12" t="s">
        <v>57</v>
      </c>
      <c r="BR12" t="s">
        <v>57</v>
      </c>
      <c r="BS12" t="s">
        <v>57</v>
      </c>
      <c r="BT12" t="s">
        <v>57</v>
      </c>
      <c r="BU12" t="s">
        <v>57</v>
      </c>
      <c r="BV12" t="s">
        <v>57</v>
      </c>
      <c r="BW12" t="s">
        <v>57</v>
      </c>
      <c r="BX12" t="s">
        <v>57</v>
      </c>
      <c r="BY12" t="s">
        <v>57</v>
      </c>
      <c r="BZ12" t="s">
        <v>57</v>
      </c>
      <c r="CA12" t="s">
        <v>57</v>
      </c>
      <c r="CB12" t="s">
        <v>57</v>
      </c>
      <c r="CC12" t="s">
        <v>57</v>
      </c>
      <c r="CD12" t="s">
        <v>57</v>
      </c>
      <c r="CE12" t="s">
        <v>57</v>
      </c>
      <c r="CF12" t="s">
        <v>57</v>
      </c>
      <c r="CG12" t="s">
        <v>57</v>
      </c>
      <c r="CH12" t="s">
        <v>57</v>
      </c>
      <c r="CI12" t="s">
        <v>57</v>
      </c>
      <c r="CJ12" t="s">
        <v>57</v>
      </c>
      <c r="CK12" t="s">
        <v>57</v>
      </c>
      <c r="CL12" t="s">
        <v>57</v>
      </c>
      <c r="CM12" t="s">
        <v>57</v>
      </c>
      <c r="CN12" t="s">
        <v>57</v>
      </c>
      <c r="CO12" t="s">
        <v>57</v>
      </c>
      <c r="CP12" t="s">
        <v>57</v>
      </c>
      <c r="CQ12" t="s">
        <v>57</v>
      </c>
      <c r="CR12" t="s">
        <v>57</v>
      </c>
      <c r="CS12" t="s">
        <v>57</v>
      </c>
      <c r="CT12" t="s">
        <v>57</v>
      </c>
      <c r="CU12" t="s">
        <v>57</v>
      </c>
      <c r="CV12" t="s">
        <v>57</v>
      </c>
      <c r="CW12" t="s">
        <v>57</v>
      </c>
      <c r="CX12" t="s">
        <v>57</v>
      </c>
      <c r="CY12" t="s">
        <v>57</v>
      </c>
      <c r="CZ12" t="s">
        <v>57</v>
      </c>
      <c r="DA12" t="s">
        <v>57</v>
      </c>
      <c r="DB12" t="s">
        <v>57</v>
      </c>
      <c r="DC12" t="s">
        <v>57</v>
      </c>
      <c r="DD12" t="s">
        <v>57</v>
      </c>
      <c r="DE12" t="s">
        <v>57</v>
      </c>
      <c r="DF12" t="s">
        <v>57</v>
      </c>
      <c r="DG12" t="s">
        <v>57</v>
      </c>
      <c r="DH12" t="s">
        <v>57</v>
      </c>
      <c r="DI12" t="s">
        <v>57</v>
      </c>
      <c r="DJ12" t="s">
        <v>57</v>
      </c>
      <c r="DK12" t="s">
        <v>57</v>
      </c>
      <c r="DL12" t="s">
        <v>57</v>
      </c>
      <c r="DM12" t="s">
        <v>57</v>
      </c>
      <c r="DN12" t="s">
        <v>57</v>
      </c>
      <c r="DO12" t="s">
        <v>57</v>
      </c>
      <c r="DP12" t="s">
        <v>57</v>
      </c>
      <c r="DQ12" t="s">
        <v>57</v>
      </c>
      <c r="DR12" t="s">
        <v>57</v>
      </c>
      <c r="DS12" t="s">
        <v>57</v>
      </c>
      <c r="DT12" t="s">
        <v>57</v>
      </c>
      <c r="DU12" t="s">
        <v>57</v>
      </c>
      <c r="DV12" t="s">
        <v>57</v>
      </c>
      <c r="DW12" t="s">
        <v>57</v>
      </c>
      <c r="DX12" t="s">
        <v>57</v>
      </c>
      <c r="DY12" t="s">
        <v>57</v>
      </c>
      <c r="DZ12" t="s">
        <v>57</v>
      </c>
      <c r="EA12" t="s">
        <v>57</v>
      </c>
      <c r="EB12" t="s">
        <v>57</v>
      </c>
      <c r="EC12" t="s">
        <v>57</v>
      </c>
      <c r="ED12" t="s">
        <v>57</v>
      </c>
      <c r="EE12" t="s">
        <v>57</v>
      </c>
      <c r="EF12" t="s">
        <v>57</v>
      </c>
      <c r="EG12" t="s">
        <v>57</v>
      </c>
      <c r="EH12" t="s">
        <v>57</v>
      </c>
      <c r="EI12" t="s">
        <v>57</v>
      </c>
      <c r="EJ12" t="s">
        <v>57</v>
      </c>
      <c r="EK12" t="s">
        <v>57</v>
      </c>
      <c r="EL12" t="s">
        <v>57</v>
      </c>
      <c r="EM12" t="s">
        <v>57</v>
      </c>
      <c r="EN12" t="s">
        <v>57</v>
      </c>
      <c r="EO12" t="s">
        <v>57</v>
      </c>
      <c r="EP12" t="s">
        <v>57</v>
      </c>
      <c r="EQ12" t="s">
        <v>57</v>
      </c>
      <c r="ER12" t="s">
        <v>57</v>
      </c>
      <c r="ES12" t="s">
        <v>57</v>
      </c>
      <c r="ET12" t="s">
        <v>57</v>
      </c>
      <c r="EU12" t="s">
        <v>57</v>
      </c>
      <c r="EV12" t="s">
        <v>57</v>
      </c>
      <c r="EW12" t="s">
        <v>57</v>
      </c>
      <c r="EX12" t="s">
        <v>57</v>
      </c>
      <c r="EY12" t="s">
        <v>57</v>
      </c>
      <c r="EZ12" t="s">
        <v>57</v>
      </c>
      <c r="FA12" t="s">
        <v>57</v>
      </c>
      <c r="FB12" t="s">
        <v>57</v>
      </c>
      <c r="FC12" t="s">
        <v>57</v>
      </c>
      <c r="FD12" t="s">
        <v>57</v>
      </c>
      <c r="FE12" t="s">
        <v>57</v>
      </c>
      <c r="FF12" t="s">
        <v>57</v>
      </c>
      <c r="FG12" t="s">
        <v>57</v>
      </c>
      <c r="FH12" t="s">
        <v>57</v>
      </c>
      <c r="FI12" t="s">
        <v>57</v>
      </c>
      <c r="FJ12" t="s">
        <v>57</v>
      </c>
      <c r="FK12" t="s">
        <v>57</v>
      </c>
      <c r="FL12" t="s">
        <v>57</v>
      </c>
      <c r="FM12" t="s">
        <v>57</v>
      </c>
      <c r="FN12" t="s">
        <v>57</v>
      </c>
      <c r="FO12" t="s">
        <v>57</v>
      </c>
      <c r="FP12" t="s">
        <v>57</v>
      </c>
      <c r="FQ12" t="s">
        <v>57</v>
      </c>
      <c r="FR12" t="s">
        <v>57</v>
      </c>
      <c r="FS12" t="s">
        <v>57</v>
      </c>
      <c r="FT12" t="s">
        <v>57</v>
      </c>
      <c r="FU12" t="s">
        <v>57</v>
      </c>
      <c r="FV12" t="s">
        <v>57</v>
      </c>
      <c r="FW12" t="s">
        <v>57</v>
      </c>
      <c r="FX12" t="s">
        <v>57</v>
      </c>
      <c r="FY12" t="s">
        <v>57</v>
      </c>
      <c r="FZ12" t="s">
        <v>57</v>
      </c>
      <c r="GA12" t="s">
        <v>57</v>
      </c>
      <c r="GB12" t="s">
        <v>57</v>
      </c>
      <c r="GC12" t="s">
        <v>57</v>
      </c>
      <c r="GD12" t="s">
        <v>57</v>
      </c>
      <c r="GE12" t="s">
        <v>57</v>
      </c>
      <c r="GF12" t="s">
        <v>57</v>
      </c>
      <c r="GG12" t="s">
        <v>57</v>
      </c>
      <c r="GH12" t="s">
        <v>57</v>
      </c>
      <c r="GI12" t="s">
        <v>57</v>
      </c>
      <c r="GJ12" t="s">
        <v>57</v>
      </c>
      <c r="GK12" t="s">
        <v>57</v>
      </c>
      <c r="GL12" t="s">
        <v>57</v>
      </c>
      <c r="GM12" t="s">
        <v>57</v>
      </c>
      <c r="GN12" t="s">
        <v>57</v>
      </c>
      <c r="GO12" t="s">
        <v>57</v>
      </c>
      <c r="GP12" t="s">
        <v>57</v>
      </c>
      <c r="GQ12" t="s">
        <v>57</v>
      </c>
      <c r="GR12" t="s">
        <v>57</v>
      </c>
      <c r="GS12" t="s">
        <v>57</v>
      </c>
      <c r="GT12" t="s">
        <v>57</v>
      </c>
      <c r="GU12" t="s">
        <v>57</v>
      </c>
      <c r="GV12" t="s">
        <v>57</v>
      </c>
      <c r="GW12" t="s">
        <v>57</v>
      </c>
      <c r="GX12" t="s">
        <v>57</v>
      </c>
      <c r="GY12" t="s">
        <v>57</v>
      </c>
      <c r="GZ12" t="s">
        <v>57</v>
      </c>
      <c r="HA12" t="s">
        <v>57</v>
      </c>
      <c r="HB12" t="s">
        <v>57</v>
      </c>
      <c r="HC12" t="s">
        <v>57</v>
      </c>
      <c r="HD12" t="s">
        <v>57</v>
      </c>
      <c r="HE12" t="s">
        <v>57</v>
      </c>
      <c r="HF12" t="s">
        <v>57</v>
      </c>
      <c r="HG12" t="s">
        <v>57</v>
      </c>
      <c r="HH12" t="s">
        <v>57</v>
      </c>
      <c r="HI12" t="s">
        <v>57</v>
      </c>
      <c r="HJ12" t="s">
        <v>57</v>
      </c>
      <c r="HK12" t="s">
        <v>57</v>
      </c>
      <c r="HL12" t="s">
        <v>57</v>
      </c>
      <c r="HM12" t="s">
        <v>57</v>
      </c>
      <c r="HN12" t="s">
        <v>57</v>
      </c>
      <c r="HO12" t="s">
        <v>57</v>
      </c>
      <c r="HP12" t="s">
        <v>57</v>
      </c>
      <c r="HQ12" t="s">
        <v>57</v>
      </c>
      <c r="HR12" t="s">
        <v>57</v>
      </c>
      <c r="HS12" t="s">
        <v>57</v>
      </c>
      <c r="HT12" t="s">
        <v>57</v>
      </c>
      <c r="HU12" t="s">
        <v>57</v>
      </c>
      <c r="HV12" t="s">
        <v>57</v>
      </c>
      <c r="HW12" t="s">
        <v>57</v>
      </c>
      <c r="HX12" t="s">
        <v>57</v>
      </c>
      <c r="HY12" t="s">
        <v>57</v>
      </c>
      <c r="HZ12" t="s">
        <v>57</v>
      </c>
      <c r="IA12" t="s">
        <v>57</v>
      </c>
      <c r="IB12" t="s">
        <v>57</v>
      </c>
      <c r="IC12" t="s">
        <v>57</v>
      </c>
      <c r="ID12" t="s">
        <v>57</v>
      </c>
      <c r="IE12" t="s">
        <v>57</v>
      </c>
      <c r="IF12" t="s">
        <v>124</v>
      </c>
      <c r="IG12" t="s">
        <v>155</v>
      </c>
      <c r="IH12" t="s">
        <v>123</v>
      </c>
      <c r="II12" t="s">
        <v>156</v>
      </c>
    </row>
    <row r="13" spans="1:243" x14ac:dyDescent="0.25">
      <c r="A13" s="111" t="str">
        <f>HYPERLINK("http://www.ofsted.gov.uk/inspection-reports/find-inspection-report/provider/ELS/100462 ","Ofsted School Webpage")</f>
        <v>Ofsted School Webpage</v>
      </c>
      <c r="B13">
        <v>100462</v>
      </c>
      <c r="C13">
        <v>2066299</v>
      </c>
      <c r="D13" t="s">
        <v>2165</v>
      </c>
      <c r="E13" t="s">
        <v>36</v>
      </c>
      <c r="F13" t="s">
        <v>166</v>
      </c>
      <c r="G13" t="s">
        <v>189</v>
      </c>
      <c r="H13" t="s">
        <v>189</v>
      </c>
      <c r="I13" t="s">
        <v>1874</v>
      </c>
      <c r="J13" t="s">
        <v>2166</v>
      </c>
      <c r="K13" t="s">
        <v>142</v>
      </c>
      <c r="L13" t="s">
        <v>142</v>
      </c>
      <c r="M13" t="s">
        <v>2596</v>
      </c>
      <c r="N13" t="s">
        <v>143</v>
      </c>
      <c r="O13">
        <v>10041394</v>
      </c>
      <c r="P13" s="108">
        <v>43151</v>
      </c>
      <c r="Q13" s="108">
        <v>43153</v>
      </c>
      <c r="R13" s="108">
        <v>43179</v>
      </c>
      <c r="S13" t="s">
        <v>153</v>
      </c>
      <c r="T13" t="s">
        <v>154</v>
      </c>
      <c r="U13">
        <v>1</v>
      </c>
      <c r="V13">
        <v>1</v>
      </c>
      <c r="W13">
        <v>1</v>
      </c>
      <c r="X13">
        <v>1</v>
      </c>
      <c r="Y13">
        <v>1</v>
      </c>
      <c r="Z13">
        <v>1</v>
      </c>
      <c r="AA13" t="s">
        <v>2596</v>
      </c>
      <c r="AB13" t="s">
        <v>123</v>
      </c>
      <c r="AC13" t="s">
        <v>2596</v>
      </c>
      <c r="AD13" t="s">
        <v>2598</v>
      </c>
      <c r="AE13" t="s">
        <v>57</v>
      </c>
      <c r="AF13" t="s">
        <v>57</v>
      </c>
      <c r="AG13" t="s">
        <v>57</v>
      </c>
      <c r="AH13" t="s">
        <v>57</v>
      </c>
      <c r="AI13" t="s">
        <v>57</v>
      </c>
      <c r="AJ13" t="s">
        <v>57</v>
      </c>
      <c r="AK13" t="s">
        <v>57</v>
      </c>
      <c r="AL13" t="s">
        <v>57</v>
      </c>
      <c r="AM13" t="s">
        <v>57</v>
      </c>
      <c r="AN13" t="s">
        <v>57</v>
      </c>
      <c r="AO13" t="s">
        <v>57</v>
      </c>
      <c r="AP13" t="s">
        <v>57</v>
      </c>
      <c r="AQ13" t="s">
        <v>57</v>
      </c>
      <c r="AR13" t="s">
        <v>57</v>
      </c>
      <c r="AS13" t="s">
        <v>57</v>
      </c>
      <c r="AT13" t="s">
        <v>57</v>
      </c>
      <c r="AU13" t="s">
        <v>175</v>
      </c>
      <c r="AV13" t="s">
        <v>57</v>
      </c>
      <c r="AW13" t="s">
        <v>57</v>
      </c>
      <c r="AX13" t="s">
        <v>57</v>
      </c>
      <c r="AY13" t="s">
        <v>175</v>
      </c>
      <c r="AZ13" t="s">
        <v>175</v>
      </c>
      <c r="BA13" t="s">
        <v>175</v>
      </c>
      <c r="BB13" t="s">
        <v>175</v>
      </c>
      <c r="BC13" t="s">
        <v>57</v>
      </c>
      <c r="BD13" t="s">
        <v>175</v>
      </c>
      <c r="BE13" t="s">
        <v>57</v>
      </c>
      <c r="BF13" t="s">
        <v>57</v>
      </c>
      <c r="BG13" t="s">
        <v>57</v>
      </c>
      <c r="BH13" t="s">
        <v>57</v>
      </c>
      <c r="BI13" t="s">
        <v>57</v>
      </c>
      <c r="BJ13" t="s">
        <v>57</v>
      </c>
      <c r="BK13" t="s">
        <v>57</v>
      </c>
      <c r="BL13" t="s">
        <v>57</v>
      </c>
      <c r="BM13" t="s">
        <v>57</v>
      </c>
      <c r="BN13" t="s">
        <v>57</v>
      </c>
      <c r="BO13" t="s">
        <v>57</v>
      </c>
      <c r="BP13" t="s">
        <v>57</v>
      </c>
      <c r="BQ13" t="s">
        <v>57</v>
      </c>
      <c r="BR13" t="s">
        <v>57</v>
      </c>
      <c r="BS13" t="s">
        <v>57</v>
      </c>
      <c r="BT13" t="s">
        <v>57</v>
      </c>
      <c r="BU13" t="s">
        <v>57</v>
      </c>
      <c r="BV13" t="s">
        <v>57</v>
      </c>
      <c r="BW13" t="s">
        <v>57</v>
      </c>
      <c r="BX13" t="s">
        <v>57</v>
      </c>
      <c r="BY13" t="s">
        <v>57</v>
      </c>
      <c r="BZ13" t="s">
        <v>57</v>
      </c>
      <c r="CA13" t="s">
        <v>57</v>
      </c>
      <c r="CB13" t="s">
        <v>57</v>
      </c>
      <c r="CC13" t="s">
        <v>57</v>
      </c>
      <c r="CD13" t="s">
        <v>57</v>
      </c>
      <c r="CE13" t="s">
        <v>57</v>
      </c>
      <c r="CF13" t="s">
        <v>57</v>
      </c>
      <c r="CG13" t="s">
        <v>57</v>
      </c>
      <c r="CH13" t="s">
        <v>57</v>
      </c>
      <c r="CI13" t="s">
        <v>57</v>
      </c>
      <c r="CJ13" t="s">
        <v>57</v>
      </c>
      <c r="CK13" t="s">
        <v>175</v>
      </c>
      <c r="CL13" t="s">
        <v>175</v>
      </c>
      <c r="CM13" t="s">
        <v>175</v>
      </c>
      <c r="CN13" t="s">
        <v>57</v>
      </c>
      <c r="CO13" t="s">
        <v>57</v>
      </c>
      <c r="CP13" t="s">
        <v>57</v>
      </c>
      <c r="CQ13" t="s">
        <v>57</v>
      </c>
      <c r="CR13" t="s">
        <v>57</v>
      </c>
      <c r="CS13" t="s">
        <v>57</v>
      </c>
      <c r="CT13" t="s">
        <v>57</v>
      </c>
      <c r="CU13" t="s">
        <v>57</v>
      </c>
      <c r="CV13" t="s">
        <v>57</v>
      </c>
      <c r="CW13" t="s">
        <v>57</v>
      </c>
      <c r="CX13" t="s">
        <v>57</v>
      </c>
      <c r="CY13" t="s">
        <v>57</v>
      </c>
      <c r="CZ13" t="s">
        <v>57</v>
      </c>
      <c r="DA13" t="s">
        <v>57</v>
      </c>
      <c r="DB13" t="s">
        <v>57</v>
      </c>
      <c r="DC13" t="s">
        <v>57</v>
      </c>
      <c r="DD13" t="s">
        <v>57</v>
      </c>
      <c r="DE13" t="s">
        <v>57</v>
      </c>
      <c r="DF13" t="s">
        <v>57</v>
      </c>
      <c r="DG13" t="s">
        <v>57</v>
      </c>
      <c r="DH13" t="s">
        <v>57</v>
      </c>
      <c r="DI13" t="s">
        <v>57</v>
      </c>
      <c r="DJ13" t="s">
        <v>57</v>
      </c>
      <c r="DK13" t="s">
        <v>175</v>
      </c>
      <c r="DL13" t="s">
        <v>57</v>
      </c>
      <c r="DM13" t="s">
        <v>175</v>
      </c>
      <c r="DN13" t="s">
        <v>175</v>
      </c>
      <c r="DO13" t="s">
        <v>175</v>
      </c>
      <c r="DP13" t="s">
        <v>175</v>
      </c>
      <c r="DQ13" t="s">
        <v>175</v>
      </c>
      <c r="DR13" t="s">
        <v>175</v>
      </c>
      <c r="DS13" t="s">
        <v>175</v>
      </c>
      <c r="DT13" t="s">
        <v>175</v>
      </c>
      <c r="DU13" t="s">
        <v>175</v>
      </c>
      <c r="DV13" t="s">
        <v>175</v>
      </c>
      <c r="DW13" t="s">
        <v>175</v>
      </c>
      <c r="DX13" t="s">
        <v>175</v>
      </c>
      <c r="DY13" t="s">
        <v>175</v>
      </c>
      <c r="DZ13" t="s">
        <v>57</v>
      </c>
      <c r="EA13" t="s">
        <v>57</v>
      </c>
      <c r="EB13" t="s">
        <v>57</v>
      </c>
      <c r="EC13" t="s">
        <v>57</v>
      </c>
      <c r="ED13" t="s">
        <v>57</v>
      </c>
      <c r="EE13" t="s">
        <v>57</v>
      </c>
      <c r="EF13" t="s">
        <v>57</v>
      </c>
      <c r="EG13" t="s">
        <v>57</v>
      </c>
      <c r="EH13" t="s">
        <v>57</v>
      </c>
      <c r="EI13" t="s">
        <v>57</v>
      </c>
      <c r="EJ13" t="s">
        <v>57</v>
      </c>
      <c r="EK13" t="s">
        <v>57</v>
      </c>
      <c r="EL13" t="s">
        <v>57</v>
      </c>
      <c r="EM13" t="s">
        <v>57</v>
      </c>
      <c r="EN13" t="s">
        <v>57</v>
      </c>
      <c r="EO13" t="s">
        <v>57</v>
      </c>
      <c r="EP13" t="s">
        <v>57</v>
      </c>
      <c r="EQ13" t="s">
        <v>57</v>
      </c>
      <c r="ER13" t="s">
        <v>57</v>
      </c>
      <c r="ES13" t="s">
        <v>57</v>
      </c>
      <c r="ET13" t="s">
        <v>57</v>
      </c>
      <c r="EU13" t="s">
        <v>57</v>
      </c>
      <c r="EV13" t="s">
        <v>57</v>
      </c>
      <c r="EW13" t="s">
        <v>57</v>
      </c>
      <c r="EX13" t="s">
        <v>175</v>
      </c>
      <c r="EY13" t="s">
        <v>175</v>
      </c>
      <c r="EZ13" t="s">
        <v>175</v>
      </c>
      <c r="FA13" t="s">
        <v>175</v>
      </c>
      <c r="FB13" t="s">
        <v>175</v>
      </c>
      <c r="FC13" t="s">
        <v>175</v>
      </c>
      <c r="FD13" t="s">
        <v>175</v>
      </c>
      <c r="FE13" t="s">
        <v>175</v>
      </c>
      <c r="FF13" t="s">
        <v>148</v>
      </c>
      <c r="FG13" t="s">
        <v>175</v>
      </c>
      <c r="FH13" t="s">
        <v>57</v>
      </c>
      <c r="FI13" t="s">
        <v>57</v>
      </c>
      <c r="FJ13" t="s">
        <v>57</v>
      </c>
      <c r="FK13" t="s">
        <v>57</v>
      </c>
      <c r="FL13" t="s">
        <v>57</v>
      </c>
      <c r="FM13" t="s">
        <v>57</v>
      </c>
      <c r="FN13" t="s">
        <v>57</v>
      </c>
      <c r="FO13" t="s">
        <v>175</v>
      </c>
      <c r="FP13" t="s">
        <v>57</v>
      </c>
      <c r="FQ13" t="s">
        <v>57</v>
      </c>
      <c r="FR13" t="s">
        <v>57</v>
      </c>
      <c r="FS13" t="s">
        <v>57</v>
      </c>
      <c r="FT13" t="s">
        <v>57</v>
      </c>
      <c r="FU13" t="s">
        <v>57</v>
      </c>
      <c r="FV13" t="s">
        <v>57</v>
      </c>
      <c r="FW13" t="s">
        <v>57</v>
      </c>
      <c r="FX13" t="s">
        <v>57</v>
      </c>
      <c r="FY13" t="s">
        <v>57</v>
      </c>
      <c r="FZ13" t="s">
        <v>57</v>
      </c>
      <c r="GA13" t="s">
        <v>57</v>
      </c>
      <c r="GB13" t="s">
        <v>57</v>
      </c>
      <c r="GC13" t="s">
        <v>57</v>
      </c>
      <c r="GD13" t="s">
        <v>57</v>
      </c>
      <c r="GE13" t="s">
        <v>57</v>
      </c>
      <c r="GF13" t="s">
        <v>57</v>
      </c>
      <c r="GG13" t="s">
        <v>175</v>
      </c>
      <c r="GH13" t="s">
        <v>57</v>
      </c>
      <c r="GI13" t="s">
        <v>57</v>
      </c>
      <c r="GJ13" t="s">
        <v>57</v>
      </c>
      <c r="GK13" t="s">
        <v>57</v>
      </c>
      <c r="GL13" t="s">
        <v>57</v>
      </c>
      <c r="GM13" t="s">
        <v>175</v>
      </c>
      <c r="GN13" t="s">
        <v>57</v>
      </c>
      <c r="GO13" t="s">
        <v>57</v>
      </c>
      <c r="GP13" t="s">
        <v>175</v>
      </c>
      <c r="GQ13" t="s">
        <v>57</v>
      </c>
      <c r="GR13" t="s">
        <v>57</v>
      </c>
      <c r="GS13" t="s">
        <v>57</v>
      </c>
      <c r="GT13" t="s">
        <v>57</v>
      </c>
      <c r="GU13" t="s">
        <v>57</v>
      </c>
      <c r="GV13" t="s">
        <v>57</v>
      </c>
      <c r="GW13" t="s">
        <v>175</v>
      </c>
      <c r="GX13" t="s">
        <v>57</v>
      </c>
      <c r="GY13" t="s">
        <v>57</v>
      </c>
      <c r="GZ13" t="s">
        <v>57</v>
      </c>
      <c r="HA13" t="s">
        <v>57</v>
      </c>
      <c r="HB13" t="s">
        <v>57</v>
      </c>
      <c r="HC13" t="s">
        <v>57</v>
      </c>
      <c r="HD13" t="s">
        <v>57</v>
      </c>
      <c r="HE13" t="s">
        <v>57</v>
      </c>
      <c r="HF13" t="s">
        <v>57</v>
      </c>
      <c r="HG13" t="s">
        <v>57</v>
      </c>
      <c r="HH13" t="s">
        <v>175</v>
      </c>
      <c r="HI13" t="s">
        <v>175</v>
      </c>
      <c r="HJ13" t="s">
        <v>175</v>
      </c>
      <c r="HK13" t="s">
        <v>175</v>
      </c>
      <c r="HL13" t="s">
        <v>57</v>
      </c>
      <c r="HM13" t="s">
        <v>57</v>
      </c>
      <c r="HN13" t="s">
        <v>57</v>
      </c>
      <c r="HO13" t="s">
        <v>57</v>
      </c>
      <c r="HP13" t="s">
        <v>57</v>
      </c>
      <c r="HQ13" t="s">
        <v>57</v>
      </c>
      <c r="HR13" t="s">
        <v>57</v>
      </c>
      <c r="HS13" t="s">
        <v>57</v>
      </c>
      <c r="HT13" t="s">
        <v>57</v>
      </c>
      <c r="HU13" t="s">
        <v>57</v>
      </c>
      <c r="HV13" t="s">
        <v>57</v>
      </c>
      <c r="HW13" t="s">
        <v>57</v>
      </c>
      <c r="HX13" t="s">
        <v>57</v>
      </c>
      <c r="HY13" t="s">
        <v>57</v>
      </c>
      <c r="HZ13" t="s">
        <v>57</v>
      </c>
      <c r="IA13" t="s">
        <v>57</v>
      </c>
      <c r="IB13" t="s">
        <v>57</v>
      </c>
      <c r="IC13" t="s">
        <v>57</v>
      </c>
      <c r="ID13" t="s">
        <v>57</v>
      </c>
      <c r="IE13" t="s">
        <v>57</v>
      </c>
      <c r="IF13" t="s">
        <v>124</v>
      </c>
      <c r="IG13" t="s">
        <v>148</v>
      </c>
      <c r="IH13" t="s">
        <v>123</v>
      </c>
      <c r="II13" t="s">
        <v>156</v>
      </c>
    </row>
    <row r="14" spans="1:243" x14ac:dyDescent="0.25">
      <c r="A14" s="111" t="str">
        <f>HYPERLINK("http://www.ofsted.gov.uk/inspection-reports/find-inspection-report/provider/ELS/100518 ","Ofsted School Webpage")</f>
        <v>Ofsted School Webpage</v>
      </c>
      <c r="B14">
        <v>100518</v>
      </c>
      <c r="C14">
        <v>2076188</v>
      </c>
      <c r="D14" t="s">
        <v>2181</v>
      </c>
      <c r="E14" t="s">
        <v>36</v>
      </c>
      <c r="F14" t="s">
        <v>166</v>
      </c>
      <c r="G14" t="s">
        <v>189</v>
      </c>
      <c r="H14" t="s">
        <v>189</v>
      </c>
      <c r="I14" t="s">
        <v>251</v>
      </c>
      <c r="J14" t="s">
        <v>2182</v>
      </c>
      <c r="K14" t="s">
        <v>142</v>
      </c>
      <c r="L14" t="s">
        <v>142</v>
      </c>
      <c r="M14" t="s">
        <v>2596</v>
      </c>
      <c r="N14" t="s">
        <v>143</v>
      </c>
      <c r="O14">
        <v>10038150</v>
      </c>
      <c r="P14" s="108">
        <v>43116</v>
      </c>
      <c r="Q14" s="108">
        <v>43118</v>
      </c>
      <c r="R14" s="108">
        <v>43157</v>
      </c>
      <c r="S14" t="s">
        <v>153</v>
      </c>
      <c r="T14" t="s">
        <v>154</v>
      </c>
      <c r="U14">
        <v>2</v>
      </c>
      <c r="V14">
        <v>2</v>
      </c>
      <c r="W14">
        <v>1</v>
      </c>
      <c r="X14">
        <v>2</v>
      </c>
      <c r="Y14">
        <v>2</v>
      </c>
      <c r="Z14">
        <v>2</v>
      </c>
      <c r="AA14" t="s">
        <v>2596</v>
      </c>
      <c r="AB14" t="s">
        <v>123</v>
      </c>
      <c r="AC14" t="s">
        <v>2596</v>
      </c>
      <c r="AD14" t="s">
        <v>2598</v>
      </c>
      <c r="AE14" t="s">
        <v>57</v>
      </c>
      <c r="AF14" t="s">
        <v>57</v>
      </c>
      <c r="AG14" t="s">
        <v>57</v>
      </c>
      <c r="AH14" t="s">
        <v>57</v>
      </c>
      <c r="AI14" t="s">
        <v>57</v>
      </c>
      <c r="AJ14" t="s">
        <v>57</v>
      </c>
      <c r="AK14" t="s">
        <v>57</v>
      </c>
      <c r="AL14" t="s">
        <v>57</v>
      </c>
      <c r="AM14" t="s">
        <v>57</v>
      </c>
      <c r="AN14" t="s">
        <v>57</v>
      </c>
      <c r="AO14" t="s">
        <v>57</v>
      </c>
      <c r="AP14" t="s">
        <v>57</v>
      </c>
      <c r="AQ14" t="s">
        <v>57</v>
      </c>
      <c r="AR14" t="s">
        <v>57</v>
      </c>
      <c r="AS14" t="s">
        <v>57</v>
      </c>
      <c r="AT14" t="s">
        <v>57</v>
      </c>
      <c r="AU14" t="s">
        <v>57</v>
      </c>
      <c r="AV14" t="s">
        <v>57</v>
      </c>
      <c r="AW14" t="s">
        <v>57</v>
      </c>
      <c r="AX14" t="s">
        <v>57</v>
      </c>
      <c r="AY14" t="s">
        <v>57</v>
      </c>
      <c r="AZ14" t="s">
        <v>57</v>
      </c>
      <c r="BA14" t="s">
        <v>57</v>
      </c>
      <c r="BB14" t="s">
        <v>57</v>
      </c>
      <c r="BC14" t="s">
        <v>57</v>
      </c>
      <c r="BD14" t="s">
        <v>57</v>
      </c>
      <c r="BE14" t="s">
        <v>57</v>
      </c>
      <c r="BF14" t="s">
        <v>57</v>
      </c>
      <c r="BG14" t="s">
        <v>57</v>
      </c>
      <c r="BH14" t="s">
        <v>57</v>
      </c>
      <c r="BI14" t="s">
        <v>57</v>
      </c>
      <c r="BJ14" t="s">
        <v>57</v>
      </c>
      <c r="BK14" t="s">
        <v>57</v>
      </c>
      <c r="BL14" t="s">
        <v>57</v>
      </c>
      <c r="BM14" t="s">
        <v>57</v>
      </c>
      <c r="BN14" t="s">
        <v>57</v>
      </c>
      <c r="BO14" t="s">
        <v>57</v>
      </c>
      <c r="BP14" t="s">
        <v>57</v>
      </c>
      <c r="BQ14" t="s">
        <v>57</v>
      </c>
      <c r="BR14" t="s">
        <v>57</v>
      </c>
      <c r="BS14" t="s">
        <v>57</v>
      </c>
      <c r="BT14" t="s">
        <v>57</v>
      </c>
      <c r="BU14" t="s">
        <v>57</v>
      </c>
      <c r="BV14" t="s">
        <v>57</v>
      </c>
      <c r="BW14" t="s">
        <v>57</v>
      </c>
      <c r="BX14" t="s">
        <v>57</v>
      </c>
      <c r="BY14" t="s">
        <v>57</v>
      </c>
      <c r="BZ14" t="s">
        <v>57</v>
      </c>
      <c r="CA14" t="s">
        <v>57</v>
      </c>
      <c r="CB14" t="s">
        <v>57</v>
      </c>
      <c r="CC14" t="s">
        <v>57</v>
      </c>
      <c r="CD14" t="s">
        <v>57</v>
      </c>
      <c r="CE14" t="s">
        <v>57</v>
      </c>
      <c r="CF14" t="s">
        <v>57</v>
      </c>
      <c r="CG14" t="s">
        <v>57</v>
      </c>
      <c r="CH14" t="s">
        <v>57</v>
      </c>
      <c r="CI14" t="s">
        <v>57</v>
      </c>
      <c r="CJ14" t="s">
        <v>57</v>
      </c>
      <c r="CK14" t="s">
        <v>175</v>
      </c>
      <c r="CL14" t="s">
        <v>175</v>
      </c>
      <c r="CM14" t="s">
        <v>175</v>
      </c>
      <c r="CN14" t="s">
        <v>57</v>
      </c>
      <c r="CO14" t="s">
        <v>57</v>
      </c>
      <c r="CP14" t="s">
        <v>57</v>
      </c>
      <c r="CQ14" t="s">
        <v>57</v>
      </c>
      <c r="CR14" t="s">
        <v>57</v>
      </c>
      <c r="CS14" t="s">
        <v>57</v>
      </c>
      <c r="CT14" t="s">
        <v>57</v>
      </c>
      <c r="CU14" t="s">
        <v>57</v>
      </c>
      <c r="CV14" t="s">
        <v>57</v>
      </c>
      <c r="CW14" t="s">
        <v>57</v>
      </c>
      <c r="CX14" t="s">
        <v>57</v>
      </c>
      <c r="CY14" t="s">
        <v>57</v>
      </c>
      <c r="CZ14" t="s">
        <v>57</v>
      </c>
      <c r="DA14" t="s">
        <v>57</v>
      </c>
      <c r="DB14" t="s">
        <v>57</v>
      </c>
      <c r="DC14" t="s">
        <v>57</v>
      </c>
      <c r="DD14" t="s">
        <v>57</v>
      </c>
      <c r="DE14" t="s">
        <v>57</v>
      </c>
      <c r="DF14" t="s">
        <v>57</v>
      </c>
      <c r="DG14" t="s">
        <v>57</v>
      </c>
      <c r="DH14" t="s">
        <v>57</v>
      </c>
      <c r="DI14" t="s">
        <v>57</v>
      </c>
      <c r="DJ14" t="s">
        <v>57</v>
      </c>
      <c r="DK14" t="s">
        <v>175</v>
      </c>
      <c r="DL14" t="s">
        <v>57</v>
      </c>
      <c r="DM14" t="s">
        <v>175</v>
      </c>
      <c r="DN14" t="s">
        <v>175</v>
      </c>
      <c r="DO14" t="s">
        <v>175</v>
      </c>
      <c r="DP14" t="s">
        <v>175</v>
      </c>
      <c r="DQ14" t="s">
        <v>175</v>
      </c>
      <c r="DR14" t="s">
        <v>175</v>
      </c>
      <c r="DS14" t="s">
        <v>175</v>
      </c>
      <c r="DT14" t="s">
        <v>175</v>
      </c>
      <c r="DU14" t="s">
        <v>175</v>
      </c>
      <c r="DV14" t="s">
        <v>175</v>
      </c>
      <c r="DW14" t="s">
        <v>175</v>
      </c>
      <c r="DX14" t="s">
        <v>175</v>
      </c>
      <c r="DY14" t="s">
        <v>175</v>
      </c>
      <c r="DZ14" t="s">
        <v>175</v>
      </c>
      <c r="EA14" t="s">
        <v>57</v>
      </c>
      <c r="EB14" t="s">
        <v>57</v>
      </c>
      <c r="EC14" t="s">
        <v>57</v>
      </c>
      <c r="ED14" t="s">
        <v>57</v>
      </c>
      <c r="EE14" t="s">
        <v>57</v>
      </c>
      <c r="EF14" t="s">
        <v>57</v>
      </c>
      <c r="EG14" t="s">
        <v>57</v>
      </c>
      <c r="EH14" t="s">
        <v>57</v>
      </c>
      <c r="EI14" t="s">
        <v>57</v>
      </c>
      <c r="EJ14" t="s">
        <v>57</v>
      </c>
      <c r="EK14" t="s">
        <v>57</v>
      </c>
      <c r="EL14" t="s">
        <v>57</v>
      </c>
      <c r="EM14" t="s">
        <v>57</v>
      </c>
      <c r="EN14" t="s">
        <v>57</v>
      </c>
      <c r="EO14" t="s">
        <v>57</v>
      </c>
      <c r="EP14" t="s">
        <v>57</v>
      </c>
      <c r="EQ14" t="s">
        <v>57</v>
      </c>
      <c r="ER14" t="s">
        <v>57</v>
      </c>
      <c r="ES14" t="s">
        <v>57</v>
      </c>
      <c r="ET14" t="s">
        <v>57</v>
      </c>
      <c r="EU14" t="s">
        <v>57</v>
      </c>
      <c r="EV14" t="s">
        <v>57</v>
      </c>
      <c r="EW14" t="s">
        <v>57</v>
      </c>
      <c r="EX14" t="s">
        <v>175</v>
      </c>
      <c r="EY14" t="s">
        <v>57</v>
      </c>
      <c r="EZ14" t="s">
        <v>57</v>
      </c>
      <c r="FA14" t="s">
        <v>57</v>
      </c>
      <c r="FB14" t="s">
        <v>57</v>
      </c>
      <c r="FC14" t="s">
        <v>57</v>
      </c>
      <c r="FD14" t="s">
        <v>57</v>
      </c>
      <c r="FE14" t="s">
        <v>57</v>
      </c>
      <c r="FF14" t="s">
        <v>57</v>
      </c>
      <c r="FG14" t="s">
        <v>57</v>
      </c>
      <c r="FH14" t="s">
        <v>57</v>
      </c>
      <c r="FI14" t="s">
        <v>57</v>
      </c>
      <c r="FJ14" t="s">
        <v>57</v>
      </c>
      <c r="FK14" t="s">
        <v>57</v>
      </c>
      <c r="FL14" t="s">
        <v>57</v>
      </c>
      <c r="FM14" t="s">
        <v>57</v>
      </c>
      <c r="FN14" t="s">
        <v>57</v>
      </c>
      <c r="FO14" t="s">
        <v>175</v>
      </c>
      <c r="FP14" t="s">
        <v>57</v>
      </c>
      <c r="FQ14" t="s">
        <v>57</v>
      </c>
      <c r="FR14" t="s">
        <v>57</v>
      </c>
      <c r="FS14" t="s">
        <v>57</v>
      </c>
      <c r="FT14" t="s">
        <v>57</v>
      </c>
      <c r="FU14" t="s">
        <v>57</v>
      </c>
      <c r="FV14" t="s">
        <v>57</v>
      </c>
      <c r="FW14" t="s">
        <v>57</v>
      </c>
      <c r="FX14" t="s">
        <v>57</v>
      </c>
      <c r="FY14" t="s">
        <v>57</v>
      </c>
      <c r="FZ14" t="s">
        <v>57</v>
      </c>
      <c r="GA14" t="s">
        <v>57</v>
      </c>
      <c r="GB14" t="s">
        <v>57</v>
      </c>
      <c r="GC14" t="s">
        <v>57</v>
      </c>
      <c r="GD14" t="s">
        <v>57</v>
      </c>
      <c r="GE14" t="s">
        <v>57</v>
      </c>
      <c r="GF14" t="s">
        <v>57</v>
      </c>
      <c r="GG14" t="s">
        <v>175</v>
      </c>
      <c r="GH14" t="s">
        <v>57</v>
      </c>
      <c r="GI14" t="s">
        <v>57</v>
      </c>
      <c r="GJ14" t="s">
        <v>57</v>
      </c>
      <c r="GK14" t="s">
        <v>57</v>
      </c>
      <c r="GL14" t="s">
        <v>57</v>
      </c>
      <c r="GM14" t="s">
        <v>175</v>
      </c>
      <c r="GN14" t="s">
        <v>57</v>
      </c>
      <c r="GO14" t="s">
        <v>57</v>
      </c>
      <c r="GP14" t="s">
        <v>175</v>
      </c>
      <c r="GQ14" t="s">
        <v>175</v>
      </c>
      <c r="GR14" t="s">
        <v>57</v>
      </c>
      <c r="GS14" t="s">
        <v>57</v>
      </c>
      <c r="GT14" t="s">
        <v>57</v>
      </c>
      <c r="GU14" t="s">
        <v>57</v>
      </c>
      <c r="GV14" t="s">
        <v>57</v>
      </c>
      <c r="GW14" t="s">
        <v>57</v>
      </c>
      <c r="GX14" t="s">
        <v>57</v>
      </c>
      <c r="GY14" t="s">
        <v>57</v>
      </c>
      <c r="GZ14" t="s">
        <v>57</v>
      </c>
      <c r="HA14" t="s">
        <v>57</v>
      </c>
      <c r="HB14" t="s">
        <v>175</v>
      </c>
      <c r="HC14" t="s">
        <v>57</v>
      </c>
      <c r="HD14" t="s">
        <v>57</v>
      </c>
      <c r="HE14" t="s">
        <v>57</v>
      </c>
      <c r="HF14" t="s">
        <v>57</v>
      </c>
      <c r="HG14" t="s">
        <v>57</v>
      </c>
      <c r="HH14" t="s">
        <v>57</v>
      </c>
      <c r="HI14" t="s">
        <v>57</v>
      </c>
      <c r="HJ14" t="s">
        <v>57</v>
      </c>
      <c r="HK14" t="s">
        <v>57</v>
      </c>
      <c r="HL14" t="s">
        <v>57</v>
      </c>
      <c r="HM14" t="s">
        <v>57</v>
      </c>
      <c r="HN14" t="s">
        <v>57</v>
      </c>
      <c r="HO14" t="s">
        <v>57</v>
      </c>
      <c r="HP14" t="s">
        <v>57</v>
      </c>
      <c r="HQ14" t="s">
        <v>57</v>
      </c>
      <c r="HR14" t="s">
        <v>57</v>
      </c>
      <c r="HS14" t="s">
        <v>57</v>
      </c>
      <c r="HT14" t="s">
        <v>57</v>
      </c>
      <c r="HU14" t="s">
        <v>57</v>
      </c>
      <c r="HV14" t="s">
        <v>57</v>
      </c>
      <c r="HW14" t="s">
        <v>57</v>
      </c>
      <c r="HX14" t="s">
        <v>57</v>
      </c>
      <c r="HY14" t="s">
        <v>57</v>
      </c>
      <c r="HZ14" t="s">
        <v>57</v>
      </c>
      <c r="IA14" t="s">
        <v>57</v>
      </c>
      <c r="IB14" t="s">
        <v>57</v>
      </c>
      <c r="IC14" t="s">
        <v>57</v>
      </c>
      <c r="ID14" t="s">
        <v>57</v>
      </c>
      <c r="IE14" t="s">
        <v>57</v>
      </c>
      <c r="IF14" t="s">
        <v>124</v>
      </c>
      <c r="IG14" t="s">
        <v>148</v>
      </c>
      <c r="IH14" t="s">
        <v>123</v>
      </c>
      <c r="II14" t="s">
        <v>156</v>
      </c>
    </row>
    <row r="15" spans="1:243" x14ac:dyDescent="0.25">
      <c r="A15" s="111" t="str">
        <f>HYPERLINK("http://www.ofsted.gov.uk/inspection-reports/find-inspection-report/provider/ELS/100526 ","Ofsted School Webpage")</f>
        <v>Ofsted School Webpage</v>
      </c>
      <c r="B15">
        <v>100526</v>
      </c>
      <c r="C15">
        <v>2076262</v>
      </c>
      <c r="D15" t="s">
        <v>1856</v>
      </c>
      <c r="E15" t="s">
        <v>36</v>
      </c>
      <c r="F15" t="s">
        <v>166</v>
      </c>
      <c r="G15" t="s">
        <v>189</v>
      </c>
      <c r="H15" t="s">
        <v>189</v>
      </c>
      <c r="I15" t="s">
        <v>251</v>
      </c>
      <c r="J15" t="s">
        <v>1857</v>
      </c>
      <c r="K15" t="s">
        <v>142</v>
      </c>
      <c r="L15" t="s">
        <v>142</v>
      </c>
      <c r="M15" t="s">
        <v>2596</v>
      </c>
      <c r="N15" t="s">
        <v>143</v>
      </c>
      <c r="O15">
        <v>10034187</v>
      </c>
      <c r="P15" s="108">
        <v>43004</v>
      </c>
      <c r="Q15" s="108">
        <v>43006</v>
      </c>
      <c r="R15" s="108">
        <v>43076</v>
      </c>
      <c r="S15" t="s">
        <v>224</v>
      </c>
      <c r="T15" t="s">
        <v>154</v>
      </c>
      <c r="U15">
        <v>4</v>
      </c>
      <c r="V15">
        <v>4</v>
      </c>
      <c r="W15">
        <v>4</v>
      </c>
      <c r="X15">
        <v>2</v>
      </c>
      <c r="Y15">
        <v>2</v>
      </c>
      <c r="Z15" t="s">
        <v>2596</v>
      </c>
      <c r="AA15">
        <v>4</v>
      </c>
      <c r="AB15" t="s">
        <v>124</v>
      </c>
      <c r="AC15" t="s">
        <v>2596</v>
      </c>
      <c r="AD15" t="s">
        <v>2599</v>
      </c>
      <c r="AE15" t="s">
        <v>57</v>
      </c>
      <c r="AF15" t="s">
        <v>57</v>
      </c>
      <c r="AG15" t="s">
        <v>58</v>
      </c>
      <c r="AH15" t="s">
        <v>58</v>
      </c>
      <c r="AI15" t="s">
        <v>57</v>
      </c>
      <c r="AJ15" t="s">
        <v>57</v>
      </c>
      <c r="AK15" t="s">
        <v>57</v>
      </c>
      <c r="AL15" t="s">
        <v>58</v>
      </c>
      <c r="AM15" t="s">
        <v>57</v>
      </c>
      <c r="AN15" t="s">
        <v>57</v>
      </c>
      <c r="AO15" t="s">
        <v>57</v>
      </c>
      <c r="AP15" t="s">
        <v>57</v>
      </c>
      <c r="AQ15" t="s">
        <v>57</v>
      </c>
      <c r="AR15" t="s">
        <v>57</v>
      </c>
      <c r="AS15" t="s">
        <v>57</v>
      </c>
      <c r="AT15" t="s">
        <v>57</v>
      </c>
      <c r="AU15" t="s">
        <v>148</v>
      </c>
      <c r="AV15" t="s">
        <v>57</v>
      </c>
      <c r="AW15" t="s">
        <v>57</v>
      </c>
      <c r="AX15" t="s">
        <v>57</v>
      </c>
      <c r="AY15" t="s">
        <v>57</v>
      </c>
      <c r="AZ15" t="s">
        <v>57</v>
      </c>
      <c r="BA15" t="s">
        <v>57</v>
      </c>
      <c r="BB15" t="s">
        <v>57</v>
      </c>
      <c r="BC15" t="s">
        <v>148</v>
      </c>
      <c r="BD15" t="s">
        <v>57</v>
      </c>
      <c r="BE15" t="s">
        <v>57</v>
      </c>
      <c r="BF15" t="s">
        <v>57</v>
      </c>
      <c r="BG15" t="s">
        <v>57</v>
      </c>
      <c r="BH15" t="s">
        <v>57</v>
      </c>
      <c r="BI15" t="s">
        <v>57</v>
      </c>
      <c r="BJ15" t="s">
        <v>57</v>
      </c>
      <c r="BK15" t="s">
        <v>57</v>
      </c>
      <c r="BL15" t="s">
        <v>57</v>
      </c>
      <c r="BM15" t="s">
        <v>57</v>
      </c>
      <c r="BN15" t="s">
        <v>57</v>
      </c>
      <c r="BO15" t="s">
        <v>57</v>
      </c>
      <c r="BP15" t="s">
        <v>57</v>
      </c>
      <c r="BQ15" t="s">
        <v>57</v>
      </c>
      <c r="BR15" t="s">
        <v>57</v>
      </c>
      <c r="BS15" t="s">
        <v>57</v>
      </c>
      <c r="BT15" t="s">
        <v>57</v>
      </c>
      <c r="BU15" t="s">
        <v>57</v>
      </c>
      <c r="BV15" t="s">
        <v>57</v>
      </c>
      <c r="BW15" t="s">
        <v>57</v>
      </c>
      <c r="BX15" t="s">
        <v>57</v>
      </c>
      <c r="BY15" t="s">
        <v>57</v>
      </c>
      <c r="BZ15" t="s">
        <v>57</v>
      </c>
      <c r="CA15" t="s">
        <v>57</v>
      </c>
      <c r="CB15" t="s">
        <v>57</v>
      </c>
      <c r="CC15" t="s">
        <v>57</v>
      </c>
      <c r="CD15" t="s">
        <v>57</v>
      </c>
      <c r="CE15" t="s">
        <v>57</v>
      </c>
      <c r="CF15" t="s">
        <v>57</v>
      </c>
      <c r="CG15" t="s">
        <v>57</v>
      </c>
      <c r="CH15" t="s">
        <v>58</v>
      </c>
      <c r="CI15" t="s">
        <v>58</v>
      </c>
      <c r="CJ15" t="s">
        <v>58</v>
      </c>
      <c r="CK15" t="s">
        <v>58</v>
      </c>
      <c r="CL15" t="s">
        <v>58</v>
      </c>
      <c r="CM15" t="s">
        <v>58</v>
      </c>
      <c r="CN15" t="s">
        <v>57</v>
      </c>
      <c r="CO15" t="s">
        <v>57</v>
      </c>
      <c r="CP15" t="s">
        <v>57</v>
      </c>
      <c r="CQ15" t="s">
        <v>57</v>
      </c>
      <c r="CR15" t="s">
        <v>57</v>
      </c>
      <c r="CS15" t="s">
        <v>58</v>
      </c>
      <c r="CT15" t="s">
        <v>58</v>
      </c>
      <c r="CU15" t="s">
        <v>57</v>
      </c>
      <c r="CV15" t="s">
        <v>57</v>
      </c>
      <c r="CW15" t="s">
        <v>57</v>
      </c>
      <c r="CX15" t="s">
        <v>58</v>
      </c>
      <c r="CY15" t="s">
        <v>58</v>
      </c>
      <c r="CZ15" t="s">
        <v>58</v>
      </c>
      <c r="DA15" t="s">
        <v>58</v>
      </c>
      <c r="DB15" t="s">
        <v>58</v>
      </c>
      <c r="DC15" t="s">
        <v>58</v>
      </c>
      <c r="DD15" t="s">
        <v>58</v>
      </c>
      <c r="DE15" t="s">
        <v>57</v>
      </c>
      <c r="DF15" t="s">
        <v>57</v>
      </c>
      <c r="DG15" t="s">
        <v>57</v>
      </c>
      <c r="DH15" t="s">
        <v>58</v>
      </c>
      <c r="DI15" t="s">
        <v>58</v>
      </c>
      <c r="DJ15" t="s">
        <v>57</v>
      </c>
      <c r="DK15" t="s">
        <v>58</v>
      </c>
      <c r="DL15" t="s">
        <v>58</v>
      </c>
      <c r="DM15" t="s">
        <v>148</v>
      </c>
      <c r="DN15" t="s">
        <v>148</v>
      </c>
      <c r="DO15" t="s">
        <v>148</v>
      </c>
      <c r="DP15" t="s">
        <v>148</v>
      </c>
      <c r="DQ15" t="s">
        <v>148</v>
      </c>
      <c r="DR15" t="s">
        <v>148</v>
      </c>
      <c r="DS15" t="s">
        <v>148</v>
      </c>
      <c r="DT15" t="s">
        <v>148</v>
      </c>
      <c r="DU15" t="s">
        <v>148</v>
      </c>
      <c r="DV15" t="s">
        <v>148</v>
      </c>
      <c r="DW15" t="s">
        <v>148</v>
      </c>
      <c r="DX15" t="s">
        <v>148</v>
      </c>
      <c r="DY15" t="s">
        <v>148</v>
      </c>
      <c r="DZ15" t="s">
        <v>148</v>
      </c>
      <c r="EA15" t="s">
        <v>148</v>
      </c>
      <c r="EB15" t="s">
        <v>148</v>
      </c>
      <c r="EC15" t="s">
        <v>148</v>
      </c>
      <c r="ED15" t="s">
        <v>148</v>
      </c>
      <c r="EE15" t="s">
        <v>148</v>
      </c>
      <c r="EF15" t="s">
        <v>148</v>
      </c>
      <c r="EG15" t="s">
        <v>148</v>
      </c>
      <c r="EH15" t="s">
        <v>148</v>
      </c>
      <c r="EI15" t="s">
        <v>148</v>
      </c>
      <c r="EJ15" t="s">
        <v>58</v>
      </c>
      <c r="EK15" t="s">
        <v>57</v>
      </c>
      <c r="EL15" t="s">
        <v>58</v>
      </c>
      <c r="EM15" t="s">
        <v>57</v>
      </c>
      <c r="EN15" t="s">
        <v>57</v>
      </c>
      <c r="EO15" t="s">
        <v>57</v>
      </c>
      <c r="EP15" t="s">
        <v>58</v>
      </c>
      <c r="EQ15" t="s">
        <v>58</v>
      </c>
      <c r="ER15" t="s">
        <v>58</v>
      </c>
      <c r="ES15" t="s">
        <v>58</v>
      </c>
      <c r="ET15" t="s">
        <v>57</v>
      </c>
      <c r="EU15" t="s">
        <v>57</v>
      </c>
      <c r="EV15" t="s">
        <v>58</v>
      </c>
      <c r="EW15" t="s">
        <v>58</v>
      </c>
      <c r="EX15" t="s">
        <v>148</v>
      </c>
      <c r="EY15" t="s">
        <v>148</v>
      </c>
      <c r="EZ15" t="s">
        <v>148</v>
      </c>
      <c r="FA15" t="s">
        <v>148</v>
      </c>
      <c r="FB15" t="s">
        <v>148</v>
      </c>
      <c r="FC15" t="s">
        <v>148</v>
      </c>
      <c r="FD15" t="s">
        <v>148</v>
      </c>
      <c r="FE15" t="s">
        <v>148</v>
      </c>
      <c r="FF15" t="s">
        <v>148</v>
      </c>
      <c r="FG15" t="s">
        <v>148</v>
      </c>
      <c r="FH15" t="s">
        <v>57</v>
      </c>
      <c r="FI15" t="s">
        <v>57</v>
      </c>
      <c r="FJ15" t="s">
        <v>57</v>
      </c>
      <c r="FK15" t="s">
        <v>57</v>
      </c>
      <c r="FL15" t="s">
        <v>57</v>
      </c>
      <c r="FM15" t="s">
        <v>57</v>
      </c>
      <c r="FN15" t="s">
        <v>57</v>
      </c>
      <c r="FO15" t="s">
        <v>148</v>
      </c>
      <c r="FP15" t="s">
        <v>57</v>
      </c>
      <c r="FQ15" t="s">
        <v>57</v>
      </c>
      <c r="FR15" t="s">
        <v>57</v>
      </c>
      <c r="FS15" t="s">
        <v>57</v>
      </c>
      <c r="FT15" t="s">
        <v>57</v>
      </c>
      <c r="FU15" t="s">
        <v>57</v>
      </c>
      <c r="FV15" t="s">
        <v>57</v>
      </c>
      <c r="FW15" t="s">
        <v>57</v>
      </c>
      <c r="FX15" t="s">
        <v>57</v>
      </c>
      <c r="FY15" t="s">
        <v>57</v>
      </c>
      <c r="FZ15" t="s">
        <v>57</v>
      </c>
      <c r="GA15" t="s">
        <v>57</v>
      </c>
      <c r="GB15" t="s">
        <v>57</v>
      </c>
      <c r="GC15" t="s">
        <v>57</v>
      </c>
      <c r="GD15" t="s">
        <v>57</v>
      </c>
      <c r="GE15" t="s">
        <v>57</v>
      </c>
      <c r="GF15" t="s">
        <v>57</v>
      </c>
      <c r="GG15" t="s">
        <v>57</v>
      </c>
      <c r="GH15" t="s">
        <v>57</v>
      </c>
      <c r="GI15" t="s">
        <v>57</v>
      </c>
      <c r="GJ15" t="s">
        <v>57</v>
      </c>
      <c r="GK15" t="s">
        <v>57</v>
      </c>
      <c r="GL15" t="s">
        <v>57</v>
      </c>
      <c r="GM15" t="s">
        <v>57</v>
      </c>
      <c r="GN15" t="s">
        <v>57</v>
      </c>
      <c r="GO15" t="s">
        <v>57</v>
      </c>
      <c r="GP15" t="s">
        <v>148</v>
      </c>
      <c r="GQ15" t="s">
        <v>148</v>
      </c>
      <c r="GR15" t="s">
        <v>57</v>
      </c>
      <c r="GS15" t="s">
        <v>57</v>
      </c>
      <c r="GT15" t="s">
        <v>57</v>
      </c>
      <c r="GU15" t="s">
        <v>57</v>
      </c>
      <c r="GV15" t="s">
        <v>148</v>
      </c>
      <c r="GW15" t="s">
        <v>57</v>
      </c>
      <c r="GX15" t="s">
        <v>57</v>
      </c>
      <c r="GY15" t="s">
        <v>57</v>
      </c>
      <c r="GZ15" t="s">
        <v>57</v>
      </c>
      <c r="HA15" t="s">
        <v>57</v>
      </c>
      <c r="HB15" t="s">
        <v>57</v>
      </c>
      <c r="HC15" t="s">
        <v>57</v>
      </c>
      <c r="HD15" t="s">
        <v>57</v>
      </c>
      <c r="HE15" t="s">
        <v>57</v>
      </c>
      <c r="HF15" t="s">
        <v>57</v>
      </c>
      <c r="HG15" t="s">
        <v>57</v>
      </c>
      <c r="HH15" t="s">
        <v>148</v>
      </c>
      <c r="HI15" t="s">
        <v>148</v>
      </c>
      <c r="HJ15" t="s">
        <v>148</v>
      </c>
      <c r="HK15" t="s">
        <v>148</v>
      </c>
      <c r="HL15" t="s">
        <v>57</v>
      </c>
      <c r="HM15" t="s">
        <v>57</v>
      </c>
      <c r="HN15" t="s">
        <v>57</v>
      </c>
      <c r="HO15" t="s">
        <v>57</v>
      </c>
      <c r="HP15" t="s">
        <v>57</v>
      </c>
      <c r="HQ15" t="s">
        <v>57</v>
      </c>
      <c r="HR15" t="s">
        <v>57</v>
      </c>
      <c r="HS15" t="s">
        <v>57</v>
      </c>
      <c r="HT15" t="s">
        <v>57</v>
      </c>
      <c r="HU15" t="s">
        <v>57</v>
      </c>
      <c r="HV15" t="s">
        <v>57</v>
      </c>
      <c r="HW15" t="s">
        <v>57</v>
      </c>
      <c r="HX15" t="s">
        <v>57</v>
      </c>
      <c r="HY15" t="s">
        <v>57</v>
      </c>
      <c r="HZ15" t="s">
        <v>57</v>
      </c>
      <c r="IA15" t="s">
        <v>57</v>
      </c>
      <c r="IB15" t="s">
        <v>58</v>
      </c>
      <c r="IC15" t="s">
        <v>58</v>
      </c>
      <c r="ID15" t="s">
        <v>58</v>
      </c>
      <c r="IE15" t="s">
        <v>58</v>
      </c>
      <c r="IF15" t="s">
        <v>123</v>
      </c>
      <c r="IG15" t="s">
        <v>124</v>
      </c>
      <c r="IH15" t="s">
        <v>123</v>
      </c>
      <c r="II15" t="s">
        <v>156</v>
      </c>
    </row>
    <row r="16" spans="1:243" x14ac:dyDescent="0.25">
      <c r="A16" s="111" t="str">
        <f>HYPERLINK("http://www.ofsted.gov.uk/inspection-reports/find-inspection-report/provider/ELS/100530 ","Ofsted School Webpage")</f>
        <v>Ofsted School Webpage</v>
      </c>
      <c r="B16">
        <v>100530</v>
      </c>
      <c r="C16">
        <v>2126401</v>
      </c>
      <c r="D16" t="s">
        <v>2457</v>
      </c>
      <c r="E16" t="s">
        <v>36</v>
      </c>
      <c r="F16" t="s">
        <v>166</v>
      </c>
      <c r="G16" t="s">
        <v>189</v>
      </c>
      <c r="H16" t="s">
        <v>189</v>
      </c>
      <c r="I16" t="s">
        <v>391</v>
      </c>
      <c r="J16" t="s">
        <v>2458</v>
      </c>
      <c r="K16" t="s">
        <v>142</v>
      </c>
      <c r="L16" t="s">
        <v>249</v>
      </c>
      <c r="M16" t="s">
        <v>2596</v>
      </c>
      <c r="N16" t="s">
        <v>143</v>
      </c>
      <c r="O16">
        <v>10035775</v>
      </c>
      <c r="P16" s="108">
        <v>43137</v>
      </c>
      <c r="Q16" s="108">
        <v>43139</v>
      </c>
      <c r="R16" s="108">
        <v>43180</v>
      </c>
      <c r="S16" t="s">
        <v>153</v>
      </c>
      <c r="T16" t="s">
        <v>154</v>
      </c>
      <c r="U16">
        <v>1</v>
      </c>
      <c r="V16">
        <v>1</v>
      </c>
      <c r="W16">
        <v>1</v>
      </c>
      <c r="X16">
        <v>1</v>
      </c>
      <c r="Y16">
        <v>1</v>
      </c>
      <c r="Z16">
        <v>1</v>
      </c>
      <c r="AA16" t="s">
        <v>2596</v>
      </c>
      <c r="AB16" t="s">
        <v>123</v>
      </c>
      <c r="AC16" t="s">
        <v>2596</v>
      </c>
      <c r="AD16" t="s">
        <v>2598</v>
      </c>
      <c r="AE16" t="s">
        <v>57</v>
      </c>
      <c r="AF16" t="s">
        <v>57</v>
      </c>
      <c r="AG16" t="s">
        <v>57</v>
      </c>
      <c r="AH16" t="s">
        <v>57</v>
      </c>
      <c r="AI16" t="s">
        <v>57</v>
      </c>
      <c r="AJ16" t="s">
        <v>57</v>
      </c>
      <c r="AK16" t="s">
        <v>57</v>
      </c>
      <c r="AL16" t="s">
        <v>57</v>
      </c>
      <c r="AM16" t="s">
        <v>57</v>
      </c>
      <c r="AN16" t="s">
        <v>57</v>
      </c>
      <c r="AO16" t="s">
        <v>57</v>
      </c>
      <c r="AP16" t="s">
        <v>57</v>
      </c>
      <c r="AQ16" t="s">
        <v>57</v>
      </c>
      <c r="AR16" t="s">
        <v>57</v>
      </c>
      <c r="AS16" t="s">
        <v>57</v>
      </c>
      <c r="AT16" t="s">
        <v>57</v>
      </c>
      <c r="AU16" t="s">
        <v>57</v>
      </c>
      <c r="AV16" t="s">
        <v>57</v>
      </c>
      <c r="AW16" t="s">
        <v>57</v>
      </c>
      <c r="AX16" t="s">
        <v>57</v>
      </c>
      <c r="AY16" t="s">
        <v>57</v>
      </c>
      <c r="AZ16" t="s">
        <v>57</v>
      </c>
      <c r="BA16" t="s">
        <v>57</v>
      </c>
      <c r="BB16" t="s">
        <v>57</v>
      </c>
      <c r="BC16" t="s">
        <v>57</v>
      </c>
      <c r="BD16" t="s">
        <v>57</v>
      </c>
      <c r="BE16" t="s">
        <v>57</v>
      </c>
      <c r="BF16" t="s">
        <v>57</v>
      </c>
      <c r="BG16" t="s">
        <v>57</v>
      </c>
      <c r="BH16" t="s">
        <v>57</v>
      </c>
      <c r="BI16" t="s">
        <v>57</v>
      </c>
      <c r="BJ16" t="s">
        <v>57</v>
      </c>
      <c r="BK16" t="s">
        <v>57</v>
      </c>
      <c r="BL16" t="s">
        <v>57</v>
      </c>
      <c r="BM16" t="s">
        <v>57</v>
      </c>
      <c r="BN16" t="s">
        <v>57</v>
      </c>
      <c r="BO16" t="s">
        <v>57</v>
      </c>
      <c r="BP16" t="s">
        <v>57</v>
      </c>
      <c r="BQ16" t="s">
        <v>57</v>
      </c>
      <c r="BR16" t="s">
        <v>57</v>
      </c>
      <c r="BS16" t="s">
        <v>57</v>
      </c>
      <c r="BT16" t="s">
        <v>57</v>
      </c>
      <c r="BU16" t="s">
        <v>57</v>
      </c>
      <c r="BV16" t="s">
        <v>57</v>
      </c>
      <c r="BW16" t="s">
        <v>57</v>
      </c>
      <c r="BX16" t="s">
        <v>57</v>
      </c>
      <c r="BY16" t="s">
        <v>57</v>
      </c>
      <c r="BZ16" t="s">
        <v>57</v>
      </c>
      <c r="CA16" t="s">
        <v>57</v>
      </c>
      <c r="CB16" t="s">
        <v>57</v>
      </c>
      <c r="CC16" t="s">
        <v>57</v>
      </c>
      <c r="CD16" t="s">
        <v>57</v>
      </c>
      <c r="CE16" t="s">
        <v>57</v>
      </c>
      <c r="CF16" t="s">
        <v>57</v>
      </c>
      <c r="CG16" t="s">
        <v>57</v>
      </c>
      <c r="CH16" t="s">
        <v>57</v>
      </c>
      <c r="CI16" t="s">
        <v>57</v>
      </c>
      <c r="CJ16" t="s">
        <v>57</v>
      </c>
      <c r="CK16" t="s">
        <v>175</v>
      </c>
      <c r="CL16" t="s">
        <v>175</v>
      </c>
      <c r="CM16" t="s">
        <v>175</v>
      </c>
      <c r="CN16" t="s">
        <v>57</v>
      </c>
      <c r="CO16" t="s">
        <v>57</v>
      </c>
      <c r="CP16" t="s">
        <v>57</v>
      </c>
      <c r="CQ16" t="s">
        <v>57</v>
      </c>
      <c r="CR16" t="s">
        <v>57</v>
      </c>
      <c r="CS16" t="s">
        <v>57</v>
      </c>
      <c r="CT16" t="s">
        <v>57</v>
      </c>
      <c r="CU16" t="s">
        <v>57</v>
      </c>
      <c r="CV16" t="s">
        <v>57</v>
      </c>
      <c r="CW16" t="s">
        <v>57</v>
      </c>
      <c r="CX16" t="s">
        <v>57</v>
      </c>
      <c r="CY16" t="s">
        <v>57</v>
      </c>
      <c r="CZ16" t="s">
        <v>57</v>
      </c>
      <c r="DA16" t="s">
        <v>57</v>
      </c>
      <c r="DB16" t="s">
        <v>57</v>
      </c>
      <c r="DC16" t="s">
        <v>57</v>
      </c>
      <c r="DD16" t="s">
        <v>57</v>
      </c>
      <c r="DE16" t="s">
        <v>57</v>
      </c>
      <c r="DF16" t="s">
        <v>57</v>
      </c>
      <c r="DG16" t="s">
        <v>57</v>
      </c>
      <c r="DH16" t="s">
        <v>57</v>
      </c>
      <c r="DI16" t="s">
        <v>57</v>
      </c>
      <c r="DJ16" t="s">
        <v>175</v>
      </c>
      <c r="DK16" t="s">
        <v>175</v>
      </c>
      <c r="DL16" t="s">
        <v>57</v>
      </c>
      <c r="DM16" t="s">
        <v>57</v>
      </c>
      <c r="DN16" t="s">
        <v>57</v>
      </c>
      <c r="DO16" t="s">
        <v>57</v>
      </c>
      <c r="DP16" t="s">
        <v>57</v>
      </c>
      <c r="DQ16" t="s">
        <v>57</v>
      </c>
      <c r="DR16" t="s">
        <v>57</v>
      </c>
      <c r="DS16" t="s">
        <v>57</v>
      </c>
      <c r="DT16" t="s">
        <v>57</v>
      </c>
      <c r="DU16" t="s">
        <v>57</v>
      </c>
      <c r="DV16" t="s">
        <v>57</v>
      </c>
      <c r="DW16" t="s">
        <v>57</v>
      </c>
      <c r="DX16" t="s">
        <v>57</v>
      </c>
      <c r="DY16" t="s">
        <v>175</v>
      </c>
      <c r="DZ16" t="s">
        <v>57</v>
      </c>
      <c r="EA16" t="s">
        <v>57</v>
      </c>
      <c r="EB16" t="s">
        <v>57</v>
      </c>
      <c r="EC16" t="s">
        <v>57</v>
      </c>
      <c r="ED16" t="s">
        <v>57</v>
      </c>
      <c r="EE16" t="s">
        <v>57</v>
      </c>
      <c r="EF16" t="s">
        <v>57</v>
      </c>
      <c r="EG16" t="s">
        <v>57</v>
      </c>
      <c r="EH16" t="s">
        <v>57</v>
      </c>
      <c r="EI16" t="s">
        <v>57</v>
      </c>
      <c r="EJ16" t="s">
        <v>57</v>
      </c>
      <c r="EK16" t="s">
        <v>57</v>
      </c>
      <c r="EL16" t="s">
        <v>57</v>
      </c>
      <c r="EM16" t="s">
        <v>57</v>
      </c>
      <c r="EN16" t="s">
        <v>57</v>
      </c>
      <c r="EO16" t="s">
        <v>57</v>
      </c>
      <c r="EP16" t="s">
        <v>57</v>
      </c>
      <c r="EQ16" t="s">
        <v>57</v>
      </c>
      <c r="ER16" t="s">
        <v>57</v>
      </c>
      <c r="ES16" t="s">
        <v>57</v>
      </c>
      <c r="ET16" t="s">
        <v>57</v>
      </c>
      <c r="EU16" t="s">
        <v>57</v>
      </c>
      <c r="EV16" t="s">
        <v>57</v>
      </c>
      <c r="EW16" t="s">
        <v>57</v>
      </c>
      <c r="EX16" t="s">
        <v>57</v>
      </c>
      <c r="EY16" t="s">
        <v>57</v>
      </c>
      <c r="EZ16" t="s">
        <v>57</v>
      </c>
      <c r="FA16" t="s">
        <v>57</v>
      </c>
      <c r="FB16" t="s">
        <v>57</v>
      </c>
      <c r="FC16" t="s">
        <v>57</v>
      </c>
      <c r="FD16" t="s">
        <v>57</v>
      </c>
      <c r="FE16" t="s">
        <v>57</v>
      </c>
      <c r="FF16" t="s">
        <v>57</v>
      </c>
      <c r="FG16" t="s">
        <v>57</v>
      </c>
      <c r="FH16" t="s">
        <v>57</v>
      </c>
      <c r="FI16" t="s">
        <v>57</v>
      </c>
      <c r="FJ16" t="s">
        <v>57</v>
      </c>
      <c r="FK16" t="s">
        <v>57</v>
      </c>
      <c r="FL16" t="s">
        <v>57</v>
      </c>
      <c r="FM16" t="s">
        <v>57</v>
      </c>
      <c r="FN16" t="s">
        <v>57</v>
      </c>
      <c r="FO16" t="s">
        <v>57</v>
      </c>
      <c r="FP16" t="s">
        <v>57</v>
      </c>
      <c r="FQ16" t="s">
        <v>57</v>
      </c>
      <c r="FR16" t="s">
        <v>57</v>
      </c>
      <c r="FS16" t="s">
        <v>57</v>
      </c>
      <c r="FT16" t="s">
        <v>57</v>
      </c>
      <c r="FU16" t="s">
        <v>57</v>
      </c>
      <c r="FV16" t="s">
        <v>57</v>
      </c>
      <c r="FW16" t="s">
        <v>57</v>
      </c>
      <c r="FX16" t="s">
        <v>57</v>
      </c>
      <c r="FY16" t="s">
        <v>57</v>
      </c>
      <c r="FZ16" t="s">
        <v>57</v>
      </c>
      <c r="GA16" t="s">
        <v>57</v>
      </c>
      <c r="GB16" t="s">
        <v>57</v>
      </c>
      <c r="GC16" t="s">
        <v>57</v>
      </c>
      <c r="GD16" t="s">
        <v>57</v>
      </c>
      <c r="GE16" t="s">
        <v>57</v>
      </c>
      <c r="GF16" t="s">
        <v>57</v>
      </c>
      <c r="GG16" t="s">
        <v>175</v>
      </c>
      <c r="GH16" t="s">
        <v>57</v>
      </c>
      <c r="GI16" t="s">
        <v>57</v>
      </c>
      <c r="GJ16" t="s">
        <v>57</v>
      </c>
      <c r="GK16" t="s">
        <v>57</v>
      </c>
      <c r="GL16" t="s">
        <v>57</v>
      </c>
      <c r="GM16" t="s">
        <v>57</v>
      </c>
      <c r="GN16" t="s">
        <v>57</v>
      </c>
      <c r="GO16" t="s">
        <v>57</v>
      </c>
      <c r="GP16" t="s">
        <v>175</v>
      </c>
      <c r="GQ16" t="s">
        <v>175</v>
      </c>
      <c r="GR16" t="s">
        <v>57</v>
      </c>
      <c r="GS16" t="s">
        <v>57</v>
      </c>
      <c r="GT16" t="s">
        <v>57</v>
      </c>
      <c r="GU16" t="s">
        <v>57</v>
      </c>
      <c r="GV16" t="s">
        <v>57</v>
      </c>
      <c r="GW16" t="s">
        <v>57</v>
      </c>
      <c r="GX16" t="s">
        <v>57</v>
      </c>
      <c r="GY16" t="s">
        <v>57</v>
      </c>
      <c r="GZ16" t="s">
        <v>57</v>
      </c>
      <c r="HA16" t="s">
        <v>57</v>
      </c>
      <c r="HB16" t="s">
        <v>57</v>
      </c>
      <c r="HC16" t="s">
        <v>57</v>
      </c>
      <c r="HD16" t="s">
        <v>57</v>
      </c>
      <c r="HE16" t="s">
        <v>57</v>
      </c>
      <c r="HF16" t="s">
        <v>57</v>
      </c>
      <c r="HG16" t="s">
        <v>57</v>
      </c>
      <c r="HH16" t="s">
        <v>57</v>
      </c>
      <c r="HI16" t="s">
        <v>57</v>
      </c>
      <c r="HJ16" t="s">
        <v>57</v>
      </c>
      <c r="HK16" t="s">
        <v>57</v>
      </c>
      <c r="HL16" t="s">
        <v>57</v>
      </c>
      <c r="HM16" t="s">
        <v>57</v>
      </c>
      <c r="HN16" t="s">
        <v>57</v>
      </c>
      <c r="HO16" t="s">
        <v>57</v>
      </c>
      <c r="HP16" t="s">
        <v>57</v>
      </c>
      <c r="HQ16" t="s">
        <v>57</v>
      </c>
      <c r="HR16" t="s">
        <v>57</v>
      </c>
      <c r="HS16" t="s">
        <v>57</v>
      </c>
      <c r="HT16" t="s">
        <v>57</v>
      </c>
      <c r="HU16" t="s">
        <v>57</v>
      </c>
      <c r="HV16" t="s">
        <v>57</v>
      </c>
      <c r="HW16" t="s">
        <v>57</v>
      </c>
      <c r="HX16" t="s">
        <v>57</v>
      </c>
      <c r="HY16" t="s">
        <v>57</v>
      </c>
      <c r="HZ16" t="s">
        <v>57</v>
      </c>
      <c r="IA16" t="s">
        <v>57</v>
      </c>
      <c r="IB16" t="s">
        <v>57</v>
      </c>
      <c r="IC16" t="s">
        <v>57</v>
      </c>
      <c r="ID16" t="s">
        <v>57</v>
      </c>
      <c r="IE16" t="s">
        <v>57</v>
      </c>
      <c r="IF16" t="s">
        <v>124</v>
      </c>
      <c r="IG16" t="s">
        <v>148</v>
      </c>
      <c r="IH16" t="s">
        <v>123</v>
      </c>
      <c r="II16" t="s">
        <v>156</v>
      </c>
    </row>
    <row r="17" spans="1:243" x14ac:dyDescent="0.25">
      <c r="A17" s="111" t="str">
        <f>HYPERLINK("http://www.ofsted.gov.uk/inspection-reports/find-inspection-report/provider/ELS/100534 ","Ofsted School Webpage")</f>
        <v>Ofsted School Webpage</v>
      </c>
      <c r="B17">
        <v>100534</v>
      </c>
      <c r="C17">
        <v>2076317</v>
      </c>
      <c r="D17" t="s">
        <v>486</v>
      </c>
      <c r="E17" t="s">
        <v>36</v>
      </c>
      <c r="F17" t="s">
        <v>166</v>
      </c>
      <c r="G17" t="s">
        <v>189</v>
      </c>
      <c r="H17" t="s">
        <v>189</v>
      </c>
      <c r="I17" t="s">
        <v>251</v>
      </c>
      <c r="J17" t="s">
        <v>487</v>
      </c>
      <c r="K17" t="s">
        <v>142</v>
      </c>
      <c r="L17" t="s">
        <v>142</v>
      </c>
      <c r="M17" t="s">
        <v>2596</v>
      </c>
      <c r="N17" t="s">
        <v>143</v>
      </c>
      <c r="O17">
        <v>10012796</v>
      </c>
      <c r="P17" s="108">
        <v>43039</v>
      </c>
      <c r="Q17" s="108">
        <v>43041</v>
      </c>
      <c r="R17" s="108">
        <v>43068</v>
      </c>
      <c r="S17" t="s">
        <v>153</v>
      </c>
      <c r="T17" t="s">
        <v>154</v>
      </c>
      <c r="U17">
        <v>1</v>
      </c>
      <c r="V17">
        <v>1</v>
      </c>
      <c r="W17">
        <v>1</v>
      </c>
      <c r="X17">
        <v>1</v>
      </c>
      <c r="Y17">
        <v>1</v>
      </c>
      <c r="Z17">
        <v>1</v>
      </c>
      <c r="AA17" t="s">
        <v>2596</v>
      </c>
      <c r="AB17" t="s">
        <v>123</v>
      </c>
      <c r="AC17" t="s">
        <v>2596</v>
      </c>
      <c r="AD17" t="s">
        <v>2598</v>
      </c>
      <c r="AE17" t="s">
        <v>57</v>
      </c>
      <c r="AF17" t="s">
        <v>57</v>
      </c>
      <c r="AG17" t="s">
        <v>57</v>
      </c>
      <c r="AH17" t="s">
        <v>57</v>
      </c>
      <c r="AI17" t="s">
        <v>57</v>
      </c>
      <c r="AJ17" t="s">
        <v>57</v>
      </c>
      <c r="AK17" t="s">
        <v>57</v>
      </c>
      <c r="AL17" t="s">
        <v>57</v>
      </c>
      <c r="AM17" t="s">
        <v>57</v>
      </c>
      <c r="AN17" t="s">
        <v>57</v>
      </c>
      <c r="AO17" t="s">
        <v>57</v>
      </c>
      <c r="AP17" t="s">
        <v>57</v>
      </c>
      <c r="AQ17" t="s">
        <v>57</v>
      </c>
      <c r="AR17" t="s">
        <v>57</v>
      </c>
      <c r="AS17" t="s">
        <v>57</v>
      </c>
      <c r="AT17" t="s">
        <v>57</v>
      </c>
      <c r="AU17" t="s">
        <v>148</v>
      </c>
      <c r="AV17" t="s">
        <v>57</v>
      </c>
      <c r="AW17" t="s">
        <v>57</v>
      </c>
      <c r="AX17" t="s">
        <v>57</v>
      </c>
      <c r="AY17" t="s">
        <v>148</v>
      </c>
      <c r="AZ17" t="s">
        <v>148</v>
      </c>
      <c r="BA17" t="s">
        <v>148</v>
      </c>
      <c r="BB17" t="s">
        <v>148</v>
      </c>
      <c r="BC17" t="s">
        <v>57</v>
      </c>
      <c r="BD17" t="s">
        <v>57</v>
      </c>
      <c r="BE17" t="s">
        <v>57</v>
      </c>
      <c r="BF17" t="s">
        <v>57</v>
      </c>
      <c r="BG17" t="s">
        <v>57</v>
      </c>
      <c r="BH17" t="s">
        <v>57</v>
      </c>
      <c r="BI17" t="s">
        <v>57</v>
      </c>
      <c r="BJ17" t="s">
        <v>57</v>
      </c>
      <c r="BK17" t="s">
        <v>57</v>
      </c>
      <c r="BL17" t="s">
        <v>57</v>
      </c>
      <c r="BM17" t="s">
        <v>57</v>
      </c>
      <c r="BN17" t="s">
        <v>57</v>
      </c>
      <c r="BO17" t="s">
        <v>57</v>
      </c>
      <c r="BP17" t="s">
        <v>57</v>
      </c>
      <c r="BQ17" t="s">
        <v>57</v>
      </c>
      <c r="BR17" t="s">
        <v>57</v>
      </c>
      <c r="BS17" t="s">
        <v>57</v>
      </c>
      <c r="BT17" t="s">
        <v>57</v>
      </c>
      <c r="BU17" t="s">
        <v>57</v>
      </c>
      <c r="BV17" t="s">
        <v>57</v>
      </c>
      <c r="BW17" t="s">
        <v>57</v>
      </c>
      <c r="BX17" t="s">
        <v>57</v>
      </c>
      <c r="BY17" t="s">
        <v>57</v>
      </c>
      <c r="BZ17" t="s">
        <v>57</v>
      </c>
      <c r="CA17" t="s">
        <v>57</v>
      </c>
      <c r="CB17" t="s">
        <v>57</v>
      </c>
      <c r="CC17" t="s">
        <v>57</v>
      </c>
      <c r="CD17" t="s">
        <v>57</v>
      </c>
      <c r="CE17" t="s">
        <v>57</v>
      </c>
      <c r="CF17" t="s">
        <v>57</v>
      </c>
      <c r="CG17" t="s">
        <v>57</v>
      </c>
      <c r="CH17" t="s">
        <v>57</v>
      </c>
      <c r="CI17" t="s">
        <v>57</v>
      </c>
      <c r="CJ17" t="s">
        <v>57</v>
      </c>
      <c r="CK17" t="s">
        <v>148</v>
      </c>
      <c r="CL17" t="s">
        <v>148</v>
      </c>
      <c r="CM17" t="s">
        <v>148</v>
      </c>
      <c r="CN17" t="s">
        <v>57</v>
      </c>
      <c r="CO17" t="s">
        <v>57</v>
      </c>
      <c r="CP17" t="s">
        <v>57</v>
      </c>
      <c r="CQ17" t="s">
        <v>57</v>
      </c>
      <c r="CR17" t="s">
        <v>57</v>
      </c>
      <c r="CS17" t="s">
        <v>57</v>
      </c>
      <c r="CT17" t="s">
        <v>57</v>
      </c>
      <c r="CU17" t="s">
        <v>57</v>
      </c>
      <c r="CV17" t="s">
        <v>57</v>
      </c>
      <c r="CW17" t="s">
        <v>57</v>
      </c>
      <c r="CX17" t="s">
        <v>57</v>
      </c>
      <c r="CY17" t="s">
        <v>57</v>
      </c>
      <c r="CZ17" t="s">
        <v>57</v>
      </c>
      <c r="DA17" t="s">
        <v>57</v>
      </c>
      <c r="DB17" t="s">
        <v>57</v>
      </c>
      <c r="DC17" t="s">
        <v>57</v>
      </c>
      <c r="DD17" t="s">
        <v>57</v>
      </c>
      <c r="DE17" t="s">
        <v>57</v>
      </c>
      <c r="DF17" t="s">
        <v>57</v>
      </c>
      <c r="DG17" t="s">
        <v>57</v>
      </c>
      <c r="DH17" t="s">
        <v>57</v>
      </c>
      <c r="DI17" t="s">
        <v>57</v>
      </c>
      <c r="DJ17" t="s">
        <v>57</v>
      </c>
      <c r="DK17" t="s">
        <v>148</v>
      </c>
      <c r="DL17" t="s">
        <v>57</v>
      </c>
      <c r="DM17" t="s">
        <v>57</v>
      </c>
      <c r="DN17" t="s">
        <v>57</v>
      </c>
      <c r="DO17" t="s">
        <v>57</v>
      </c>
      <c r="DP17" t="s">
        <v>57</v>
      </c>
      <c r="DQ17" t="s">
        <v>57</v>
      </c>
      <c r="DR17" t="s">
        <v>57</v>
      </c>
      <c r="DS17" t="s">
        <v>57</v>
      </c>
      <c r="DT17" t="s">
        <v>57</v>
      </c>
      <c r="DU17" t="s">
        <v>57</v>
      </c>
      <c r="DV17" t="s">
        <v>57</v>
      </c>
      <c r="DW17" t="s">
        <v>57</v>
      </c>
      <c r="DX17" t="s">
        <v>57</v>
      </c>
      <c r="DY17" t="s">
        <v>148</v>
      </c>
      <c r="DZ17" t="s">
        <v>57</v>
      </c>
      <c r="EA17" t="s">
        <v>57</v>
      </c>
      <c r="EB17" t="s">
        <v>57</v>
      </c>
      <c r="EC17" t="s">
        <v>57</v>
      </c>
      <c r="ED17" t="s">
        <v>57</v>
      </c>
      <c r="EE17" t="s">
        <v>57</v>
      </c>
      <c r="EF17" t="s">
        <v>57</v>
      </c>
      <c r="EG17" t="s">
        <v>57</v>
      </c>
      <c r="EH17" t="s">
        <v>57</v>
      </c>
      <c r="EI17" t="s">
        <v>57</v>
      </c>
      <c r="EJ17" t="s">
        <v>57</v>
      </c>
      <c r="EK17" t="s">
        <v>57</v>
      </c>
      <c r="EL17" t="s">
        <v>57</v>
      </c>
      <c r="EM17" t="s">
        <v>57</v>
      </c>
      <c r="EN17" t="s">
        <v>57</v>
      </c>
      <c r="EO17" t="s">
        <v>57</v>
      </c>
      <c r="EP17" t="s">
        <v>57</v>
      </c>
      <c r="EQ17" t="s">
        <v>57</v>
      </c>
      <c r="ER17" t="s">
        <v>57</v>
      </c>
      <c r="ES17" t="s">
        <v>57</v>
      </c>
      <c r="ET17" t="s">
        <v>57</v>
      </c>
      <c r="EU17" t="s">
        <v>57</v>
      </c>
      <c r="EV17" t="s">
        <v>57</v>
      </c>
      <c r="EW17" t="s">
        <v>57</v>
      </c>
      <c r="EX17" t="s">
        <v>57</v>
      </c>
      <c r="EY17" t="s">
        <v>57</v>
      </c>
      <c r="EZ17" t="s">
        <v>57</v>
      </c>
      <c r="FA17" t="s">
        <v>57</v>
      </c>
      <c r="FB17" t="s">
        <v>57</v>
      </c>
      <c r="FC17" t="s">
        <v>57</v>
      </c>
      <c r="FD17" t="s">
        <v>57</v>
      </c>
      <c r="FE17" t="s">
        <v>57</v>
      </c>
      <c r="FF17" t="s">
        <v>57</v>
      </c>
      <c r="FG17" t="s">
        <v>57</v>
      </c>
      <c r="FH17" t="s">
        <v>57</v>
      </c>
      <c r="FI17" t="s">
        <v>57</v>
      </c>
      <c r="FJ17" t="s">
        <v>57</v>
      </c>
      <c r="FK17" t="s">
        <v>148</v>
      </c>
      <c r="FL17" t="s">
        <v>57</v>
      </c>
      <c r="FM17" t="s">
        <v>57</v>
      </c>
      <c r="FN17" t="s">
        <v>57</v>
      </c>
      <c r="FO17" t="s">
        <v>148</v>
      </c>
      <c r="FP17" t="s">
        <v>57</v>
      </c>
      <c r="FQ17" t="s">
        <v>57</v>
      </c>
      <c r="FR17" t="s">
        <v>57</v>
      </c>
      <c r="FS17" t="s">
        <v>57</v>
      </c>
      <c r="FT17" t="s">
        <v>57</v>
      </c>
      <c r="FU17" t="s">
        <v>57</v>
      </c>
      <c r="FV17" t="s">
        <v>57</v>
      </c>
      <c r="FW17" t="s">
        <v>57</v>
      </c>
      <c r="FX17" t="s">
        <v>57</v>
      </c>
      <c r="FY17" t="s">
        <v>57</v>
      </c>
      <c r="FZ17" t="s">
        <v>57</v>
      </c>
      <c r="GA17" t="s">
        <v>57</v>
      </c>
      <c r="GB17" t="s">
        <v>57</v>
      </c>
      <c r="GC17" t="s">
        <v>57</v>
      </c>
      <c r="GD17" t="s">
        <v>57</v>
      </c>
      <c r="GE17" t="s">
        <v>57</v>
      </c>
      <c r="GF17" t="s">
        <v>57</v>
      </c>
      <c r="GG17" t="s">
        <v>148</v>
      </c>
      <c r="GH17" t="s">
        <v>57</v>
      </c>
      <c r="GI17" t="s">
        <v>57</v>
      </c>
      <c r="GJ17" t="s">
        <v>57</v>
      </c>
      <c r="GK17" t="s">
        <v>57</v>
      </c>
      <c r="GL17" t="s">
        <v>57</v>
      </c>
      <c r="GM17" t="s">
        <v>148</v>
      </c>
      <c r="GN17" t="s">
        <v>57</v>
      </c>
      <c r="GO17" t="s">
        <v>57</v>
      </c>
      <c r="GP17" t="s">
        <v>148</v>
      </c>
      <c r="GQ17" t="s">
        <v>148</v>
      </c>
      <c r="GR17" t="s">
        <v>148</v>
      </c>
      <c r="GS17" t="s">
        <v>57</v>
      </c>
      <c r="GT17" t="s">
        <v>57</v>
      </c>
      <c r="GU17" t="s">
        <v>57</v>
      </c>
      <c r="GV17" t="s">
        <v>57</v>
      </c>
      <c r="GW17" t="s">
        <v>57</v>
      </c>
      <c r="GX17" t="s">
        <v>148</v>
      </c>
      <c r="GY17" t="s">
        <v>57</v>
      </c>
      <c r="GZ17" t="s">
        <v>57</v>
      </c>
      <c r="HA17" t="s">
        <v>57</v>
      </c>
      <c r="HB17" t="s">
        <v>57</v>
      </c>
      <c r="HC17" t="s">
        <v>57</v>
      </c>
      <c r="HD17" t="s">
        <v>57</v>
      </c>
      <c r="HE17" t="s">
        <v>57</v>
      </c>
      <c r="HF17" t="s">
        <v>57</v>
      </c>
      <c r="HG17" t="s">
        <v>57</v>
      </c>
      <c r="HH17" t="s">
        <v>148</v>
      </c>
      <c r="HI17" t="s">
        <v>148</v>
      </c>
      <c r="HJ17" t="s">
        <v>148</v>
      </c>
      <c r="HK17" t="s">
        <v>148</v>
      </c>
      <c r="HL17" t="s">
        <v>57</v>
      </c>
      <c r="HM17" t="s">
        <v>57</v>
      </c>
      <c r="HN17" t="s">
        <v>57</v>
      </c>
      <c r="HO17" t="s">
        <v>57</v>
      </c>
      <c r="HP17" t="s">
        <v>57</v>
      </c>
      <c r="HQ17" t="s">
        <v>57</v>
      </c>
      <c r="HR17" t="s">
        <v>57</v>
      </c>
      <c r="HS17" t="s">
        <v>57</v>
      </c>
      <c r="HT17" t="s">
        <v>57</v>
      </c>
      <c r="HU17" t="s">
        <v>57</v>
      </c>
      <c r="HV17" t="s">
        <v>57</v>
      </c>
      <c r="HW17" t="s">
        <v>57</v>
      </c>
      <c r="HX17" t="s">
        <v>57</v>
      </c>
      <c r="HY17" t="s">
        <v>57</v>
      </c>
      <c r="HZ17" t="s">
        <v>57</v>
      </c>
      <c r="IA17" t="s">
        <v>57</v>
      </c>
      <c r="IB17" t="s">
        <v>57</v>
      </c>
      <c r="IC17" t="s">
        <v>57</v>
      </c>
      <c r="ID17" t="s">
        <v>57</v>
      </c>
      <c r="IE17" t="s">
        <v>57</v>
      </c>
      <c r="IF17" t="s">
        <v>124</v>
      </c>
      <c r="IG17" t="s">
        <v>155</v>
      </c>
      <c r="IH17" t="s">
        <v>123</v>
      </c>
      <c r="II17" t="s">
        <v>156</v>
      </c>
    </row>
    <row r="18" spans="1:243" x14ac:dyDescent="0.25">
      <c r="A18" s="111" t="str">
        <f>HYPERLINK("http://www.ofsted.gov.uk/inspection-reports/find-inspection-report/provider/ELS/100537 ","Ofsted School Webpage")</f>
        <v>Ofsted School Webpage</v>
      </c>
      <c r="B18">
        <v>100537</v>
      </c>
      <c r="C18">
        <v>2076348</v>
      </c>
      <c r="D18" t="s">
        <v>1523</v>
      </c>
      <c r="E18" t="s">
        <v>36</v>
      </c>
      <c r="F18" t="s">
        <v>166</v>
      </c>
      <c r="G18" t="s">
        <v>189</v>
      </c>
      <c r="H18" t="s">
        <v>189</v>
      </c>
      <c r="I18" t="s">
        <v>251</v>
      </c>
      <c r="J18" t="s">
        <v>1524</v>
      </c>
      <c r="K18" t="s">
        <v>142</v>
      </c>
      <c r="L18" t="s">
        <v>142</v>
      </c>
      <c r="M18" t="s">
        <v>2596</v>
      </c>
      <c r="N18" t="s">
        <v>143</v>
      </c>
      <c r="O18">
        <v>10020765</v>
      </c>
      <c r="P18" s="108">
        <v>43131</v>
      </c>
      <c r="Q18" s="108">
        <v>43133</v>
      </c>
      <c r="R18" s="108">
        <v>43173</v>
      </c>
      <c r="S18" t="s">
        <v>153</v>
      </c>
      <c r="T18" t="s">
        <v>154</v>
      </c>
      <c r="U18">
        <v>2</v>
      </c>
      <c r="V18">
        <v>2</v>
      </c>
      <c r="W18">
        <v>2</v>
      </c>
      <c r="X18">
        <v>2</v>
      </c>
      <c r="Y18">
        <v>2</v>
      </c>
      <c r="Z18" t="s">
        <v>2596</v>
      </c>
      <c r="AA18">
        <v>1</v>
      </c>
      <c r="AB18" t="s">
        <v>123</v>
      </c>
      <c r="AC18" t="s">
        <v>2596</v>
      </c>
      <c r="AD18" t="s">
        <v>2598</v>
      </c>
      <c r="AE18" t="s">
        <v>57</v>
      </c>
      <c r="AF18" t="s">
        <v>57</v>
      </c>
      <c r="AG18" t="s">
        <v>57</v>
      </c>
      <c r="AH18" t="s">
        <v>57</v>
      </c>
      <c r="AI18" t="s">
        <v>57</v>
      </c>
      <c r="AJ18" t="s">
        <v>57</v>
      </c>
      <c r="AK18" t="s">
        <v>57</v>
      </c>
      <c r="AL18" t="s">
        <v>57</v>
      </c>
      <c r="AM18" t="s">
        <v>57</v>
      </c>
      <c r="AN18" t="s">
        <v>57</v>
      </c>
      <c r="AO18" t="s">
        <v>57</v>
      </c>
      <c r="AP18" t="s">
        <v>57</v>
      </c>
      <c r="AQ18" t="s">
        <v>57</v>
      </c>
      <c r="AR18" t="s">
        <v>57</v>
      </c>
      <c r="AS18" t="s">
        <v>57</v>
      </c>
      <c r="AT18" t="s">
        <v>57</v>
      </c>
      <c r="AU18" t="s">
        <v>175</v>
      </c>
      <c r="AV18" t="s">
        <v>57</v>
      </c>
      <c r="AW18" t="s">
        <v>57</v>
      </c>
      <c r="AX18" t="s">
        <v>57</v>
      </c>
      <c r="AY18" t="s">
        <v>57</v>
      </c>
      <c r="AZ18" t="s">
        <v>2596</v>
      </c>
      <c r="BA18" t="s">
        <v>57</v>
      </c>
      <c r="BB18" t="s">
        <v>57</v>
      </c>
      <c r="BC18" t="s">
        <v>57</v>
      </c>
      <c r="BD18" t="s">
        <v>57</v>
      </c>
      <c r="BE18" t="s">
        <v>57</v>
      </c>
      <c r="BF18" t="s">
        <v>57</v>
      </c>
      <c r="BG18" t="s">
        <v>57</v>
      </c>
      <c r="BH18" t="s">
        <v>57</v>
      </c>
      <c r="BI18" t="s">
        <v>57</v>
      </c>
      <c r="BJ18" t="s">
        <v>57</v>
      </c>
      <c r="BK18" t="s">
        <v>57</v>
      </c>
      <c r="BL18" t="s">
        <v>57</v>
      </c>
      <c r="BM18" t="s">
        <v>57</v>
      </c>
      <c r="BN18" t="s">
        <v>57</v>
      </c>
      <c r="BO18" t="s">
        <v>57</v>
      </c>
      <c r="BP18" t="s">
        <v>57</v>
      </c>
      <c r="BQ18" t="s">
        <v>57</v>
      </c>
      <c r="BR18" t="s">
        <v>57</v>
      </c>
      <c r="BS18" t="s">
        <v>57</v>
      </c>
      <c r="BT18" t="s">
        <v>57</v>
      </c>
      <c r="BU18" t="s">
        <v>57</v>
      </c>
      <c r="BV18" t="s">
        <v>57</v>
      </c>
      <c r="BW18" t="s">
        <v>57</v>
      </c>
      <c r="BX18" t="s">
        <v>57</v>
      </c>
      <c r="BY18" t="s">
        <v>57</v>
      </c>
      <c r="BZ18" t="s">
        <v>57</v>
      </c>
      <c r="CA18" t="s">
        <v>57</v>
      </c>
      <c r="CB18" t="s">
        <v>57</v>
      </c>
      <c r="CC18" t="s">
        <v>57</v>
      </c>
      <c r="CD18" t="s">
        <v>57</v>
      </c>
      <c r="CE18" t="s">
        <v>57</v>
      </c>
      <c r="CF18" t="s">
        <v>57</v>
      </c>
      <c r="CG18" t="s">
        <v>57</v>
      </c>
      <c r="CH18" t="s">
        <v>57</v>
      </c>
      <c r="CI18" t="s">
        <v>57</v>
      </c>
      <c r="CJ18" t="s">
        <v>57</v>
      </c>
      <c r="CK18" t="s">
        <v>175</v>
      </c>
      <c r="CL18" t="s">
        <v>175</v>
      </c>
      <c r="CM18" t="s">
        <v>175</v>
      </c>
      <c r="CN18" t="s">
        <v>57</v>
      </c>
      <c r="CO18" t="s">
        <v>57</v>
      </c>
      <c r="CP18" t="s">
        <v>57</v>
      </c>
      <c r="CQ18" t="s">
        <v>57</v>
      </c>
      <c r="CR18" t="s">
        <v>57</v>
      </c>
      <c r="CS18" t="s">
        <v>57</v>
      </c>
      <c r="CT18" t="s">
        <v>57</v>
      </c>
      <c r="CU18" t="s">
        <v>57</v>
      </c>
      <c r="CV18" t="s">
        <v>57</v>
      </c>
      <c r="CW18" t="s">
        <v>57</v>
      </c>
      <c r="CX18" t="s">
        <v>57</v>
      </c>
      <c r="CY18" t="s">
        <v>57</v>
      </c>
      <c r="CZ18" t="s">
        <v>57</v>
      </c>
      <c r="DA18" t="s">
        <v>57</v>
      </c>
      <c r="DB18" t="s">
        <v>57</v>
      </c>
      <c r="DC18" t="s">
        <v>57</v>
      </c>
      <c r="DD18" t="s">
        <v>57</v>
      </c>
      <c r="DE18" t="s">
        <v>57</v>
      </c>
      <c r="DF18" t="s">
        <v>57</v>
      </c>
      <c r="DG18" t="s">
        <v>57</v>
      </c>
      <c r="DH18" t="s">
        <v>57</v>
      </c>
      <c r="DI18" t="s">
        <v>57</v>
      </c>
      <c r="DJ18" t="s">
        <v>57</v>
      </c>
      <c r="DK18" t="s">
        <v>175</v>
      </c>
      <c r="DL18" t="s">
        <v>57</v>
      </c>
      <c r="DM18" t="s">
        <v>57</v>
      </c>
      <c r="DN18" t="s">
        <v>57</v>
      </c>
      <c r="DO18" t="s">
        <v>57</v>
      </c>
      <c r="DP18" t="s">
        <v>57</v>
      </c>
      <c r="DQ18" t="s">
        <v>57</v>
      </c>
      <c r="DR18" t="s">
        <v>57</v>
      </c>
      <c r="DS18" t="s">
        <v>57</v>
      </c>
      <c r="DT18" t="s">
        <v>57</v>
      </c>
      <c r="DU18" t="s">
        <v>57</v>
      </c>
      <c r="DV18" t="s">
        <v>57</v>
      </c>
      <c r="DW18" t="s">
        <v>57</v>
      </c>
      <c r="DX18" t="s">
        <v>57</v>
      </c>
      <c r="DY18" t="s">
        <v>175</v>
      </c>
      <c r="DZ18" t="s">
        <v>57</v>
      </c>
      <c r="EA18" t="s">
        <v>57</v>
      </c>
      <c r="EB18" t="s">
        <v>57</v>
      </c>
      <c r="EC18" t="s">
        <v>57</v>
      </c>
      <c r="ED18" t="s">
        <v>57</v>
      </c>
      <c r="EE18" t="s">
        <v>57</v>
      </c>
      <c r="EF18" t="s">
        <v>57</v>
      </c>
      <c r="EG18" t="s">
        <v>57</v>
      </c>
      <c r="EH18" t="s">
        <v>175</v>
      </c>
      <c r="EI18" t="s">
        <v>175</v>
      </c>
      <c r="EJ18" t="s">
        <v>57</v>
      </c>
      <c r="EK18" t="s">
        <v>57</v>
      </c>
      <c r="EL18" t="s">
        <v>57</v>
      </c>
      <c r="EM18" t="s">
        <v>57</v>
      </c>
      <c r="EN18" t="s">
        <v>57</v>
      </c>
      <c r="EO18" t="s">
        <v>57</v>
      </c>
      <c r="EP18" t="s">
        <v>57</v>
      </c>
      <c r="EQ18" t="s">
        <v>57</v>
      </c>
      <c r="ER18" t="s">
        <v>57</v>
      </c>
      <c r="ES18" t="s">
        <v>57</v>
      </c>
      <c r="ET18" t="s">
        <v>57</v>
      </c>
      <c r="EU18" t="s">
        <v>57</v>
      </c>
      <c r="EV18" t="s">
        <v>57</v>
      </c>
      <c r="EW18" t="s">
        <v>57</v>
      </c>
      <c r="EX18" t="s">
        <v>57</v>
      </c>
      <c r="EY18" t="s">
        <v>57</v>
      </c>
      <c r="EZ18" t="s">
        <v>57</v>
      </c>
      <c r="FA18" t="s">
        <v>57</v>
      </c>
      <c r="FB18" t="s">
        <v>57</v>
      </c>
      <c r="FC18" t="s">
        <v>57</v>
      </c>
      <c r="FD18" t="s">
        <v>57</v>
      </c>
      <c r="FE18" t="s">
        <v>57</v>
      </c>
      <c r="FF18" t="s">
        <v>57</v>
      </c>
      <c r="FG18" t="s">
        <v>57</v>
      </c>
      <c r="FH18" t="s">
        <v>57</v>
      </c>
      <c r="FI18" t="s">
        <v>57</v>
      </c>
      <c r="FJ18" t="s">
        <v>57</v>
      </c>
      <c r="FK18" t="s">
        <v>57</v>
      </c>
      <c r="FL18" t="s">
        <v>57</v>
      </c>
      <c r="FM18" t="s">
        <v>57</v>
      </c>
      <c r="FN18" t="s">
        <v>57</v>
      </c>
      <c r="FO18" t="s">
        <v>175</v>
      </c>
      <c r="FP18" t="s">
        <v>57</v>
      </c>
      <c r="FQ18" t="s">
        <v>57</v>
      </c>
      <c r="FR18" t="s">
        <v>57</v>
      </c>
      <c r="FS18" t="s">
        <v>57</v>
      </c>
      <c r="FT18" t="s">
        <v>57</v>
      </c>
      <c r="FU18" t="s">
        <v>57</v>
      </c>
      <c r="FV18" t="s">
        <v>57</v>
      </c>
      <c r="FW18" t="s">
        <v>57</v>
      </c>
      <c r="FX18" t="s">
        <v>57</v>
      </c>
      <c r="FY18" t="s">
        <v>57</v>
      </c>
      <c r="FZ18" t="s">
        <v>57</v>
      </c>
      <c r="GA18" t="s">
        <v>57</v>
      </c>
      <c r="GB18" t="s">
        <v>57</v>
      </c>
      <c r="GC18" t="s">
        <v>57</v>
      </c>
      <c r="GD18" t="s">
        <v>57</v>
      </c>
      <c r="GE18" t="s">
        <v>57</v>
      </c>
      <c r="GF18" t="s">
        <v>57</v>
      </c>
      <c r="GG18" t="s">
        <v>175</v>
      </c>
      <c r="GH18" t="s">
        <v>57</v>
      </c>
      <c r="GI18" t="s">
        <v>57</v>
      </c>
      <c r="GJ18" t="s">
        <v>57</v>
      </c>
      <c r="GK18" t="s">
        <v>57</v>
      </c>
      <c r="GL18" t="s">
        <v>57</v>
      </c>
      <c r="GM18" t="s">
        <v>175</v>
      </c>
      <c r="GN18" t="s">
        <v>57</v>
      </c>
      <c r="GO18" t="s">
        <v>57</v>
      </c>
      <c r="GP18" t="s">
        <v>175</v>
      </c>
      <c r="GQ18" t="s">
        <v>175</v>
      </c>
      <c r="GR18" t="s">
        <v>57</v>
      </c>
      <c r="GS18" t="s">
        <v>57</v>
      </c>
      <c r="GT18" t="s">
        <v>57</v>
      </c>
      <c r="GU18" t="s">
        <v>57</v>
      </c>
      <c r="GV18" t="s">
        <v>57</v>
      </c>
      <c r="GW18" t="s">
        <v>57</v>
      </c>
      <c r="GX18" t="s">
        <v>57</v>
      </c>
      <c r="GY18" t="s">
        <v>57</v>
      </c>
      <c r="GZ18" t="s">
        <v>57</v>
      </c>
      <c r="HA18" t="s">
        <v>57</v>
      </c>
      <c r="HB18" t="s">
        <v>175</v>
      </c>
      <c r="HC18" t="s">
        <v>57</v>
      </c>
      <c r="HD18" t="s">
        <v>57</v>
      </c>
      <c r="HE18" t="s">
        <v>57</v>
      </c>
      <c r="HF18" t="s">
        <v>57</v>
      </c>
      <c r="HG18" t="s">
        <v>57</v>
      </c>
      <c r="HH18" t="s">
        <v>57</v>
      </c>
      <c r="HI18" t="s">
        <v>175</v>
      </c>
      <c r="HJ18" t="s">
        <v>175</v>
      </c>
      <c r="HK18" t="s">
        <v>175</v>
      </c>
      <c r="HL18" t="s">
        <v>57</v>
      </c>
      <c r="HM18" t="s">
        <v>57</v>
      </c>
      <c r="HN18" t="s">
        <v>57</v>
      </c>
      <c r="HO18" t="s">
        <v>57</v>
      </c>
      <c r="HP18" t="s">
        <v>57</v>
      </c>
      <c r="HQ18" t="s">
        <v>57</v>
      </c>
      <c r="HR18" t="s">
        <v>57</v>
      </c>
      <c r="HS18" t="s">
        <v>57</v>
      </c>
      <c r="HT18" t="s">
        <v>57</v>
      </c>
      <c r="HU18" t="s">
        <v>57</v>
      </c>
      <c r="HV18" t="s">
        <v>57</v>
      </c>
      <c r="HW18" t="s">
        <v>57</v>
      </c>
      <c r="HX18" t="s">
        <v>57</v>
      </c>
      <c r="HY18" t="s">
        <v>57</v>
      </c>
      <c r="HZ18" t="s">
        <v>57</v>
      </c>
      <c r="IA18" t="s">
        <v>57</v>
      </c>
      <c r="IB18" t="s">
        <v>57</v>
      </c>
      <c r="IC18" t="s">
        <v>57</v>
      </c>
      <c r="ID18" t="s">
        <v>57</v>
      </c>
      <c r="IE18" t="s">
        <v>57</v>
      </c>
      <c r="IF18" t="s">
        <v>124</v>
      </c>
      <c r="IG18" t="s">
        <v>148</v>
      </c>
      <c r="IH18" t="s">
        <v>123</v>
      </c>
      <c r="II18" t="s">
        <v>156</v>
      </c>
    </row>
    <row r="19" spans="1:243" x14ac:dyDescent="0.25">
      <c r="A19" s="111" t="str">
        <f>HYPERLINK("http://www.ofsted.gov.uk/inspection-reports/find-inspection-report/provider/ELS/100982 ","Ofsted School Webpage")</f>
        <v>Ofsted School Webpage</v>
      </c>
      <c r="B19">
        <v>100982</v>
      </c>
      <c r="C19">
        <v>2116383</v>
      </c>
      <c r="D19" t="s">
        <v>1714</v>
      </c>
      <c r="E19" t="s">
        <v>36</v>
      </c>
      <c r="F19" t="s">
        <v>166</v>
      </c>
      <c r="G19" t="s">
        <v>189</v>
      </c>
      <c r="H19" t="s">
        <v>189</v>
      </c>
      <c r="I19" t="s">
        <v>494</v>
      </c>
      <c r="J19" t="s">
        <v>1715</v>
      </c>
      <c r="K19" t="s">
        <v>142</v>
      </c>
      <c r="L19" t="s">
        <v>180</v>
      </c>
      <c r="M19" t="s">
        <v>2596</v>
      </c>
      <c r="N19" t="s">
        <v>143</v>
      </c>
      <c r="O19">
        <v>10026274</v>
      </c>
      <c r="P19" s="108">
        <v>43053</v>
      </c>
      <c r="Q19" s="108">
        <v>43055</v>
      </c>
      <c r="R19" s="108">
        <v>43089</v>
      </c>
      <c r="S19" t="s">
        <v>153</v>
      </c>
      <c r="T19" t="s">
        <v>154</v>
      </c>
      <c r="U19">
        <v>2</v>
      </c>
      <c r="V19">
        <v>2</v>
      </c>
      <c r="W19">
        <v>2</v>
      </c>
      <c r="X19">
        <v>2</v>
      </c>
      <c r="Y19">
        <v>2</v>
      </c>
      <c r="Z19" t="s">
        <v>2596</v>
      </c>
      <c r="AA19">
        <v>0</v>
      </c>
      <c r="AB19" t="s">
        <v>123</v>
      </c>
      <c r="AC19" t="s">
        <v>2596</v>
      </c>
      <c r="AD19" t="s">
        <v>2598</v>
      </c>
      <c r="AE19" t="s">
        <v>57</v>
      </c>
      <c r="AF19" t="s">
        <v>57</v>
      </c>
      <c r="AG19" t="s">
        <v>57</v>
      </c>
      <c r="AH19" t="s">
        <v>57</v>
      </c>
      <c r="AI19" t="s">
        <v>57</v>
      </c>
      <c r="AJ19" t="s">
        <v>57</v>
      </c>
      <c r="AK19" t="s">
        <v>57</v>
      </c>
      <c r="AL19" t="s">
        <v>57</v>
      </c>
      <c r="AM19" t="s">
        <v>57</v>
      </c>
      <c r="AN19" t="s">
        <v>57</v>
      </c>
      <c r="AO19" t="s">
        <v>57</v>
      </c>
      <c r="AP19" t="s">
        <v>57</v>
      </c>
      <c r="AQ19" t="s">
        <v>57</v>
      </c>
      <c r="AR19" t="s">
        <v>57</v>
      </c>
      <c r="AS19" t="s">
        <v>57</v>
      </c>
      <c r="AT19" t="s">
        <v>57</v>
      </c>
      <c r="AU19" t="s">
        <v>175</v>
      </c>
      <c r="AV19" t="s">
        <v>57</v>
      </c>
      <c r="AW19" t="s">
        <v>57</v>
      </c>
      <c r="AX19" t="s">
        <v>57</v>
      </c>
      <c r="AY19" t="s">
        <v>57</v>
      </c>
      <c r="AZ19" t="s">
        <v>57</v>
      </c>
      <c r="BA19" t="s">
        <v>57</v>
      </c>
      <c r="BB19" t="s">
        <v>57</v>
      </c>
      <c r="BC19" t="s">
        <v>175</v>
      </c>
      <c r="BD19" t="s">
        <v>464</v>
      </c>
      <c r="BE19" t="s">
        <v>57</v>
      </c>
      <c r="BF19" t="s">
        <v>57</v>
      </c>
      <c r="BG19" t="s">
        <v>57</v>
      </c>
      <c r="BH19" t="s">
        <v>57</v>
      </c>
      <c r="BI19" t="s">
        <v>57</v>
      </c>
      <c r="BJ19" t="s">
        <v>57</v>
      </c>
      <c r="BK19" t="s">
        <v>57</v>
      </c>
      <c r="BL19" t="s">
        <v>57</v>
      </c>
      <c r="BM19" t="s">
        <v>57</v>
      </c>
      <c r="BN19" t="s">
        <v>57</v>
      </c>
      <c r="BO19" t="s">
        <v>57</v>
      </c>
      <c r="BP19" t="s">
        <v>57</v>
      </c>
      <c r="BQ19" t="s">
        <v>57</v>
      </c>
      <c r="BR19" t="s">
        <v>57</v>
      </c>
      <c r="BS19" t="s">
        <v>57</v>
      </c>
      <c r="BT19" t="s">
        <v>57</v>
      </c>
      <c r="BU19" t="s">
        <v>57</v>
      </c>
      <c r="BV19" t="s">
        <v>57</v>
      </c>
      <c r="BW19" t="s">
        <v>57</v>
      </c>
      <c r="BX19" t="s">
        <v>57</v>
      </c>
      <c r="BY19" t="s">
        <v>57</v>
      </c>
      <c r="BZ19" t="s">
        <v>57</v>
      </c>
      <c r="CA19" t="s">
        <v>57</v>
      </c>
      <c r="CB19" t="s">
        <v>57</v>
      </c>
      <c r="CC19" t="s">
        <v>57</v>
      </c>
      <c r="CD19" t="s">
        <v>57</v>
      </c>
      <c r="CE19" t="s">
        <v>57</v>
      </c>
      <c r="CF19" t="s">
        <v>57</v>
      </c>
      <c r="CG19" t="s">
        <v>57</v>
      </c>
      <c r="CH19" t="s">
        <v>57</v>
      </c>
      <c r="CI19" t="s">
        <v>57</v>
      </c>
      <c r="CJ19" t="s">
        <v>57</v>
      </c>
      <c r="CK19" t="s">
        <v>175</v>
      </c>
      <c r="CL19" t="s">
        <v>175</v>
      </c>
      <c r="CM19" t="s">
        <v>175</v>
      </c>
      <c r="CN19" t="s">
        <v>57</v>
      </c>
      <c r="CO19" t="s">
        <v>57</v>
      </c>
      <c r="CP19" t="s">
        <v>57</v>
      </c>
      <c r="CQ19" t="s">
        <v>57</v>
      </c>
      <c r="CR19" t="s">
        <v>57</v>
      </c>
      <c r="CS19" t="s">
        <v>57</v>
      </c>
      <c r="CT19" t="s">
        <v>57</v>
      </c>
      <c r="CU19" t="s">
        <v>57</v>
      </c>
      <c r="CV19" t="s">
        <v>57</v>
      </c>
      <c r="CW19" t="s">
        <v>57</v>
      </c>
      <c r="CX19" t="s">
        <v>57</v>
      </c>
      <c r="CY19" t="s">
        <v>57</v>
      </c>
      <c r="CZ19" t="s">
        <v>57</v>
      </c>
      <c r="DA19" t="s">
        <v>57</v>
      </c>
      <c r="DB19" t="s">
        <v>57</v>
      </c>
      <c r="DC19" t="s">
        <v>57</v>
      </c>
      <c r="DD19" t="s">
        <v>57</v>
      </c>
      <c r="DE19" t="s">
        <v>57</v>
      </c>
      <c r="DF19" t="s">
        <v>57</v>
      </c>
      <c r="DG19" t="s">
        <v>57</v>
      </c>
      <c r="DH19" t="s">
        <v>57</v>
      </c>
      <c r="DI19" t="s">
        <v>57</v>
      </c>
      <c r="DJ19" t="s">
        <v>57</v>
      </c>
      <c r="DK19" t="s">
        <v>175</v>
      </c>
      <c r="DL19" t="s">
        <v>57</v>
      </c>
      <c r="DM19" t="s">
        <v>57</v>
      </c>
      <c r="DN19" t="s">
        <v>57</v>
      </c>
      <c r="DO19" t="s">
        <v>57</v>
      </c>
      <c r="DP19" t="s">
        <v>57</v>
      </c>
      <c r="DQ19" t="s">
        <v>57</v>
      </c>
      <c r="DR19" t="s">
        <v>57</v>
      </c>
      <c r="DS19" t="s">
        <v>57</v>
      </c>
      <c r="DT19" t="s">
        <v>57</v>
      </c>
      <c r="DU19" t="s">
        <v>57</v>
      </c>
      <c r="DV19" t="s">
        <v>57</v>
      </c>
      <c r="DW19" t="s">
        <v>57</v>
      </c>
      <c r="DX19" t="s">
        <v>57</v>
      </c>
      <c r="DY19" t="s">
        <v>175</v>
      </c>
      <c r="DZ19" t="s">
        <v>57</v>
      </c>
      <c r="EA19" t="s">
        <v>57</v>
      </c>
      <c r="EB19" t="s">
        <v>57</v>
      </c>
      <c r="EC19" t="s">
        <v>57</v>
      </c>
      <c r="ED19" t="s">
        <v>57</v>
      </c>
      <c r="EE19" t="s">
        <v>57</v>
      </c>
      <c r="EF19" t="s">
        <v>57</v>
      </c>
      <c r="EG19" t="s">
        <v>57</v>
      </c>
      <c r="EH19" t="s">
        <v>57</v>
      </c>
      <c r="EI19" t="s">
        <v>57</v>
      </c>
      <c r="EJ19" t="s">
        <v>57</v>
      </c>
      <c r="EK19" t="s">
        <v>57</v>
      </c>
      <c r="EL19" t="s">
        <v>57</v>
      </c>
      <c r="EM19" t="s">
        <v>57</v>
      </c>
      <c r="EN19" t="s">
        <v>57</v>
      </c>
      <c r="EO19" t="s">
        <v>57</v>
      </c>
      <c r="EP19" t="s">
        <v>57</v>
      </c>
      <c r="EQ19" t="s">
        <v>57</v>
      </c>
      <c r="ER19" t="s">
        <v>57</v>
      </c>
      <c r="ES19" t="s">
        <v>57</v>
      </c>
      <c r="ET19" t="s">
        <v>57</v>
      </c>
      <c r="EU19" t="s">
        <v>57</v>
      </c>
      <c r="EV19" t="s">
        <v>57</v>
      </c>
      <c r="EW19" t="s">
        <v>57</v>
      </c>
      <c r="EX19" t="s">
        <v>57</v>
      </c>
      <c r="EY19" t="s">
        <v>57</v>
      </c>
      <c r="EZ19" t="s">
        <v>57</v>
      </c>
      <c r="FA19" t="s">
        <v>57</v>
      </c>
      <c r="FB19" t="s">
        <v>57</v>
      </c>
      <c r="FC19" t="s">
        <v>57</v>
      </c>
      <c r="FD19" t="s">
        <v>57</v>
      </c>
      <c r="FE19" t="s">
        <v>57</v>
      </c>
      <c r="FF19" t="s">
        <v>57</v>
      </c>
      <c r="FG19" t="s">
        <v>57</v>
      </c>
      <c r="FH19" t="s">
        <v>57</v>
      </c>
      <c r="FI19" t="s">
        <v>57</v>
      </c>
      <c r="FJ19" t="s">
        <v>57</v>
      </c>
      <c r="FK19" t="s">
        <v>57</v>
      </c>
      <c r="FL19" t="s">
        <v>57</v>
      </c>
      <c r="FM19" t="s">
        <v>57</v>
      </c>
      <c r="FN19" t="s">
        <v>57</v>
      </c>
      <c r="FO19" t="s">
        <v>175</v>
      </c>
      <c r="FP19" t="s">
        <v>57</v>
      </c>
      <c r="FQ19" t="s">
        <v>57</v>
      </c>
      <c r="FR19" t="s">
        <v>57</v>
      </c>
      <c r="FS19" t="s">
        <v>57</v>
      </c>
      <c r="FT19" t="s">
        <v>57</v>
      </c>
      <c r="FU19" t="s">
        <v>57</v>
      </c>
      <c r="FV19" t="s">
        <v>57</v>
      </c>
      <c r="FW19" t="s">
        <v>57</v>
      </c>
      <c r="FX19" t="s">
        <v>57</v>
      </c>
      <c r="FY19" t="s">
        <v>57</v>
      </c>
      <c r="FZ19" t="s">
        <v>57</v>
      </c>
      <c r="GA19" t="s">
        <v>57</v>
      </c>
      <c r="GB19" t="s">
        <v>57</v>
      </c>
      <c r="GC19" t="s">
        <v>57</v>
      </c>
      <c r="GD19" t="s">
        <v>57</v>
      </c>
      <c r="GE19" t="s">
        <v>57</v>
      </c>
      <c r="GF19" t="s">
        <v>57</v>
      </c>
      <c r="GG19" t="s">
        <v>175</v>
      </c>
      <c r="GH19" t="s">
        <v>57</v>
      </c>
      <c r="GI19" t="s">
        <v>57</v>
      </c>
      <c r="GJ19" t="s">
        <v>57</v>
      </c>
      <c r="GK19" t="s">
        <v>57</v>
      </c>
      <c r="GL19" t="s">
        <v>57</v>
      </c>
      <c r="GM19" t="s">
        <v>57</v>
      </c>
      <c r="GN19" t="s">
        <v>57</v>
      </c>
      <c r="GO19" t="s">
        <v>57</v>
      </c>
      <c r="GP19" t="s">
        <v>175</v>
      </c>
      <c r="GQ19" t="s">
        <v>175</v>
      </c>
      <c r="GR19" t="s">
        <v>57</v>
      </c>
      <c r="GS19" t="s">
        <v>57</v>
      </c>
      <c r="GT19" t="s">
        <v>57</v>
      </c>
      <c r="GU19" t="s">
        <v>57</v>
      </c>
      <c r="GV19" t="s">
        <v>175</v>
      </c>
      <c r="GW19" t="s">
        <v>57</v>
      </c>
      <c r="GX19" t="s">
        <v>57</v>
      </c>
      <c r="GY19" t="s">
        <v>57</v>
      </c>
      <c r="GZ19" t="s">
        <v>57</v>
      </c>
      <c r="HA19" t="s">
        <v>57</v>
      </c>
      <c r="HB19" t="s">
        <v>57</v>
      </c>
      <c r="HC19" t="s">
        <v>57</v>
      </c>
      <c r="HD19" t="s">
        <v>57</v>
      </c>
      <c r="HE19" t="s">
        <v>57</v>
      </c>
      <c r="HF19" t="s">
        <v>57</v>
      </c>
      <c r="HG19" t="s">
        <v>57</v>
      </c>
      <c r="HH19" t="s">
        <v>175</v>
      </c>
      <c r="HI19" t="s">
        <v>175</v>
      </c>
      <c r="HJ19" t="s">
        <v>175</v>
      </c>
      <c r="HK19" t="s">
        <v>175</v>
      </c>
      <c r="HL19" t="s">
        <v>57</v>
      </c>
      <c r="HM19" t="s">
        <v>57</v>
      </c>
      <c r="HN19" t="s">
        <v>57</v>
      </c>
      <c r="HO19" t="s">
        <v>57</v>
      </c>
      <c r="HP19" t="s">
        <v>57</v>
      </c>
      <c r="HQ19" t="s">
        <v>57</v>
      </c>
      <c r="HR19" t="s">
        <v>57</v>
      </c>
      <c r="HS19" t="s">
        <v>57</v>
      </c>
      <c r="HT19" t="s">
        <v>57</v>
      </c>
      <c r="HU19" t="s">
        <v>57</v>
      </c>
      <c r="HV19" t="s">
        <v>57</v>
      </c>
      <c r="HW19" t="s">
        <v>57</v>
      </c>
      <c r="HX19" t="s">
        <v>57</v>
      </c>
      <c r="HY19" t="s">
        <v>57</v>
      </c>
      <c r="HZ19" t="s">
        <v>57</v>
      </c>
      <c r="IA19" t="s">
        <v>57</v>
      </c>
      <c r="IB19" t="s">
        <v>57</v>
      </c>
      <c r="IC19" t="s">
        <v>57</v>
      </c>
      <c r="ID19" t="s">
        <v>57</v>
      </c>
      <c r="IE19" t="s">
        <v>57</v>
      </c>
      <c r="IF19" t="s">
        <v>124</v>
      </c>
      <c r="IG19" t="s">
        <v>148</v>
      </c>
      <c r="IH19" t="s">
        <v>123</v>
      </c>
      <c r="II19" t="s">
        <v>156</v>
      </c>
    </row>
    <row r="20" spans="1:243" x14ac:dyDescent="0.25">
      <c r="A20" s="111" t="str">
        <f>HYPERLINK("http://www.ofsted.gov.uk/inspection-reports/find-inspection-report/provider/ELS/101065 ","Ofsted School Webpage")</f>
        <v>Ofsted School Webpage</v>
      </c>
      <c r="B20">
        <v>101065</v>
      </c>
      <c r="C20">
        <v>2126144</v>
      </c>
      <c r="D20" t="s">
        <v>449</v>
      </c>
      <c r="E20" t="s">
        <v>36</v>
      </c>
      <c r="F20" t="s">
        <v>166</v>
      </c>
      <c r="G20" t="s">
        <v>189</v>
      </c>
      <c r="H20" t="s">
        <v>189</v>
      </c>
      <c r="I20" t="s">
        <v>391</v>
      </c>
      <c r="J20" t="s">
        <v>450</v>
      </c>
      <c r="K20" t="s">
        <v>142</v>
      </c>
      <c r="L20" t="s">
        <v>142</v>
      </c>
      <c r="M20" t="s">
        <v>2596</v>
      </c>
      <c r="N20" t="s">
        <v>143</v>
      </c>
      <c r="O20">
        <v>10008537</v>
      </c>
      <c r="P20" s="108">
        <v>43046</v>
      </c>
      <c r="Q20" s="108">
        <v>43048</v>
      </c>
      <c r="R20" s="108">
        <v>43066</v>
      </c>
      <c r="S20" t="s">
        <v>153</v>
      </c>
      <c r="T20" t="s">
        <v>154</v>
      </c>
      <c r="U20">
        <v>1</v>
      </c>
      <c r="V20">
        <v>1</v>
      </c>
      <c r="W20">
        <v>1</v>
      </c>
      <c r="X20">
        <v>1</v>
      </c>
      <c r="Y20">
        <v>1</v>
      </c>
      <c r="Z20">
        <v>1</v>
      </c>
      <c r="AA20" t="s">
        <v>2596</v>
      </c>
      <c r="AB20" t="s">
        <v>123</v>
      </c>
      <c r="AC20" t="s">
        <v>2596</v>
      </c>
      <c r="AD20" t="s">
        <v>2598</v>
      </c>
      <c r="AE20" t="s">
        <v>57</v>
      </c>
      <c r="AF20" t="s">
        <v>57</v>
      </c>
      <c r="AG20" t="s">
        <v>57</v>
      </c>
      <c r="AH20" t="s">
        <v>57</v>
      </c>
      <c r="AI20" t="s">
        <v>57</v>
      </c>
      <c r="AJ20" t="s">
        <v>57</v>
      </c>
      <c r="AK20" t="s">
        <v>57</v>
      </c>
      <c r="AL20" t="s">
        <v>57</v>
      </c>
      <c r="AM20" t="s">
        <v>57</v>
      </c>
      <c r="AN20" t="s">
        <v>57</v>
      </c>
      <c r="AO20" t="s">
        <v>57</v>
      </c>
      <c r="AP20" t="s">
        <v>57</v>
      </c>
      <c r="AQ20" t="s">
        <v>57</v>
      </c>
      <c r="AR20" t="s">
        <v>57</v>
      </c>
      <c r="AS20" t="s">
        <v>57</v>
      </c>
      <c r="AT20" t="s">
        <v>57</v>
      </c>
      <c r="AU20" t="s">
        <v>148</v>
      </c>
      <c r="AV20" t="s">
        <v>57</v>
      </c>
      <c r="AW20" t="s">
        <v>57</v>
      </c>
      <c r="AX20" t="s">
        <v>57</v>
      </c>
      <c r="AY20" t="s">
        <v>148</v>
      </c>
      <c r="AZ20" t="s">
        <v>148</v>
      </c>
      <c r="BA20" t="s">
        <v>148</v>
      </c>
      <c r="BB20" t="s">
        <v>148</v>
      </c>
      <c r="BC20" t="s">
        <v>57</v>
      </c>
      <c r="BD20" t="s">
        <v>148</v>
      </c>
      <c r="BE20" t="s">
        <v>57</v>
      </c>
      <c r="BF20" t="s">
        <v>57</v>
      </c>
      <c r="BG20" t="s">
        <v>57</v>
      </c>
      <c r="BH20" t="s">
        <v>57</v>
      </c>
      <c r="BI20" t="s">
        <v>57</v>
      </c>
      <c r="BJ20" t="s">
        <v>57</v>
      </c>
      <c r="BK20" t="s">
        <v>57</v>
      </c>
      <c r="BL20" t="s">
        <v>57</v>
      </c>
      <c r="BM20" t="s">
        <v>57</v>
      </c>
      <c r="BN20" t="s">
        <v>57</v>
      </c>
      <c r="BO20" t="s">
        <v>57</v>
      </c>
      <c r="BP20" t="s">
        <v>57</v>
      </c>
      <c r="BQ20" t="s">
        <v>57</v>
      </c>
      <c r="BR20" t="s">
        <v>57</v>
      </c>
      <c r="BS20" t="s">
        <v>57</v>
      </c>
      <c r="BT20" t="s">
        <v>57</v>
      </c>
      <c r="BU20" t="s">
        <v>57</v>
      </c>
      <c r="BV20" t="s">
        <v>57</v>
      </c>
      <c r="BW20" t="s">
        <v>57</v>
      </c>
      <c r="BX20" t="s">
        <v>57</v>
      </c>
      <c r="BY20" t="s">
        <v>57</v>
      </c>
      <c r="BZ20" t="s">
        <v>57</v>
      </c>
      <c r="CA20" t="s">
        <v>57</v>
      </c>
      <c r="CB20" t="s">
        <v>57</v>
      </c>
      <c r="CC20" t="s">
        <v>57</v>
      </c>
      <c r="CD20" t="s">
        <v>57</v>
      </c>
      <c r="CE20" t="s">
        <v>57</v>
      </c>
      <c r="CF20" t="s">
        <v>57</v>
      </c>
      <c r="CG20" t="s">
        <v>57</v>
      </c>
      <c r="CH20" t="s">
        <v>57</v>
      </c>
      <c r="CI20" t="s">
        <v>57</v>
      </c>
      <c r="CJ20" t="s">
        <v>57</v>
      </c>
      <c r="CK20" t="s">
        <v>148</v>
      </c>
      <c r="CL20" t="s">
        <v>148</v>
      </c>
      <c r="CM20" t="s">
        <v>148</v>
      </c>
      <c r="CN20" t="s">
        <v>57</v>
      </c>
      <c r="CO20" t="s">
        <v>57</v>
      </c>
      <c r="CP20" t="s">
        <v>57</v>
      </c>
      <c r="CQ20" t="s">
        <v>57</v>
      </c>
      <c r="CR20" t="s">
        <v>57</v>
      </c>
      <c r="CS20" t="s">
        <v>57</v>
      </c>
      <c r="CT20" t="s">
        <v>57</v>
      </c>
      <c r="CU20" t="s">
        <v>57</v>
      </c>
      <c r="CV20" t="s">
        <v>57</v>
      </c>
      <c r="CW20" t="s">
        <v>57</v>
      </c>
      <c r="CX20" t="s">
        <v>57</v>
      </c>
      <c r="CY20" t="s">
        <v>57</v>
      </c>
      <c r="CZ20" t="s">
        <v>57</v>
      </c>
      <c r="DA20" t="s">
        <v>57</v>
      </c>
      <c r="DB20" t="s">
        <v>57</v>
      </c>
      <c r="DC20" t="s">
        <v>57</v>
      </c>
      <c r="DD20" t="s">
        <v>57</v>
      </c>
      <c r="DE20" t="s">
        <v>57</v>
      </c>
      <c r="DF20" t="s">
        <v>57</v>
      </c>
      <c r="DG20" t="s">
        <v>57</v>
      </c>
      <c r="DH20" t="s">
        <v>57</v>
      </c>
      <c r="DI20" t="s">
        <v>57</v>
      </c>
      <c r="DJ20" t="s">
        <v>57</v>
      </c>
      <c r="DK20" t="s">
        <v>148</v>
      </c>
      <c r="DL20" t="s">
        <v>57</v>
      </c>
      <c r="DM20" t="s">
        <v>57</v>
      </c>
      <c r="DN20" t="s">
        <v>57</v>
      </c>
      <c r="DO20" t="s">
        <v>57</v>
      </c>
      <c r="DP20" t="s">
        <v>57</v>
      </c>
      <c r="DQ20" t="s">
        <v>57</v>
      </c>
      <c r="DR20" t="s">
        <v>57</v>
      </c>
      <c r="DS20" t="s">
        <v>57</v>
      </c>
      <c r="DT20" t="s">
        <v>57</v>
      </c>
      <c r="DU20" t="s">
        <v>57</v>
      </c>
      <c r="DV20" t="s">
        <v>57</v>
      </c>
      <c r="DW20" t="s">
        <v>57</v>
      </c>
      <c r="DX20" t="s">
        <v>57</v>
      </c>
      <c r="DY20" t="s">
        <v>148</v>
      </c>
      <c r="DZ20" t="s">
        <v>57</v>
      </c>
      <c r="EA20" t="s">
        <v>57</v>
      </c>
      <c r="EB20" t="s">
        <v>57</v>
      </c>
      <c r="EC20" t="s">
        <v>57</v>
      </c>
      <c r="ED20" t="s">
        <v>57</v>
      </c>
      <c r="EE20" t="s">
        <v>57</v>
      </c>
      <c r="EF20" t="s">
        <v>57</v>
      </c>
      <c r="EG20" t="s">
        <v>57</v>
      </c>
      <c r="EH20" t="s">
        <v>57</v>
      </c>
      <c r="EI20" t="s">
        <v>57</v>
      </c>
      <c r="EJ20" t="s">
        <v>57</v>
      </c>
      <c r="EK20" t="s">
        <v>57</v>
      </c>
      <c r="EL20" t="s">
        <v>57</v>
      </c>
      <c r="EM20" t="s">
        <v>57</v>
      </c>
      <c r="EN20" t="s">
        <v>57</v>
      </c>
      <c r="EO20" t="s">
        <v>57</v>
      </c>
      <c r="EP20" t="s">
        <v>57</v>
      </c>
      <c r="EQ20" t="s">
        <v>57</v>
      </c>
      <c r="ER20" t="s">
        <v>57</v>
      </c>
      <c r="ES20" t="s">
        <v>57</v>
      </c>
      <c r="ET20" t="s">
        <v>57</v>
      </c>
      <c r="EU20" t="s">
        <v>57</v>
      </c>
      <c r="EV20" t="s">
        <v>57</v>
      </c>
      <c r="EW20" t="s">
        <v>57</v>
      </c>
      <c r="EX20" t="s">
        <v>57</v>
      </c>
      <c r="EY20" t="s">
        <v>57</v>
      </c>
      <c r="EZ20" t="s">
        <v>57</v>
      </c>
      <c r="FA20" t="s">
        <v>57</v>
      </c>
      <c r="FB20" t="s">
        <v>57</v>
      </c>
      <c r="FC20" t="s">
        <v>57</v>
      </c>
      <c r="FD20" t="s">
        <v>57</v>
      </c>
      <c r="FE20" t="s">
        <v>57</v>
      </c>
      <c r="FF20" t="s">
        <v>57</v>
      </c>
      <c r="FG20" t="s">
        <v>57</v>
      </c>
      <c r="FH20" t="s">
        <v>57</v>
      </c>
      <c r="FI20" t="s">
        <v>57</v>
      </c>
      <c r="FJ20" t="s">
        <v>57</v>
      </c>
      <c r="FK20" t="s">
        <v>148</v>
      </c>
      <c r="FL20" t="s">
        <v>57</v>
      </c>
      <c r="FM20" t="s">
        <v>57</v>
      </c>
      <c r="FN20" t="s">
        <v>57</v>
      </c>
      <c r="FO20" t="s">
        <v>148</v>
      </c>
      <c r="FP20" t="s">
        <v>57</v>
      </c>
      <c r="FQ20" t="s">
        <v>57</v>
      </c>
      <c r="FR20" t="s">
        <v>57</v>
      </c>
      <c r="FS20" t="s">
        <v>57</v>
      </c>
      <c r="FT20" t="s">
        <v>57</v>
      </c>
      <c r="FU20" t="s">
        <v>57</v>
      </c>
      <c r="FV20" t="s">
        <v>57</v>
      </c>
      <c r="FW20" t="s">
        <v>57</v>
      </c>
      <c r="FX20" t="s">
        <v>57</v>
      </c>
      <c r="FY20" t="s">
        <v>57</v>
      </c>
      <c r="FZ20" t="s">
        <v>57</v>
      </c>
      <c r="GA20" t="s">
        <v>57</v>
      </c>
      <c r="GB20" t="s">
        <v>57</v>
      </c>
      <c r="GC20" t="s">
        <v>57</v>
      </c>
      <c r="GD20" t="s">
        <v>57</v>
      </c>
      <c r="GE20" t="s">
        <v>57</v>
      </c>
      <c r="GF20" t="s">
        <v>57</v>
      </c>
      <c r="GG20" t="s">
        <v>148</v>
      </c>
      <c r="GH20" t="s">
        <v>57</v>
      </c>
      <c r="GI20" t="s">
        <v>57</v>
      </c>
      <c r="GJ20" t="s">
        <v>57</v>
      </c>
      <c r="GK20" t="s">
        <v>57</v>
      </c>
      <c r="GL20" t="s">
        <v>57</v>
      </c>
      <c r="GM20" t="s">
        <v>148</v>
      </c>
      <c r="GN20" t="s">
        <v>57</v>
      </c>
      <c r="GO20" t="s">
        <v>57</v>
      </c>
      <c r="GP20" t="s">
        <v>148</v>
      </c>
      <c r="GQ20" t="s">
        <v>57</v>
      </c>
      <c r="GR20" t="s">
        <v>57</v>
      </c>
      <c r="GS20" t="s">
        <v>57</v>
      </c>
      <c r="GT20" t="s">
        <v>57</v>
      </c>
      <c r="GU20" t="s">
        <v>57</v>
      </c>
      <c r="GV20" t="s">
        <v>57</v>
      </c>
      <c r="GW20" t="s">
        <v>148</v>
      </c>
      <c r="GX20" t="s">
        <v>148</v>
      </c>
      <c r="GY20" t="s">
        <v>57</v>
      </c>
      <c r="GZ20" t="s">
        <v>57</v>
      </c>
      <c r="HA20" t="s">
        <v>57</v>
      </c>
      <c r="HB20" t="s">
        <v>57</v>
      </c>
      <c r="HC20" t="s">
        <v>57</v>
      </c>
      <c r="HD20" t="s">
        <v>57</v>
      </c>
      <c r="HE20" t="s">
        <v>57</v>
      </c>
      <c r="HF20" t="s">
        <v>57</v>
      </c>
      <c r="HG20" t="s">
        <v>57</v>
      </c>
      <c r="HH20" t="s">
        <v>57</v>
      </c>
      <c r="HI20" t="s">
        <v>57</v>
      </c>
      <c r="HJ20" t="s">
        <v>57</v>
      </c>
      <c r="HK20" t="s">
        <v>57</v>
      </c>
      <c r="HL20" t="s">
        <v>57</v>
      </c>
      <c r="HM20" t="s">
        <v>57</v>
      </c>
      <c r="HN20" t="s">
        <v>57</v>
      </c>
      <c r="HO20" t="s">
        <v>57</v>
      </c>
      <c r="HP20" t="s">
        <v>57</v>
      </c>
      <c r="HQ20" t="s">
        <v>57</v>
      </c>
      <c r="HR20" t="s">
        <v>57</v>
      </c>
      <c r="HS20" t="s">
        <v>57</v>
      </c>
      <c r="HT20" t="s">
        <v>57</v>
      </c>
      <c r="HU20" t="s">
        <v>57</v>
      </c>
      <c r="HV20" t="s">
        <v>57</v>
      </c>
      <c r="HW20" t="s">
        <v>57</v>
      </c>
      <c r="HX20" t="s">
        <v>57</v>
      </c>
      <c r="HY20" t="s">
        <v>57</v>
      </c>
      <c r="HZ20" t="s">
        <v>57</v>
      </c>
      <c r="IA20" t="s">
        <v>57</v>
      </c>
      <c r="IB20" t="s">
        <v>57</v>
      </c>
      <c r="IC20" t="s">
        <v>57</v>
      </c>
      <c r="ID20" t="s">
        <v>57</v>
      </c>
      <c r="IE20" t="s">
        <v>57</v>
      </c>
      <c r="IF20" t="s">
        <v>124</v>
      </c>
      <c r="IG20" t="s">
        <v>155</v>
      </c>
      <c r="IH20" t="s">
        <v>123</v>
      </c>
      <c r="II20" t="s">
        <v>156</v>
      </c>
    </row>
    <row r="21" spans="1:243" x14ac:dyDescent="0.25">
      <c r="A21" s="111" t="str">
        <f>HYPERLINK("http://www.ofsted.gov.uk/inspection-reports/find-inspection-report/provider/ELS/101077 ","Ofsted School Webpage")</f>
        <v>Ofsted School Webpage</v>
      </c>
      <c r="B21">
        <v>101077</v>
      </c>
      <c r="C21">
        <v>2126368</v>
      </c>
      <c r="D21" t="s">
        <v>1807</v>
      </c>
      <c r="E21" t="s">
        <v>37</v>
      </c>
      <c r="F21" t="s">
        <v>138</v>
      </c>
      <c r="G21" t="s">
        <v>189</v>
      </c>
      <c r="H21" t="s">
        <v>189</v>
      </c>
      <c r="I21" t="s">
        <v>391</v>
      </c>
      <c r="J21" t="s">
        <v>1808</v>
      </c>
      <c r="K21" t="s">
        <v>142</v>
      </c>
      <c r="L21" t="s">
        <v>142</v>
      </c>
      <c r="M21" t="s">
        <v>2596</v>
      </c>
      <c r="N21" t="s">
        <v>143</v>
      </c>
      <c r="O21">
        <v>10041395</v>
      </c>
      <c r="P21" s="108">
        <v>43109</v>
      </c>
      <c r="Q21" s="108">
        <v>43111</v>
      </c>
      <c r="R21" s="108">
        <v>43157</v>
      </c>
      <c r="S21" t="s">
        <v>153</v>
      </c>
      <c r="T21" t="s">
        <v>154</v>
      </c>
      <c r="U21">
        <v>2</v>
      </c>
      <c r="V21">
        <v>2</v>
      </c>
      <c r="W21">
        <v>1</v>
      </c>
      <c r="X21">
        <v>2</v>
      </c>
      <c r="Y21">
        <v>2</v>
      </c>
      <c r="Z21" t="s">
        <v>2596</v>
      </c>
      <c r="AA21" t="s">
        <v>2596</v>
      </c>
      <c r="AB21" t="s">
        <v>123</v>
      </c>
      <c r="AC21" t="s">
        <v>2596</v>
      </c>
      <c r="AD21" t="s">
        <v>2598</v>
      </c>
      <c r="AE21" t="s">
        <v>57</v>
      </c>
      <c r="AF21" t="s">
        <v>57</v>
      </c>
      <c r="AG21" t="s">
        <v>57</v>
      </c>
      <c r="AH21" t="s">
        <v>57</v>
      </c>
      <c r="AI21" t="s">
        <v>57</v>
      </c>
      <c r="AJ21" t="s">
        <v>57</v>
      </c>
      <c r="AK21" t="s">
        <v>57</v>
      </c>
      <c r="AL21" t="s">
        <v>57</v>
      </c>
      <c r="AM21" t="s">
        <v>57</v>
      </c>
      <c r="AN21" t="s">
        <v>57</v>
      </c>
      <c r="AO21" t="s">
        <v>57</v>
      </c>
      <c r="AP21" t="s">
        <v>57</v>
      </c>
      <c r="AQ21" t="s">
        <v>57</v>
      </c>
      <c r="AR21" t="s">
        <v>57</v>
      </c>
      <c r="AS21" t="s">
        <v>57</v>
      </c>
      <c r="AT21" t="s">
        <v>57</v>
      </c>
      <c r="AU21" t="s">
        <v>175</v>
      </c>
      <c r="AV21" t="s">
        <v>57</v>
      </c>
      <c r="AW21" t="s">
        <v>57</v>
      </c>
      <c r="AX21" t="s">
        <v>57</v>
      </c>
      <c r="AY21" t="s">
        <v>57</v>
      </c>
      <c r="AZ21" t="s">
        <v>57</v>
      </c>
      <c r="BA21" t="s">
        <v>57</v>
      </c>
      <c r="BB21" t="s">
        <v>57</v>
      </c>
      <c r="BC21" t="s">
        <v>175</v>
      </c>
      <c r="BD21" t="s">
        <v>175</v>
      </c>
      <c r="BE21" t="s">
        <v>57</v>
      </c>
      <c r="BF21" t="s">
        <v>57</v>
      </c>
      <c r="BG21" t="s">
        <v>57</v>
      </c>
      <c r="BH21" t="s">
        <v>57</v>
      </c>
      <c r="BI21" t="s">
        <v>57</v>
      </c>
      <c r="BJ21" t="s">
        <v>57</v>
      </c>
      <c r="BK21" t="s">
        <v>57</v>
      </c>
      <c r="BL21" t="s">
        <v>57</v>
      </c>
      <c r="BM21" t="s">
        <v>57</v>
      </c>
      <c r="BN21" t="s">
        <v>57</v>
      </c>
      <c r="BO21" t="s">
        <v>57</v>
      </c>
      <c r="BP21" t="s">
        <v>57</v>
      </c>
      <c r="BQ21" t="s">
        <v>57</v>
      </c>
      <c r="BR21" t="s">
        <v>57</v>
      </c>
      <c r="BS21" t="s">
        <v>57</v>
      </c>
      <c r="BT21" t="s">
        <v>57</v>
      </c>
      <c r="BU21" t="s">
        <v>57</v>
      </c>
      <c r="BV21" t="s">
        <v>57</v>
      </c>
      <c r="BW21" t="s">
        <v>57</v>
      </c>
      <c r="BX21" t="s">
        <v>57</v>
      </c>
      <c r="BY21" t="s">
        <v>57</v>
      </c>
      <c r="BZ21" t="s">
        <v>57</v>
      </c>
      <c r="CA21" t="s">
        <v>57</v>
      </c>
      <c r="CB21" t="s">
        <v>57</v>
      </c>
      <c r="CC21" t="s">
        <v>57</v>
      </c>
      <c r="CD21" t="s">
        <v>57</v>
      </c>
      <c r="CE21" t="s">
        <v>57</v>
      </c>
      <c r="CF21" t="s">
        <v>57</v>
      </c>
      <c r="CG21" t="s">
        <v>57</v>
      </c>
      <c r="CH21" t="s">
        <v>57</v>
      </c>
      <c r="CI21" t="s">
        <v>57</v>
      </c>
      <c r="CJ21" t="s">
        <v>57</v>
      </c>
      <c r="CK21" t="s">
        <v>175</v>
      </c>
      <c r="CL21" t="s">
        <v>175</v>
      </c>
      <c r="CM21" t="s">
        <v>175</v>
      </c>
      <c r="CN21" t="s">
        <v>57</v>
      </c>
      <c r="CO21" t="s">
        <v>57</v>
      </c>
      <c r="CP21" t="s">
        <v>57</v>
      </c>
      <c r="CQ21" t="s">
        <v>57</v>
      </c>
      <c r="CR21" t="s">
        <v>57</v>
      </c>
      <c r="CS21" t="s">
        <v>57</v>
      </c>
      <c r="CT21" t="s">
        <v>57</v>
      </c>
      <c r="CU21" t="s">
        <v>57</v>
      </c>
      <c r="CV21" t="s">
        <v>57</v>
      </c>
      <c r="CW21" t="s">
        <v>57</v>
      </c>
      <c r="CX21" t="s">
        <v>57</v>
      </c>
      <c r="CY21" t="s">
        <v>57</v>
      </c>
      <c r="CZ21" t="s">
        <v>57</v>
      </c>
      <c r="DA21" t="s">
        <v>57</v>
      </c>
      <c r="DB21" t="s">
        <v>57</v>
      </c>
      <c r="DC21" t="s">
        <v>57</v>
      </c>
      <c r="DD21" t="s">
        <v>57</v>
      </c>
      <c r="DE21" t="s">
        <v>57</v>
      </c>
      <c r="DF21" t="s">
        <v>57</v>
      </c>
      <c r="DG21" t="s">
        <v>57</v>
      </c>
      <c r="DH21" t="s">
        <v>57</v>
      </c>
      <c r="DI21" t="s">
        <v>57</v>
      </c>
      <c r="DJ21" t="s">
        <v>57</v>
      </c>
      <c r="DK21" t="s">
        <v>175</v>
      </c>
      <c r="DL21" t="s">
        <v>57</v>
      </c>
      <c r="DM21" t="s">
        <v>175</v>
      </c>
      <c r="DN21" t="s">
        <v>175</v>
      </c>
      <c r="DO21" t="s">
        <v>175</v>
      </c>
      <c r="DP21" t="s">
        <v>175</v>
      </c>
      <c r="DQ21" t="s">
        <v>175</v>
      </c>
      <c r="DR21" t="s">
        <v>175</v>
      </c>
      <c r="DS21" t="s">
        <v>175</v>
      </c>
      <c r="DT21" t="s">
        <v>175</v>
      </c>
      <c r="DU21" t="s">
        <v>175</v>
      </c>
      <c r="DV21" t="s">
        <v>175</v>
      </c>
      <c r="DW21" t="s">
        <v>175</v>
      </c>
      <c r="DX21" t="s">
        <v>175</v>
      </c>
      <c r="DY21" t="s">
        <v>175</v>
      </c>
      <c r="DZ21" t="s">
        <v>175</v>
      </c>
      <c r="EA21" t="s">
        <v>175</v>
      </c>
      <c r="EB21" t="s">
        <v>175</v>
      </c>
      <c r="EC21" t="s">
        <v>175</v>
      </c>
      <c r="ED21" t="s">
        <v>175</v>
      </c>
      <c r="EE21" t="s">
        <v>175</v>
      </c>
      <c r="EF21" t="s">
        <v>175</v>
      </c>
      <c r="EG21" t="s">
        <v>175</v>
      </c>
      <c r="EH21" t="s">
        <v>175</v>
      </c>
      <c r="EI21" t="s">
        <v>175</v>
      </c>
      <c r="EJ21" t="s">
        <v>57</v>
      </c>
      <c r="EK21" t="s">
        <v>57</v>
      </c>
      <c r="EL21" t="s">
        <v>57</v>
      </c>
      <c r="EM21" t="s">
        <v>57</v>
      </c>
      <c r="EN21" t="s">
        <v>57</v>
      </c>
      <c r="EO21" t="s">
        <v>57</v>
      </c>
      <c r="EP21" t="s">
        <v>57</v>
      </c>
      <c r="EQ21" t="s">
        <v>57</v>
      </c>
      <c r="ER21" t="s">
        <v>57</v>
      </c>
      <c r="ES21" t="s">
        <v>57</v>
      </c>
      <c r="ET21" t="s">
        <v>57</v>
      </c>
      <c r="EU21" t="s">
        <v>57</v>
      </c>
      <c r="EV21" t="s">
        <v>57</v>
      </c>
      <c r="EW21" t="s">
        <v>57</v>
      </c>
      <c r="EX21" t="s">
        <v>175</v>
      </c>
      <c r="EY21" t="s">
        <v>175</v>
      </c>
      <c r="EZ21" t="s">
        <v>175</v>
      </c>
      <c r="FA21" t="s">
        <v>175</v>
      </c>
      <c r="FB21" t="s">
        <v>175</v>
      </c>
      <c r="FC21" t="s">
        <v>175</v>
      </c>
      <c r="FD21" t="s">
        <v>175</v>
      </c>
      <c r="FE21" t="s">
        <v>175</v>
      </c>
      <c r="FF21" t="s">
        <v>148</v>
      </c>
      <c r="FG21" t="s">
        <v>175</v>
      </c>
      <c r="FH21" t="s">
        <v>57</v>
      </c>
      <c r="FI21" t="s">
        <v>57</v>
      </c>
      <c r="FJ21" t="s">
        <v>57</v>
      </c>
      <c r="FK21" t="s">
        <v>57</v>
      </c>
      <c r="FL21" t="s">
        <v>57</v>
      </c>
      <c r="FM21" t="s">
        <v>57</v>
      </c>
      <c r="FN21" t="s">
        <v>57</v>
      </c>
      <c r="FO21" t="s">
        <v>175</v>
      </c>
      <c r="FP21" t="s">
        <v>57</v>
      </c>
      <c r="FQ21" t="s">
        <v>57</v>
      </c>
      <c r="FR21" t="s">
        <v>57</v>
      </c>
      <c r="FS21" t="s">
        <v>57</v>
      </c>
      <c r="FT21" t="s">
        <v>57</v>
      </c>
      <c r="FU21" t="s">
        <v>57</v>
      </c>
      <c r="FV21" t="s">
        <v>57</v>
      </c>
      <c r="FW21" t="s">
        <v>57</v>
      </c>
      <c r="FX21" t="s">
        <v>57</v>
      </c>
      <c r="FY21" t="s">
        <v>57</v>
      </c>
      <c r="FZ21" t="s">
        <v>57</v>
      </c>
      <c r="GA21" t="s">
        <v>57</v>
      </c>
      <c r="GB21" t="s">
        <v>57</v>
      </c>
      <c r="GC21" t="s">
        <v>57</v>
      </c>
      <c r="GD21" t="s">
        <v>57</v>
      </c>
      <c r="GE21" t="s">
        <v>57</v>
      </c>
      <c r="GF21" t="s">
        <v>57</v>
      </c>
      <c r="GG21" t="s">
        <v>175</v>
      </c>
      <c r="GH21" t="s">
        <v>57</v>
      </c>
      <c r="GI21" t="s">
        <v>57</v>
      </c>
      <c r="GJ21" t="s">
        <v>57</v>
      </c>
      <c r="GK21" t="s">
        <v>57</v>
      </c>
      <c r="GL21" t="s">
        <v>57</v>
      </c>
      <c r="GM21" t="s">
        <v>175</v>
      </c>
      <c r="GN21" t="s">
        <v>57</v>
      </c>
      <c r="GO21" t="s">
        <v>57</v>
      </c>
      <c r="GP21" t="s">
        <v>57</v>
      </c>
      <c r="GQ21" t="s">
        <v>57</v>
      </c>
      <c r="GR21" t="s">
        <v>57</v>
      </c>
      <c r="GS21" t="s">
        <v>57</v>
      </c>
      <c r="GT21" t="s">
        <v>57</v>
      </c>
      <c r="GU21" t="s">
        <v>57</v>
      </c>
      <c r="GV21" t="s">
        <v>57</v>
      </c>
      <c r="GW21" t="s">
        <v>175</v>
      </c>
      <c r="GX21" t="s">
        <v>175</v>
      </c>
      <c r="GY21" t="s">
        <v>57</v>
      </c>
      <c r="GZ21" t="s">
        <v>57</v>
      </c>
      <c r="HA21" t="s">
        <v>57</v>
      </c>
      <c r="HB21" t="s">
        <v>57</v>
      </c>
      <c r="HC21" t="s">
        <v>57</v>
      </c>
      <c r="HD21" t="s">
        <v>57</v>
      </c>
      <c r="HE21" t="s">
        <v>175</v>
      </c>
      <c r="HF21" t="s">
        <v>57</v>
      </c>
      <c r="HG21" t="s">
        <v>57</v>
      </c>
      <c r="HH21" t="s">
        <v>175</v>
      </c>
      <c r="HI21" t="s">
        <v>175</v>
      </c>
      <c r="HJ21" t="s">
        <v>175</v>
      </c>
      <c r="HK21" t="s">
        <v>175</v>
      </c>
      <c r="HL21" t="s">
        <v>57</v>
      </c>
      <c r="HM21" t="s">
        <v>57</v>
      </c>
      <c r="HN21" t="s">
        <v>57</v>
      </c>
      <c r="HO21" t="s">
        <v>57</v>
      </c>
      <c r="HP21" t="s">
        <v>57</v>
      </c>
      <c r="HQ21" t="s">
        <v>57</v>
      </c>
      <c r="HR21" t="s">
        <v>57</v>
      </c>
      <c r="HS21" t="s">
        <v>57</v>
      </c>
      <c r="HT21" t="s">
        <v>57</v>
      </c>
      <c r="HU21" t="s">
        <v>57</v>
      </c>
      <c r="HV21" t="s">
        <v>57</v>
      </c>
      <c r="HW21" t="s">
        <v>57</v>
      </c>
      <c r="HX21" t="s">
        <v>57</v>
      </c>
      <c r="HY21" t="s">
        <v>57</v>
      </c>
      <c r="HZ21" t="s">
        <v>57</v>
      </c>
      <c r="IA21" t="s">
        <v>57</v>
      </c>
      <c r="IB21" t="s">
        <v>57</v>
      </c>
      <c r="IC21" t="s">
        <v>57</v>
      </c>
      <c r="ID21" t="s">
        <v>57</v>
      </c>
      <c r="IE21" t="s">
        <v>57</v>
      </c>
      <c r="IF21" t="s">
        <v>124</v>
      </c>
      <c r="IG21" t="s">
        <v>148</v>
      </c>
      <c r="IH21" t="s">
        <v>123</v>
      </c>
      <c r="II21" t="s">
        <v>156</v>
      </c>
    </row>
    <row r="22" spans="1:243" x14ac:dyDescent="0.25">
      <c r="A22" s="111" t="str">
        <f>HYPERLINK("http://www.ofsted.gov.uk/inspection-reports/find-inspection-report/provider/ELS/101080 ","Ofsted School Webpage")</f>
        <v>Ofsted School Webpage</v>
      </c>
      <c r="B22">
        <v>101080</v>
      </c>
      <c r="C22">
        <v>2126383</v>
      </c>
      <c r="D22" t="s">
        <v>390</v>
      </c>
      <c r="E22" t="s">
        <v>36</v>
      </c>
      <c r="F22" t="s">
        <v>166</v>
      </c>
      <c r="G22" t="s">
        <v>189</v>
      </c>
      <c r="H22" t="s">
        <v>189</v>
      </c>
      <c r="I22" t="s">
        <v>391</v>
      </c>
      <c r="J22" t="s">
        <v>392</v>
      </c>
      <c r="K22" t="s">
        <v>142</v>
      </c>
      <c r="L22" t="s">
        <v>142</v>
      </c>
      <c r="M22" t="s">
        <v>2596</v>
      </c>
      <c r="N22" t="s">
        <v>143</v>
      </c>
      <c r="O22">
        <v>10008538</v>
      </c>
      <c r="P22" s="108">
        <v>43018</v>
      </c>
      <c r="Q22" s="108">
        <v>43020</v>
      </c>
      <c r="R22" s="108">
        <v>43055</v>
      </c>
      <c r="S22" t="s">
        <v>153</v>
      </c>
      <c r="T22" t="s">
        <v>154</v>
      </c>
      <c r="U22">
        <v>2</v>
      </c>
      <c r="V22">
        <v>2</v>
      </c>
      <c r="W22">
        <v>1</v>
      </c>
      <c r="X22">
        <v>2</v>
      </c>
      <c r="Y22">
        <v>2</v>
      </c>
      <c r="Z22">
        <v>2</v>
      </c>
      <c r="AA22" t="s">
        <v>2596</v>
      </c>
      <c r="AB22" t="s">
        <v>123</v>
      </c>
      <c r="AC22" t="s">
        <v>2596</v>
      </c>
      <c r="AD22" t="s">
        <v>2598</v>
      </c>
      <c r="AE22" t="s">
        <v>57</v>
      </c>
      <c r="AF22" t="s">
        <v>57</v>
      </c>
      <c r="AG22" t="s">
        <v>57</v>
      </c>
      <c r="AH22" t="s">
        <v>57</v>
      </c>
      <c r="AI22" t="s">
        <v>57</v>
      </c>
      <c r="AJ22" t="s">
        <v>57</v>
      </c>
      <c r="AK22" t="s">
        <v>57</v>
      </c>
      <c r="AL22" t="s">
        <v>57</v>
      </c>
      <c r="AM22" t="s">
        <v>57</v>
      </c>
      <c r="AN22" t="s">
        <v>57</v>
      </c>
      <c r="AO22" t="s">
        <v>57</v>
      </c>
      <c r="AP22" t="s">
        <v>57</v>
      </c>
      <c r="AQ22" t="s">
        <v>57</v>
      </c>
      <c r="AR22" t="s">
        <v>57</v>
      </c>
      <c r="AS22" t="s">
        <v>57</v>
      </c>
      <c r="AT22" t="s">
        <v>57</v>
      </c>
      <c r="AU22" t="s">
        <v>57</v>
      </c>
      <c r="AV22" t="s">
        <v>57</v>
      </c>
      <c r="AW22" t="s">
        <v>57</v>
      </c>
      <c r="AX22" t="s">
        <v>57</v>
      </c>
      <c r="AY22" t="s">
        <v>148</v>
      </c>
      <c r="AZ22" t="s">
        <v>148</v>
      </c>
      <c r="BA22" t="s">
        <v>148</v>
      </c>
      <c r="BB22" t="s">
        <v>148</v>
      </c>
      <c r="BC22" t="s">
        <v>57</v>
      </c>
      <c r="BD22" t="s">
        <v>148</v>
      </c>
      <c r="BE22" t="s">
        <v>57</v>
      </c>
      <c r="BF22" t="s">
        <v>57</v>
      </c>
      <c r="BG22" t="s">
        <v>57</v>
      </c>
      <c r="BH22" t="s">
        <v>57</v>
      </c>
      <c r="BI22" t="s">
        <v>57</v>
      </c>
      <c r="BJ22" t="s">
        <v>57</v>
      </c>
      <c r="BK22" t="s">
        <v>57</v>
      </c>
      <c r="BL22" t="s">
        <v>57</v>
      </c>
      <c r="BM22" t="s">
        <v>57</v>
      </c>
      <c r="BN22" t="s">
        <v>57</v>
      </c>
      <c r="BO22" t="s">
        <v>57</v>
      </c>
      <c r="BP22" t="s">
        <v>57</v>
      </c>
      <c r="BQ22" t="s">
        <v>57</v>
      </c>
      <c r="BR22" t="s">
        <v>57</v>
      </c>
      <c r="BS22" t="s">
        <v>57</v>
      </c>
      <c r="BT22" t="s">
        <v>57</v>
      </c>
      <c r="BU22" t="s">
        <v>57</v>
      </c>
      <c r="BV22" t="s">
        <v>57</v>
      </c>
      <c r="BW22" t="s">
        <v>57</v>
      </c>
      <c r="BX22" t="s">
        <v>57</v>
      </c>
      <c r="BY22" t="s">
        <v>57</v>
      </c>
      <c r="BZ22" t="s">
        <v>57</v>
      </c>
      <c r="CA22" t="s">
        <v>57</v>
      </c>
      <c r="CB22" t="s">
        <v>57</v>
      </c>
      <c r="CC22" t="s">
        <v>57</v>
      </c>
      <c r="CD22" t="s">
        <v>57</v>
      </c>
      <c r="CE22" t="s">
        <v>57</v>
      </c>
      <c r="CF22" t="s">
        <v>57</v>
      </c>
      <c r="CG22" t="s">
        <v>57</v>
      </c>
      <c r="CH22" t="s">
        <v>57</v>
      </c>
      <c r="CI22" t="s">
        <v>57</v>
      </c>
      <c r="CJ22" t="s">
        <v>57</v>
      </c>
      <c r="CK22" t="s">
        <v>57</v>
      </c>
      <c r="CL22" t="s">
        <v>148</v>
      </c>
      <c r="CM22" t="s">
        <v>148</v>
      </c>
      <c r="CN22" t="s">
        <v>57</v>
      </c>
      <c r="CO22" t="s">
        <v>57</v>
      </c>
      <c r="CP22" t="s">
        <v>57</v>
      </c>
      <c r="CQ22" t="s">
        <v>57</v>
      </c>
      <c r="CR22" t="s">
        <v>57</v>
      </c>
      <c r="CS22" t="s">
        <v>57</v>
      </c>
      <c r="CT22" t="s">
        <v>57</v>
      </c>
      <c r="CU22" t="s">
        <v>57</v>
      </c>
      <c r="CV22" t="s">
        <v>57</v>
      </c>
      <c r="CW22" t="s">
        <v>57</v>
      </c>
      <c r="CX22" t="s">
        <v>57</v>
      </c>
      <c r="CY22" t="s">
        <v>57</v>
      </c>
      <c r="CZ22" t="s">
        <v>57</v>
      </c>
      <c r="DA22" t="s">
        <v>57</v>
      </c>
      <c r="DB22" t="s">
        <v>57</v>
      </c>
      <c r="DC22" t="s">
        <v>57</v>
      </c>
      <c r="DD22" t="s">
        <v>57</v>
      </c>
      <c r="DE22" t="s">
        <v>57</v>
      </c>
      <c r="DF22" t="s">
        <v>57</v>
      </c>
      <c r="DG22" t="s">
        <v>57</v>
      </c>
      <c r="DH22" t="s">
        <v>57</v>
      </c>
      <c r="DI22" t="s">
        <v>57</v>
      </c>
      <c r="DJ22" t="s">
        <v>57</v>
      </c>
      <c r="DK22" t="s">
        <v>148</v>
      </c>
      <c r="DL22" t="s">
        <v>57</v>
      </c>
      <c r="DM22" t="s">
        <v>148</v>
      </c>
      <c r="DN22" t="s">
        <v>148</v>
      </c>
      <c r="DO22" t="s">
        <v>148</v>
      </c>
      <c r="DP22" t="s">
        <v>148</v>
      </c>
      <c r="DQ22" t="s">
        <v>148</v>
      </c>
      <c r="DR22" t="s">
        <v>148</v>
      </c>
      <c r="DS22" t="s">
        <v>148</v>
      </c>
      <c r="DT22" t="s">
        <v>148</v>
      </c>
      <c r="DU22" t="s">
        <v>148</v>
      </c>
      <c r="DV22" t="s">
        <v>148</v>
      </c>
      <c r="DW22" t="s">
        <v>148</v>
      </c>
      <c r="DX22" t="s">
        <v>148</v>
      </c>
      <c r="DY22" t="s">
        <v>148</v>
      </c>
      <c r="DZ22" t="s">
        <v>148</v>
      </c>
      <c r="EA22" t="s">
        <v>57</v>
      </c>
      <c r="EB22" t="s">
        <v>57</v>
      </c>
      <c r="EC22" t="s">
        <v>57</v>
      </c>
      <c r="ED22" t="s">
        <v>57</v>
      </c>
      <c r="EE22" t="s">
        <v>57</v>
      </c>
      <c r="EF22" t="s">
        <v>57</v>
      </c>
      <c r="EG22" t="s">
        <v>57</v>
      </c>
      <c r="EH22" t="s">
        <v>57</v>
      </c>
      <c r="EI22" t="s">
        <v>57</v>
      </c>
      <c r="EJ22" t="s">
        <v>57</v>
      </c>
      <c r="EK22" t="s">
        <v>57</v>
      </c>
      <c r="EL22" t="s">
        <v>57</v>
      </c>
      <c r="EM22" t="s">
        <v>57</v>
      </c>
      <c r="EN22" t="s">
        <v>57</v>
      </c>
      <c r="EO22" t="s">
        <v>57</v>
      </c>
      <c r="EP22" t="s">
        <v>57</v>
      </c>
      <c r="EQ22" t="s">
        <v>57</v>
      </c>
      <c r="ER22" t="s">
        <v>57</v>
      </c>
      <c r="ES22" t="s">
        <v>57</v>
      </c>
      <c r="ET22" t="s">
        <v>57</v>
      </c>
      <c r="EU22" t="s">
        <v>57</v>
      </c>
      <c r="EV22" t="s">
        <v>57</v>
      </c>
      <c r="EW22" t="s">
        <v>57</v>
      </c>
      <c r="EX22" t="s">
        <v>148</v>
      </c>
      <c r="EY22" t="s">
        <v>148</v>
      </c>
      <c r="EZ22" t="s">
        <v>148</v>
      </c>
      <c r="FA22" t="s">
        <v>148</v>
      </c>
      <c r="FB22" t="s">
        <v>148</v>
      </c>
      <c r="FC22" t="s">
        <v>148</v>
      </c>
      <c r="FD22" t="s">
        <v>148</v>
      </c>
      <c r="FE22" t="s">
        <v>57</v>
      </c>
      <c r="FF22" t="s">
        <v>57</v>
      </c>
      <c r="FG22" t="s">
        <v>57</v>
      </c>
      <c r="FH22" t="s">
        <v>57</v>
      </c>
      <c r="FI22" t="s">
        <v>57</v>
      </c>
      <c r="FJ22" t="s">
        <v>57</v>
      </c>
      <c r="FK22" t="s">
        <v>57</v>
      </c>
      <c r="FL22" t="s">
        <v>57</v>
      </c>
      <c r="FM22" t="s">
        <v>57</v>
      </c>
      <c r="FN22" t="s">
        <v>57</v>
      </c>
      <c r="FO22" t="s">
        <v>148</v>
      </c>
      <c r="FP22" t="s">
        <v>57</v>
      </c>
      <c r="FQ22" t="s">
        <v>57</v>
      </c>
      <c r="FR22" t="s">
        <v>57</v>
      </c>
      <c r="FS22" t="s">
        <v>57</v>
      </c>
      <c r="FT22" t="s">
        <v>57</v>
      </c>
      <c r="FU22" t="s">
        <v>57</v>
      </c>
      <c r="FV22" t="s">
        <v>57</v>
      </c>
      <c r="FW22" t="s">
        <v>57</v>
      </c>
      <c r="FX22" t="s">
        <v>57</v>
      </c>
      <c r="FY22" t="s">
        <v>57</v>
      </c>
      <c r="FZ22" t="s">
        <v>57</v>
      </c>
      <c r="GA22" t="s">
        <v>57</v>
      </c>
      <c r="GB22" t="s">
        <v>57</v>
      </c>
      <c r="GC22" t="s">
        <v>57</v>
      </c>
      <c r="GD22" t="s">
        <v>57</v>
      </c>
      <c r="GE22" t="s">
        <v>57</v>
      </c>
      <c r="GF22" t="s">
        <v>57</v>
      </c>
      <c r="GG22" t="s">
        <v>148</v>
      </c>
      <c r="GH22" t="s">
        <v>57</v>
      </c>
      <c r="GI22" t="s">
        <v>57</v>
      </c>
      <c r="GJ22" t="s">
        <v>57</v>
      </c>
      <c r="GK22" t="s">
        <v>57</v>
      </c>
      <c r="GL22" t="s">
        <v>57</v>
      </c>
      <c r="GM22" t="s">
        <v>148</v>
      </c>
      <c r="GN22" t="s">
        <v>57</v>
      </c>
      <c r="GO22" t="s">
        <v>57</v>
      </c>
      <c r="GP22" t="s">
        <v>57</v>
      </c>
      <c r="GQ22" t="s">
        <v>148</v>
      </c>
      <c r="GR22" t="s">
        <v>57</v>
      </c>
      <c r="GS22" t="s">
        <v>57</v>
      </c>
      <c r="GT22" t="s">
        <v>57</v>
      </c>
      <c r="GU22" t="s">
        <v>57</v>
      </c>
      <c r="GV22" t="s">
        <v>57</v>
      </c>
      <c r="GW22" t="s">
        <v>57</v>
      </c>
      <c r="GX22" t="s">
        <v>148</v>
      </c>
      <c r="GY22" t="s">
        <v>57</v>
      </c>
      <c r="GZ22" t="s">
        <v>57</v>
      </c>
      <c r="HA22" t="s">
        <v>57</v>
      </c>
      <c r="HB22" t="s">
        <v>57</v>
      </c>
      <c r="HC22" t="s">
        <v>57</v>
      </c>
      <c r="HD22" t="s">
        <v>57</v>
      </c>
      <c r="HE22" t="s">
        <v>57</v>
      </c>
      <c r="HF22" t="s">
        <v>57</v>
      </c>
      <c r="HG22" t="s">
        <v>57</v>
      </c>
      <c r="HH22" t="s">
        <v>57</v>
      </c>
      <c r="HI22" t="s">
        <v>148</v>
      </c>
      <c r="HJ22" t="s">
        <v>148</v>
      </c>
      <c r="HK22" t="s">
        <v>148</v>
      </c>
      <c r="HL22" t="s">
        <v>57</v>
      </c>
      <c r="HM22" t="s">
        <v>57</v>
      </c>
      <c r="HN22" t="s">
        <v>57</v>
      </c>
      <c r="HO22" t="s">
        <v>57</v>
      </c>
      <c r="HP22" t="s">
        <v>57</v>
      </c>
      <c r="HQ22" t="s">
        <v>57</v>
      </c>
      <c r="HR22" t="s">
        <v>57</v>
      </c>
      <c r="HS22" t="s">
        <v>57</v>
      </c>
      <c r="HT22" t="s">
        <v>57</v>
      </c>
      <c r="HU22" t="s">
        <v>57</v>
      </c>
      <c r="HV22" t="s">
        <v>57</v>
      </c>
      <c r="HW22" t="s">
        <v>57</v>
      </c>
      <c r="HX22" t="s">
        <v>57</v>
      </c>
      <c r="HY22" t="s">
        <v>57</v>
      </c>
      <c r="HZ22" t="s">
        <v>57</v>
      </c>
      <c r="IA22" t="s">
        <v>57</v>
      </c>
      <c r="IB22" t="s">
        <v>57</v>
      </c>
      <c r="IC22" t="s">
        <v>57</v>
      </c>
      <c r="ID22" t="s">
        <v>57</v>
      </c>
      <c r="IE22" t="s">
        <v>57</v>
      </c>
      <c r="IF22" t="s">
        <v>124</v>
      </c>
      <c r="IG22" t="s">
        <v>155</v>
      </c>
      <c r="IH22" t="s">
        <v>123</v>
      </c>
      <c r="II22" t="s">
        <v>156</v>
      </c>
    </row>
    <row r="23" spans="1:243" x14ac:dyDescent="0.25">
      <c r="A23" s="111" t="str">
        <f>HYPERLINK("http://www.ofsted.gov.uk/inspection-reports/find-inspection-report/provider/ELS/101160 ","Ofsted School Webpage")</f>
        <v>Ofsted School Webpage</v>
      </c>
      <c r="B23">
        <v>101160</v>
      </c>
      <c r="C23">
        <v>2136045</v>
      </c>
      <c r="D23" t="s">
        <v>2878</v>
      </c>
      <c r="E23" t="s">
        <v>36</v>
      </c>
      <c r="F23" t="s">
        <v>166</v>
      </c>
      <c r="G23" t="s">
        <v>189</v>
      </c>
      <c r="H23" t="s">
        <v>189</v>
      </c>
      <c r="I23" t="s">
        <v>632</v>
      </c>
      <c r="J23" t="s">
        <v>1571</v>
      </c>
      <c r="K23" t="s">
        <v>142</v>
      </c>
      <c r="L23" t="s">
        <v>142</v>
      </c>
      <c r="M23" t="s">
        <v>2596</v>
      </c>
      <c r="N23" t="s">
        <v>143</v>
      </c>
      <c r="O23">
        <v>10020764</v>
      </c>
      <c r="P23" s="108">
        <v>43137</v>
      </c>
      <c r="Q23" s="108">
        <v>43139</v>
      </c>
      <c r="R23" s="108">
        <v>43180</v>
      </c>
      <c r="S23" t="s">
        <v>153</v>
      </c>
      <c r="T23" t="s">
        <v>154</v>
      </c>
      <c r="U23">
        <v>2</v>
      </c>
      <c r="V23">
        <v>2</v>
      </c>
      <c r="W23">
        <v>1</v>
      </c>
      <c r="X23">
        <v>2</v>
      </c>
      <c r="Y23">
        <v>2</v>
      </c>
      <c r="Z23">
        <v>2</v>
      </c>
      <c r="AA23" t="s">
        <v>2596</v>
      </c>
      <c r="AB23" t="s">
        <v>123</v>
      </c>
      <c r="AC23" t="s">
        <v>2596</v>
      </c>
      <c r="AD23" t="s">
        <v>2598</v>
      </c>
      <c r="AE23" t="s">
        <v>57</v>
      </c>
      <c r="AF23" t="s">
        <v>57</v>
      </c>
      <c r="AG23" t="s">
        <v>57</v>
      </c>
      <c r="AH23" t="s">
        <v>57</v>
      </c>
      <c r="AI23" t="s">
        <v>57</v>
      </c>
      <c r="AJ23" t="s">
        <v>57</v>
      </c>
      <c r="AK23" t="s">
        <v>57</v>
      </c>
      <c r="AL23" t="s">
        <v>57</v>
      </c>
      <c r="AM23" t="s">
        <v>57</v>
      </c>
      <c r="AN23" t="s">
        <v>57</v>
      </c>
      <c r="AO23" t="s">
        <v>57</v>
      </c>
      <c r="AP23" t="s">
        <v>57</v>
      </c>
      <c r="AQ23" t="s">
        <v>57</v>
      </c>
      <c r="AR23" t="s">
        <v>57</v>
      </c>
      <c r="AS23" t="s">
        <v>57</v>
      </c>
      <c r="AT23" t="s">
        <v>57</v>
      </c>
      <c r="AU23" t="s">
        <v>175</v>
      </c>
      <c r="AV23" t="s">
        <v>57</v>
      </c>
      <c r="AW23" t="s">
        <v>57</v>
      </c>
      <c r="AX23" t="s">
        <v>57</v>
      </c>
      <c r="AY23" t="s">
        <v>175</v>
      </c>
      <c r="AZ23" t="s">
        <v>175</v>
      </c>
      <c r="BA23" t="s">
        <v>175</v>
      </c>
      <c r="BB23" t="s">
        <v>175</v>
      </c>
      <c r="BC23" t="s">
        <v>57</v>
      </c>
      <c r="BD23" t="s">
        <v>175</v>
      </c>
      <c r="BE23" t="s">
        <v>57</v>
      </c>
      <c r="BF23" t="s">
        <v>57</v>
      </c>
      <c r="BG23" t="s">
        <v>57</v>
      </c>
      <c r="BH23" t="s">
        <v>57</v>
      </c>
      <c r="BI23" t="s">
        <v>57</v>
      </c>
      <c r="BJ23" t="s">
        <v>57</v>
      </c>
      <c r="BK23" t="s">
        <v>57</v>
      </c>
      <c r="BL23" t="s">
        <v>57</v>
      </c>
      <c r="BM23" t="s">
        <v>57</v>
      </c>
      <c r="BN23" t="s">
        <v>57</v>
      </c>
      <c r="BO23" t="s">
        <v>57</v>
      </c>
      <c r="BP23" t="s">
        <v>57</v>
      </c>
      <c r="BQ23" t="s">
        <v>57</v>
      </c>
      <c r="BR23" t="s">
        <v>57</v>
      </c>
      <c r="BS23" t="s">
        <v>57</v>
      </c>
      <c r="BT23" t="s">
        <v>57</v>
      </c>
      <c r="BU23" t="s">
        <v>57</v>
      </c>
      <c r="BV23" t="s">
        <v>57</v>
      </c>
      <c r="BW23" t="s">
        <v>57</v>
      </c>
      <c r="BX23" t="s">
        <v>57</v>
      </c>
      <c r="BY23" t="s">
        <v>57</v>
      </c>
      <c r="BZ23" t="s">
        <v>57</v>
      </c>
      <c r="CA23" t="s">
        <v>57</v>
      </c>
      <c r="CB23" t="s">
        <v>57</v>
      </c>
      <c r="CC23" t="s">
        <v>57</v>
      </c>
      <c r="CD23" t="s">
        <v>57</v>
      </c>
      <c r="CE23" t="s">
        <v>57</v>
      </c>
      <c r="CF23" t="s">
        <v>57</v>
      </c>
      <c r="CG23" t="s">
        <v>57</v>
      </c>
      <c r="CH23" t="s">
        <v>57</v>
      </c>
      <c r="CI23" t="s">
        <v>57</v>
      </c>
      <c r="CJ23" t="s">
        <v>57</v>
      </c>
      <c r="CK23" t="s">
        <v>175</v>
      </c>
      <c r="CL23" t="s">
        <v>175</v>
      </c>
      <c r="CM23" t="s">
        <v>175</v>
      </c>
      <c r="CN23" t="s">
        <v>57</v>
      </c>
      <c r="CO23" t="s">
        <v>57</v>
      </c>
      <c r="CP23" t="s">
        <v>57</v>
      </c>
      <c r="CQ23" t="s">
        <v>57</v>
      </c>
      <c r="CR23" t="s">
        <v>57</v>
      </c>
      <c r="CS23" t="s">
        <v>57</v>
      </c>
      <c r="CT23" t="s">
        <v>57</v>
      </c>
      <c r="CU23" t="s">
        <v>57</v>
      </c>
      <c r="CV23" t="s">
        <v>57</v>
      </c>
      <c r="CW23" t="s">
        <v>57</v>
      </c>
      <c r="CX23" t="s">
        <v>57</v>
      </c>
      <c r="CY23" t="s">
        <v>57</v>
      </c>
      <c r="CZ23" t="s">
        <v>57</v>
      </c>
      <c r="DA23" t="s">
        <v>57</v>
      </c>
      <c r="DB23" t="s">
        <v>57</v>
      </c>
      <c r="DC23" t="s">
        <v>57</v>
      </c>
      <c r="DD23" t="s">
        <v>57</v>
      </c>
      <c r="DE23" t="s">
        <v>57</v>
      </c>
      <c r="DF23" t="s">
        <v>57</v>
      </c>
      <c r="DG23" t="s">
        <v>57</v>
      </c>
      <c r="DH23" t="s">
        <v>57</v>
      </c>
      <c r="DI23" t="s">
        <v>57</v>
      </c>
      <c r="DJ23" t="s">
        <v>175</v>
      </c>
      <c r="DK23" t="s">
        <v>175</v>
      </c>
      <c r="DL23" t="s">
        <v>57</v>
      </c>
      <c r="DM23" t="s">
        <v>57</v>
      </c>
      <c r="DN23" t="s">
        <v>57</v>
      </c>
      <c r="DO23" t="s">
        <v>57</v>
      </c>
      <c r="DP23" t="s">
        <v>57</v>
      </c>
      <c r="DQ23" t="s">
        <v>57</v>
      </c>
      <c r="DR23" t="s">
        <v>57</v>
      </c>
      <c r="DS23" t="s">
        <v>57</v>
      </c>
      <c r="DT23" t="s">
        <v>57</v>
      </c>
      <c r="DU23" t="s">
        <v>57</v>
      </c>
      <c r="DV23" t="s">
        <v>57</v>
      </c>
      <c r="DW23" t="s">
        <v>57</v>
      </c>
      <c r="DX23" t="s">
        <v>57</v>
      </c>
      <c r="DY23" t="s">
        <v>175</v>
      </c>
      <c r="DZ23" t="s">
        <v>57</v>
      </c>
      <c r="EA23" t="s">
        <v>57</v>
      </c>
      <c r="EB23" t="s">
        <v>57</v>
      </c>
      <c r="EC23" t="s">
        <v>57</v>
      </c>
      <c r="ED23" t="s">
        <v>57</v>
      </c>
      <c r="EE23" t="s">
        <v>57</v>
      </c>
      <c r="EF23" t="s">
        <v>57</v>
      </c>
      <c r="EG23" t="s">
        <v>57</v>
      </c>
      <c r="EH23" t="s">
        <v>175</v>
      </c>
      <c r="EI23" t="s">
        <v>57</v>
      </c>
      <c r="EJ23" t="s">
        <v>57</v>
      </c>
      <c r="EK23" t="s">
        <v>57</v>
      </c>
      <c r="EL23" t="s">
        <v>57</v>
      </c>
      <c r="EM23" t="s">
        <v>57</v>
      </c>
      <c r="EN23" t="s">
        <v>57</v>
      </c>
      <c r="EO23" t="s">
        <v>57</v>
      </c>
      <c r="EP23" t="s">
        <v>57</v>
      </c>
      <c r="EQ23" t="s">
        <v>57</v>
      </c>
      <c r="ER23" t="s">
        <v>57</v>
      </c>
      <c r="ES23" t="s">
        <v>57</v>
      </c>
      <c r="ET23" t="s">
        <v>57</v>
      </c>
      <c r="EU23" t="s">
        <v>175</v>
      </c>
      <c r="EV23" t="s">
        <v>57</v>
      </c>
      <c r="EW23" t="s">
        <v>57</v>
      </c>
      <c r="EX23" t="s">
        <v>57</v>
      </c>
      <c r="EY23" t="s">
        <v>57</v>
      </c>
      <c r="EZ23" t="s">
        <v>57</v>
      </c>
      <c r="FA23" t="s">
        <v>57</v>
      </c>
      <c r="FB23" t="s">
        <v>175</v>
      </c>
      <c r="FC23" t="s">
        <v>57</v>
      </c>
      <c r="FD23" t="s">
        <v>57</v>
      </c>
      <c r="FE23" t="s">
        <v>175</v>
      </c>
      <c r="FF23" t="s">
        <v>148</v>
      </c>
      <c r="FG23" t="s">
        <v>175</v>
      </c>
      <c r="FH23" t="s">
        <v>57</v>
      </c>
      <c r="FI23" t="s">
        <v>57</v>
      </c>
      <c r="FJ23" t="s">
        <v>175</v>
      </c>
      <c r="FK23" t="s">
        <v>175</v>
      </c>
      <c r="FL23" t="s">
        <v>57</v>
      </c>
      <c r="FM23" t="s">
        <v>57</v>
      </c>
      <c r="FN23" t="s">
        <v>57</v>
      </c>
      <c r="FO23" t="s">
        <v>175</v>
      </c>
      <c r="FP23" t="s">
        <v>57</v>
      </c>
      <c r="FQ23" t="s">
        <v>57</v>
      </c>
      <c r="FR23" t="s">
        <v>57</v>
      </c>
      <c r="FS23" t="s">
        <v>57</v>
      </c>
      <c r="FT23" t="s">
        <v>57</v>
      </c>
      <c r="FU23" t="s">
        <v>57</v>
      </c>
      <c r="FV23" t="s">
        <v>57</v>
      </c>
      <c r="FW23" t="s">
        <v>57</v>
      </c>
      <c r="FX23" t="s">
        <v>57</v>
      </c>
      <c r="FY23" t="s">
        <v>57</v>
      </c>
      <c r="FZ23" t="s">
        <v>57</v>
      </c>
      <c r="GA23" t="s">
        <v>57</v>
      </c>
      <c r="GB23" t="s">
        <v>57</v>
      </c>
      <c r="GC23" t="s">
        <v>57</v>
      </c>
      <c r="GD23" t="s">
        <v>57</v>
      </c>
      <c r="GE23" t="s">
        <v>57</v>
      </c>
      <c r="GF23" t="s">
        <v>57</v>
      </c>
      <c r="GG23" t="s">
        <v>175</v>
      </c>
      <c r="GH23" t="s">
        <v>57</v>
      </c>
      <c r="GI23" t="s">
        <v>57</v>
      </c>
      <c r="GJ23" t="s">
        <v>57</v>
      </c>
      <c r="GK23" t="s">
        <v>57</v>
      </c>
      <c r="GL23" t="s">
        <v>57</v>
      </c>
      <c r="GM23" t="s">
        <v>175</v>
      </c>
      <c r="GN23" t="s">
        <v>57</v>
      </c>
      <c r="GO23" t="s">
        <v>57</v>
      </c>
      <c r="GP23" t="s">
        <v>175</v>
      </c>
      <c r="GQ23" t="s">
        <v>175</v>
      </c>
      <c r="GR23" t="s">
        <v>57</v>
      </c>
      <c r="GS23" t="s">
        <v>57</v>
      </c>
      <c r="GT23" t="s">
        <v>57</v>
      </c>
      <c r="GU23" t="s">
        <v>57</v>
      </c>
      <c r="GV23" t="s">
        <v>175</v>
      </c>
      <c r="GW23" t="s">
        <v>57</v>
      </c>
      <c r="GX23" t="s">
        <v>175</v>
      </c>
      <c r="GY23" t="s">
        <v>57</v>
      </c>
      <c r="GZ23" t="s">
        <v>57</v>
      </c>
      <c r="HA23" t="s">
        <v>57</v>
      </c>
      <c r="HB23" t="s">
        <v>57</v>
      </c>
      <c r="HC23" t="s">
        <v>57</v>
      </c>
      <c r="HD23" t="s">
        <v>57</v>
      </c>
      <c r="HE23" t="s">
        <v>175</v>
      </c>
      <c r="HF23" t="s">
        <v>57</v>
      </c>
      <c r="HG23" t="s">
        <v>57</v>
      </c>
      <c r="HH23" t="s">
        <v>175</v>
      </c>
      <c r="HI23" t="s">
        <v>175</v>
      </c>
      <c r="HJ23" t="s">
        <v>175</v>
      </c>
      <c r="HK23" t="s">
        <v>175</v>
      </c>
      <c r="HL23" t="s">
        <v>57</v>
      </c>
      <c r="HM23" t="s">
        <v>57</v>
      </c>
      <c r="HN23" t="s">
        <v>57</v>
      </c>
      <c r="HO23" t="s">
        <v>57</v>
      </c>
      <c r="HP23" t="s">
        <v>57</v>
      </c>
      <c r="HQ23" t="s">
        <v>57</v>
      </c>
      <c r="HR23" t="s">
        <v>57</v>
      </c>
      <c r="HS23" t="s">
        <v>57</v>
      </c>
      <c r="HT23" t="s">
        <v>57</v>
      </c>
      <c r="HU23" t="s">
        <v>57</v>
      </c>
      <c r="HV23" t="s">
        <v>57</v>
      </c>
      <c r="HW23" t="s">
        <v>57</v>
      </c>
      <c r="HX23" t="s">
        <v>57</v>
      </c>
      <c r="HY23" t="s">
        <v>57</v>
      </c>
      <c r="HZ23" t="s">
        <v>57</v>
      </c>
      <c r="IA23" t="s">
        <v>57</v>
      </c>
      <c r="IB23" t="s">
        <v>57</v>
      </c>
      <c r="IC23" t="s">
        <v>57</v>
      </c>
      <c r="ID23" t="s">
        <v>57</v>
      </c>
      <c r="IE23" t="s">
        <v>57</v>
      </c>
      <c r="IF23" t="s">
        <v>124</v>
      </c>
      <c r="IG23" t="s">
        <v>148</v>
      </c>
      <c r="IH23" t="s">
        <v>123</v>
      </c>
      <c r="II23" t="s">
        <v>156</v>
      </c>
    </row>
    <row r="24" spans="1:243" x14ac:dyDescent="0.25">
      <c r="A24" s="111" t="str">
        <f>HYPERLINK("http://www.ofsted.gov.uk/inspection-reports/find-inspection-report/provider/ELS/101377 ","Ofsted School Webpage")</f>
        <v>Ofsted School Webpage</v>
      </c>
      <c r="B24">
        <v>101377</v>
      </c>
      <c r="C24">
        <v>3026063</v>
      </c>
      <c r="D24" t="s">
        <v>1687</v>
      </c>
      <c r="E24" t="s">
        <v>36</v>
      </c>
      <c r="F24" t="s">
        <v>166</v>
      </c>
      <c r="G24" t="s">
        <v>189</v>
      </c>
      <c r="H24" t="s">
        <v>189</v>
      </c>
      <c r="I24" t="s">
        <v>268</v>
      </c>
      <c r="J24" t="s">
        <v>1688</v>
      </c>
      <c r="K24" t="s">
        <v>142</v>
      </c>
      <c r="L24" t="s">
        <v>142</v>
      </c>
      <c r="M24" t="s">
        <v>2596</v>
      </c>
      <c r="N24" t="s">
        <v>143</v>
      </c>
      <c r="O24">
        <v>10035779</v>
      </c>
      <c r="P24" s="108">
        <v>43158</v>
      </c>
      <c r="Q24" s="108">
        <v>43160</v>
      </c>
      <c r="R24" s="108">
        <v>43180</v>
      </c>
      <c r="S24" t="s">
        <v>153</v>
      </c>
      <c r="T24" t="s">
        <v>154</v>
      </c>
      <c r="U24">
        <v>2</v>
      </c>
      <c r="V24">
        <v>2</v>
      </c>
      <c r="W24">
        <v>2</v>
      </c>
      <c r="X24">
        <v>2</v>
      </c>
      <c r="Y24">
        <v>2</v>
      </c>
      <c r="Z24">
        <v>2</v>
      </c>
      <c r="AA24" t="s">
        <v>2596</v>
      </c>
      <c r="AB24" t="s">
        <v>123</v>
      </c>
      <c r="AC24" t="s">
        <v>2596</v>
      </c>
      <c r="AD24" t="s">
        <v>2598</v>
      </c>
      <c r="AE24" t="s">
        <v>57</v>
      </c>
      <c r="AF24" t="s">
        <v>57</v>
      </c>
      <c r="AG24" t="s">
        <v>57</v>
      </c>
      <c r="AH24" t="s">
        <v>57</v>
      </c>
      <c r="AI24" t="s">
        <v>57</v>
      </c>
      <c r="AJ24" t="s">
        <v>57</v>
      </c>
      <c r="AK24" t="s">
        <v>57</v>
      </c>
      <c r="AL24" t="s">
        <v>57</v>
      </c>
      <c r="AM24" t="s">
        <v>57</v>
      </c>
      <c r="AN24" t="s">
        <v>57</v>
      </c>
      <c r="AO24" t="s">
        <v>57</v>
      </c>
      <c r="AP24" t="s">
        <v>57</v>
      </c>
      <c r="AQ24" t="s">
        <v>57</v>
      </c>
      <c r="AR24" t="s">
        <v>57</v>
      </c>
      <c r="AS24" t="s">
        <v>57</v>
      </c>
      <c r="AT24" t="s">
        <v>57</v>
      </c>
      <c r="AU24" t="s">
        <v>175</v>
      </c>
      <c r="AV24" t="s">
        <v>57</v>
      </c>
      <c r="AW24" t="s">
        <v>57</v>
      </c>
      <c r="AX24" t="s">
        <v>57</v>
      </c>
      <c r="AY24" t="s">
        <v>175</v>
      </c>
      <c r="AZ24" t="s">
        <v>175</v>
      </c>
      <c r="BA24" t="s">
        <v>175</v>
      </c>
      <c r="BB24" t="s">
        <v>175</v>
      </c>
      <c r="BC24" t="s">
        <v>57</v>
      </c>
      <c r="BD24" t="s">
        <v>57</v>
      </c>
      <c r="BE24" t="s">
        <v>57</v>
      </c>
      <c r="BF24" t="s">
        <v>57</v>
      </c>
      <c r="BG24" t="s">
        <v>57</v>
      </c>
      <c r="BH24" t="s">
        <v>57</v>
      </c>
      <c r="BI24" t="s">
        <v>57</v>
      </c>
      <c r="BJ24" t="s">
        <v>57</v>
      </c>
      <c r="BK24" t="s">
        <v>57</v>
      </c>
      <c r="BL24" t="s">
        <v>57</v>
      </c>
      <c r="BM24" t="s">
        <v>57</v>
      </c>
      <c r="BN24" t="s">
        <v>57</v>
      </c>
      <c r="BO24" t="s">
        <v>57</v>
      </c>
      <c r="BP24" t="s">
        <v>57</v>
      </c>
      <c r="BQ24" t="s">
        <v>57</v>
      </c>
      <c r="BR24" t="s">
        <v>57</v>
      </c>
      <c r="BS24" t="s">
        <v>57</v>
      </c>
      <c r="BT24" t="s">
        <v>57</v>
      </c>
      <c r="BU24" t="s">
        <v>57</v>
      </c>
      <c r="BV24" t="s">
        <v>57</v>
      </c>
      <c r="BW24" t="s">
        <v>57</v>
      </c>
      <c r="BX24" t="s">
        <v>57</v>
      </c>
      <c r="BY24" t="s">
        <v>57</v>
      </c>
      <c r="BZ24" t="s">
        <v>57</v>
      </c>
      <c r="CA24" t="s">
        <v>57</v>
      </c>
      <c r="CB24" t="s">
        <v>57</v>
      </c>
      <c r="CC24" t="s">
        <v>57</v>
      </c>
      <c r="CD24" t="s">
        <v>57</v>
      </c>
      <c r="CE24" t="s">
        <v>57</v>
      </c>
      <c r="CF24" t="s">
        <v>57</v>
      </c>
      <c r="CG24" t="s">
        <v>57</v>
      </c>
      <c r="CH24" t="s">
        <v>57</v>
      </c>
      <c r="CI24" t="s">
        <v>57</v>
      </c>
      <c r="CJ24" t="s">
        <v>57</v>
      </c>
      <c r="CK24" t="s">
        <v>175</v>
      </c>
      <c r="CL24" t="s">
        <v>175</v>
      </c>
      <c r="CM24" t="s">
        <v>175</v>
      </c>
      <c r="CN24" t="s">
        <v>57</v>
      </c>
      <c r="CO24" t="s">
        <v>57</v>
      </c>
      <c r="CP24" t="s">
        <v>57</v>
      </c>
      <c r="CQ24" t="s">
        <v>57</v>
      </c>
      <c r="CR24" t="s">
        <v>57</v>
      </c>
      <c r="CS24" t="s">
        <v>57</v>
      </c>
      <c r="CT24" t="s">
        <v>57</v>
      </c>
      <c r="CU24" t="s">
        <v>57</v>
      </c>
      <c r="CV24" t="s">
        <v>57</v>
      </c>
      <c r="CW24" t="s">
        <v>57</v>
      </c>
      <c r="CX24" t="s">
        <v>57</v>
      </c>
      <c r="CY24" t="s">
        <v>57</v>
      </c>
      <c r="CZ24" t="s">
        <v>57</v>
      </c>
      <c r="DA24" t="s">
        <v>57</v>
      </c>
      <c r="DB24" t="s">
        <v>57</v>
      </c>
      <c r="DC24" t="s">
        <v>57</v>
      </c>
      <c r="DD24" t="s">
        <v>57</v>
      </c>
      <c r="DE24" t="s">
        <v>57</v>
      </c>
      <c r="DF24" t="s">
        <v>57</v>
      </c>
      <c r="DG24" t="s">
        <v>57</v>
      </c>
      <c r="DH24" t="s">
        <v>57</v>
      </c>
      <c r="DI24" t="s">
        <v>57</v>
      </c>
      <c r="DJ24" t="s">
        <v>175</v>
      </c>
      <c r="DK24" t="s">
        <v>175</v>
      </c>
      <c r="DL24" t="s">
        <v>57</v>
      </c>
      <c r="DM24" t="s">
        <v>175</v>
      </c>
      <c r="DN24" t="s">
        <v>175</v>
      </c>
      <c r="DO24" t="s">
        <v>175</v>
      </c>
      <c r="DP24" t="s">
        <v>175</v>
      </c>
      <c r="DQ24" t="s">
        <v>175</v>
      </c>
      <c r="DR24" t="s">
        <v>175</v>
      </c>
      <c r="DS24" t="s">
        <v>175</v>
      </c>
      <c r="DT24" t="s">
        <v>175</v>
      </c>
      <c r="DU24" t="s">
        <v>175</v>
      </c>
      <c r="DV24" t="s">
        <v>175</v>
      </c>
      <c r="DW24" t="s">
        <v>175</v>
      </c>
      <c r="DX24" t="s">
        <v>175</v>
      </c>
      <c r="DY24" t="s">
        <v>175</v>
      </c>
      <c r="DZ24" t="s">
        <v>57</v>
      </c>
      <c r="EA24" t="s">
        <v>57</v>
      </c>
      <c r="EB24" t="s">
        <v>57</v>
      </c>
      <c r="EC24" t="s">
        <v>57</v>
      </c>
      <c r="ED24" t="s">
        <v>57</v>
      </c>
      <c r="EE24" t="s">
        <v>175</v>
      </c>
      <c r="EF24" t="s">
        <v>57</v>
      </c>
      <c r="EG24" t="s">
        <v>57</v>
      </c>
      <c r="EH24" t="s">
        <v>175</v>
      </c>
      <c r="EI24" t="s">
        <v>57</v>
      </c>
      <c r="EJ24" t="s">
        <v>57</v>
      </c>
      <c r="EK24" t="s">
        <v>57</v>
      </c>
      <c r="EL24" t="s">
        <v>57</v>
      </c>
      <c r="EM24" t="s">
        <v>57</v>
      </c>
      <c r="EN24" t="s">
        <v>57</v>
      </c>
      <c r="EO24" t="s">
        <v>57</v>
      </c>
      <c r="EP24" t="s">
        <v>57</v>
      </c>
      <c r="EQ24" t="s">
        <v>57</v>
      </c>
      <c r="ER24" t="s">
        <v>57</v>
      </c>
      <c r="ES24" t="s">
        <v>57</v>
      </c>
      <c r="ET24" t="s">
        <v>57</v>
      </c>
      <c r="EU24" t="s">
        <v>57</v>
      </c>
      <c r="EV24" t="s">
        <v>57</v>
      </c>
      <c r="EW24" t="s">
        <v>57</v>
      </c>
      <c r="EX24" t="s">
        <v>175</v>
      </c>
      <c r="EY24" t="s">
        <v>175</v>
      </c>
      <c r="EZ24" t="s">
        <v>175</v>
      </c>
      <c r="FA24" t="s">
        <v>175</v>
      </c>
      <c r="FB24" t="s">
        <v>175</v>
      </c>
      <c r="FC24" t="s">
        <v>175</v>
      </c>
      <c r="FD24" t="s">
        <v>57</v>
      </c>
      <c r="FE24" t="s">
        <v>57</v>
      </c>
      <c r="FF24" t="s">
        <v>57</v>
      </c>
      <c r="FG24" t="s">
        <v>57</v>
      </c>
      <c r="FH24" t="s">
        <v>57</v>
      </c>
      <c r="FI24" t="s">
        <v>57</v>
      </c>
      <c r="FJ24" t="s">
        <v>175</v>
      </c>
      <c r="FK24" t="s">
        <v>175</v>
      </c>
      <c r="FL24" t="s">
        <v>57</v>
      </c>
      <c r="FM24" t="s">
        <v>57</v>
      </c>
      <c r="FN24" t="s">
        <v>57</v>
      </c>
      <c r="FO24" t="s">
        <v>57</v>
      </c>
      <c r="FP24" t="s">
        <v>57</v>
      </c>
      <c r="FQ24" t="s">
        <v>57</v>
      </c>
      <c r="FR24" t="s">
        <v>57</v>
      </c>
      <c r="FS24" t="s">
        <v>57</v>
      </c>
      <c r="FT24" t="s">
        <v>57</v>
      </c>
      <c r="FU24" t="s">
        <v>57</v>
      </c>
      <c r="FV24" t="s">
        <v>57</v>
      </c>
      <c r="FW24" t="s">
        <v>57</v>
      </c>
      <c r="FX24" t="s">
        <v>57</v>
      </c>
      <c r="FY24" t="s">
        <v>57</v>
      </c>
      <c r="FZ24" t="s">
        <v>57</v>
      </c>
      <c r="GA24" t="s">
        <v>57</v>
      </c>
      <c r="GB24" t="s">
        <v>57</v>
      </c>
      <c r="GC24" t="s">
        <v>57</v>
      </c>
      <c r="GD24" t="s">
        <v>57</v>
      </c>
      <c r="GE24" t="s">
        <v>57</v>
      </c>
      <c r="GF24" t="s">
        <v>57</v>
      </c>
      <c r="GG24" t="s">
        <v>175</v>
      </c>
      <c r="GH24" t="s">
        <v>57</v>
      </c>
      <c r="GI24" t="s">
        <v>57</v>
      </c>
      <c r="GJ24" t="s">
        <v>57</v>
      </c>
      <c r="GK24" t="s">
        <v>57</v>
      </c>
      <c r="GL24" t="s">
        <v>57</v>
      </c>
      <c r="GM24" t="s">
        <v>175</v>
      </c>
      <c r="GN24" t="s">
        <v>57</v>
      </c>
      <c r="GO24" t="s">
        <v>57</v>
      </c>
      <c r="GP24" t="s">
        <v>175</v>
      </c>
      <c r="GQ24" t="s">
        <v>175</v>
      </c>
      <c r="GR24" t="s">
        <v>57</v>
      </c>
      <c r="GS24" t="s">
        <v>57</v>
      </c>
      <c r="GT24" t="s">
        <v>57</v>
      </c>
      <c r="GU24" t="s">
        <v>57</v>
      </c>
      <c r="GV24" t="s">
        <v>57</v>
      </c>
      <c r="GW24" t="s">
        <v>175</v>
      </c>
      <c r="GX24" t="s">
        <v>175</v>
      </c>
      <c r="GY24" t="s">
        <v>57</v>
      </c>
      <c r="GZ24" t="s">
        <v>57</v>
      </c>
      <c r="HA24" t="s">
        <v>57</v>
      </c>
      <c r="HB24" t="s">
        <v>57</v>
      </c>
      <c r="HC24" t="s">
        <v>57</v>
      </c>
      <c r="HD24" t="s">
        <v>57</v>
      </c>
      <c r="HE24" t="s">
        <v>57</v>
      </c>
      <c r="HF24" t="s">
        <v>57</v>
      </c>
      <c r="HG24" t="s">
        <v>57</v>
      </c>
      <c r="HH24" t="s">
        <v>175</v>
      </c>
      <c r="HI24" t="s">
        <v>175</v>
      </c>
      <c r="HJ24" t="s">
        <v>175</v>
      </c>
      <c r="HK24" t="s">
        <v>175</v>
      </c>
      <c r="HL24" t="s">
        <v>57</v>
      </c>
      <c r="HM24" t="s">
        <v>57</v>
      </c>
      <c r="HN24" t="s">
        <v>57</v>
      </c>
      <c r="HO24" t="s">
        <v>57</v>
      </c>
      <c r="HP24" t="s">
        <v>57</v>
      </c>
      <c r="HQ24" t="s">
        <v>57</v>
      </c>
      <c r="HR24" t="s">
        <v>57</v>
      </c>
      <c r="HS24" t="s">
        <v>57</v>
      </c>
      <c r="HT24" t="s">
        <v>57</v>
      </c>
      <c r="HU24" t="s">
        <v>57</v>
      </c>
      <c r="HV24" t="s">
        <v>57</v>
      </c>
      <c r="HW24" t="s">
        <v>57</v>
      </c>
      <c r="HX24" t="s">
        <v>57</v>
      </c>
      <c r="HY24" t="s">
        <v>57</v>
      </c>
      <c r="HZ24" t="s">
        <v>57</v>
      </c>
      <c r="IA24" t="s">
        <v>57</v>
      </c>
      <c r="IB24" t="s">
        <v>57</v>
      </c>
      <c r="IC24" t="s">
        <v>57</v>
      </c>
      <c r="ID24" t="s">
        <v>57</v>
      </c>
      <c r="IE24" t="s">
        <v>57</v>
      </c>
      <c r="IF24" t="s">
        <v>124</v>
      </c>
      <c r="IG24" t="s">
        <v>148</v>
      </c>
      <c r="IH24" t="s">
        <v>123</v>
      </c>
      <c r="II24" t="s">
        <v>156</v>
      </c>
    </row>
    <row r="25" spans="1:243" x14ac:dyDescent="0.25">
      <c r="A25" s="111" t="str">
        <f>HYPERLINK("http://www.ofsted.gov.uk/inspection-reports/find-inspection-report/provider/ELS/101383 ","Ofsted School Webpage")</f>
        <v>Ofsted School Webpage</v>
      </c>
      <c r="B25">
        <v>101383</v>
      </c>
      <c r="C25">
        <v>3026077</v>
      </c>
      <c r="D25" t="s">
        <v>246</v>
      </c>
      <c r="E25" t="s">
        <v>36</v>
      </c>
      <c r="F25" t="s">
        <v>166</v>
      </c>
      <c r="G25" t="s">
        <v>189</v>
      </c>
      <c r="H25" t="s">
        <v>189</v>
      </c>
      <c r="I25" t="s">
        <v>268</v>
      </c>
      <c r="J25" t="s">
        <v>396</v>
      </c>
      <c r="K25" t="s">
        <v>142</v>
      </c>
      <c r="L25" t="s">
        <v>397</v>
      </c>
      <c r="M25" t="s">
        <v>2596</v>
      </c>
      <c r="N25" t="s">
        <v>143</v>
      </c>
      <c r="O25">
        <v>10035780</v>
      </c>
      <c r="P25" s="108">
        <v>43011</v>
      </c>
      <c r="Q25" s="108">
        <v>43013</v>
      </c>
      <c r="R25" s="108">
        <v>43048</v>
      </c>
      <c r="S25" t="s">
        <v>153</v>
      </c>
      <c r="T25" t="s">
        <v>154</v>
      </c>
      <c r="U25">
        <v>2</v>
      </c>
      <c r="V25">
        <v>2</v>
      </c>
      <c r="W25">
        <v>1</v>
      </c>
      <c r="X25">
        <v>2</v>
      </c>
      <c r="Y25">
        <v>2</v>
      </c>
      <c r="Z25">
        <v>2</v>
      </c>
      <c r="AA25" t="s">
        <v>2596</v>
      </c>
      <c r="AB25" t="s">
        <v>123</v>
      </c>
      <c r="AC25" t="s">
        <v>2596</v>
      </c>
      <c r="AD25" t="s">
        <v>2598</v>
      </c>
      <c r="AE25" t="s">
        <v>57</v>
      </c>
      <c r="AF25" t="s">
        <v>57</v>
      </c>
      <c r="AG25" t="s">
        <v>57</v>
      </c>
      <c r="AH25" t="s">
        <v>57</v>
      </c>
      <c r="AI25" t="s">
        <v>57</v>
      </c>
      <c r="AJ25" t="s">
        <v>57</v>
      </c>
      <c r="AK25" t="s">
        <v>57</v>
      </c>
      <c r="AL25" t="s">
        <v>57</v>
      </c>
      <c r="AM25" t="s">
        <v>57</v>
      </c>
      <c r="AN25" t="s">
        <v>57</v>
      </c>
      <c r="AO25" t="s">
        <v>57</v>
      </c>
      <c r="AP25" t="s">
        <v>57</v>
      </c>
      <c r="AQ25" t="s">
        <v>57</v>
      </c>
      <c r="AR25" t="s">
        <v>57</v>
      </c>
      <c r="AS25" t="s">
        <v>57</v>
      </c>
      <c r="AT25" t="s">
        <v>57</v>
      </c>
      <c r="AU25" t="s">
        <v>175</v>
      </c>
      <c r="AV25" t="s">
        <v>57</v>
      </c>
      <c r="AW25" t="s">
        <v>57</v>
      </c>
      <c r="AX25" t="s">
        <v>57</v>
      </c>
      <c r="AY25" t="s">
        <v>175</v>
      </c>
      <c r="AZ25" t="s">
        <v>175</v>
      </c>
      <c r="BA25" t="s">
        <v>175</v>
      </c>
      <c r="BB25" t="s">
        <v>175</v>
      </c>
      <c r="BC25" t="s">
        <v>57</v>
      </c>
      <c r="BD25" t="s">
        <v>175</v>
      </c>
      <c r="BE25" t="s">
        <v>57</v>
      </c>
      <c r="BF25" t="s">
        <v>57</v>
      </c>
      <c r="BG25" t="s">
        <v>57</v>
      </c>
      <c r="BH25" t="s">
        <v>57</v>
      </c>
      <c r="BI25" t="s">
        <v>57</v>
      </c>
      <c r="BJ25" t="s">
        <v>57</v>
      </c>
      <c r="BK25" t="s">
        <v>57</v>
      </c>
      <c r="BL25" t="s">
        <v>57</v>
      </c>
      <c r="BM25" t="s">
        <v>57</v>
      </c>
      <c r="BN25" t="s">
        <v>57</v>
      </c>
      <c r="BO25" t="s">
        <v>57</v>
      </c>
      <c r="BP25" t="s">
        <v>57</v>
      </c>
      <c r="BQ25" t="s">
        <v>57</v>
      </c>
      <c r="BR25" t="s">
        <v>57</v>
      </c>
      <c r="BS25" t="s">
        <v>57</v>
      </c>
      <c r="BT25" t="s">
        <v>57</v>
      </c>
      <c r="BU25" t="s">
        <v>57</v>
      </c>
      <c r="BV25" t="s">
        <v>57</v>
      </c>
      <c r="BW25" t="s">
        <v>57</v>
      </c>
      <c r="BX25" t="s">
        <v>57</v>
      </c>
      <c r="BY25" t="s">
        <v>57</v>
      </c>
      <c r="BZ25" t="s">
        <v>57</v>
      </c>
      <c r="CA25" t="s">
        <v>57</v>
      </c>
      <c r="CB25" t="s">
        <v>57</v>
      </c>
      <c r="CC25" t="s">
        <v>57</v>
      </c>
      <c r="CD25" t="s">
        <v>57</v>
      </c>
      <c r="CE25" t="s">
        <v>57</v>
      </c>
      <c r="CF25" t="s">
        <v>57</v>
      </c>
      <c r="CG25" t="s">
        <v>57</v>
      </c>
      <c r="CH25" t="s">
        <v>57</v>
      </c>
      <c r="CI25" t="s">
        <v>57</v>
      </c>
      <c r="CJ25" t="s">
        <v>57</v>
      </c>
      <c r="CK25" t="s">
        <v>175</v>
      </c>
      <c r="CL25" t="s">
        <v>175</v>
      </c>
      <c r="CM25" t="s">
        <v>175</v>
      </c>
      <c r="CN25" t="s">
        <v>57</v>
      </c>
      <c r="CO25" t="s">
        <v>57</v>
      </c>
      <c r="CP25" t="s">
        <v>57</v>
      </c>
      <c r="CQ25" t="s">
        <v>57</v>
      </c>
      <c r="CR25" t="s">
        <v>57</v>
      </c>
      <c r="CS25" t="s">
        <v>57</v>
      </c>
      <c r="CT25" t="s">
        <v>57</v>
      </c>
      <c r="CU25" t="s">
        <v>57</v>
      </c>
      <c r="CV25" t="s">
        <v>57</v>
      </c>
      <c r="CW25" t="s">
        <v>57</v>
      </c>
      <c r="CX25" t="s">
        <v>57</v>
      </c>
      <c r="CY25" t="s">
        <v>57</v>
      </c>
      <c r="CZ25" t="s">
        <v>57</v>
      </c>
      <c r="DA25" t="s">
        <v>57</v>
      </c>
      <c r="DB25" t="s">
        <v>57</v>
      </c>
      <c r="DC25" t="s">
        <v>57</v>
      </c>
      <c r="DD25" t="s">
        <v>57</v>
      </c>
      <c r="DE25" t="s">
        <v>57</v>
      </c>
      <c r="DF25" t="s">
        <v>57</v>
      </c>
      <c r="DG25" t="s">
        <v>57</v>
      </c>
      <c r="DH25" t="s">
        <v>57</v>
      </c>
      <c r="DI25" t="s">
        <v>57</v>
      </c>
      <c r="DJ25" t="s">
        <v>175</v>
      </c>
      <c r="DK25" t="s">
        <v>175</v>
      </c>
      <c r="DL25" t="s">
        <v>57</v>
      </c>
      <c r="DM25" t="s">
        <v>175</v>
      </c>
      <c r="DN25" t="s">
        <v>175</v>
      </c>
      <c r="DO25" t="s">
        <v>175</v>
      </c>
      <c r="DP25" t="s">
        <v>175</v>
      </c>
      <c r="DQ25" t="s">
        <v>175</v>
      </c>
      <c r="DR25" t="s">
        <v>175</v>
      </c>
      <c r="DS25" t="s">
        <v>175</v>
      </c>
      <c r="DT25" t="s">
        <v>175</v>
      </c>
      <c r="DU25" t="s">
        <v>175</v>
      </c>
      <c r="DV25" t="s">
        <v>175</v>
      </c>
      <c r="DW25" t="s">
        <v>175</v>
      </c>
      <c r="DX25" t="s">
        <v>175</v>
      </c>
      <c r="DY25" t="s">
        <v>175</v>
      </c>
      <c r="DZ25" t="s">
        <v>57</v>
      </c>
      <c r="EA25" t="s">
        <v>57</v>
      </c>
      <c r="EB25" t="s">
        <v>57</v>
      </c>
      <c r="EC25" t="s">
        <v>57</v>
      </c>
      <c r="ED25" t="s">
        <v>57</v>
      </c>
      <c r="EE25" t="s">
        <v>57</v>
      </c>
      <c r="EF25" t="s">
        <v>57</v>
      </c>
      <c r="EG25" t="s">
        <v>57</v>
      </c>
      <c r="EH25" t="s">
        <v>57</v>
      </c>
      <c r="EI25" t="s">
        <v>57</v>
      </c>
      <c r="EJ25" t="s">
        <v>57</v>
      </c>
      <c r="EK25" t="s">
        <v>57</v>
      </c>
      <c r="EL25" t="s">
        <v>57</v>
      </c>
      <c r="EM25" t="s">
        <v>57</v>
      </c>
      <c r="EN25" t="s">
        <v>57</v>
      </c>
      <c r="EO25" t="s">
        <v>57</v>
      </c>
      <c r="EP25" t="s">
        <v>57</v>
      </c>
      <c r="EQ25" t="s">
        <v>57</v>
      </c>
      <c r="ER25" t="s">
        <v>57</v>
      </c>
      <c r="ES25" t="s">
        <v>57</v>
      </c>
      <c r="ET25" t="s">
        <v>57</v>
      </c>
      <c r="EU25" t="s">
        <v>57</v>
      </c>
      <c r="EV25" t="s">
        <v>57</v>
      </c>
      <c r="EW25" t="s">
        <v>57</v>
      </c>
      <c r="EX25" t="s">
        <v>175</v>
      </c>
      <c r="EY25" t="s">
        <v>175</v>
      </c>
      <c r="EZ25" t="s">
        <v>175</v>
      </c>
      <c r="FA25" t="s">
        <v>175</v>
      </c>
      <c r="FB25" t="s">
        <v>175</v>
      </c>
      <c r="FC25" t="s">
        <v>175</v>
      </c>
      <c r="FD25" t="s">
        <v>175</v>
      </c>
      <c r="FE25" t="s">
        <v>175</v>
      </c>
      <c r="FF25" t="s">
        <v>148</v>
      </c>
      <c r="FG25" t="s">
        <v>175</v>
      </c>
      <c r="FH25" t="s">
        <v>57</v>
      </c>
      <c r="FI25" t="s">
        <v>57</v>
      </c>
      <c r="FJ25" t="s">
        <v>57</v>
      </c>
      <c r="FK25" t="s">
        <v>175</v>
      </c>
      <c r="FL25" t="s">
        <v>57</v>
      </c>
      <c r="FM25" t="s">
        <v>57</v>
      </c>
      <c r="FN25" t="s">
        <v>57</v>
      </c>
      <c r="FO25" t="s">
        <v>175</v>
      </c>
      <c r="FP25" t="s">
        <v>57</v>
      </c>
      <c r="FQ25" t="s">
        <v>57</v>
      </c>
      <c r="FR25" t="s">
        <v>57</v>
      </c>
      <c r="FS25" t="s">
        <v>57</v>
      </c>
      <c r="FT25" t="s">
        <v>57</v>
      </c>
      <c r="FU25" t="s">
        <v>57</v>
      </c>
      <c r="FV25" t="s">
        <v>57</v>
      </c>
      <c r="FW25" t="s">
        <v>57</v>
      </c>
      <c r="FX25" t="s">
        <v>57</v>
      </c>
      <c r="FY25" t="s">
        <v>57</v>
      </c>
      <c r="FZ25" t="s">
        <v>57</v>
      </c>
      <c r="GA25" t="s">
        <v>57</v>
      </c>
      <c r="GB25" t="s">
        <v>57</v>
      </c>
      <c r="GC25" t="s">
        <v>57</v>
      </c>
      <c r="GD25" t="s">
        <v>57</v>
      </c>
      <c r="GE25" t="s">
        <v>57</v>
      </c>
      <c r="GF25" t="s">
        <v>57</v>
      </c>
      <c r="GG25" t="s">
        <v>175</v>
      </c>
      <c r="GH25" t="s">
        <v>57</v>
      </c>
      <c r="GI25" t="s">
        <v>57</v>
      </c>
      <c r="GJ25" t="s">
        <v>57</v>
      </c>
      <c r="GK25" t="s">
        <v>57</v>
      </c>
      <c r="GL25" t="s">
        <v>57</v>
      </c>
      <c r="GM25" t="s">
        <v>175</v>
      </c>
      <c r="GN25" t="s">
        <v>57</v>
      </c>
      <c r="GO25" t="s">
        <v>57</v>
      </c>
      <c r="GP25" t="s">
        <v>57</v>
      </c>
      <c r="GQ25" t="s">
        <v>57</v>
      </c>
      <c r="GR25" t="s">
        <v>57</v>
      </c>
      <c r="GS25" t="s">
        <v>57</v>
      </c>
      <c r="GT25" t="s">
        <v>57</v>
      </c>
      <c r="GU25" t="s">
        <v>57</v>
      </c>
      <c r="GV25" t="s">
        <v>57</v>
      </c>
      <c r="GW25" t="s">
        <v>175</v>
      </c>
      <c r="GX25" t="s">
        <v>175</v>
      </c>
      <c r="GY25" t="s">
        <v>57</v>
      </c>
      <c r="GZ25" t="s">
        <v>57</v>
      </c>
      <c r="HA25" t="s">
        <v>57</v>
      </c>
      <c r="HB25" t="s">
        <v>57</v>
      </c>
      <c r="HC25" t="s">
        <v>57</v>
      </c>
      <c r="HD25" t="s">
        <v>57</v>
      </c>
      <c r="HE25" t="s">
        <v>57</v>
      </c>
      <c r="HF25" t="s">
        <v>57</v>
      </c>
      <c r="HG25" t="s">
        <v>57</v>
      </c>
      <c r="HH25" t="s">
        <v>175</v>
      </c>
      <c r="HI25" t="s">
        <v>175</v>
      </c>
      <c r="HJ25" t="s">
        <v>175</v>
      </c>
      <c r="HK25" t="s">
        <v>175</v>
      </c>
      <c r="HL25" t="s">
        <v>57</v>
      </c>
      <c r="HM25" t="s">
        <v>57</v>
      </c>
      <c r="HN25" t="s">
        <v>57</v>
      </c>
      <c r="HO25" t="s">
        <v>57</v>
      </c>
      <c r="HP25" t="s">
        <v>57</v>
      </c>
      <c r="HQ25" t="s">
        <v>57</v>
      </c>
      <c r="HR25" t="s">
        <v>57</v>
      </c>
      <c r="HS25" t="s">
        <v>57</v>
      </c>
      <c r="HT25" t="s">
        <v>57</v>
      </c>
      <c r="HU25" t="s">
        <v>57</v>
      </c>
      <c r="HV25" t="s">
        <v>57</v>
      </c>
      <c r="HW25" t="s">
        <v>57</v>
      </c>
      <c r="HX25" t="s">
        <v>57</v>
      </c>
      <c r="HY25" t="s">
        <v>57</v>
      </c>
      <c r="HZ25" t="s">
        <v>57</v>
      </c>
      <c r="IA25" t="s">
        <v>57</v>
      </c>
      <c r="IB25" t="s">
        <v>57</v>
      </c>
      <c r="IC25" t="s">
        <v>57</v>
      </c>
      <c r="ID25" t="s">
        <v>57</v>
      </c>
      <c r="IE25" t="s">
        <v>57</v>
      </c>
      <c r="IF25" t="s">
        <v>124</v>
      </c>
      <c r="IG25" t="s">
        <v>148</v>
      </c>
      <c r="IH25" t="s">
        <v>123</v>
      </c>
      <c r="II25" t="s">
        <v>156</v>
      </c>
    </row>
    <row r="26" spans="1:243" x14ac:dyDescent="0.25">
      <c r="A26" s="111" t="str">
        <f>HYPERLINK("http://www.ofsted.gov.uk/inspection-reports/find-inspection-report/provider/ELS/101385 ","Ofsted School Webpage")</f>
        <v>Ofsted School Webpage</v>
      </c>
      <c r="B26">
        <v>101385</v>
      </c>
      <c r="C26">
        <v>3026084</v>
      </c>
      <c r="D26" t="s">
        <v>2030</v>
      </c>
      <c r="E26" t="s">
        <v>36</v>
      </c>
      <c r="F26" t="s">
        <v>166</v>
      </c>
      <c r="G26" t="s">
        <v>189</v>
      </c>
      <c r="H26" t="s">
        <v>189</v>
      </c>
      <c r="I26" t="s">
        <v>268</v>
      </c>
      <c r="J26" t="s">
        <v>2031</v>
      </c>
      <c r="K26" t="s">
        <v>142</v>
      </c>
      <c r="L26" t="s">
        <v>275</v>
      </c>
      <c r="M26" t="s">
        <v>2596</v>
      </c>
      <c r="N26" t="s">
        <v>143</v>
      </c>
      <c r="O26">
        <v>10038153</v>
      </c>
      <c r="P26" s="108">
        <v>43137</v>
      </c>
      <c r="Q26" s="108">
        <v>43139</v>
      </c>
      <c r="R26" s="108">
        <v>43166</v>
      </c>
      <c r="S26" t="s">
        <v>153</v>
      </c>
      <c r="T26" t="s">
        <v>154</v>
      </c>
      <c r="U26">
        <v>2</v>
      </c>
      <c r="V26">
        <v>2</v>
      </c>
      <c r="W26">
        <v>2</v>
      </c>
      <c r="X26">
        <v>2</v>
      </c>
      <c r="Y26">
        <v>2</v>
      </c>
      <c r="Z26" t="s">
        <v>2596</v>
      </c>
      <c r="AA26" t="s">
        <v>2596</v>
      </c>
      <c r="AB26" t="s">
        <v>123</v>
      </c>
      <c r="AC26" t="s">
        <v>2596</v>
      </c>
      <c r="AD26" t="s">
        <v>2598</v>
      </c>
      <c r="AE26" t="s">
        <v>57</v>
      </c>
      <c r="AF26" t="s">
        <v>57</v>
      </c>
      <c r="AG26" t="s">
        <v>57</v>
      </c>
      <c r="AH26" t="s">
        <v>57</v>
      </c>
      <c r="AI26" t="s">
        <v>57</v>
      </c>
      <c r="AJ26" t="s">
        <v>57</v>
      </c>
      <c r="AK26" t="s">
        <v>57</v>
      </c>
      <c r="AL26" t="s">
        <v>57</v>
      </c>
      <c r="AM26" t="s">
        <v>57</v>
      </c>
      <c r="AN26" t="s">
        <v>57</v>
      </c>
      <c r="AO26" t="s">
        <v>57</v>
      </c>
      <c r="AP26" t="s">
        <v>57</v>
      </c>
      <c r="AQ26" t="s">
        <v>57</v>
      </c>
      <c r="AR26" t="s">
        <v>57</v>
      </c>
      <c r="AS26" t="s">
        <v>57</v>
      </c>
      <c r="AT26" t="s">
        <v>57</v>
      </c>
      <c r="AU26" t="s">
        <v>175</v>
      </c>
      <c r="AV26" t="s">
        <v>57</v>
      </c>
      <c r="AW26" t="s">
        <v>57</v>
      </c>
      <c r="AX26" t="s">
        <v>57</v>
      </c>
      <c r="AY26" t="s">
        <v>57</v>
      </c>
      <c r="AZ26" t="s">
        <v>57</v>
      </c>
      <c r="BA26" t="s">
        <v>57</v>
      </c>
      <c r="BB26" t="s">
        <v>57</v>
      </c>
      <c r="BC26" t="s">
        <v>175</v>
      </c>
      <c r="BD26" t="s">
        <v>175</v>
      </c>
      <c r="BE26" t="s">
        <v>57</v>
      </c>
      <c r="BF26" t="s">
        <v>57</v>
      </c>
      <c r="BG26" t="s">
        <v>57</v>
      </c>
      <c r="BH26" t="s">
        <v>57</v>
      </c>
      <c r="BI26" t="s">
        <v>57</v>
      </c>
      <c r="BJ26" t="s">
        <v>57</v>
      </c>
      <c r="BK26" t="s">
        <v>57</v>
      </c>
      <c r="BL26" t="s">
        <v>57</v>
      </c>
      <c r="BM26" t="s">
        <v>57</v>
      </c>
      <c r="BN26" t="s">
        <v>57</v>
      </c>
      <c r="BO26" t="s">
        <v>57</v>
      </c>
      <c r="BP26" t="s">
        <v>57</v>
      </c>
      <c r="BQ26" t="s">
        <v>57</v>
      </c>
      <c r="BR26" t="s">
        <v>57</v>
      </c>
      <c r="BS26" t="s">
        <v>57</v>
      </c>
      <c r="BT26" t="s">
        <v>57</v>
      </c>
      <c r="BU26" t="s">
        <v>57</v>
      </c>
      <c r="BV26" t="s">
        <v>57</v>
      </c>
      <c r="BW26" t="s">
        <v>57</v>
      </c>
      <c r="BX26" t="s">
        <v>57</v>
      </c>
      <c r="BY26" t="s">
        <v>57</v>
      </c>
      <c r="BZ26" t="s">
        <v>57</v>
      </c>
      <c r="CA26" t="s">
        <v>57</v>
      </c>
      <c r="CB26" t="s">
        <v>57</v>
      </c>
      <c r="CC26" t="s">
        <v>57</v>
      </c>
      <c r="CD26" t="s">
        <v>57</v>
      </c>
      <c r="CE26" t="s">
        <v>57</v>
      </c>
      <c r="CF26" t="s">
        <v>57</v>
      </c>
      <c r="CG26" t="s">
        <v>57</v>
      </c>
      <c r="CH26" t="s">
        <v>57</v>
      </c>
      <c r="CI26" t="s">
        <v>57</v>
      </c>
      <c r="CJ26" t="s">
        <v>57</v>
      </c>
      <c r="CK26" t="s">
        <v>57</v>
      </c>
      <c r="CL26" t="s">
        <v>175</v>
      </c>
      <c r="CM26" t="s">
        <v>175</v>
      </c>
      <c r="CN26" t="s">
        <v>57</v>
      </c>
      <c r="CO26" t="s">
        <v>57</v>
      </c>
      <c r="CP26" t="s">
        <v>57</v>
      </c>
      <c r="CQ26" t="s">
        <v>57</v>
      </c>
      <c r="CR26" t="s">
        <v>57</v>
      </c>
      <c r="CS26" t="s">
        <v>57</v>
      </c>
      <c r="CT26" t="s">
        <v>57</v>
      </c>
      <c r="CU26" t="s">
        <v>57</v>
      </c>
      <c r="CV26" t="s">
        <v>57</v>
      </c>
      <c r="CW26" t="s">
        <v>57</v>
      </c>
      <c r="CX26" t="s">
        <v>57</v>
      </c>
      <c r="CY26" t="s">
        <v>57</v>
      </c>
      <c r="CZ26" t="s">
        <v>57</v>
      </c>
      <c r="DA26" t="s">
        <v>57</v>
      </c>
      <c r="DB26" t="s">
        <v>57</v>
      </c>
      <c r="DC26" t="s">
        <v>57</v>
      </c>
      <c r="DD26" t="s">
        <v>57</v>
      </c>
      <c r="DE26" t="s">
        <v>57</v>
      </c>
      <c r="DF26" t="s">
        <v>57</v>
      </c>
      <c r="DG26" t="s">
        <v>57</v>
      </c>
      <c r="DH26" t="s">
        <v>57</v>
      </c>
      <c r="DI26" t="s">
        <v>57</v>
      </c>
      <c r="DJ26" t="s">
        <v>57</v>
      </c>
      <c r="DK26" t="s">
        <v>175</v>
      </c>
      <c r="DL26" t="s">
        <v>57</v>
      </c>
      <c r="DM26" t="s">
        <v>57</v>
      </c>
      <c r="DN26" t="s">
        <v>57</v>
      </c>
      <c r="DO26" t="s">
        <v>57</v>
      </c>
      <c r="DP26" t="s">
        <v>57</v>
      </c>
      <c r="DQ26" t="s">
        <v>57</v>
      </c>
      <c r="DR26" t="s">
        <v>57</v>
      </c>
      <c r="DS26" t="s">
        <v>57</v>
      </c>
      <c r="DT26" t="s">
        <v>57</v>
      </c>
      <c r="DU26" t="s">
        <v>57</v>
      </c>
      <c r="DV26" t="s">
        <v>57</v>
      </c>
      <c r="DW26" t="s">
        <v>57</v>
      </c>
      <c r="DX26" t="s">
        <v>57</v>
      </c>
      <c r="DY26" t="s">
        <v>175</v>
      </c>
      <c r="DZ26" t="s">
        <v>57</v>
      </c>
      <c r="EA26" t="s">
        <v>57</v>
      </c>
      <c r="EB26" t="s">
        <v>57</v>
      </c>
      <c r="EC26" t="s">
        <v>57</v>
      </c>
      <c r="ED26" t="s">
        <v>57</v>
      </c>
      <c r="EE26" t="s">
        <v>57</v>
      </c>
      <c r="EF26" t="s">
        <v>57</v>
      </c>
      <c r="EG26" t="s">
        <v>57</v>
      </c>
      <c r="EH26" t="s">
        <v>57</v>
      </c>
      <c r="EI26" t="s">
        <v>57</v>
      </c>
      <c r="EJ26" t="s">
        <v>57</v>
      </c>
      <c r="EK26" t="s">
        <v>57</v>
      </c>
      <c r="EL26" t="s">
        <v>57</v>
      </c>
      <c r="EM26" t="s">
        <v>57</v>
      </c>
      <c r="EN26" t="s">
        <v>57</v>
      </c>
      <c r="EO26" t="s">
        <v>57</v>
      </c>
      <c r="EP26" t="s">
        <v>57</v>
      </c>
      <c r="EQ26" t="s">
        <v>57</v>
      </c>
      <c r="ER26" t="s">
        <v>57</v>
      </c>
      <c r="ES26" t="s">
        <v>57</v>
      </c>
      <c r="ET26" t="s">
        <v>57</v>
      </c>
      <c r="EU26" t="s">
        <v>2596</v>
      </c>
      <c r="EV26" t="s">
        <v>57</v>
      </c>
      <c r="EW26" t="s">
        <v>57</v>
      </c>
      <c r="EX26" t="s">
        <v>57</v>
      </c>
      <c r="EY26" t="s">
        <v>57</v>
      </c>
      <c r="EZ26" t="s">
        <v>57</v>
      </c>
      <c r="FA26" t="s">
        <v>57</v>
      </c>
      <c r="FB26" t="s">
        <v>57</v>
      </c>
      <c r="FC26" t="s">
        <v>57</v>
      </c>
      <c r="FD26" t="s">
        <v>57</v>
      </c>
      <c r="FE26" t="s">
        <v>57</v>
      </c>
      <c r="FF26" t="s">
        <v>57</v>
      </c>
      <c r="FG26" t="s">
        <v>57</v>
      </c>
      <c r="FH26" t="s">
        <v>57</v>
      </c>
      <c r="FI26" t="s">
        <v>57</v>
      </c>
      <c r="FJ26" t="s">
        <v>57</v>
      </c>
      <c r="FK26" t="s">
        <v>57</v>
      </c>
      <c r="FL26" t="s">
        <v>57</v>
      </c>
      <c r="FM26" t="s">
        <v>57</v>
      </c>
      <c r="FN26" t="s">
        <v>57</v>
      </c>
      <c r="FO26" t="s">
        <v>175</v>
      </c>
      <c r="FP26" t="s">
        <v>57</v>
      </c>
      <c r="FQ26" t="s">
        <v>57</v>
      </c>
      <c r="FR26" t="s">
        <v>57</v>
      </c>
      <c r="FS26" t="s">
        <v>57</v>
      </c>
      <c r="FT26" t="s">
        <v>57</v>
      </c>
      <c r="FU26" t="s">
        <v>57</v>
      </c>
      <c r="FV26" t="s">
        <v>57</v>
      </c>
      <c r="FW26" t="s">
        <v>57</v>
      </c>
      <c r="FX26" t="s">
        <v>57</v>
      </c>
      <c r="FY26" t="s">
        <v>57</v>
      </c>
      <c r="FZ26" t="s">
        <v>57</v>
      </c>
      <c r="GA26" t="s">
        <v>57</v>
      </c>
      <c r="GB26" t="s">
        <v>57</v>
      </c>
      <c r="GC26" t="s">
        <v>57</v>
      </c>
      <c r="GD26" t="s">
        <v>57</v>
      </c>
      <c r="GE26" t="s">
        <v>57</v>
      </c>
      <c r="GF26" t="s">
        <v>57</v>
      </c>
      <c r="GG26" t="s">
        <v>175</v>
      </c>
      <c r="GH26" t="s">
        <v>57</v>
      </c>
      <c r="GI26" t="s">
        <v>57</v>
      </c>
      <c r="GJ26" t="s">
        <v>57</v>
      </c>
      <c r="GK26" t="s">
        <v>57</v>
      </c>
      <c r="GL26" t="s">
        <v>57</v>
      </c>
      <c r="GM26" t="s">
        <v>175</v>
      </c>
      <c r="GN26" t="s">
        <v>57</v>
      </c>
      <c r="GO26" t="s">
        <v>57</v>
      </c>
      <c r="GP26" t="s">
        <v>175</v>
      </c>
      <c r="GQ26" t="s">
        <v>175</v>
      </c>
      <c r="GR26" t="s">
        <v>57</v>
      </c>
      <c r="GS26" t="s">
        <v>57</v>
      </c>
      <c r="GT26" t="s">
        <v>57</v>
      </c>
      <c r="GU26" t="s">
        <v>57</v>
      </c>
      <c r="GV26" t="s">
        <v>175</v>
      </c>
      <c r="GW26" t="s">
        <v>57</v>
      </c>
      <c r="GX26" t="s">
        <v>57</v>
      </c>
      <c r="GY26" t="s">
        <v>57</v>
      </c>
      <c r="GZ26" t="s">
        <v>57</v>
      </c>
      <c r="HA26" t="s">
        <v>57</v>
      </c>
      <c r="HB26" t="s">
        <v>57</v>
      </c>
      <c r="HC26" t="s">
        <v>57</v>
      </c>
      <c r="HD26" t="s">
        <v>57</v>
      </c>
      <c r="HE26" t="s">
        <v>57</v>
      </c>
      <c r="HF26" t="s">
        <v>57</v>
      </c>
      <c r="HG26" t="s">
        <v>57</v>
      </c>
      <c r="HH26" t="s">
        <v>57</v>
      </c>
      <c r="HI26" t="s">
        <v>57</v>
      </c>
      <c r="HJ26" t="s">
        <v>57</v>
      </c>
      <c r="HK26" t="s">
        <v>57</v>
      </c>
      <c r="HL26" t="s">
        <v>57</v>
      </c>
      <c r="HM26" t="s">
        <v>57</v>
      </c>
      <c r="HN26" t="s">
        <v>57</v>
      </c>
      <c r="HO26" t="s">
        <v>57</v>
      </c>
      <c r="HP26" t="s">
        <v>57</v>
      </c>
      <c r="HQ26" t="s">
        <v>57</v>
      </c>
      <c r="HR26" t="s">
        <v>57</v>
      </c>
      <c r="HS26" t="s">
        <v>57</v>
      </c>
      <c r="HT26" t="s">
        <v>57</v>
      </c>
      <c r="HU26" t="s">
        <v>57</v>
      </c>
      <c r="HV26" t="s">
        <v>57</v>
      </c>
      <c r="HW26" t="s">
        <v>57</v>
      </c>
      <c r="HX26" t="s">
        <v>57</v>
      </c>
      <c r="HY26" t="s">
        <v>57</v>
      </c>
      <c r="HZ26" t="s">
        <v>57</v>
      </c>
      <c r="IA26" t="s">
        <v>57</v>
      </c>
      <c r="IB26" t="s">
        <v>57</v>
      </c>
      <c r="IC26" t="s">
        <v>57</v>
      </c>
      <c r="ID26" t="s">
        <v>57</v>
      </c>
      <c r="IE26" t="s">
        <v>57</v>
      </c>
      <c r="IF26" t="s">
        <v>124</v>
      </c>
      <c r="IG26" t="s">
        <v>148</v>
      </c>
      <c r="IH26" t="s">
        <v>123</v>
      </c>
      <c r="II26" t="s">
        <v>156</v>
      </c>
    </row>
    <row r="27" spans="1:243" x14ac:dyDescent="0.25">
      <c r="A27" s="111" t="str">
        <f>HYPERLINK("http://www.ofsted.gov.uk/inspection-reports/find-inspection-report/provider/ELS/101387 ","Ofsted School Webpage")</f>
        <v>Ofsted School Webpage</v>
      </c>
      <c r="B27">
        <v>101387</v>
      </c>
      <c r="C27">
        <v>3026089</v>
      </c>
      <c r="D27" t="s">
        <v>1965</v>
      </c>
      <c r="E27" t="s">
        <v>36</v>
      </c>
      <c r="F27" t="s">
        <v>166</v>
      </c>
      <c r="G27" t="s">
        <v>189</v>
      </c>
      <c r="H27" t="s">
        <v>189</v>
      </c>
      <c r="I27" t="s">
        <v>268</v>
      </c>
      <c r="J27" t="s">
        <v>1966</v>
      </c>
      <c r="K27" t="s">
        <v>275</v>
      </c>
      <c r="L27" t="s">
        <v>275</v>
      </c>
      <c r="M27" t="s">
        <v>2596</v>
      </c>
      <c r="N27" t="s">
        <v>143</v>
      </c>
      <c r="O27">
        <v>10035782</v>
      </c>
      <c r="P27" s="108">
        <v>43067</v>
      </c>
      <c r="Q27" s="108">
        <v>43069</v>
      </c>
      <c r="R27" s="108">
        <v>43112</v>
      </c>
      <c r="S27" t="s">
        <v>153</v>
      </c>
      <c r="T27" t="s">
        <v>154</v>
      </c>
      <c r="U27">
        <v>2</v>
      </c>
      <c r="V27">
        <v>2</v>
      </c>
      <c r="W27">
        <v>2</v>
      </c>
      <c r="X27">
        <v>2</v>
      </c>
      <c r="Y27">
        <v>2</v>
      </c>
      <c r="Z27" t="s">
        <v>2596</v>
      </c>
      <c r="AA27">
        <v>2</v>
      </c>
      <c r="AB27" t="s">
        <v>123</v>
      </c>
      <c r="AC27" t="s">
        <v>2596</v>
      </c>
      <c r="AD27" t="s">
        <v>2598</v>
      </c>
      <c r="AE27" t="s">
        <v>57</v>
      </c>
      <c r="AF27" t="s">
        <v>57</v>
      </c>
      <c r="AG27" t="s">
        <v>57</v>
      </c>
      <c r="AH27" t="s">
        <v>57</v>
      </c>
      <c r="AI27" t="s">
        <v>57</v>
      </c>
      <c r="AJ27" t="s">
        <v>57</v>
      </c>
      <c r="AK27" t="s">
        <v>57</v>
      </c>
      <c r="AL27" t="s">
        <v>57</v>
      </c>
      <c r="AM27" t="s">
        <v>57</v>
      </c>
      <c r="AN27" t="s">
        <v>57</v>
      </c>
      <c r="AO27" t="s">
        <v>57</v>
      </c>
      <c r="AP27" t="s">
        <v>57</v>
      </c>
      <c r="AQ27" t="s">
        <v>57</v>
      </c>
      <c r="AR27" t="s">
        <v>57</v>
      </c>
      <c r="AS27" t="s">
        <v>57</v>
      </c>
      <c r="AT27" t="s">
        <v>57</v>
      </c>
      <c r="AU27" t="s">
        <v>57</v>
      </c>
      <c r="AV27" t="s">
        <v>57</v>
      </c>
      <c r="AW27" t="s">
        <v>57</v>
      </c>
      <c r="AX27" t="s">
        <v>57</v>
      </c>
      <c r="AY27" t="s">
        <v>57</v>
      </c>
      <c r="AZ27" t="s">
        <v>57</v>
      </c>
      <c r="BA27" t="s">
        <v>57</v>
      </c>
      <c r="BB27" t="s">
        <v>57</v>
      </c>
      <c r="BC27" t="s">
        <v>175</v>
      </c>
      <c r="BD27" t="s">
        <v>57</v>
      </c>
      <c r="BE27" t="s">
        <v>57</v>
      </c>
      <c r="BF27" t="s">
        <v>57</v>
      </c>
      <c r="BG27" t="s">
        <v>57</v>
      </c>
      <c r="BH27" t="s">
        <v>57</v>
      </c>
      <c r="BI27" t="s">
        <v>57</v>
      </c>
      <c r="BJ27" t="s">
        <v>57</v>
      </c>
      <c r="BK27" t="s">
        <v>57</v>
      </c>
      <c r="BL27" t="s">
        <v>57</v>
      </c>
      <c r="BM27" t="s">
        <v>57</v>
      </c>
      <c r="BN27" t="s">
        <v>57</v>
      </c>
      <c r="BO27" t="s">
        <v>57</v>
      </c>
      <c r="BP27" t="s">
        <v>57</v>
      </c>
      <c r="BQ27" t="s">
        <v>57</v>
      </c>
      <c r="BR27" t="s">
        <v>57</v>
      </c>
      <c r="BS27" t="s">
        <v>57</v>
      </c>
      <c r="BT27" t="s">
        <v>57</v>
      </c>
      <c r="BU27" t="s">
        <v>57</v>
      </c>
      <c r="BV27" t="s">
        <v>57</v>
      </c>
      <c r="BW27" t="s">
        <v>57</v>
      </c>
      <c r="BX27" t="s">
        <v>57</v>
      </c>
      <c r="BY27" t="s">
        <v>57</v>
      </c>
      <c r="BZ27" t="s">
        <v>57</v>
      </c>
      <c r="CA27" t="s">
        <v>57</v>
      </c>
      <c r="CB27" t="s">
        <v>57</v>
      </c>
      <c r="CC27" t="s">
        <v>57</v>
      </c>
      <c r="CD27" t="s">
        <v>57</v>
      </c>
      <c r="CE27" t="s">
        <v>57</v>
      </c>
      <c r="CF27" t="s">
        <v>57</v>
      </c>
      <c r="CG27" t="s">
        <v>57</v>
      </c>
      <c r="CH27" t="s">
        <v>57</v>
      </c>
      <c r="CI27" t="s">
        <v>57</v>
      </c>
      <c r="CJ27" t="s">
        <v>57</v>
      </c>
      <c r="CK27" t="s">
        <v>175</v>
      </c>
      <c r="CL27" t="s">
        <v>175</v>
      </c>
      <c r="CM27" t="s">
        <v>175</v>
      </c>
      <c r="CN27" t="s">
        <v>57</v>
      </c>
      <c r="CO27" t="s">
        <v>57</v>
      </c>
      <c r="CP27" t="s">
        <v>57</v>
      </c>
      <c r="CQ27" t="s">
        <v>57</v>
      </c>
      <c r="CR27" t="s">
        <v>57</v>
      </c>
      <c r="CS27" t="s">
        <v>57</v>
      </c>
      <c r="CT27" t="s">
        <v>57</v>
      </c>
      <c r="CU27" t="s">
        <v>57</v>
      </c>
      <c r="CV27" t="s">
        <v>57</v>
      </c>
      <c r="CW27" t="s">
        <v>57</v>
      </c>
      <c r="CX27" t="s">
        <v>57</v>
      </c>
      <c r="CY27" t="s">
        <v>57</v>
      </c>
      <c r="CZ27" t="s">
        <v>57</v>
      </c>
      <c r="DA27" t="s">
        <v>57</v>
      </c>
      <c r="DB27" t="s">
        <v>57</v>
      </c>
      <c r="DC27" t="s">
        <v>57</v>
      </c>
      <c r="DD27" t="s">
        <v>57</v>
      </c>
      <c r="DE27" t="s">
        <v>57</v>
      </c>
      <c r="DF27" t="s">
        <v>57</v>
      </c>
      <c r="DG27" t="s">
        <v>57</v>
      </c>
      <c r="DH27" t="s">
        <v>57</v>
      </c>
      <c r="DI27" t="s">
        <v>57</v>
      </c>
      <c r="DJ27" t="s">
        <v>57</v>
      </c>
      <c r="DK27" t="s">
        <v>175</v>
      </c>
      <c r="DL27" t="s">
        <v>57</v>
      </c>
      <c r="DM27" t="s">
        <v>57</v>
      </c>
      <c r="DN27" t="s">
        <v>57</v>
      </c>
      <c r="DO27" t="s">
        <v>57</v>
      </c>
      <c r="DP27" t="s">
        <v>57</v>
      </c>
      <c r="DQ27" t="s">
        <v>57</v>
      </c>
      <c r="DR27" t="s">
        <v>57</v>
      </c>
      <c r="DS27" t="s">
        <v>57</v>
      </c>
      <c r="DT27" t="s">
        <v>57</v>
      </c>
      <c r="DU27" t="s">
        <v>57</v>
      </c>
      <c r="DV27" t="s">
        <v>57</v>
      </c>
      <c r="DW27" t="s">
        <v>57</v>
      </c>
      <c r="DX27" t="s">
        <v>57</v>
      </c>
      <c r="DY27" t="s">
        <v>175</v>
      </c>
      <c r="DZ27" t="s">
        <v>57</v>
      </c>
      <c r="EA27" t="s">
        <v>57</v>
      </c>
      <c r="EB27" t="s">
        <v>57</v>
      </c>
      <c r="EC27" t="s">
        <v>57</v>
      </c>
      <c r="ED27" t="s">
        <v>57</v>
      </c>
      <c r="EE27" t="s">
        <v>57</v>
      </c>
      <c r="EF27" t="s">
        <v>57</v>
      </c>
      <c r="EG27" t="s">
        <v>57</v>
      </c>
      <c r="EH27" t="s">
        <v>57</v>
      </c>
      <c r="EI27" t="s">
        <v>57</v>
      </c>
      <c r="EJ27" t="s">
        <v>57</v>
      </c>
      <c r="EK27" t="s">
        <v>57</v>
      </c>
      <c r="EL27" t="s">
        <v>57</v>
      </c>
      <c r="EM27" t="s">
        <v>57</v>
      </c>
      <c r="EN27" t="s">
        <v>57</v>
      </c>
      <c r="EO27" t="s">
        <v>57</v>
      </c>
      <c r="EP27" t="s">
        <v>57</v>
      </c>
      <c r="EQ27" t="s">
        <v>57</v>
      </c>
      <c r="ER27" t="s">
        <v>57</v>
      </c>
      <c r="ES27" t="s">
        <v>57</v>
      </c>
      <c r="ET27" t="s">
        <v>57</v>
      </c>
      <c r="EU27" t="s">
        <v>57</v>
      </c>
      <c r="EV27" t="s">
        <v>57</v>
      </c>
      <c r="EW27" t="s">
        <v>57</v>
      </c>
      <c r="EX27" t="s">
        <v>57</v>
      </c>
      <c r="EY27" t="s">
        <v>57</v>
      </c>
      <c r="EZ27" t="s">
        <v>57</v>
      </c>
      <c r="FA27" t="s">
        <v>57</v>
      </c>
      <c r="FB27" t="s">
        <v>57</v>
      </c>
      <c r="FC27" t="s">
        <v>57</v>
      </c>
      <c r="FD27" t="s">
        <v>57</v>
      </c>
      <c r="FE27" t="s">
        <v>57</v>
      </c>
      <c r="FF27" t="s">
        <v>57</v>
      </c>
      <c r="FG27" t="s">
        <v>57</v>
      </c>
      <c r="FH27" t="s">
        <v>57</v>
      </c>
      <c r="FI27" t="s">
        <v>57</v>
      </c>
      <c r="FJ27" t="s">
        <v>57</v>
      </c>
      <c r="FK27" t="s">
        <v>57</v>
      </c>
      <c r="FL27" t="s">
        <v>57</v>
      </c>
      <c r="FM27" t="s">
        <v>57</v>
      </c>
      <c r="FN27" t="s">
        <v>57</v>
      </c>
      <c r="FO27" t="s">
        <v>175</v>
      </c>
      <c r="FP27" t="s">
        <v>57</v>
      </c>
      <c r="FQ27" t="s">
        <v>57</v>
      </c>
      <c r="FR27" t="s">
        <v>57</v>
      </c>
      <c r="FS27" t="s">
        <v>57</v>
      </c>
      <c r="FT27" t="s">
        <v>57</v>
      </c>
      <c r="FU27" t="s">
        <v>57</v>
      </c>
      <c r="FV27" t="s">
        <v>57</v>
      </c>
      <c r="FW27" t="s">
        <v>57</v>
      </c>
      <c r="FX27" t="s">
        <v>57</v>
      </c>
      <c r="FY27" t="s">
        <v>57</v>
      </c>
      <c r="FZ27" t="s">
        <v>57</v>
      </c>
      <c r="GA27" t="s">
        <v>57</v>
      </c>
      <c r="GB27" t="s">
        <v>57</v>
      </c>
      <c r="GC27" t="s">
        <v>57</v>
      </c>
      <c r="GD27" t="s">
        <v>57</v>
      </c>
      <c r="GE27" t="s">
        <v>57</v>
      </c>
      <c r="GF27" t="s">
        <v>57</v>
      </c>
      <c r="GG27" t="s">
        <v>175</v>
      </c>
      <c r="GH27" t="s">
        <v>57</v>
      </c>
      <c r="GI27" t="s">
        <v>57</v>
      </c>
      <c r="GJ27" t="s">
        <v>57</v>
      </c>
      <c r="GK27" t="s">
        <v>57</v>
      </c>
      <c r="GL27" t="s">
        <v>57</v>
      </c>
      <c r="GM27" t="s">
        <v>57</v>
      </c>
      <c r="GN27" t="s">
        <v>57</v>
      </c>
      <c r="GO27" t="s">
        <v>57</v>
      </c>
      <c r="GP27" t="s">
        <v>57</v>
      </c>
      <c r="GQ27" t="s">
        <v>57</v>
      </c>
      <c r="GR27" t="s">
        <v>57</v>
      </c>
      <c r="GS27" t="s">
        <v>57</v>
      </c>
      <c r="GT27" t="s">
        <v>57</v>
      </c>
      <c r="GU27" t="s">
        <v>57</v>
      </c>
      <c r="GV27" t="s">
        <v>57</v>
      </c>
      <c r="GW27" t="s">
        <v>57</v>
      </c>
      <c r="GX27" t="s">
        <v>57</v>
      </c>
      <c r="GY27" t="s">
        <v>57</v>
      </c>
      <c r="GZ27" t="s">
        <v>57</v>
      </c>
      <c r="HA27" t="s">
        <v>57</v>
      </c>
      <c r="HB27" t="s">
        <v>57</v>
      </c>
      <c r="HC27" t="s">
        <v>57</v>
      </c>
      <c r="HD27" t="s">
        <v>57</v>
      </c>
      <c r="HE27" t="s">
        <v>57</v>
      </c>
      <c r="HF27" t="s">
        <v>57</v>
      </c>
      <c r="HG27" t="s">
        <v>57</v>
      </c>
      <c r="HH27" t="s">
        <v>57</v>
      </c>
      <c r="HI27" t="s">
        <v>57</v>
      </c>
      <c r="HJ27" t="s">
        <v>57</v>
      </c>
      <c r="HK27" t="s">
        <v>57</v>
      </c>
      <c r="HL27" t="s">
        <v>57</v>
      </c>
      <c r="HM27" t="s">
        <v>57</v>
      </c>
      <c r="HN27" t="s">
        <v>57</v>
      </c>
      <c r="HO27" t="s">
        <v>57</v>
      </c>
      <c r="HP27" t="s">
        <v>57</v>
      </c>
      <c r="HQ27" t="s">
        <v>57</v>
      </c>
      <c r="HR27" t="s">
        <v>57</v>
      </c>
      <c r="HS27" t="s">
        <v>57</v>
      </c>
      <c r="HT27" t="s">
        <v>57</v>
      </c>
      <c r="HU27" t="s">
        <v>57</v>
      </c>
      <c r="HV27" t="s">
        <v>57</v>
      </c>
      <c r="HW27" t="s">
        <v>57</v>
      </c>
      <c r="HX27" t="s">
        <v>57</v>
      </c>
      <c r="HY27" t="s">
        <v>57</v>
      </c>
      <c r="HZ27" t="s">
        <v>57</v>
      </c>
      <c r="IA27" t="s">
        <v>57</v>
      </c>
      <c r="IB27" t="s">
        <v>57</v>
      </c>
      <c r="IC27" t="s">
        <v>57</v>
      </c>
      <c r="ID27" t="s">
        <v>57</v>
      </c>
      <c r="IE27" t="s">
        <v>57</v>
      </c>
      <c r="IF27" t="s">
        <v>124</v>
      </c>
      <c r="IG27" t="s">
        <v>148</v>
      </c>
      <c r="IH27" t="s">
        <v>123</v>
      </c>
      <c r="II27" t="s">
        <v>156</v>
      </c>
    </row>
    <row r="28" spans="1:243" x14ac:dyDescent="0.25">
      <c r="A28" s="111" t="str">
        <f>HYPERLINK("http://www.ofsted.gov.uk/inspection-reports/find-inspection-report/provider/ELS/101484 ","Ofsted School Webpage")</f>
        <v>Ofsted School Webpage</v>
      </c>
      <c r="B28">
        <v>101484</v>
      </c>
      <c r="C28">
        <v>3036060</v>
      </c>
      <c r="D28" t="s">
        <v>1608</v>
      </c>
      <c r="E28" t="s">
        <v>36</v>
      </c>
      <c r="F28" t="s">
        <v>166</v>
      </c>
      <c r="G28" t="s">
        <v>189</v>
      </c>
      <c r="H28" t="s">
        <v>189</v>
      </c>
      <c r="I28" t="s">
        <v>999</v>
      </c>
      <c r="J28" t="s">
        <v>1609</v>
      </c>
      <c r="K28" t="s">
        <v>142</v>
      </c>
      <c r="L28" t="s">
        <v>142</v>
      </c>
      <c r="M28" t="s">
        <v>2596</v>
      </c>
      <c r="N28" t="s">
        <v>143</v>
      </c>
      <c r="O28">
        <v>10008542</v>
      </c>
      <c r="P28" s="108">
        <v>43046</v>
      </c>
      <c r="Q28" s="108">
        <v>43048</v>
      </c>
      <c r="R28" s="108">
        <v>43087</v>
      </c>
      <c r="S28" t="s">
        <v>153</v>
      </c>
      <c r="T28" t="s">
        <v>154</v>
      </c>
      <c r="U28">
        <v>2</v>
      </c>
      <c r="V28">
        <v>2</v>
      </c>
      <c r="W28">
        <v>2</v>
      </c>
      <c r="X28">
        <v>2</v>
      </c>
      <c r="Y28">
        <v>2</v>
      </c>
      <c r="Z28">
        <v>2</v>
      </c>
      <c r="AA28" t="s">
        <v>2596</v>
      </c>
      <c r="AB28" t="s">
        <v>123</v>
      </c>
      <c r="AC28" t="s">
        <v>2596</v>
      </c>
      <c r="AD28" t="s">
        <v>2598</v>
      </c>
      <c r="AE28" t="s">
        <v>57</v>
      </c>
      <c r="AF28" t="s">
        <v>57</v>
      </c>
      <c r="AG28" t="s">
        <v>57</v>
      </c>
      <c r="AH28" t="s">
        <v>57</v>
      </c>
      <c r="AI28" t="s">
        <v>57</v>
      </c>
      <c r="AJ28" t="s">
        <v>57</v>
      </c>
      <c r="AK28" t="s">
        <v>57</v>
      </c>
      <c r="AL28" t="s">
        <v>57</v>
      </c>
      <c r="AM28" t="s">
        <v>57</v>
      </c>
      <c r="AN28" t="s">
        <v>57</v>
      </c>
      <c r="AO28" t="s">
        <v>57</v>
      </c>
      <c r="AP28" t="s">
        <v>57</v>
      </c>
      <c r="AQ28" t="s">
        <v>57</v>
      </c>
      <c r="AR28" t="s">
        <v>57</v>
      </c>
      <c r="AS28" t="s">
        <v>57</v>
      </c>
      <c r="AT28" t="s">
        <v>57</v>
      </c>
      <c r="AU28" t="s">
        <v>148</v>
      </c>
      <c r="AV28" t="s">
        <v>57</v>
      </c>
      <c r="AW28" t="s">
        <v>57</v>
      </c>
      <c r="AX28" t="s">
        <v>57</v>
      </c>
      <c r="AY28" t="s">
        <v>148</v>
      </c>
      <c r="AZ28" t="s">
        <v>148</v>
      </c>
      <c r="BA28" t="s">
        <v>148</v>
      </c>
      <c r="BB28" t="s">
        <v>148</v>
      </c>
      <c r="BC28" t="s">
        <v>57</v>
      </c>
      <c r="BD28" t="s">
        <v>148</v>
      </c>
      <c r="BE28" t="s">
        <v>57</v>
      </c>
      <c r="BF28" t="s">
        <v>57</v>
      </c>
      <c r="BG28" t="s">
        <v>57</v>
      </c>
      <c r="BH28" t="s">
        <v>57</v>
      </c>
      <c r="BI28" t="s">
        <v>57</v>
      </c>
      <c r="BJ28" t="s">
        <v>57</v>
      </c>
      <c r="BK28" t="s">
        <v>57</v>
      </c>
      <c r="BL28" t="s">
        <v>57</v>
      </c>
      <c r="BM28" t="s">
        <v>57</v>
      </c>
      <c r="BN28" t="s">
        <v>57</v>
      </c>
      <c r="BO28" t="s">
        <v>57</v>
      </c>
      <c r="BP28" t="s">
        <v>57</v>
      </c>
      <c r="BQ28" t="s">
        <v>57</v>
      </c>
      <c r="BR28" t="s">
        <v>57</v>
      </c>
      <c r="BS28" t="s">
        <v>57</v>
      </c>
      <c r="BT28" t="s">
        <v>57</v>
      </c>
      <c r="BU28" t="s">
        <v>57</v>
      </c>
      <c r="BV28" t="s">
        <v>57</v>
      </c>
      <c r="BW28" t="s">
        <v>57</v>
      </c>
      <c r="BX28" t="s">
        <v>57</v>
      </c>
      <c r="BY28" t="s">
        <v>57</v>
      </c>
      <c r="BZ28" t="s">
        <v>57</v>
      </c>
      <c r="CA28" t="s">
        <v>57</v>
      </c>
      <c r="CB28" t="s">
        <v>57</v>
      </c>
      <c r="CC28" t="s">
        <v>57</v>
      </c>
      <c r="CD28" t="s">
        <v>57</v>
      </c>
      <c r="CE28" t="s">
        <v>57</v>
      </c>
      <c r="CF28" t="s">
        <v>57</v>
      </c>
      <c r="CG28" t="s">
        <v>57</v>
      </c>
      <c r="CH28" t="s">
        <v>57</v>
      </c>
      <c r="CI28" t="s">
        <v>57</v>
      </c>
      <c r="CJ28" t="s">
        <v>57</v>
      </c>
      <c r="CK28" t="s">
        <v>148</v>
      </c>
      <c r="CL28" t="s">
        <v>148</v>
      </c>
      <c r="CM28" t="s">
        <v>148</v>
      </c>
      <c r="CN28" t="s">
        <v>57</v>
      </c>
      <c r="CO28" t="s">
        <v>57</v>
      </c>
      <c r="CP28" t="s">
        <v>57</v>
      </c>
      <c r="CQ28" t="s">
        <v>57</v>
      </c>
      <c r="CR28" t="s">
        <v>57</v>
      </c>
      <c r="CS28" t="s">
        <v>57</v>
      </c>
      <c r="CT28" t="s">
        <v>57</v>
      </c>
      <c r="CU28" t="s">
        <v>57</v>
      </c>
      <c r="CV28" t="s">
        <v>57</v>
      </c>
      <c r="CW28" t="s">
        <v>57</v>
      </c>
      <c r="CX28" t="s">
        <v>57</v>
      </c>
      <c r="CY28" t="s">
        <v>57</v>
      </c>
      <c r="CZ28" t="s">
        <v>57</v>
      </c>
      <c r="DA28" t="s">
        <v>57</v>
      </c>
      <c r="DB28" t="s">
        <v>57</v>
      </c>
      <c r="DC28" t="s">
        <v>57</v>
      </c>
      <c r="DD28" t="s">
        <v>57</v>
      </c>
      <c r="DE28" t="s">
        <v>57</v>
      </c>
      <c r="DF28" t="s">
        <v>57</v>
      </c>
      <c r="DG28" t="s">
        <v>57</v>
      </c>
      <c r="DH28" t="s">
        <v>57</v>
      </c>
      <c r="DI28" t="s">
        <v>57</v>
      </c>
      <c r="DJ28" t="s">
        <v>57</v>
      </c>
      <c r="DK28" t="s">
        <v>148</v>
      </c>
      <c r="DL28" t="s">
        <v>57</v>
      </c>
      <c r="DM28" t="s">
        <v>57</v>
      </c>
      <c r="DN28" t="s">
        <v>57</v>
      </c>
      <c r="DO28" t="s">
        <v>57</v>
      </c>
      <c r="DP28" t="s">
        <v>57</v>
      </c>
      <c r="DQ28" t="s">
        <v>57</v>
      </c>
      <c r="DR28" t="s">
        <v>57</v>
      </c>
      <c r="DS28" t="s">
        <v>57</v>
      </c>
      <c r="DT28" t="s">
        <v>57</v>
      </c>
      <c r="DU28" t="s">
        <v>57</v>
      </c>
      <c r="DV28" t="s">
        <v>57</v>
      </c>
      <c r="DW28" t="s">
        <v>57</v>
      </c>
      <c r="DX28" t="s">
        <v>57</v>
      </c>
      <c r="DY28" t="s">
        <v>148</v>
      </c>
      <c r="DZ28" t="s">
        <v>57</v>
      </c>
      <c r="EA28" t="s">
        <v>57</v>
      </c>
      <c r="EB28" t="s">
        <v>57</v>
      </c>
      <c r="EC28" t="s">
        <v>57</v>
      </c>
      <c r="ED28" t="s">
        <v>57</v>
      </c>
      <c r="EE28" t="s">
        <v>57</v>
      </c>
      <c r="EF28" t="s">
        <v>57</v>
      </c>
      <c r="EG28" t="s">
        <v>57</v>
      </c>
      <c r="EH28" t="s">
        <v>57</v>
      </c>
      <c r="EI28" t="s">
        <v>57</v>
      </c>
      <c r="EJ28" t="s">
        <v>57</v>
      </c>
      <c r="EK28" t="s">
        <v>57</v>
      </c>
      <c r="EL28" t="s">
        <v>57</v>
      </c>
      <c r="EM28" t="s">
        <v>57</v>
      </c>
      <c r="EN28" t="s">
        <v>57</v>
      </c>
      <c r="EO28" t="s">
        <v>57</v>
      </c>
      <c r="EP28" t="s">
        <v>57</v>
      </c>
      <c r="EQ28" t="s">
        <v>57</v>
      </c>
      <c r="ER28" t="s">
        <v>57</v>
      </c>
      <c r="ES28" t="s">
        <v>57</v>
      </c>
      <c r="ET28" t="s">
        <v>57</v>
      </c>
      <c r="EU28" t="s">
        <v>57</v>
      </c>
      <c r="EV28" t="s">
        <v>57</v>
      </c>
      <c r="EW28" t="s">
        <v>57</v>
      </c>
      <c r="EX28" t="s">
        <v>57</v>
      </c>
      <c r="EY28" t="s">
        <v>57</v>
      </c>
      <c r="EZ28" t="s">
        <v>57</v>
      </c>
      <c r="FA28" t="s">
        <v>57</v>
      </c>
      <c r="FB28" t="s">
        <v>57</v>
      </c>
      <c r="FC28" t="s">
        <v>57</v>
      </c>
      <c r="FD28" t="s">
        <v>57</v>
      </c>
      <c r="FE28" t="s">
        <v>57</v>
      </c>
      <c r="FF28" t="s">
        <v>57</v>
      </c>
      <c r="FG28" t="s">
        <v>57</v>
      </c>
      <c r="FH28" t="s">
        <v>57</v>
      </c>
      <c r="FI28" t="s">
        <v>57</v>
      </c>
      <c r="FJ28" t="s">
        <v>57</v>
      </c>
      <c r="FK28" t="s">
        <v>148</v>
      </c>
      <c r="FL28" t="s">
        <v>57</v>
      </c>
      <c r="FM28" t="s">
        <v>57</v>
      </c>
      <c r="FN28" t="s">
        <v>57</v>
      </c>
      <c r="FO28" t="s">
        <v>57</v>
      </c>
      <c r="FP28" t="s">
        <v>57</v>
      </c>
      <c r="FQ28" t="s">
        <v>57</v>
      </c>
      <c r="FR28" t="s">
        <v>57</v>
      </c>
      <c r="FS28" t="s">
        <v>57</v>
      </c>
      <c r="FT28" t="s">
        <v>57</v>
      </c>
      <c r="FU28" t="s">
        <v>57</v>
      </c>
      <c r="FV28" t="s">
        <v>57</v>
      </c>
      <c r="FW28" t="s">
        <v>57</v>
      </c>
      <c r="FX28" t="s">
        <v>57</v>
      </c>
      <c r="FY28" t="s">
        <v>57</v>
      </c>
      <c r="FZ28" t="s">
        <v>57</v>
      </c>
      <c r="GA28" t="s">
        <v>57</v>
      </c>
      <c r="GB28" t="s">
        <v>57</v>
      </c>
      <c r="GC28" t="s">
        <v>57</v>
      </c>
      <c r="GD28" t="s">
        <v>57</v>
      </c>
      <c r="GE28" t="s">
        <v>57</v>
      </c>
      <c r="GF28" t="s">
        <v>57</v>
      </c>
      <c r="GG28" t="s">
        <v>148</v>
      </c>
      <c r="GH28" t="s">
        <v>57</v>
      </c>
      <c r="GI28" t="s">
        <v>57</v>
      </c>
      <c r="GJ28" t="s">
        <v>57</v>
      </c>
      <c r="GK28" t="s">
        <v>57</v>
      </c>
      <c r="GL28" t="s">
        <v>57</v>
      </c>
      <c r="GM28" t="s">
        <v>57</v>
      </c>
      <c r="GN28" t="s">
        <v>57</v>
      </c>
      <c r="GO28" t="s">
        <v>57</v>
      </c>
      <c r="GP28" t="s">
        <v>57</v>
      </c>
      <c r="GQ28" t="s">
        <v>57</v>
      </c>
      <c r="GR28" t="s">
        <v>57</v>
      </c>
      <c r="GS28" t="s">
        <v>57</v>
      </c>
      <c r="GT28" t="s">
        <v>57</v>
      </c>
      <c r="GU28" t="s">
        <v>57</v>
      </c>
      <c r="GV28" t="s">
        <v>148</v>
      </c>
      <c r="GW28" t="s">
        <v>57</v>
      </c>
      <c r="GX28" t="s">
        <v>57</v>
      </c>
      <c r="GY28" t="s">
        <v>57</v>
      </c>
      <c r="GZ28" t="s">
        <v>57</v>
      </c>
      <c r="HA28" t="s">
        <v>57</v>
      </c>
      <c r="HB28" t="s">
        <v>57</v>
      </c>
      <c r="HC28" t="s">
        <v>57</v>
      </c>
      <c r="HD28" t="s">
        <v>57</v>
      </c>
      <c r="HE28" t="s">
        <v>57</v>
      </c>
      <c r="HF28" t="s">
        <v>57</v>
      </c>
      <c r="HG28" t="s">
        <v>57</v>
      </c>
      <c r="HH28" t="s">
        <v>148</v>
      </c>
      <c r="HI28" t="s">
        <v>148</v>
      </c>
      <c r="HJ28" t="s">
        <v>148</v>
      </c>
      <c r="HK28" t="s">
        <v>148</v>
      </c>
      <c r="HL28" t="s">
        <v>57</v>
      </c>
      <c r="HM28" t="s">
        <v>57</v>
      </c>
      <c r="HN28" t="s">
        <v>57</v>
      </c>
      <c r="HO28" t="s">
        <v>57</v>
      </c>
      <c r="HP28" t="s">
        <v>57</v>
      </c>
      <c r="HQ28" t="s">
        <v>57</v>
      </c>
      <c r="HR28" t="s">
        <v>57</v>
      </c>
      <c r="HS28" t="s">
        <v>57</v>
      </c>
      <c r="HT28" t="s">
        <v>57</v>
      </c>
      <c r="HU28" t="s">
        <v>57</v>
      </c>
      <c r="HV28" t="s">
        <v>57</v>
      </c>
      <c r="HW28" t="s">
        <v>57</v>
      </c>
      <c r="HX28" t="s">
        <v>57</v>
      </c>
      <c r="HY28" t="s">
        <v>57</v>
      </c>
      <c r="HZ28" t="s">
        <v>57</v>
      </c>
      <c r="IA28" t="s">
        <v>57</v>
      </c>
      <c r="IB28" t="s">
        <v>57</v>
      </c>
      <c r="IC28" t="s">
        <v>57</v>
      </c>
      <c r="ID28" t="s">
        <v>57</v>
      </c>
      <c r="IE28" t="s">
        <v>57</v>
      </c>
      <c r="IF28" t="s">
        <v>124</v>
      </c>
      <c r="IG28" t="s">
        <v>155</v>
      </c>
      <c r="IH28" t="s">
        <v>123</v>
      </c>
      <c r="II28" t="s">
        <v>156</v>
      </c>
    </row>
    <row r="29" spans="1:243" x14ac:dyDescent="0.25">
      <c r="A29" s="111" t="str">
        <f>HYPERLINK("http://www.ofsted.gov.uk/inspection-reports/find-inspection-report/provider/ELS/101687 ","Ofsted School Webpage")</f>
        <v>Ofsted School Webpage</v>
      </c>
      <c r="B29">
        <v>101687</v>
      </c>
      <c r="C29">
        <v>3056010</v>
      </c>
      <c r="D29" t="s">
        <v>2041</v>
      </c>
      <c r="E29" t="s">
        <v>36</v>
      </c>
      <c r="F29" t="s">
        <v>166</v>
      </c>
      <c r="G29" t="s">
        <v>189</v>
      </c>
      <c r="H29" t="s">
        <v>189</v>
      </c>
      <c r="I29" t="s">
        <v>540</v>
      </c>
      <c r="J29" t="s">
        <v>2042</v>
      </c>
      <c r="K29" t="s">
        <v>142</v>
      </c>
      <c r="L29" t="s">
        <v>397</v>
      </c>
      <c r="M29" t="s">
        <v>2596</v>
      </c>
      <c r="N29" t="s">
        <v>143</v>
      </c>
      <c r="O29">
        <v>10035783</v>
      </c>
      <c r="P29" s="108">
        <v>43137</v>
      </c>
      <c r="Q29" s="108">
        <v>43139</v>
      </c>
      <c r="R29" s="108">
        <v>43171</v>
      </c>
      <c r="S29" t="s">
        <v>153</v>
      </c>
      <c r="T29" t="s">
        <v>154</v>
      </c>
      <c r="U29">
        <v>2</v>
      </c>
      <c r="V29">
        <v>2</v>
      </c>
      <c r="W29">
        <v>2</v>
      </c>
      <c r="X29">
        <v>2</v>
      </c>
      <c r="Y29">
        <v>2</v>
      </c>
      <c r="Z29">
        <v>2</v>
      </c>
      <c r="AA29" t="s">
        <v>2596</v>
      </c>
      <c r="AB29" t="s">
        <v>123</v>
      </c>
      <c r="AC29" t="s">
        <v>2596</v>
      </c>
      <c r="AD29" t="s">
        <v>2598</v>
      </c>
      <c r="AE29" t="s">
        <v>57</v>
      </c>
      <c r="AF29" t="s">
        <v>57</v>
      </c>
      <c r="AG29" t="s">
        <v>57</v>
      </c>
      <c r="AH29" t="s">
        <v>57</v>
      </c>
      <c r="AI29" t="s">
        <v>57</v>
      </c>
      <c r="AJ29" t="s">
        <v>57</v>
      </c>
      <c r="AK29" t="s">
        <v>57</v>
      </c>
      <c r="AL29" t="s">
        <v>57</v>
      </c>
      <c r="AM29" t="s">
        <v>57</v>
      </c>
      <c r="AN29" t="s">
        <v>57</v>
      </c>
      <c r="AO29" t="s">
        <v>57</v>
      </c>
      <c r="AP29" t="s">
        <v>57</v>
      </c>
      <c r="AQ29" t="s">
        <v>57</v>
      </c>
      <c r="AR29" t="s">
        <v>57</v>
      </c>
      <c r="AS29" t="s">
        <v>57</v>
      </c>
      <c r="AT29" t="s">
        <v>57</v>
      </c>
      <c r="AU29" t="s">
        <v>57</v>
      </c>
      <c r="AV29" t="s">
        <v>57</v>
      </c>
      <c r="AW29" t="s">
        <v>57</v>
      </c>
      <c r="AX29" t="s">
        <v>57</v>
      </c>
      <c r="AY29" t="s">
        <v>175</v>
      </c>
      <c r="AZ29" t="s">
        <v>175</v>
      </c>
      <c r="BA29" t="s">
        <v>2596</v>
      </c>
      <c r="BB29" t="s">
        <v>2596</v>
      </c>
      <c r="BC29" t="s">
        <v>2596</v>
      </c>
      <c r="BD29" t="s">
        <v>2596</v>
      </c>
      <c r="BE29" t="s">
        <v>57</v>
      </c>
      <c r="BF29" t="s">
        <v>57</v>
      </c>
      <c r="BG29" t="s">
        <v>57</v>
      </c>
      <c r="BH29" t="s">
        <v>57</v>
      </c>
      <c r="BI29" t="s">
        <v>57</v>
      </c>
      <c r="BJ29" t="s">
        <v>57</v>
      </c>
      <c r="BK29" t="s">
        <v>57</v>
      </c>
      <c r="BL29" t="s">
        <v>57</v>
      </c>
      <c r="BM29" t="s">
        <v>57</v>
      </c>
      <c r="BN29" t="s">
        <v>57</v>
      </c>
      <c r="BO29" t="s">
        <v>57</v>
      </c>
      <c r="BP29" t="s">
        <v>57</v>
      </c>
      <c r="BQ29" t="s">
        <v>57</v>
      </c>
      <c r="BR29" t="s">
        <v>57</v>
      </c>
      <c r="BS29" t="s">
        <v>57</v>
      </c>
      <c r="BT29" t="s">
        <v>57</v>
      </c>
      <c r="BU29" t="s">
        <v>57</v>
      </c>
      <c r="BV29" t="s">
        <v>57</v>
      </c>
      <c r="BW29" t="s">
        <v>57</v>
      </c>
      <c r="BX29" t="s">
        <v>57</v>
      </c>
      <c r="BY29" t="s">
        <v>57</v>
      </c>
      <c r="BZ29" t="s">
        <v>57</v>
      </c>
      <c r="CA29" t="s">
        <v>57</v>
      </c>
      <c r="CB29" t="s">
        <v>57</v>
      </c>
      <c r="CC29" t="s">
        <v>57</v>
      </c>
      <c r="CD29" t="s">
        <v>57</v>
      </c>
      <c r="CE29" t="s">
        <v>2596</v>
      </c>
      <c r="CF29" t="s">
        <v>2596</v>
      </c>
      <c r="CG29" t="s">
        <v>57</v>
      </c>
      <c r="CH29" t="s">
        <v>57</v>
      </c>
      <c r="CI29" t="s">
        <v>57</v>
      </c>
      <c r="CJ29" t="s">
        <v>57</v>
      </c>
      <c r="CK29" t="s">
        <v>175</v>
      </c>
      <c r="CL29" t="s">
        <v>175</v>
      </c>
      <c r="CM29" t="s">
        <v>2596</v>
      </c>
      <c r="CN29" t="s">
        <v>57</v>
      </c>
      <c r="CO29" t="s">
        <v>57</v>
      </c>
      <c r="CP29" t="s">
        <v>57</v>
      </c>
      <c r="CQ29" t="s">
        <v>57</v>
      </c>
      <c r="CR29" t="s">
        <v>57</v>
      </c>
      <c r="CS29" t="s">
        <v>57</v>
      </c>
      <c r="CT29" t="s">
        <v>57</v>
      </c>
      <c r="CU29" t="s">
        <v>57</v>
      </c>
      <c r="CV29" t="s">
        <v>57</v>
      </c>
      <c r="CW29" t="s">
        <v>57</v>
      </c>
      <c r="CX29" t="s">
        <v>57</v>
      </c>
      <c r="CY29" t="s">
        <v>57</v>
      </c>
      <c r="CZ29" t="s">
        <v>57</v>
      </c>
      <c r="DA29" t="s">
        <v>57</v>
      </c>
      <c r="DB29" t="s">
        <v>57</v>
      </c>
      <c r="DC29" t="s">
        <v>57</v>
      </c>
      <c r="DD29" t="s">
        <v>57</v>
      </c>
      <c r="DE29" t="s">
        <v>57</v>
      </c>
      <c r="DF29" t="s">
        <v>57</v>
      </c>
      <c r="DG29" t="s">
        <v>2596</v>
      </c>
      <c r="DH29" t="s">
        <v>2596</v>
      </c>
      <c r="DI29" t="s">
        <v>57</v>
      </c>
      <c r="DJ29" t="s">
        <v>57</v>
      </c>
      <c r="DK29" t="s">
        <v>2596</v>
      </c>
      <c r="DL29" t="s">
        <v>57</v>
      </c>
      <c r="DM29" t="s">
        <v>57</v>
      </c>
      <c r="DN29" t="s">
        <v>57</v>
      </c>
      <c r="DO29" t="s">
        <v>57</v>
      </c>
      <c r="DP29" t="s">
        <v>57</v>
      </c>
      <c r="DQ29" t="s">
        <v>57</v>
      </c>
      <c r="DR29" t="s">
        <v>57</v>
      </c>
      <c r="DS29" t="s">
        <v>57</v>
      </c>
      <c r="DT29" t="s">
        <v>57</v>
      </c>
      <c r="DU29" t="s">
        <v>57</v>
      </c>
      <c r="DV29" t="s">
        <v>57</v>
      </c>
      <c r="DW29" t="s">
        <v>57</v>
      </c>
      <c r="DX29" t="s">
        <v>57</v>
      </c>
      <c r="DY29" t="s">
        <v>175</v>
      </c>
      <c r="DZ29" t="s">
        <v>57</v>
      </c>
      <c r="EA29" t="s">
        <v>57</v>
      </c>
      <c r="EB29" t="s">
        <v>57</v>
      </c>
      <c r="EC29" t="s">
        <v>57</v>
      </c>
      <c r="ED29" t="s">
        <v>57</v>
      </c>
      <c r="EE29" t="s">
        <v>57</v>
      </c>
      <c r="EF29" t="s">
        <v>57</v>
      </c>
      <c r="EG29" t="s">
        <v>57</v>
      </c>
      <c r="EH29" t="s">
        <v>57</v>
      </c>
      <c r="EI29" t="s">
        <v>57</v>
      </c>
      <c r="EJ29" t="s">
        <v>57</v>
      </c>
      <c r="EK29" t="s">
        <v>57</v>
      </c>
      <c r="EL29" t="s">
        <v>57</v>
      </c>
      <c r="EM29" t="s">
        <v>57</v>
      </c>
      <c r="EN29" t="s">
        <v>57</v>
      </c>
      <c r="EO29" t="s">
        <v>57</v>
      </c>
      <c r="EP29" t="s">
        <v>57</v>
      </c>
      <c r="EQ29" t="s">
        <v>57</v>
      </c>
      <c r="ER29" t="s">
        <v>57</v>
      </c>
      <c r="ES29" t="s">
        <v>57</v>
      </c>
      <c r="ET29" t="s">
        <v>57</v>
      </c>
      <c r="EU29" t="s">
        <v>57</v>
      </c>
      <c r="EV29" t="s">
        <v>57</v>
      </c>
      <c r="EW29" t="s">
        <v>57</v>
      </c>
      <c r="EX29" t="s">
        <v>57</v>
      </c>
      <c r="EY29" t="s">
        <v>57</v>
      </c>
      <c r="EZ29" t="s">
        <v>57</v>
      </c>
      <c r="FA29" t="s">
        <v>57</v>
      </c>
      <c r="FB29" t="s">
        <v>2596</v>
      </c>
      <c r="FC29" t="s">
        <v>57</v>
      </c>
      <c r="FD29" t="s">
        <v>2596</v>
      </c>
      <c r="FE29" t="s">
        <v>2596</v>
      </c>
      <c r="FF29" t="s">
        <v>57</v>
      </c>
      <c r="FG29" t="s">
        <v>57</v>
      </c>
      <c r="FH29" t="s">
        <v>57</v>
      </c>
      <c r="FI29" t="s">
        <v>57</v>
      </c>
      <c r="FJ29" t="s">
        <v>57</v>
      </c>
      <c r="FK29" t="s">
        <v>57</v>
      </c>
      <c r="FL29" t="s">
        <v>57</v>
      </c>
      <c r="FM29" t="s">
        <v>57</v>
      </c>
      <c r="FN29" t="s">
        <v>57</v>
      </c>
      <c r="FO29" t="s">
        <v>57</v>
      </c>
      <c r="FP29" t="s">
        <v>57</v>
      </c>
      <c r="FQ29" t="s">
        <v>57</v>
      </c>
      <c r="FR29" t="s">
        <v>2596</v>
      </c>
      <c r="FS29" t="s">
        <v>57</v>
      </c>
      <c r="FT29" t="s">
        <v>57</v>
      </c>
      <c r="FU29" t="s">
        <v>57</v>
      </c>
      <c r="FV29" t="s">
        <v>57</v>
      </c>
      <c r="FW29" t="s">
        <v>57</v>
      </c>
      <c r="FX29" t="s">
        <v>57</v>
      </c>
      <c r="FY29" t="s">
        <v>57</v>
      </c>
      <c r="FZ29" t="s">
        <v>57</v>
      </c>
      <c r="GA29" t="s">
        <v>57</v>
      </c>
      <c r="GB29" t="s">
        <v>57</v>
      </c>
      <c r="GC29" t="s">
        <v>57</v>
      </c>
      <c r="GD29" t="s">
        <v>57</v>
      </c>
      <c r="GE29" t="s">
        <v>57</v>
      </c>
      <c r="GF29" t="s">
        <v>57</v>
      </c>
      <c r="GG29" t="s">
        <v>57</v>
      </c>
      <c r="GH29" t="s">
        <v>57</v>
      </c>
      <c r="GI29" t="s">
        <v>57</v>
      </c>
      <c r="GJ29" t="s">
        <v>57</v>
      </c>
      <c r="GK29" t="s">
        <v>57</v>
      </c>
      <c r="GL29" t="s">
        <v>57</v>
      </c>
      <c r="GM29" t="s">
        <v>175</v>
      </c>
      <c r="GN29" t="s">
        <v>57</v>
      </c>
      <c r="GO29" t="s">
        <v>57</v>
      </c>
      <c r="GP29" t="s">
        <v>175</v>
      </c>
      <c r="GQ29" t="s">
        <v>57</v>
      </c>
      <c r="GR29" t="s">
        <v>57</v>
      </c>
      <c r="GS29" t="s">
        <v>57</v>
      </c>
      <c r="GT29" t="s">
        <v>57</v>
      </c>
      <c r="GU29" t="s">
        <v>57</v>
      </c>
      <c r="GV29" t="s">
        <v>175</v>
      </c>
      <c r="GW29" t="s">
        <v>175</v>
      </c>
      <c r="GX29" t="s">
        <v>57</v>
      </c>
      <c r="GY29" t="s">
        <v>57</v>
      </c>
      <c r="GZ29" t="s">
        <v>57</v>
      </c>
      <c r="HA29" t="s">
        <v>57</v>
      </c>
      <c r="HB29" t="s">
        <v>57</v>
      </c>
      <c r="HC29" t="s">
        <v>57</v>
      </c>
      <c r="HD29" t="s">
        <v>57</v>
      </c>
      <c r="HE29" t="s">
        <v>57</v>
      </c>
      <c r="HF29" t="s">
        <v>57</v>
      </c>
      <c r="HG29" t="s">
        <v>57</v>
      </c>
      <c r="HH29" t="s">
        <v>57</v>
      </c>
      <c r="HI29" t="s">
        <v>175</v>
      </c>
      <c r="HJ29" t="s">
        <v>175</v>
      </c>
      <c r="HK29" t="s">
        <v>175</v>
      </c>
      <c r="HL29" t="s">
        <v>57</v>
      </c>
      <c r="HM29" t="s">
        <v>57</v>
      </c>
      <c r="HN29" t="s">
        <v>57</v>
      </c>
      <c r="HO29" t="s">
        <v>57</v>
      </c>
      <c r="HP29" t="s">
        <v>57</v>
      </c>
      <c r="HQ29" t="s">
        <v>57</v>
      </c>
      <c r="HR29" t="s">
        <v>57</v>
      </c>
      <c r="HS29" t="s">
        <v>57</v>
      </c>
      <c r="HT29" t="s">
        <v>57</v>
      </c>
      <c r="HU29" t="s">
        <v>57</v>
      </c>
      <c r="HV29" t="s">
        <v>57</v>
      </c>
      <c r="HW29" t="s">
        <v>57</v>
      </c>
      <c r="HX29" t="s">
        <v>57</v>
      </c>
      <c r="HY29" t="s">
        <v>57</v>
      </c>
      <c r="HZ29" t="s">
        <v>57</v>
      </c>
      <c r="IA29" t="s">
        <v>57</v>
      </c>
      <c r="IB29" t="s">
        <v>57</v>
      </c>
      <c r="IC29" t="s">
        <v>57</v>
      </c>
      <c r="ID29" t="s">
        <v>57</v>
      </c>
      <c r="IE29" t="s">
        <v>57</v>
      </c>
      <c r="IF29" t="s">
        <v>124</v>
      </c>
      <c r="IG29" t="s">
        <v>148</v>
      </c>
      <c r="IH29" t="s">
        <v>123</v>
      </c>
      <c r="II29" t="s">
        <v>156</v>
      </c>
    </row>
    <row r="30" spans="1:243" x14ac:dyDescent="0.25">
      <c r="A30" s="111" t="str">
        <f>HYPERLINK("http://www.ofsted.gov.uk/inspection-reports/find-inspection-report/provider/ELS/101694 ","Ofsted School Webpage")</f>
        <v>Ofsted School Webpage</v>
      </c>
      <c r="B30">
        <v>101694</v>
      </c>
      <c r="C30">
        <v>3056075</v>
      </c>
      <c r="D30" t="s">
        <v>1208</v>
      </c>
      <c r="E30" t="s">
        <v>36</v>
      </c>
      <c r="F30" t="s">
        <v>166</v>
      </c>
      <c r="G30" t="s">
        <v>189</v>
      </c>
      <c r="H30" t="s">
        <v>189</v>
      </c>
      <c r="I30" t="s">
        <v>540</v>
      </c>
      <c r="J30" t="s">
        <v>1209</v>
      </c>
      <c r="K30" t="s">
        <v>142</v>
      </c>
      <c r="L30" t="s">
        <v>142</v>
      </c>
      <c r="M30" t="s">
        <v>2596</v>
      </c>
      <c r="N30" t="s">
        <v>143</v>
      </c>
      <c r="O30">
        <v>10026277</v>
      </c>
      <c r="P30" s="108">
        <v>43123</v>
      </c>
      <c r="Q30" s="108">
        <v>43125</v>
      </c>
      <c r="R30" s="108">
        <v>43144</v>
      </c>
      <c r="S30" t="s">
        <v>153</v>
      </c>
      <c r="T30" t="s">
        <v>154</v>
      </c>
      <c r="U30">
        <v>3</v>
      </c>
      <c r="V30">
        <v>3</v>
      </c>
      <c r="W30">
        <v>2</v>
      </c>
      <c r="X30">
        <v>3</v>
      </c>
      <c r="Y30">
        <v>3</v>
      </c>
      <c r="Z30">
        <v>3</v>
      </c>
      <c r="AA30" t="s">
        <v>2596</v>
      </c>
      <c r="AB30" t="s">
        <v>123</v>
      </c>
      <c r="AC30" t="s">
        <v>2596</v>
      </c>
      <c r="AD30" t="s">
        <v>2598</v>
      </c>
      <c r="AE30" t="s">
        <v>57</v>
      </c>
      <c r="AF30" t="s">
        <v>57</v>
      </c>
      <c r="AG30" t="s">
        <v>57</v>
      </c>
      <c r="AH30" t="s">
        <v>57</v>
      </c>
      <c r="AI30" t="s">
        <v>57</v>
      </c>
      <c r="AJ30" t="s">
        <v>57</v>
      </c>
      <c r="AK30" t="s">
        <v>57</v>
      </c>
      <c r="AL30" t="s">
        <v>57</v>
      </c>
      <c r="AM30" t="s">
        <v>57</v>
      </c>
      <c r="AN30" t="s">
        <v>57</v>
      </c>
      <c r="AO30" t="s">
        <v>57</v>
      </c>
      <c r="AP30" t="s">
        <v>57</v>
      </c>
      <c r="AQ30" t="s">
        <v>57</v>
      </c>
      <c r="AR30" t="s">
        <v>57</v>
      </c>
      <c r="AS30" t="s">
        <v>57</v>
      </c>
      <c r="AT30" t="s">
        <v>57</v>
      </c>
      <c r="AU30" t="s">
        <v>175</v>
      </c>
      <c r="AV30" t="s">
        <v>57</v>
      </c>
      <c r="AW30" t="s">
        <v>57</v>
      </c>
      <c r="AX30" t="s">
        <v>57</v>
      </c>
      <c r="AY30" t="s">
        <v>175</v>
      </c>
      <c r="AZ30" t="s">
        <v>175</v>
      </c>
      <c r="BA30" t="s">
        <v>175</v>
      </c>
      <c r="BB30" t="s">
        <v>175</v>
      </c>
      <c r="BC30" t="s">
        <v>57</v>
      </c>
      <c r="BD30" t="s">
        <v>57</v>
      </c>
      <c r="BE30" t="s">
        <v>57</v>
      </c>
      <c r="BF30" t="s">
        <v>57</v>
      </c>
      <c r="BG30" t="s">
        <v>57</v>
      </c>
      <c r="BH30" t="s">
        <v>57</v>
      </c>
      <c r="BI30" t="s">
        <v>57</v>
      </c>
      <c r="BJ30" t="s">
        <v>57</v>
      </c>
      <c r="BK30" t="s">
        <v>57</v>
      </c>
      <c r="BL30" t="s">
        <v>57</v>
      </c>
      <c r="BM30" t="s">
        <v>57</v>
      </c>
      <c r="BN30" t="s">
        <v>57</v>
      </c>
      <c r="BO30" t="s">
        <v>57</v>
      </c>
      <c r="BP30" t="s">
        <v>57</v>
      </c>
      <c r="BQ30" t="s">
        <v>57</v>
      </c>
      <c r="BR30" t="s">
        <v>57</v>
      </c>
      <c r="BS30" t="s">
        <v>57</v>
      </c>
      <c r="BT30" t="s">
        <v>57</v>
      </c>
      <c r="BU30" t="s">
        <v>57</v>
      </c>
      <c r="BV30" t="s">
        <v>57</v>
      </c>
      <c r="BW30" t="s">
        <v>57</v>
      </c>
      <c r="BX30" t="s">
        <v>57</v>
      </c>
      <c r="BY30" t="s">
        <v>57</v>
      </c>
      <c r="BZ30" t="s">
        <v>57</v>
      </c>
      <c r="CA30" t="s">
        <v>57</v>
      </c>
      <c r="CB30" t="s">
        <v>57</v>
      </c>
      <c r="CC30" t="s">
        <v>57</v>
      </c>
      <c r="CD30" t="s">
        <v>57</v>
      </c>
      <c r="CE30" t="s">
        <v>57</v>
      </c>
      <c r="CF30" t="s">
        <v>57</v>
      </c>
      <c r="CG30" t="s">
        <v>57</v>
      </c>
      <c r="CH30" t="s">
        <v>57</v>
      </c>
      <c r="CI30" t="s">
        <v>57</v>
      </c>
      <c r="CJ30" t="s">
        <v>57</v>
      </c>
      <c r="CK30" t="s">
        <v>175</v>
      </c>
      <c r="CL30" t="s">
        <v>175</v>
      </c>
      <c r="CM30" t="s">
        <v>175</v>
      </c>
      <c r="CN30" t="s">
        <v>57</v>
      </c>
      <c r="CO30" t="s">
        <v>57</v>
      </c>
      <c r="CP30" t="s">
        <v>57</v>
      </c>
      <c r="CQ30" t="s">
        <v>57</v>
      </c>
      <c r="CR30" t="s">
        <v>57</v>
      </c>
      <c r="CS30" t="s">
        <v>57</v>
      </c>
      <c r="CT30" t="s">
        <v>57</v>
      </c>
      <c r="CU30" t="s">
        <v>57</v>
      </c>
      <c r="CV30" t="s">
        <v>57</v>
      </c>
      <c r="CW30" t="s">
        <v>57</v>
      </c>
      <c r="CX30" t="s">
        <v>57</v>
      </c>
      <c r="CY30" t="s">
        <v>57</v>
      </c>
      <c r="CZ30" t="s">
        <v>57</v>
      </c>
      <c r="DA30" t="s">
        <v>57</v>
      </c>
      <c r="DB30" t="s">
        <v>57</v>
      </c>
      <c r="DC30" t="s">
        <v>57</v>
      </c>
      <c r="DD30" t="s">
        <v>57</v>
      </c>
      <c r="DE30" t="s">
        <v>57</v>
      </c>
      <c r="DF30" t="s">
        <v>57</v>
      </c>
      <c r="DG30" t="s">
        <v>57</v>
      </c>
      <c r="DH30" t="s">
        <v>57</v>
      </c>
      <c r="DI30" t="s">
        <v>57</v>
      </c>
      <c r="DJ30" t="s">
        <v>57</v>
      </c>
      <c r="DK30" t="s">
        <v>175</v>
      </c>
      <c r="DL30" t="s">
        <v>57</v>
      </c>
      <c r="DM30" t="s">
        <v>175</v>
      </c>
      <c r="DN30" t="s">
        <v>175</v>
      </c>
      <c r="DO30" t="s">
        <v>175</v>
      </c>
      <c r="DP30" t="s">
        <v>175</v>
      </c>
      <c r="DQ30" t="s">
        <v>175</v>
      </c>
      <c r="DR30" t="s">
        <v>175</v>
      </c>
      <c r="DS30" t="s">
        <v>175</v>
      </c>
      <c r="DT30" t="s">
        <v>175</v>
      </c>
      <c r="DU30" t="s">
        <v>175</v>
      </c>
      <c r="DV30" t="s">
        <v>175</v>
      </c>
      <c r="DW30" t="s">
        <v>175</v>
      </c>
      <c r="DX30" t="s">
        <v>175</v>
      </c>
      <c r="DY30" t="s">
        <v>175</v>
      </c>
      <c r="DZ30" t="s">
        <v>175</v>
      </c>
      <c r="EA30" t="s">
        <v>175</v>
      </c>
      <c r="EB30" t="s">
        <v>175</v>
      </c>
      <c r="EC30" t="s">
        <v>175</v>
      </c>
      <c r="ED30" t="s">
        <v>175</v>
      </c>
      <c r="EE30" t="s">
        <v>175</v>
      </c>
      <c r="EF30" t="s">
        <v>175</v>
      </c>
      <c r="EG30" t="s">
        <v>175</v>
      </c>
      <c r="EH30" t="s">
        <v>175</v>
      </c>
      <c r="EI30" t="s">
        <v>175</v>
      </c>
      <c r="EJ30" t="s">
        <v>57</v>
      </c>
      <c r="EK30" t="s">
        <v>57</v>
      </c>
      <c r="EL30" t="s">
        <v>57</v>
      </c>
      <c r="EM30" t="s">
        <v>57</v>
      </c>
      <c r="EN30" t="s">
        <v>57</v>
      </c>
      <c r="EO30" t="s">
        <v>57</v>
      </c>
      <c r="EP30" t="s">
        <v>57</v>
      </c>
      <c r="EQ30" t="s">
        <v>57</v>
      </c>
      <c r="ER30" t="s">
        <v>57</v>
      </c>
      <c r="ES30" t="s">
        <v>57</v>
      </c>
      <c r="ET30" t="s">
        <v>57</v>
      </c>
      <c r="EU30" t="s">
        <v>57</v>
      </c>
      <c r="EV30" t="s">
        <v>57</v>
      </c>
      <c r="EW30" t="s">
        <v>57</v>
      </c>
      <c r="EX30" t="s">
        <v>175</v>
      </c>
      <c r="EY30" t="s">
        <v>175</v>
      </c>
      <c r="EZ30" t="s">
        <v>175</v>
      </c>
      <c r="FA30" t="s">
        <v>175</v>
      </c>
      <c r="FB30" t="s">
        <v>175</v>
      </c>
      <c r="FC30" t="s">
        <v>175</v>
      </c>
      <c r="FD30" t="s">
        <v>175</v>
      </c>
      <c r="FE30" t="s">
        <v>57</v>
      </c>
      <c r="FF30" t="s">
        <v>57</v>
      </c>
      <c r="FG30" t="s">
        <v>57</v>
      </c>
      <c r="FH30" t="s">
        <v>57</v>
      </c>
      <c r="FI30" t="s">
        <v>57</v>
      </c>
      <c r="FJ30" t="s">
        <v>57</v>
      </c>
      <c r="FK30" t="s">
        <v>175</v>
      </c>
      <c r="FL30" t="s">
        <v>57</v>
      </c>
      <c r="FM30" t="s">
        <v>57</v>
      </c>
      <c r="FN30" t="s">
        <v>57</v>
      </c>
      <c r="FO30" t="s">
        <v>175</v>
      </c>
      <c r="FP30" t="s">
        <v>57</v>
      </c>
      <c r="FQ30" t="s">
        <v>57</v>
      </c>
      <c r="FR30" t="s">
        <v>57</v>
      </c>
      <c r="FS30" t="s">
        <v>57</v>
      </c>
      <c r="FT30" t="s">
        <v>57</v>
      </c>
      <c r="FU30" t="s">
        <v>57</v>
      </c>
      <c r="FV30" t="s">
        <v>57</v>
      </c>
      <c r="FW30" t="s">
        <v>57</v>
      </c>
      <c r="FX30" t="s">
        <v>57</v>
      </c>
      <c r="FY30" t="s">
        <v>57</v>
      </c>
      <c r="FZ30" t="s">
        <v>57</v>
      </c>
      <c r="GA30" t="s">
        <v>57</v>
      </c>
      <c r="GB30" t="s">
        <v>57</v>
      </c>
      <c r="GC30" t="s">
        <v>57</v>
      </c>
      <c r="GD30" t="s">
        <v>57</v>
      </c>
      <c r="GE30" t="s">
        <v>57</v>
      </c>
      <c r="GF30" t="s">
        <v>57</v>
      </c>
      <c r="GG30" t="s">
        <v>175</v>
      </c>
      <c r="GH30" t="s">
        <v>57</v>
      </c>
      <c r="GI30" t="s">
        <v>57</v>
      </c>
      <c r="GJ30" t="s">
        <v>57</v>
      </c>
      <c r="GK30" t="s">
        <v>57</v>
      </c>
      <c r="GL30" t="s">
        <v>57</v>
      </c>
      <c r="GM30" t="s">
        <v>175</v>
      </c>
      <c r="GN30" t="s">
        <v>57</v>
      </c>
      <c r="GO30" t="s">
        <v>57</v>
      </c>
      <c r="GP30" t="s">
        <v>175</v>
      </c>
      <c r="GQ30" t="s">
        <v>175</v>
      </c>
      <c r="GR30" t="s">
        <v>57</v>
      </c>
      <c r="GS30" t="s">
        <v>57</v>
      </c>
      <c r="GT30" t="s">
        <v>57</v>
      </c>
      <c r="GU30" t="s">
        <v>57</v>
      </c>
      <c r="GV30" t="s">
        <v>57</v>
      </c>
      <c r="GW30" t="s">
        <v>175</v>
      </c>
      <c r="GX30" t="s">
        <v>175</v>
      </c>
      <c r="GY30" t="s">
        <v>57</v>
      </c>
      <c r="GZ30" t="s">
        <v>57</v>
      </c>
      <c r="HA30" t="s">
        <v>57</v>
      </c>
      <c r="HB30" t="s">
        <v>57</v>
      </c>
      <c r="HC30" t="s">
        <v>57</v>
      </c>
      <c r="HD30" t="s">
        <v>57</v>
      </c>
      <c r="HE30" t="s">
        <v>57</v>
      </c>
      <c r="HF30" t="s">
        <v>57</v>
      </c>
      <c r="HG30" t="s">
        <v>57</v>
      </c>
      <c r="HH30" t="s">
        <v>175</v>
      </c>
      <c r="HI30" t="s">
        <v>175</v>
      </c>
      <c r="HJ30" t="s">
        <v>175</v>
      </c>
      <c r="HK30" t="s">
        <v>175</v>
      </c>
      <c r="HL30" t="s">
        <v>57</v>
      </c>
      <c r="HM30" t="s">
        <v>57</v>
      </c>
      <c r="HN30" t="s">
        <v>57</v>
      </c>
      <c r="HO30" t="s">
        <v>57</v>
      </c>
      <c r="HP30" t="s">
        <v>57</v>
      </c>
      <c r="HQ30" t="s">
        <v>57</v>
      </c>
      <c r="HR30" t="s">
        <v>57</v>
      </c>
      <c r="HS30" t="s">
        <v>57</v>
      </c>
      <c r="HT30" t="s">
        <v>57</v>
      </c>
      <c r="HU30" t="s">
        <v>57</v>
      </c>
      <c r="HV30" t="s">
        <v>57</v>
      </c>
      <c r="HW30" t="s">
        <v>57</v>
      </c>
      <c r="HX30" t="s">
        <v>57</v>
      </c>
      <c r="HY30" t="s">
        <v>57</v>
      </c>
      <c r="HZ30" t="s">
        <v>57</v>
      </c>
      <c r="IA30" t="s">
        <v>57</v>
      </c>
      <c r="IB30" t="s">
        <v>57</v>
      </c>
      <c r="IC30" t="s">
        <v>57</v>
      </c>
      <c r="ID30" t="s">
        <v>57</v>
      </c>
      <c r="IE30" t="s">
        <v>57</v>
      </c>
      <c r="IF30" t="s">
        <v>124</v>
      </c>
      <c r="IG30" t="s">
        <v>148</v>
      </c>
      <c r="IH30" t="s">
        <v>123</v>
      </c>
      <c r="II30" t="s">
        <v>156</v>
      </c>
    </row>
    <row r="31" spans="1:243" x14ac:dyDescent="0.25">
      <c r="A31" s="111" t="str">
        <f>HYPERLINK("http://www.ofsted.gov.uk/inspection-reports/find-inspection-report/provider/ELS/101948 ","Ofsted School Webpage")</f>
        <v>Ofsted School Webpage</v>
      </c>
      <c r="B31">
        <v>101948</v>
      </c>
      <c r="C31">
        <v>3076050</v>
      </c>
      <c r="D31" t="s">
        <v>1426</v>
      </c>
      <c r="E31" t="s">
        <v>36</v>
      </c>
      <c r="F31" t="s">
        <v>166</v>
      </c>
      <c r="G31" t="s">
        <v>189</v>
      </c>
      <c r="H31" t="s">
        <v>189</v>
      </c>
      <c r="I31" t="s">
        <v>584</v>
      </c>
      <c r="J31" t="s">
        <v>1427</v>
      </c>
      <c r="K31" t="s">
        <v>142</v>
      </c>
      <c r="L31" t="s">
        <v>142</v>
      </c>
      <c r="M31" t="s">
        <v>2596</v>
      </c>
      <c r="N31" t="s">
        <v>143</v>
      </c>
      <c r="O31">
        <v>10012825</v>
      </c>
      <c r="P31" s="108">
        <v>43046</v>
      </c>
      <c r="Q31" s="108">
        <v>43048</v>
      </c>
      <c r="R31" s="108">
        <v>43076</v>
      </c>
      <c r="S31" t="s">
        <v>153</v>
      </c>
      <c r="T31" t="s">
        <v>154</v>
      </c>
      <c r="U31">
        <v>3</v>
      </c>
      <c r="V31">
        <v>3</v>
      </c>
      <c r="W31">
        <v>3</v>
      </c>
      <c r="X31">
        <v>3</v>
      </c>
      <c r="Y31">
        <v>3</v>
      </c>
      <c r="Z31" t="s">
        <v>2596</v>
      </c>
      <c r="AA31" t="s">
        <v>2596</v>
      </c>
      <c r="AB31" t="s">
        <v>123</v>
      </c>
      <c r="AC31" t="s">
        <v>2596</v>
      </c>
      <c r="AD31" t="s">
        <v>2598</v>
      </c>
      <c r="AE31" t="s">
        <v>57</v>
      </c>
      <c r="AF31" t="s">
        <v>57</v>
      </c>
      <c r="AG31" t="s">
        <v>57</v>
      </c>
      <c r="AH31" t="s">
        <v>57</v>
      </c>
      <c r="AI31" t="s">
        <v>57</v>
      </c>
      <c r="AJ31" t="s">
        <v>57</v>
      </c>
      <c r="AK31" t="s">
        <v>57</v>
      </c>
      <c r="AL31" t="s">
        <v>57</v>
      </c>
      <c r="AM31" t="s">
        <v>57</v>
      </c>
      <c r="AN31" t="s">
        <v>57</v>
      </c>
      <c r="AO31" t="s">
        <v>57</v>
      </c>
      <c r="AP31" t="s">
        <v>57</v>
      </c>
      <c r="AQ31" t="s">
        <v>57</v>
      </c>
      <c r="AR31" t="s">
        <v>57</v>
      </c>
      <c r="AS31" t="s">
        <v>57</v>
      </c>
      <c r="AT31" t="s">
        <v>57</v>
      </c>
      <c r="AU31" t="s">
        <v>148</v>
      </c>
      <c r="AV31" t="s">
        <v>57</v>
      </c>
      <c r="AW31" t="s">
        <v>57</v>
      </c>
      <c r="AX31" t="s">
        <v>57</v>
      </c>
      <c r="AY31" t="s">
        <v>57</v>
      </c>
      <c r="AZ31" t="s">
        <v>57</v>
      </c>
      <c r="BA31" t="s">
        <v>57</v>
      </c>
      <c r="BB31" t="s">
        <v>57</v>
      </c>
      <c r="BC31" t="s">
        <v>148</v>
      </c>
      <c r="BD31" t="s">
        <v>148</v>
      </c>
      <c r="BE31" t="s">
        <v>57</v>
      </c>
      <c r="BF31" t="s">
        <v>57</v>
      </c>
      <c r="BG31" t="s">
        <v>57</v>
      </c>
      <c r="BH31" t="s">
        <v>57</v>
      </c>
      <c r="BI31" t="s">
        <v>57</v>
      </c>
      <c r="BJ31" t="s">
        <v>57</v>
      </c>
      <c r="BK31" t="s">
        <v>57</v>
      </c>
      <c r="BL31" t="s">
        <v>57</v>
      </c>
      <c r="BM31" t="s">
        <v>57</v>
      </c>
      <c r="BN31" t="s">
        <v>57</v>
      </c>
      <c r="BO31" t="s">
        <v>57</v>
      </c>
      <c r="BP31" t="s">
        <v>57</v>
      </c>
      <c r="BQ31" t="s">
        <v>57</v>
      </c>
      <c r="BR31" t="s">
        <v>57</v>
      </c>
      <c r="BS31" t="s">
        <v>57</v>
      </c>
      <c r="BT31" t="s">
        <v>57</v>
      </c>
      <c r="BU31" t="s">
        <v>57</v>
      </c>
      <c r="BV31" t="s">
        <v>57</v>
      </c>
      <c r="BW31" t="s">
        <v>57</v>
      </c>
      <c r="BX31" t="s">
        <v>57</v>
      </c>
      <c r="BY31" t="s">
        <v>57</v>
      </c>
      <c r="BZ31" t="s">
        <v>57</v>
      </c>
      <c r="CA31" t="s">
        <v>57</v>
      </c>
      <c r="CB31" t="s">
        <v>57</v>
      </c>
      <c r="CC31" t="s">
        <v>57</v>
      </c>
      <c r="CD31" t="s">
        <v>57</v>
      </c>
      <c r="CE31" t="s">
        <v>57</v>
      </c>
      <c r="CF31" t="s">
        <v>57</v>
      </c>
      <c r="CG31" t="s">
        <v>57</v>
      </c>
      <c r="CH31" t="s">
        <v>57</v>
      </c>
      <c r="CI31" t="s">
        <v>57</v>
      </c>
      <c r="CJ31" t="s">
        <v>57</v>
      </c>
      <c r="CK31" t="s">
        <v>57</v>
      </c>
      <c r="CL31" t="s">
        <v>148</v>
      </c>
      <c r="CM31" t="s">
        <v>148</v>
      </c>
      <c r="CN31" t="s">
        <v>57</v>
      </c>
      <c r="CO31" t="s">
        <v>57</v>
      </c>
      <c r="CP31" t="s">
        <v>57</v>
      </c>
      <c r="CQ31" t="s">
        <v>57</v>
      </c>
      <c r="CR31" t="s">
        <v>57</v>
      </c>
      <c r="CS31" t="s">
        <v>57</v>
      </c>
      <c r="CT31" t="s">
        <v>57</v>
      </c>
      <c r="CU31" t="s">
        <v>57</v>
      </c>
      <c r="CV31" t="s">
        <v>57</v>
      </c>
      <c r="CW31" t="s">
        <v>57</v>
      </c>
      <c r="CX31" t="s">
        <v>57</v>
      </c>
      <c r="CY31" t="s">
        <v>57</v>
      </c>
      <c r="CZ31" t="s">
        <v>57</v>
      </c>
      <c r="DA31" t="s">
        <v>57</v>
      </c>
      <c r="DB31" t="s">
        <v>57</v>
      </c>
      <c r="DC31" t="s">
        <v>57</v>
      </c>
      <c r="DD31" t="s">
        <v>57</v>
      </c>
      <c r="DE31" t="s">
        <v>57</v>
      </c>
      <c r="DF31" t="s">
        <v>57</v>
      </c>
      <c r="DG31" t="s">
        <v>57</v>
      </c>
      <c r="DH31" t="s">
        <v>57</v>
      </c>
      <c r="DI31" t="s">
        <v>57</v>
      </c>
      <c r="DJ31" t="s">
        <v>57</v>
      </c>
      <c r="DK31" t="s">
        <v>57</v>
      </c>
      <c r="DL31" t="s">
        <v>57</v>
      </c>
      <c r="DM31" t="s">
        <v>57</v>
      </c>
      <c r="DN31" t="s">
        <v>57</v>
      </c>
      <c r="DO31" t="s">
        <v>57</v>
      </c>
      <c r="DP31" t="s">
        <v>57</v>
      </c>
      <c r="DQ31" t="s">
        <v>57</v>
      </c>
      <c r="DR31" t="s">
        <v>57</v>
      </c>
      <c r="DS31" t="s">
        <v>57</v>
      </c>
      <c r="DT31" t="s">
        <v>57</v>
      </c>
      <c r="DU31" t="s">
        <v>57</v>
      </c>
      <c r="DV31" t="s">
        <v>57</v>
      </c>
      <c r="DW31" t="s">
        <v>57</v>
      </c>
      <c r="DX31" t="s">
        <v>57</v>
      </c>
      <c r="DY31" t="s">
        <v>148</v>
      </c>
      <c r="DZ31" t="s">
        <v>57</v>
      </c>
      <c r="EA31" t="s">
        <v>57</v>
      </c>
      <c r="EB31" t="s">
        <v>57</v>
      </c>
      <c r="EC31" t="s">
        <v>57</v>
      </c>
      <c r="ED31" t="s">
        <v>57</v>
      </c>
      <c r="EE31" t="s">
        <v>57</v>
      </c>
      <c r="EF31" t="s">
        <v>57</v>
      </c>
      <c r="EG31" t="s">
        <v>57</v>
      </c>
      <c r="EH31" t="s">
        <v>57</v>
      </c>
      <c r="EI31" t="s">
        <v>57</v>
      </c>
      <c r="EJ31" t="s">
        <v>57</v>
      </c>
      <c r="EK31" t="s">
        <v>57</v>
      </c>
      <c r="EL31" t="s">
        <v>57</v>
      </c>
      <c r="EM31" t="s">
        <v>57</v>
      </c>
      <c r="EN31" t="s">
        <v>57</v>
      </c>
      <c r="EO31" t="s">
        <v>57</v>
      </c>
      <c r="EP31" t="s">
        <v>57</v>
      </c>
      <c r="EQ31" t="s">
        <v>57</v>
      </c>
      <c r="ER31" t="s">
        <v>57</v>
      </c>
      <c r="ES31" t="s">
        <v>57</v>
      </c>
      <c r="ET31" t="s">
        <v>57</v>
      </c>
      <c r="EU31" t="s">
        <v>57</v>
      </c>
      <c r="EV31" t="s">
        <v>57</v>
      </c>
      <c r="EW31" t="s">
        <v>57</v>
      </c>
      <c r="EX31" t="s">
        <v>57</v>
      </c>
      <c r="EY31" t="s">
        <v>57</v>
      </c>
      <c r="EZ31" t="s">
        <v>57</v>
      </c>
      <c r="FA31" t="s">
        <v>57</v>
      </c>
      <c r="FB31" t="s">
        <v>57</v>
      </c>
      <c r="FC31" t="s">
        <v>57</v>
      </c>
      <c r="FD31" t="s">
        <v>57</v>
      </c>
      <c r="FE31" t="s">
        <v>57</v>
      </c>
      <c r="FF31" t="s">
        <v>57</v>
      </c>
      <c r="FG31" t="s">
        <v>57</v>
      </c>
      <c r="FH31" t="s">
        <v>57</v>
      </c>
      <c r="FI31" t="s">
        <v>57</v>
      </c>
      <c r="FJ31" t="s">
        <v>57</v>
      </c>
      <c r="FK31" t="s">
        <v>57</v>
      </c>
      <c r="FL31" t="s">
        <v>57</v>
      </c>
      <c r="FM31" t="s">
        <v>57</v>
      </c>
      <c r="FN31" t="s">
        <v>57</v>
      </c>
      <c r="FO31" t="s">
        <v>57</v>
      </c>
      <c r="FP31" t="s">
        <v>57</v>
      </c>
      <c r="FQ31" t="s">
        <v>57</v>
      </c>
      <c r="FR31" t="s">
        <v>57</v>
      </c>
      <c r="FS31" t="s">
        <v>57</v>
      </c>
      <c r="FT31" t="s">
        <v>57</v>
      </c>
      <c r="FU31" t="s">
        <v>57</v>
      </c>
      <c r="FV31" t="s">
        <v>57</v>
      </c>
      <c r="FW31" t="s">
        <v>57</v>
      </c>
      <c r="FX31" t="s">
        <v>57</v>
      </c>
      <c r="FY31" t="s">
        <v>57</v>
      </c>
      <c r="FZ31" t="s">
        <v>57</v>
      </c>
      <c r="GA31" t="s">
        <v>57</v>
      </c>
      <c r="GB31" t="s">
        <v>57</v>
      </c>
      <c r="GC31" t="s">
        <v>57</v>
      </c>
      <c r="GD31" t="s">
        <v>57</v>
      </c>
      <c r="GE31" t="s">
        <v>57</v>
      </c>
      <c r="GF31" t="s">
        <v>57</v>
      </c>
      <c r="GG31" t="s">
        <v>148</v>
      </c>
      <c r="GH31" t="s">
        <v>57</v>
      </c>
      <c r="GI31" t="s">
        <v>57</v>
      </c>
      <c r="GJ31" t="s">
        <v>57</v>
      </c>
      <c r="GK31" t="s">
        <v>57</v>
      </c>
      <c r="GL31" t="s">
        <v>57</v>
      </c>
      <c r="GM31" t="s">
        <v>57</v>
      </c>
      <c r="GN31" t="s">
        <v>57</v>
      </c>
      <c r="GO31" t="s">
        <v>57</v>
      </c>
      <c r="GP31" t="s">
        <v>148</v>
      </c>
      <c r="GQ31" t="s">
        <v>148</v>
      </c>
      <c r="GR31" t="s">
        <v>57</v>
      </c>
      <c r="GS31" t="s">
        <v>57</v>
      </c>
      <c r="GT31" t="s">
        <v>57</v>
      </c>
      <c r="GU31" t="s">
        <v>57</v>
      </c>
      <c r="GV31" t="s">
        <v>57</v>
      </c>
      <c r="GW31" t="s">
        <v>57</v>
      </c>
      <c r="GX31" t="s">
        <v>148</v>
      </c>
      <c r="GY31" t="s">
        <v>57</v>
      </c>
      <c r="GZ31" t="s">
        <v>57</v>
      </c>
      <c r="HA31" t="s">
        <v>57</v>
      </c>
      <c r="HB31" t="s">
        <v>148</v>
      </c>
      <c r="HC31" t="s">
        <v>57</v>
      </c>
      <c r="HD31" t="s">
        <v>57</v>
      </c>
      <c r="HE31" t="s">
        <v>57</v>
      </c>
      <c r="HF31" t="s">
        <v>57</v>
      </c>
      <c r="HG31" t="s">
        <v>57</v>
      </c>
      <c r="HH31" t="s">
        <v>57</v>
      </c>
      <c r="HI31" t="s">
        <v>148</v>
      </c>
      <c r="HJ31" t="s">
        <v>148</v>
      </c>
      <c r="HK31" t="s">
        <v>148</v>
      </c>
      <c r="HL31" t="s">
        <v>57</v>
      </c>
      <c r="HM31" t="s">
        <v>57</v>
      </c>
      <c r="HN31" t="s">
        <v>57</v>
      </c>
      <c r="HO31" t="s">
        <v>57</v>
      </c>
      <c r="HP31" t="s">
        <v>57</v>
      </c>
      <c r="HQ31" t="s">
        <v>57</v>
      </c>
      <c r="HR31" t="s">
        <v>57</v>
      </c>
      <c r="HS31" t="s">
        <v>57</v>
      </c>
      <c r="HT31" t="s">
        <v>57</v>
      </c>
      <c r="HU31" t="s">
        <v>57</v>
      </c>
      <c r="HV31" t="s">
        <v>57</v>
      </c>
      <c r="HW31" t="s">
        <v>57</v>
      </c>
      <c r="HX31" t="s">
        <v>57</v>
      </c>
      <c r="HY31" t="s">
        <v>57</v>
      </c>
      <c r="HZ31" t="s">
        <v>148</v>
      </c>
      <c r="IA31" t="s">
        <v>57</v>
      </c>
      <c r="IB31" t="s">
        <v>57</v>
      </c>
      <c r="IC31" t="s">
        <v>57</v>
      </c>
      <c r="ID31" t="s">
        <v>57</v>
      </c>
      <c r="IE31" t="s">
        <v>57</v>
      </c>
      <c r="IF31" t="s">
        <v>124</v>
      </c>
      <c r="IG31" t="s">
        <v>155</v>
      </c>
      <c r="IH31" t="s">
        <v>123</v>
      </c>
      <c r="II31" t="s">
        <v>156</v>
      </c>
    </row>
    <row r="32" spans="1:243" x14ac:dyDescent="0.25">
      <c r="A32" s="111" t="str">
        <f>HYPERLINK("http://www.ofsted.gov.uk/inspection-reports/find-inspection-report/provider/ELS/101953 ","Ofsted School Webpage")</f>
        <v>Ofsted School Webpage</v>
      </c>
      <c r="B32">
        <v>101953</v>
      </c>
      <c r="C32">
        <v>3076064</v>
      </c>
      <c r="D32" t="s">
        <v>583</v>
      </c>
      <c r="E32" t="s">
        <v>37</v>
      </c>
      <c r="F32" t="s">
        <v>138</v>
      </c>
      <c r="G32" t="s">
        <v>189</v>
      </c>
      <c r="H32" t="s">
        <v>189</v>
      </c>
      <c r="I32" t="s">
        <v>584</v>
      </c>
      <c r="J32" t="s">
        <v>585</v>
      </c>
      <c r="K32" t="s">
        <v>142</v>
      </c>
      <c r="L32" t="s">
        <v>142</v>
      </c>
      <c r="M32" t="s">
        <v>2596</v>
      </c>
      <c r="N32" t="s">
        <v>143</v>
      </c>
      <c r="O32">
        <v>10038156</v>
      </c>
      <c r="P32" s="108">
        <v>43068</v>
      </c>
      <c r="Q32" s="108">
        <v>43070</v>
      </c>
      <c r="R32" s="108">
        <v>43115</v>
      </c>
      <c r="S32" t="s">
        <v>153</v>
      </c>
      <c r="T32" t="s">
        <v>154</v>
      </c>
      <c r="U32">
        <v>1</v>
      </c>
      <c r="V32">
        <v>1</v>
      </c>
      <c r="W32">
        <v>1</v>
      </c>
      <c r="X32">
        <v>1</v>
      </c>
      <c r="Y32">
        <v>1</v>
      </c>
      <c r="Z32" t="s">
        <v>2596</v>
      </c>
      <c r="AA32">
        <v>1</v>
      </c>
      <c r="AB32" t="s">
        <v>123</v>
      </c>
      <c r="AC32" t="s">
        <v>2596</v>
      </c>
      <c r="AD32" t="s">
        <v>2598</v>
      </c>
      <c r="AE32" t="s">
        <v>57</v>
      </c>
      <c r="AF32" t="s">
        <v>57</v>
      </c>
      <c r="AG32" t="s">
        <v>57</v>
      </c>
      <c r="AH32" t="s">
        <v>57</v>
      </c>
      <c r="AI32" t="s">
        <v>57</v>
      </c>
      <c r="AJ32" t="s">
        <v>57</v>
      </c>
      <c r="AK32" t="s">
        <v>57</v>
      </c>
      <c r="AL32" t="s">
        <v>57</v>
      </c>
      <c r="AM32" t="s">
        <v>57</v>
      </c>
      <c r="AN32" t="s">
        <v>57</v>
      </c>
      <c r="AO32" t="s">
        <v>57</v>
      </c>
      <c r="AP32" t="s">
        <v>57</v>
      </c>
      <c r="AQ32" t="s">
        <v>57</v>
      </c>
      <c r="AR32" t="s">
        <v>57</v>
      </c>
      <c r="AS32" t="s">
        <v>57</v>
      </c>
      <c r="AT32" t="s">
        <v>57</v>
      </c>
      <c r="AU32" t="s">
        <v>175</v>
      </c>
      <c r="AV32" t="s">
        <v>57</v>
      </c>
      <c r="AW32" t="s">
        <v>57</v>
      </c>
      <c r="AX32" t="s">
        <v>57</v>
      </c>
      <c r="AY32" t="s">
        <v>57</v>
      </c>
      <c r="AZ32" t="s">
        <v>57</v>
      </c>
      <c r="BA32" t="s">
        <v>57</v>
      </c>
      <c r="BB32" t="s">
        <v>57</v>
      </c>
      <c r="BC32" t="s">
        <v>57</v>
      </c>
      <c r="BD32" t="s">
        <v>57</v>
      </c>
      <c r="BE32" t="s">
        <v>57</v>
      </c>
      <c r="BF32" t="s">
        <v>57</v>
      </c>
      <c r="BG32" t="s">
        <v>57</v>
      </c>
      <c r="BH32" t="s">
        <v>57</v>
      </c>
      <c r="BI32" t="s">
        <v>57</v>
      </c>
      <c r="BJ32" t="s">
        <v>57</v>
      </c>
      <c r="BK32" t="s">
        <v>57</v>
      </c>
      <c r="BL32" t="s">
        <v>57</v>
      </c>
      <c r="BM32" t="s">
        <v>57</v>
      </c>
      <c r="BN32" t="s">
        <v>57</v>
      </c>
      <c r="BO32" t="s">
        <v>57</v>
      </c>
      <c r="BP32" t="s">
        <v>57</v>
      </c>
      <c r="BQ32" t="s">
        <v>57</v>
      </c>
      <c r="BR32" t="s">
        <v>57</v>
      </c>
      <c r="BS32" t="s">
        <v>57</v>
      </c>
      <c r="BT32" t="s">
        <v>57</v>
      </c>
      <c r="BU32" t="s">
        <v>57</v>
      </c>
      <c r="BV32" t="s">
        <v>57</v>
      </c>
      <c r="BW32" t="s">
        <v>57</v>
      </c>
      <c r="BX32" t="s">
        <v>57</v>
      </c>
      <c r="BY32" t="s">
        <v>57</v>
      </c>
      <c r="BZ32" t="s">
        <v>57</v>
      </c>
      <c r="CA32" t="s">
        <v>57</v>
      </c>
      <c r="CB32" t="s">
        <v>57</v>
      </c>
      <c r="CC32" t="s">
        <v>57</v>
      </c>
      <c r="CD32" t="s">
        <v>57</v>
      </c>
      <c r="CE32" t="s">
        <v>57</v>
      </c>
      <c r="CF32" t="s">
        <v>57</v>
      </c>
      <c r="CG32" t="s">
        <v>57</v>
      </c>
      <c r="CH32" t="s">
        <v>57</v>
      </c>
      <c r="CI32" t="s">
        <v>57</v>
      </c>
      <c r="CJ32" t="s">
        <v>57</v>
      </c>
      <c r="CK32" t="s">
        <v>175</v>
      </c>
      <c r="CL32" t="s">
        <v>175</v>
      </c>
      <c r="CM32" t="s">
        <v>175</v>
      </c>
      <c r="CN32" t="s">
        <v>57</v>
      </c>
      <c r="CO32" t="s">
        <v>57</v>
      </c>
      <c r="CP32" t="s">
        <v>57</v>
      </c>
      <c r="CQ32" t="s">
        <v>57</v>
      </c>
      <c r="CR32" t="s">
        <v>57</v>
      </c>
      <c r="CS32" t="s">
        <v>57</v>
      </c>
      <c r="CT32" t="s">
        <v>57</v>
      </c>
      <c r="CU32" t="s">
        <v>57</v>
      </c>
      <c r="CV32" t="s">
        <v>57</v>
      </c>
      <c r="CW32" t="s">
        <v>57</v>
      </c>
      <c r="CX32" t="s">
        <v>57</v>
      </c>
      <c r="CY32" t="s">
        <v>57</v>
      </c>
      <c r="CZ32" t="s">
        <v>57</v>
      </c>
      <c r="DA32" t="s">
        <v>57</v>
      </c>
      <c r="DB32" t="s">
        <v>57</v>
      </c>
      <c r="DC32" t="s">
        <v>57</v>
      </c>
      <c r="DD32" t="s">
        <v>57</v>
      </c>
      <c r="DE32" t="s">
        <v>57</v>
      </c>
      <c r="DF32" t="s">
        <v>57</v>
      </c>
      <c r="DG32" t="s">
        <v>57</v>
      </c>
      <c r="DH32" t="s">
        <v>57</v>
      </c>
      <c r="DI32" t="s">
        <v>57</v>
      </c>
      <c r="DJ32" t="s">
        <v>57</v>
      </c>
      <c r="DK32" t="s">
        <v>175</v>
      </c>
      <c r="DL32" t="s">
        <v>57</v>
      </c>
      <c r="DM32" t="s">
        <v>57</v>
      </c>
      <c r="DN32" t="s">
        <v>57</v>
      </c>
      <c r="DO32" t="s">
        <v>57</v>
      </c>
      <c r="DP32" t="s">
        <v>57</v>
      </c>
      <c r="DQ32" t="s">
        <v>57</v>
      </c>
      <c r="DR32" t="s">
        <v>57</v>
      </c>
      <c r="DS32" t="s">
        <v>57</v>
      </c>
      <c r="DT32" t="s">
        <v>57</v>
      </c>
      <c r="DU32" t="s">
        <v>57</v>
      </c>
      <c r="DV32" t="s">
        <v>57</v>
      </c>
      <c r="DW32" t="s">
        <v>57</v>
      </c>
      <c r="DX32" t="s">
        <v>57</v>
      </c>
      <c r="DY32" t="s">
        <v>175</v>
      </c>
      <c r="DZ32" t="s">
        <v>57</v>
      </c>
      <c r="EA32" t="s">
        <v>57</v>
      </c>
      <c r="EB32" t="s">
        <v>57</v>
      </c>
      <c r="EC32" t="s">
        <v>57</v>
      </c>
      <c r="ED32" t="s">
        <v>57</v>
      </c>
      <c r="EE32" t="s">
        <v>57</v>
      </c>
      <c r="EF32" t="s">
        <v>57</v>
      </c>
      <c r="EG32" t="s">
        <v>57</v>
      </c>
      <c r="EH32" t="s">
        <v>57</v>
      </c>
      <c r="EI32" t="s">
        <v>57</v>
      </c>
      <c r="EJ32" t="s">
        <v>57</v>
      </c>
      <c r="EK32" t="s">
        <v>57</v>
      </c>
      <c r="EL32" t="s">
        <v>57</v>
      </c>
      <c r="EM32" t="s">
        <v>57</v>
      </c>
      <c r="EN32" t="s">
        <v>57</v>
      </c>
      <c r="EO32" t="s">
        <v>57</v>
      </c>
      <c r="EP32" t="s">
        <v>57</v>
      </c>
      <c r="EQ32" t="s">
        <v>57</v>
      </c>
      <c r="ER32" t="s">
        <v>57</v>
      </c>
      <c r="ES32" t="s">
        <v>57</v>
      </c>
      <c r="ET32" t="s">
        <v>57</v>
      </c>
      <c r="EU32" t="s">
        <v>57</v>
      </c>
      <c r="EV32" t="s">
        <v>57</v>
      </c>
      <c r="EW32" t="s">
        <v>57</v>
      </c>
      <c r="EX32" t="s">
        <v>57</v>
      </c>
      <c r="EY32" t="s">
        <v>57</v>
      </c>
      <c r="EZ32" t="s">
        <v>57</v>
      </c>
      <c r="FA32" t="s">
        <v>57</v>
      </c>
      <c r="FB32" t="s">
        <v>57</v>
      </c>
      <c r="FC32" t="s">
        <v>57</v>
      </c>
      <c r="FD32" t="s">
        <v>57</v>
      </c>
      <c r="FE32" t="s">
        <v>57</v>
      </c>
      <c r="FF32" t="s">
        <v>57</v>
      </c>
      <c r="FG32" t="s">
        <v>57</v>
      </c>
      <c r="FH32" t="s">
        <v>57</v>
      </c>
      <c r="FI32" t="s">
        <v>57</v>
      </c>
      <c r="FJ32" t="s">
        <v>57</v>
      </c>
      <c r="FK32" t="s">
        <v>57</v>
      </c>
      <c r="FL32" t="s">
        <v>57</v>
      </c>
      <c r="FM32" t="s">
        <v>57</v>
      </c>
      <c r="FN32" t="s">
        <v>57</v>
      </c>
      <c r="FO32" t="s">
        <v>57</v>
      </c>
      <c r="FP32" t="s">
        <v>57</v>
      </c>
      <c r="FQ32" t="s">
        <v>57</v>
      </c>
      <c r="FR32" t="s">
        <v>57</v>
      </c>
      <c r="FS32" t="s">
        <v>57</v>
      </c>
      <c r="FT32" t="s">
        <v>57</v>
      </c>
      <c r="FU32" t="s">
        <v>57</v>
      </c>
      <c r="FV32" t="s">
        <v>57</v>
      </c>
      <c r="FW32" t="s">
        <v>57</v>
      </c>
      <c r="FX32" t="s">
        <v>57</v>
      </c>
      <c r="FY32" t="s">
        <v>57</v>
      </c>
      <c r="FZ32" t="s">
        <v>57</v>
      </c>
      <c r="GA32" t="s">
        <v>57</v>
      </c>
      <c r="GB32" t="s">
        <v>57</v>
      </c>
      <c r="GC32" t="s">
        <v>57</v>
      </c>
      <c r="GD32" t="s">
        <v>57</v>
      </c>
      <c r="GE32" t="s">
        <v>57</v>
      </c>
      <c r="GF32" t="s">
        <v>57</v>
      </c>
      <c r="GG32" t="s">
        <v>175</v>
      </c>
      <c r="GH32" t="s">
        <v>57</v>
      </c>
      <c r="GI32" t="s">
        <v>57</v>
      </c>
      <c r="GJ32" t="s">
        <v>57</v>
      </c>
      <c r="GK32" t="s">
        <v>57</v>
      </c>
      <c r="GL32" t="s">
        <v>57</v>
      </c>
      <c r="GM32" t="s">
        <v>175</v>
      </c>
      <c r="GN32" t="s">
        <v>57</v>
      </c>
      <c r="GO32" t="s">
        <v>57</v>
      </c>
      <c r="GP32" t="s">
        <v>57</v>
      </c>
      <c r="GQ32" t="s">
        <v>57</v>
      </c>
      <c r="GR32" t="s">
        <v>57</v>
      </c>
      <c r="GS32" t="s">
        <v>57</v>
      </c>
      <c r="GT32" t="s">
        <v>57</v>
      </c>
      <c r="GU32" t="s">
        <v>57</v>
      </c>
      <c r="GV32" t="s">
        <v>175</v>
      </c>
      <c r="GW32" t="s">
        <v>57</v>
      </c>
      <c r="GX32" t="s">
        <v>57</v>
      </c>
      <c r="GY32" t="s">
        <v>57</v>
      </c>
      <c r="GZ32" t="s">
        <v>57</v>
      </c>
      <c r="HA32" t="s">
        <v>57</v>
      </c>
      <c r="HB32" t="s">
        <v>57</v>
      </c>
      <c r="HC32" t="s">
        <v>57</v>
      </c>
      <c r="HD32" t="s">
        <v>57</v>
      </c>
      <c r="HE32" t="s">
        <v>57</v>
      </c>
      <c r="HF32" t="s">
        <v>57</v>
      </c>
      <c r="HG32" t="s">
        <v>175</v>
      </c>
      <c r="HH32" t="s">
        <v>175</v>
      </c>
      <c r="HI32" t="s">
        <v>175</v>
      </c>
      <c r="HJ32" t="s">
        <v>175</v>
      </c>
      <c r="HK32" t="s">
        <v>175</v>
      </c>
      <c r="HL32" t="s">
        <v>57</v>
      </c>
      <c r="HM32" t="s">
        <v>57</v>
      </c>
      <c r="HN32" t="s">
        <v>57</v>
      </c>
      <c r="HO32" t="s">
        <v>57</v>
      </c>
      <c r="HP32" t="s">
        <v>57</v>
      </c>
      <c r="HQ32" t="s">
        <v>57</v>
      </c>
      <c r="HR32" t="s">
        <v>57</v>
      </c>
      <c r="HS32" t="s">
        <v>57</v>
      </c>
      <c r="HT32" t="s">
        <v>57</v>
      </c>
      <c r="HU32" t="s">
        <v>57</v>
      </c>
      <c r="HV32" t="s">
        <v>57</v>
      </c>
      <c r="HW32" t="s">
        <v>57</v>
      </c>
      <c r="HX32" t="s">
        <v>57</v>
      </c>
      <c r="HY32" t="s">
        <v>57</v>
      </c>
      <c r="HZ32" t="s">
        <v>57</v>
      </c>
      <c r="IA32" t="s">
        <v>57</v>
      </c>
      <c r="IB32" t="s">
        <v>57</v>
      </c>
      <c r="IC32" t="s">
        <v>57</v>
      </c>
      <c r="ID32" t="s">
        <v>57</v>
      </c>
      <c r="IE32" t="s">
        <v>57</v>
      </c>
      <c r="IF32" t="s">
        <v>124</v>
      </c>
      <c r="IG32" t="s">
        <v>148</v>
      </c>
      <c r="IH32" t="s">
        <v>123</v>
      </c>
      <c r="II32" t="s">
        <v>156</v>
      </c>
    </row>
    <row r="33" spans="1:243" x14ac:dyDescent="0.25">
      <c r="A33" s="111" t="str">
        <f>HYPERLINK("http://www.ofsted.gov.uk/inspection-reports/find-inspection-report/provider/ELS/101964 ","Ofsted School Webpage")</f>
        <v>Ofsted School Webpage</v>
      </c>
      <c r="B33">
        <v>101964</v>
      </c>
      <c r="C33">
        <v>3136003</v>
      </c>
      <c r="D33" t="s">
        <v>2108</v>
      </c>
      <c r="E33" t="s">
        <v>36</v>
      </c>
      <c r="F33" t="s">
        <v>166</v>
      </c>
      <c r="G33" t="s">
        <v>189</v>
      </c>
      <c r="H33" t="s">
        <v>189</v>
      </c>
      <c r="I33" t="s">
        <v>226</v>
      </c>
      <c r="J33" t="s">
        <v>2109</v>
      </c>
      <c r="K33" t="s">
        <v>142</v>
      </c>
      <c r="L33" t="s">
        <v>644</v>
      </c>
      <c r="M33" t="s">
        <v>2596</v>
      </c>
      <c r="N33" t="s">
        <v>143</v>
      </c>
      <c r="O33">
        <v>10026278</v>
      </c>
      <c r="P33" s="108">
        <v>43053</v>
      </c>
      <c r="Q33" s="108">
        <v>43055</v>
      </c>
      <c r="R33" s="108">
        <v>43077</v>
      </c>
      <c r="S33" t="s">
        <v>153</v>
      </c>
      <c r="T33" t="s">
        <v>154</v>
      </c>
      <c r="U33">
        <v>3</v>
      </c>
      <c r="V33">
        <v>3</v>
      </c>
      <c r="W33">
        <v>3</v>
      </c>
      <c r="X33">
        <v>3</v>
      </c>
      <c r="Y33">
        <v>3</v>
      </c>
      <c r="Z33">
        <v>3</v>
      </c>
      <c r="AA33" t="s">
        <v>2596</v>
      </c>
      <c r="AB33" t="s">
        <v>123</v>
      </c>
      <c r="AC33" t="s">
        <v>2596</v>
      </c>
      <c r="AD33" t="s">
        <v>2598</v>
      </c>
      <c r="AE33" t="s">
        <v>57</v>
      </c>
      <c r="AF33" t="s">
        <v>57</v>
      </c>
      <c r="AG33" t="s">
        <v>57</v>
      </c>
      <c r="AH33" t="s">
        <v>57</v>
      </c>
      <c r="AI33" t="s">
        <v>57</v>
      </c>
      <c r="AJ33" t="s">
        <v>57</v>
      </c>
      <c r="AK33" t="s">
        <v>57</v>
      </c>
      <c r="AL33" t="s">
        <v>57</v>
      </c>
      <c r="AM33" t="s">
        <v>57</v>
      </c>
      <c r="AN33" t="s">
        <v>57</v>
      </c>
      <c r="AO33" t="s">
        <v>57</v>
      </c>
      <c r="AP33" t="s">
        <v>57</v>
      </c>
      <c r="AQ33" t="s">
        <v>57</v>
      </c>
      <c r="AR33" t="s">
        <v>57</v>
      </c>
      <c r="AS33" t="s">
        <v>57</v>
      </c>
      <c r="AT33" t="s">
        <v>57</v>
      </c>
      <c r="AU33" t="s">
        <v>175</v>
      </c>
      <c r="AV33" t="s">
        <v>57</v>
      </c>
      <c r="AW33" t="s">
        <v>57</v>
      </c>
      <c r="AX33" t="s">
        <v>57</v>
      </c>
      <c r="AY33" t="s">
        <v>57</v>
      </c>
      <c r="AZ33" t="s">
        <v>57</v>
      </c>
      <c r="BA33" t="s">
        <v>57</v>
      </c>
      <c r="BB33" t="s">
        <v>57</v>
      </c>
      <c r="BC33" t="s">
        <v>57</v>
      </c>
      <c r="BD33" t="s">
        <v>175</v>
      </c>
      <c r="BE33" t="s">
        <v>57</v>
      </c>
      <c r="BF33" t="s">
        <v>57</v>
      </c>
      <c r="BG33" t="s">
        <v>57</v>
      </c>
      <c r="BH33" t="s">
        <v>57</v>
      </c>
      <c r="BI33" t="s">
        <v>57</v>
      </c>
      <c r="BJ33" t="s">
        <v>57</v>
      </c>
      <c r="BK33" t="s">
        <v>57</v>
      </c>
      <c r="BL33" t="s">
        <v>57</v>
      </c>
      <c r="BM33" t="s">
        <v>57</v>
      </c>
      <c r="BN33" t="s">
        <v>57</v>
      </c>
      <c r="BO33" t="s">
        <v>57</v>
      </c>
      <c r="BP33" t="s">
        <v>57</v>
      </c>
      <c r="BQ33" t="s">
        <v>57</v>
      </c>
      <c r="BR33" t="s">
        <v>57</v>
      </c>
      <c r="BS33" t="s">
        <v>57</v>
      </c>
      <c r="BT33" t="s">
        <v>57</v>
      </c>
      <c r="BU33" t="s">
        <v>57</v>
      </c>
      <c r="BV33" t="s">
        <v>57</v>
      </c>
      <c r="BW33" t="s">
        <v>57</v>
      </c>
      <c r="BX33" t="s">
        <v>57</v>
      </c>
      <c r="BY33" t="s">
        <v>57</v>
      </c>
      <c r="BZ33" t="s">
        <v>57</v>
      </c>
      <c r="CA33" t="s">
        <v>57</v>
      </c>
      <c r="CB33" t="s">
        <v>57</v>
      </c>
      <c r="CC33" t="s">
        <v>57</v>
      </c>
      <c r="CD33" t="s">
        <v>57</v>
      </c>
      <c r="CE33" t="s">
        <v>57</v>
      </c>
      <c r="CF33" t="s">
        <v>57</v>
      </c>
      <c r="CG33" t="s">
        <v>57</v>
      </c>
      <c r="CH33" t="s">
        <v>57</v>
      </c>
      <c r="CI33" t="s">
        <v>57</v>
      </c>
      <c r="CJ33" t="s">
        <v>57</v>
      </c>
      <c r="CK33" t="s">
        <v>175</v>
      </c>
      <c r="CL33" t="s">
        <v>175</v>
      </c>
      <c r="CM33" t="s">
        <v>175</v>
      </c>
      <c r="CN33" t="s">
        <v>57</v>
      </c>
      <c r="CO33" t="s">
        <v>57</v>
      </c>
      <c r="CP33" t="s">
        <v>57</v>
      </c>
      <c r="CQ33" t="s">
        <v>57</v>
      </c>
      <c r="CR33" t="s">
        <v>57</v>
      </c>
      <c r="CS33" t="s">
        <v>57</v>
      </c>
      <c r="CT33" t="s">
        <v>57</v>
      </c>
      <c r="CU33" t="s">
        <v>57</v>
      </c>
      <c r="CV33" t="s">
        <v>57</v>
      </c>
      <c r="CW33" t="s">
        <v>57</v>
      </c>
      <c r="CX33" t="s">
        <v>57</v>
      </c>
      <c r="CY33" t="s">
        <v>57</v>
      </c>
      <c r="CZ33" t="s">
        <v>57</v>
      </c>
      <c r="DA33" t="s">
        <v>57</v>
      </c>
      <c r="DB33" t="s">
        <v>57</v>
      </c>
      <c r="DC33" t="s">
        <v>57</v>
      </c>
      <c r="DD33" t="s">
        <v>57</v>
      </c>
      <c r="DE33" t="s">
        <v>57</v>
      </c>
      <c r="DF33" t="s">
        <v>57</v>
      </c>
      <c r="DG33" t="s">
        <v>57</v>
      </c>
      <c r="DH33" t="s">
        <v>57</v>
      </c>
      <c r="DI33" t="s">
        <v>57</v>
      </c>
      <c r="DJ33" t="s">
        <v>57</v>
      </c>
      <c r="DK33" t="s">
        <v>175</v>
      </c>
      <c r="DL33" t="s">
        <v>57</v>
      </c>
      <c r="DM33" t="s">
        <v>57</v>
      </c>
      <c r="DN33" t="s">
        <v>57</v>
      </c>
      <c r="DO33" t="s">
        <v>57</v>
      </c>
      <c r="DP33" t="s">
        <v>57</v>
      </c>
      <c r="DQ33" t="s">
        <v>57</v>
      </c>
      <c r="DR33" t="s">
        <v>57</v>
      </c>
      <c r="DS33" t="s">
        <v>57</v>
      </c>
      <c r="DT33" t="s">
        <v>57</v>
      </c>
      <c r="DU33" t="s">
        <v>57</v>
      </c>
      <c r="DV33" t="s">
        <v>57</v>
      </c>
      <c r="DW33" t="s">
        <v>57</v>
      </c>
      <c r="DX33" t="s">
        <v>57</v>
      </c>
      <c r="DY33" t="s">
        <v>175</v>
      </c>
      <c r="DZ33" t="s">
        <v>57</v>
      </c>
      <c r="EA33" t="s">
        <v>57</v>
      </c>
      <c r="EB33" t="s">
        <v>57</v>
      </c>
      <c r="EC33" t="s">
        <v>57</v>
      </c>
      <c r="ED33" t="s">
        <v>57</v>
      </c>
      <c r="EE33" t="s">
        <v>57</v>
      </c>
      <c r="EF33" t="s">
        <v>57</v>
      </c>
      <c r="EG33" t="s">
        <v>57</v>
      </c>
      <c r="EH33" t="s">
        <v>57</v>
      </c>
      <c r="EI33" t="s">
        <v>57</v>
      </c>
      <c r="EJ33" t="s">
        <v>57</v>
      </c>
      <c r="EK33" t="s">
        <v>57</v>
      </c>
      <c r="EL33" t="s">
        <v>57</v>
      </c>
      <c r="EM33" t="s">
        <v>57</v>
      </c>
      <c r="EN33" t="s">
        <v>57</v>
      </c>
      <c r="EO33" t="s">
        <v>57</v>
      </c>
      <c r="EP33" t="s">
        <v>57</v>
      </c>
      <c r="EQ33" t="s">
        <v>57</v>
      </c>
      <c r="ER33" t="s">
        <v>57</v>
      </c>
      <c r="ES33" t="s">
        <v>57</v>
      </c>
      <c r="ET33" t="s">
        <v>57</v>
      </c>
      <c r="EU33" t="s">
        <v>57</v>
      </c>
      <c r="EV33" t="s">
        <v>57</v>
      </c>
      <c r="EW33" t="s">
        <v>57</v>
      </c>
      <c r="EX33" t="s">
        <v>57</v>
      </c>
      <c r="EY33" t="s">
        <v>57</v>
      </c>
      <c r="EZ33" t="s">
        <v>57</v>
      </c>
      <c r="FA33" t="s">
        <v>57</v>
      </c>
      <c r="FB33" t="s">
        <v>57</v>
      </c>
      <c r="FC33" t="s">
        <v>57</v>
      </c>
      <c r="FD33" t="s">
        <v>57</v>
      </c>
      <c r="FE33" t="s">
        <v>57</v>
      </c>
      <c r="FF33" t="s">
        <v>57</v>
      </c>
      <c r="FG33" t="s">
        <v>57</v>
      </c>
      <c r="FH33" t="s">
        <v>57</v>
      </c>
      <c r="FI33" t="s">
        <v>57</v>
      </c>
      <c r="FJ33" t="s">
        <v>57</v>
      </c>
      <c r="FK33" t="s">
        <v>57</v>
      </c>
      <c r="FL33" t="s">
        <v>57</v>
      </c>
      <c r="FM33" t="s">
        <v>57</v>
      </c>
      <c r="FN33" t="s">
        <v>57</v>
      </c>
      <c r="FO33" t="s">
        <v>175</v>
      </c>
      <c r="FP33" t="s">
        <v>57</v>
      </c>
      <c r="FQ33" t="s">
        <v>57</v>
      </c>
      <c r="FR33" t="s">
        <v>57</v>
      </c>
      <c r="FS33" t="s">
        <v>57</v>
      </c>
      <c r="FT33" t="s">
        <v>57</v>
      </c>
      <c r="FU33" t="s">
        <v>57</v>
      </c>
      <c r="FV33" t="s">
        <v>57</v>
      </c>
      <c r="FW33" t="s">
        <v>57</v>
      </c>
      <c r="FX33" t="s">
        <v>57</v>
      </c>
      <c r="FY33" t="s">
        <v>57</v>
      </c>
      <c r="FZ33" t="s">
        <v>57</v>
      </c>
      <c r="GA33" t="s">
        <v>57</v>
      </c>
      <c r="GB33" t="s">
        <v>57</v>
      </c>
      <c r="GC33" t="s">
        <v>57</v>
      </c>
      <c r="GD33" t="s">
        <v>57</v>
      </c>
      <c r="GE33" t="s">
        <v>57</v>
      </c>
      <c r="GF33" t="s">
        <v>57</v>
      </c>
      <c r="GG33" t="s">
        <v>175</v>
      </c>
      <c r="GH33" t="s">
        <v>57</v>
      </c>
      <c r="GI33" t="s">
        <v>57</v>
      </c>
      <c r="GJ33" t="s">
        <v>57</v>
      </c>
      <c r="GK33" t="s">
        <v>57</v>
      </c>
      <c r="GL33" t="s">
        <v>57</v>
      </c>
      <c r="GM33" t="s">
        <v>57</v>
      </c>
      <c r="GN33" t="s">
        <v>57</v>
      </c>
      <c r="GO33" t="s">
        <v>57</v>
      </c>
      <c r="GP33" t="s">
        <v>57</v>
      </c>
      <c r="GQ33" t="s">
        <v>57</v>
      </c>
      <c r="GR33" t="s">
        <v>57</v>
      </c>
      <c r="GS33" t="s">
        <v>57</v>
      </c>
      <c r="GT33" t="s">
        <v>57</v>
      </c>
      <c r="GU33" t="s">
        <v>57</v>
      </c>
      <c r="GV33" t="s">
        <v>175</v>
      </c>
      <c r="GW33" t="s">
        <v>57</v>
      </c>
      <c r="GX33" t="s">
        <v>57</v>
      </c>
      <c r="GY33" t="s">
        <v>57</v>
      </c>
      <c r="GZ33" t="s">
        <v>57</v>
      </c>
      <c r="HA33" t="s">
        <v>57</v>
      </c>
      <c r="HB33" t="s">
        <v>57</v>
      </c>
      <c r="HC33" t="s">
        <v>57</v>
      </c>
      <c r="HD33" t="s">
        <v>57</v>
      </c>
      <c r="HE33" t="s">
        <v>57</v>
      </c>
      <c r="HF33" t="s">
        <v>57</v>
      </c>
      <c r="HG33" t="s">
        <v>57</v>
      </c>
      <c r="HH33" t="s">
        <v>57</v>
      </c>
      <c r="HI33" t="s">
        <v>57</v>
      </c>
      <c r="HJ33" t="s">
        <v>57</v>
      </c>
      <c r="HK33" t="s">
        <v>57</v>
      </c>
      <c r="HL33" t="s">
        <v>57</v>
      </c>
      <c r="HM33" t="s">
        <v>57</v>
      </c>
      <c r="HN33" t="s">
        <v>57</v>
      </c>
      <c r="HO33" t="s">
        <v>57</v>
      </c>
      <c r="HP33" t="s">
        <v>57</v>
      </c>
      <c r="HQ33" t="s">
        <v>57</v>
      </c>
      <c r="HR33" t="s">
        <v>57</v>
      </c>
      <c r="HS33" t="s">
        <v>57</v>
      </c>
      <c r="HT33" t="s">
        <v>57</v>
      </c>
      <c r="HU33" t="s">
        <v>57</v>
      </c>
      <c r="HV33" t="s">
        <v>57</v>
      </c>
      <c r="HW33" t="s">
        <v>57</v>
      </c>
      <c r="HX33" t="s">
        <v>57</v>
      </c>
      <c r="HY33" t="s">
        <v>57</v>
      </c>
      <c r="HZ33" t="s">
        <v>57</v>
      </c>
      <c r="IA33" t="s">
        <v>57</v>
      </c>
      <c r="IB33" t="s">
        <v>57</v>
      </c>
      <c r="IC33" t="s">
        <v>57</v>
      </c>
      <c r="ID33" t="s">
        <v>57</v>
      </c>
      <c r="IE33" t="s">
        <v>57</v>
      </c>
      <c r="IF33" t="s">
        <v>124</v>
      </c>
      <c r="IG33" t="s">
        <v>148</v>
      </c>
      <c r="IH33" t="s">
        <v>123</v>
      </c>
      <c r="II33" t="s">
        <v>156</v>
      </c>
    </row>
    <row r="34" spans="1:243" x14ac:dyDescent="0.25">
      <c r="A34" s="111" t="str">
        <f>HYPERLINK("http://www.ofsted.gov.uk/inspection-reports/find-inspection-report/provider/ELS/102174 ","Ofsted School Webpage")</f>
        <v>Ofsted School Webpage</v>
      </c>
      <c r="B34">
        <v>102174</v>
      </c>
      <c r="C34">
        <v>3096076</v>
      </c>
      <c r="D34" t="s">
        <v>1678</v>
      </c>
      <c r="E34" t="s">
        <v>36</v>
      </c>
      <c r="F34" t="s">
        <v>166</v>
      </c>
      <c r="G34" t="s">
        <v>189</v>
      </c>
      <c r="H34" t="s">
        <v>189</v>
      </c>
      <c r="I34" t="s">
        <v>650</v>
      </c>
      <c r="J34" t="s">
        <v>1679</v>
      </c>
      <c r="K34" t="s">
        <v>142</v>
      </c>
      <c r="L34" t="s">
        <v>169</v>
      </c>
      <c r="M34" t="s">
        <v>2596</v>
      </c>
      <c r="N34" t="s">
        <v>143</v>
      </c>
      <c r="O34">
        <v>10035785</v>
      </c>
      <c r="P34" s="108">
        <v>43046</v>
      </c>
      <c r="Q34" s="108">
        <v>43048</v>
      </c>
      <c r="R34" s="108">
        <v>43115</v>
      </c>
      <c r="S34" t="s">
        <v>153</v>
      </c>
      <c r="T34" t="s">
        <v>154</v>
      </c>
      <c r="U34">
        <v>4</v>
      </c>
      <c r="V34">
        <v>4</v>
      </c>
      <c r="W34">
        <v>4</v>
      </c>
      <c r="X34">
        <v>3</v>
      </c>
      <c r="Y34">
        <v>3</v>
      </c>
      <c r="Z34" t="s">
        <v>2596</v>
      </c>
      <c r="AA34" t="s">
        <v>2596</v>
      </c>
      <c r="AB34" t="s">
        <v>124</v>
      </c>
      <c r="AC34" t="s">
        <v>2596</v>
      </c>
      <c r="AD34" t="s">
        <v>2599</v>
      </c>
      <c r="AE34" t="s">
        <v>58</v>
      </c>
      <c r="AF34" t="s">
        <v>57</v>
      </c>
      <c r="AG34" t="s">
        <v>58</v>
      </c>
      <c r="AH34" t="s">
        <v>58</v>
      </c>
      <c r="AI34" t="s">
        <v>57</v>
      </c>
      <c r="AJ34" t="s">
        <v>58</v>
      </c>
      <c r="AK34" t="s">
        <v>58</v>
      </c>
      <c r="AL34" t="s">
        <v>58</v>
      </c>
      <c r="AM34" t="s">
        <v>58</v>
      </c>
      <c r="AN34" t="s">
        <v>58</v>
      </c>
      <c r="AO34" t="s">
        <v>58</v>
      </c>
      <c r="AP34" t="s">
        <v>58</v>
      </c>
      <c r="AQ34" t="s">
        <v>57</v>
      </c>
      <c r="AR34" t="s">
        <v>57</v>
      </c>
      <c r="AS34" t="s">
        <v>57</v>
      </c>
      <c r="AT34" t="s">
        <v>57</v>
      </c>
      <c r="AU34" t="s">
        <v>175</v>
      </c>
      <c r="AV34" t="s">
        <v>57</v>
      </c>
      <c r="AW34" t="s">
        <v>57</v>
      </c>
      <c r="AX34" t="s">
        <v>57</v>
      </c>
      <c r="AY34" t="s">
        <v>175</v>
      </c>
      <c r="AZ34" t="s">
        <v>175</v>
      </c>
      <c r="BA34" t="s">
        <v>175</v>
      </c>
      <c r="BB34" t="s">
        <v>175</v>
      </c>
      <c r="BC34" t="s">
        <v>175</v>
      </c>
      <c r="BD34" t="s">
        <v>175</v>
      </c>
      <c r="BE34" t="s">
        <v>57</v>
      </c>
      <c r="BF34" t="s">
        <v>57</v>
      </c>
      <c r="BG34" t="s">
        <v>58</v>
      </c>
      <c r="BH34" t="s">
        <v>58</v>
      </c>
      <c r="BI34" t="s">
        <v>57</v>
      </c>
      <c r="BJ34" t="s">
        <v>57</v>
      </c>
      <c r="BK34" t="s">
        <v>58</v>
      </c>
      <c r="BL34" t="s">
        <v>57</v>
      </c>
      <c r="BM34" t="s">
        <v>57</v>
      </c>
      <c r="BN34" t="s">
        <v>58</v>
      </c>
      <c r="BO34" t="s">
        <v>57</v>
      </c>
      <c r="BP34" t="s">
        <v>57</v>
      </c>
      <c r="BQ34" t="s">
        <v>57</v>
      </c>
      <c r="BR34" t="s">
        <v>57</v>
      </c>
      <c r="BS34" t="s">
        <v>57</v>
      </c>
      <c r="BT34" t="s">
        <v>57</v>
      </c>
      <c r="BU34" t="s">
        <v>57</v>
      </c>
      <c r="BV34" t="s">
        <v>57</v>
      </c>
      <c r="BW34" t="s">
        <v>57</v>
      </c>
      <c r="BX34" t="s">
        <v>57</v>
      </c>
      <c r="BY34" t="s">
        <v>57</v>
      </c>
      <c r="BZ34" t="s">
        <v>57</v>
      </c>
      <c r="CA34" t="s">
        <v>57</v>
      </c>
      <c r="CB34" t="s">
        <v>57</v>
      </c>
      <c r="CC34" t="s">
        <v>57</v>
      </c>
      <c r="CD34" t="s">
        <v>57</v>
      </c>
      <c r="CE34" t="s">
        <v>57</v>
      </c>
      <c r="CF34" t="s">
        <v>57</v>
      </c>
      <c r="CG34" t="s">
        <v>57</v>
      </c>
      <c r="CH34" t="s">
        <v>58</v>
      </c>
      <c r="CI34" t="s">
        <v>58</v>
      </c>
      <c r="CJ34" t="s">
        <v>58</v>
      </c>
      <c r="CK34" t="s">
        <v>175</v>
      </c>
      <c r="CL34" t="s">
        <v>175</v>
      </c>
      <c r="CM34" t="s">
        <v>175</v>
      </c>
      <c r="CN34" t="s">
        <v>57</v>
      </c>
      <c r="CO34" t="s">
        <v>57</v>
      </c>
      <c r="CP34" t="s">
        <v>57</v>
      </c>
      <c r="CQ34" t="s">
        <v>57</v>
      </c>
      <c r="CR34" t="s">
        <v>57</v>
      </c>
      <c r="CS34" t="s">
        <v>58</v>
      </c>
      <c r="CT34" t="s">
        <v>58</v>
      </c>
      <c r="CU34" t="s">
        <v>58</v>
      </c>
      <c r="CV34" t="s">
        <v>57</v>
      </c>
      <c r="CW34" t="s">
        <v>58</v>
      </c>
      <c r="CX34" t="s">
        <v>58</v>
      </c>
      <c r="CY34" t="s">
        <v>58</v>
      </c>
      <c r="CZ34" t="s">
        <v>58</v>
      </c>
      <c r="DA34" t="s">
        <v>58</v>
      </c>
      <c r="DB34" t="s">
        <v>57</v>
      </c>
      <c r="DC34" t="s">
        <v>58</v>
      </c>
      <c r="DD34" t="s">
        <v>57</v>
      </c>
      <c r="DE34" t="s">
        <v>57</v>
      </c>
      <c r="DF34" t="s">
        <v>57</v>
      </c>
      <c r="DG34" t="s">
        <v>57</v>
      </c>
      <c r="DH34" t="s">
        <v>57</v>
      </c>
      <c r="DI34" t="s">
        <v>57</v>
      </c>
      <c r="DJ34" t="s">
        <v>175</v>
      </c>
      <c r="DK34" t="s">
        <v>175</v>
      </c>
      <c r="DL34" t="s">
        <v>57</v>
      </c>
      <c r="DM34" t="s">
        <v>175</v>
      </c>
      <c r="DN34" t="s">
        <v>175</v>
      </c>
      <c r="DO34" t="s">
        <v>175</v>
      </c>
      <c r="DP34" t="s">
        <v>175</v>
      </c>
      <c r="DQ34" t="s">
        <v>175</v>
      </c>
      <c r="DR34" t="s">
        <v>175</v>
      </c>
      <c r="DS34" t="s">
        <v>175</v>
      </c>
      <c r="DT34" t="s">
        <v>175</v>
      </c>
      <c r="DU34" t="s">
        <v>175</v>
      </c>
      <c r="DV34" t="s">
        <v>175</v>
      </c>
      <c r="DW34" t="s">
        <v>175</v>
      </c>
      <c r="DX34" t="s">
        <v>175</v>
      </c>
      <c r="DY34" t="s">
        <v>175</v>
      </c>
      <c r="DZ34" t="s">
        <v>57</v>
      </c>
      <c r="EA34" t="s">
        <v>175</v>
      </c>
      <c r="EB34" t="s">
        <v>175</v>
      </c>
      <c r="EC34" t="s">
        <v>175</v>
      </c>
      <c r="ED34" t="s">
        <v>175</v>
      </c>
      <c r="EE34" t="s">
        <v>175</v>
      </c>
      <c r="EF34" t="s">
        <v>175</v>
      </c>
      <c r="EG34" t="s">
        <v>175</v>
      </c>
      <c r="EH34" t="s">
        <v>175</v>
      </c>
      <c r="EI34" t="s">
        <v>57</v>
      </c>
      <c r="EJ34" t="s">
        <v>58</v>
      </c>
      <c r="EK34" t="s">
        <v>57</v>
      </c>
      <c r="EL34" t="s">
        <v>58</v>
      </c>
      <c r="EM34" t="s">
        <v>58</v>
      </c>
      <c r="EN34" t="s">
        <v>57</v>
      </c>
      <c r="EO34" t="s">
        <v>57</v>
      </c>
      <c r="EP34" t="s">
        <v>58</v>
      </c>
      <c r="EQ34" t="s">
        <v>57</v>
      </c>
      <c r="ER34" t="s">
        <v>57</v>
      </c>
      <c r="ES34" t="s">
        <v>57</v>
      </c>
      <c r="ET34" t="s">
        <v>57</v>
      </c>
      <c r="EU34" t="s">
        <v>57</v>
      </c>
      <c r="EV34" t="s">
        <v>58</v>
      </c>
      <c r="EW34" t="s">
        <v>57</v>
      </c>
      <c r="EX34" t="s">
        <v>175</v>
      </c>
      <c r="EY34" t="s">
        <v>175</v>
      </c>
      <c r="EZ34" t="s">
        <v>175</v>
      </c>
      <c r="FA34" t="s">
        <v>175</v>
      </c>
      <c r="FB34" t="s">
        <v>175</v>
      </c>
      <c r="FC34" t="s">
        <v>175</v>
      </c>
      <c r="FD34" t="s">
        <v>175</v>
      </c>
      <c r="FE34" t="s">
        <v>175</v>
      </c>
      <c r="FF34" t="s">
        <v>148</v>
      </c>
      <c r="FG34" t="s">
        <v>175</v>
      </c>
      <c r="FH34" t="s">
        <v>57</v>
      </c>
      <c r="FI34" t="s">
        <v>57</v>
      </c>
      <c r="FJ34" t="s">
        <v>57</v>
      </c>
      <c r="FK34" t="s">
        <v>175</v>
      </c>
      <c r="FL34" t="s">
        <v>57</v>
      </c>
      <c r="FM34" t="s">
        <v>57</v>
      </c>
      <c r="FN34" t="s">
        <v>57</v>
      </c>
      <c r="FO34" t="s">
        <v>175</v>
      </c>
      <c r="FP34" t="s">
        <v>175</v>
      </c>
      <c r="FQ34" t="s">
        <v>58</v>
      </c>
      <c r="FR34" t="s">
        <v>57</v>
      </c>
      <c r="FS34" t="s">
        <v>57</v>
      </c>
      <c r="FT34" t="s">
        <v>57</v>
      </c>
      <c r="FU34" t="s">
        <v>57</v>
      </c>
      <c r="FV34" t="s">
        <v>57</v>
      </c>
      <c r="FW34" t="s">
        <v>57</v>
      </c>
      <c r="FX34" t="s">
        <v>57</v>
      </c>
      <c r="FY34" t="s">
        <v>57</v>
      </c>
      <c r="FZ34" t="s">
        <v>57</v>
      </c>
      <c r="GA34" t="s">
        <v>57</v>
      </c>
      <c r="GB34" t="s">
        <v>57</v>
      </c>
      <c r="GC34" t="s">
        <v>57</v>
      </c>
      <c r="GD34" t="s">
        <v>58</v>
      </c>
      <c r="GE34" t="s">
        <v>58</v>
      </c>
      <c r="GF34" t="s">
        <v>57</v>
      </c>
      <c r="GG34" t="s">
        <v>175</v>
      </c>
      <c r="GH34" t="s">
        <v>58</v>
      </c>
      <c r="GI34" t="s">
        <v>57</v>
      </c>
      <c r="GJ34" t="s">
        <v>57</v>
      </c>
      <c r="GK34" t="s">
        <v>58</v>
      </c>
      <c r="GL34" t="s">
        <v>58</v>
      </c>
      <c r="GM34" t="s">
        <v>175</v>
      </c>
      <c r="GN34" t="s">
        <v>57</v>
      </c>
      <c r="GO34" t="s">
        <v>57</v>
      </c>
      <c r="GP34" t="s">
        <v>175</v>
      </c>
      <c r="GQ34" t="s">
        <v>175</v>
      </c>
      <c r="GR34" t="s">
        <v>57</v>
      </c>
      <c r="GS34" t="s">
        <v>57</v>
      </c>
      <c r="GT34" t="s">
        <v>57</v>
      </c>
      <c r="GU34" t="s">
        <v>57</v>
      </c>
      <c r="GV34" t="s">
        <v>57</v>
      </c>
      <c r="GW34" t="s">
        <v>175</v>
      </c>
      <c r="GX34" t="s">
        <v>175</v>
      </c>
      <c r="GY34" t="s">
        <v>57</v>
      </c>
      <c r="GZ34" t="s">
        <v>57</v>
      </c>
      <c r="HA34" t="s">
        <v>58</v>
      </c>
      <c r="HB34" t="s">
        <v>58</v>
      </c>
      <c r="HC34" t="s">
        <v>57</v>
      </c>
      <c r="HD34" t="s">
        <v>57</v>
      </c>
      <c r="HE34" t="s">
        <v>58</v>
      </c>
      <c r="HF34" t="s">
        <v>58</v>
      </c>
      <c r="HG34" t="s">
        <v>57</v>
      </c>
      <c r="HH34" t="s">
        <v>175</v>
      </c>
      <c r="HI34" t="s">
        <v>175</v>
      </c>
      <c r="HJ34" t="s">
        <v>175</v>
      </c>
      <c r="HK34" t="s">
        <v>175</v>
      </c>
      <c r="HL34" t="s">
        <v>58</v>
      </c>
      <c r="HM34" t="s">
        <v>57</v>
      </c>
      <c r="HN34" t="s">
        <v>57</v>
      </c>
      <c r="HO34" t="s">
        <v>57</v>
      </c>
      <c r="HP34" t="s">
        <v>57</v>
      </c>
      <c r="HQ34" t="s">
        <v>57</v>
      </c>
      <c r="HR34" t="s">
        <v>58</v>
      </c>
      <c r="HS34" t="s">
        <v>58</v>
      </c>
      <c r="HT34" t="s">
        <v>58</v>
      </c>
      <c r="HU34" t="s">
        <v>58</v>
      </c>
      <c r="HV34" t="s">
        <v>58</v>
      </c>
      <c r="HW34" t="s">
        <v>58</v>
      </c>
      <c r="HX34" t="s">
        <v>58</v>
      </c>
      <c r="HY34" t="s">
        <v>58</v>
      </c>
      <c r="HZ34" t="s">
        <v>58</v>
      </c>
      <c r="IA34" t="s">
        <v>58</v>
      </c>
      <c r="IB34" t="s">
        <v>58</v>
      </c>
      <c r="IC34" t="s">
        <v>58</v>
      </c>
      <c r="ID34" t="s">
        <v>58</v>
      </c>
      <c r="IE34" t="s">
        <v>58</v>
      </c>
      <c r="IF34" t="s">
        <v>124</v>
      </c>
      <c r="IG34" t="s">
        <v>148</v>
      </c>
      <c r="IH34" t="s">
        <v>124</v>
      </c>
      <c r="II34" t="s">
        <v>363</v>
      </c>
    </row>
    <row r="35" spans="1:243" x14ac:dyDescent="0.25">
      <c r="A35" s="111" t="str">
        <f>HYPERLINK("http://www.ofsted.gov.uk/inspection-reports/find-inspection-report/provider/ELS/102547 ","Ofsted School Webpage")</f>
        <v>Ofsted School Webpage</v>
      </c>
      <c r="B35">
        <v>102547</v>
      </c>
      <c r="C35">
        <v>3136051</v>
      </c>
      <c r="D35" t="s">
        <v>225</v>
      </c>
      <c r="E35" t="s">
        <v>36</v>
      </c>
      <c r="F35" t="s">
        <v>166</v>
      </c>
      <c r="G35" t="s">
        <v>189</v>
      </c>
      <c r="H35" t="s">
        <v>189</v>
      </c>
      <c r="I35" t="s">
        <v>226</v>
      </c>
      <c r="J35" t="s">
        <v>227</v>
      </c>
      <c r="K35" t="s">
        <v>142</v>
      </c>
      <c r="L35" t="s">
        <v>142</v>
      </c>
      <c r="M35" t="s">
        <v>2596</v>
      </c>
      <c r="N35" t="s">
        <v>143</v>
      </c>
      <c r="O35">
        <v>10012831</v>
      </c>
      <c r="P35" s="108">
        <v>42997</v>
      </c>
      <c r="Q35" s="108">
        <v>42999</v>
      </c>
      <c r="R35" s="108">
        <v>43025</v>
      </c>
      <c r="S35" t="s">
        <v>153</v>
      </c>
      <c r="T35" t="s">
        <v>154</v>
      </c>
      <c r="U35">
        <v>2</v>
      </c>
      <c r="V35">
        <v>2</v>
      </c>
      <c r="W35">
        <v>1</v>
      </c>
      <c r="X35">
        <v>2</v>
      </c>
      <c r="Y35">
        <v>2</v>
      </c>
      <c r="Z35">
        <v>2</v>
      </c>
      <c r="AA35" t="s">
        <v>2596</v>
      </c>
      <c r="AB35" t="s">
        <v>123</v>
      </c>
      <c r="AC35" t="s">
        <v>2596</v>
      </c>
      <c r="AD35" t="s">
        <v>2598</v>
      </c>
      <c r="AE35" t="s">
        <v>57</v>
      </c>
      <c r="AF35" t="s">
        <v>57</v>
      </c>
      <c r="AG35" t="s">
        <v>57</v>
      </c>
      <c r="AH35" t="s">
        <v>57</v>
      </c>
      <c r="AI35" t="s">
        <v>57</v>
      </c>
      <c r="AJ35" t="s">
        <v>57</v>
      </c>
      <c r="AK35" t="s">
        <v>57</v>
      </c>
      <c r="AL35" t="s">
        <v>57</v>
      </c>
      <c r="AM35" t="s">
        <v>57</v>
      </c>
      <c r="AN35" t="s">
        <v>57</v>
      </c>
      <c r="AO35" t="s">
        <v>57</v>
      </c>
      <c r="AP35" t="s">
        <v>57</v>
      </c>
      <c r="AQ35" t="s">
        <v>57</v>
      </c>
      <c r="AR35" t="s">
        <v>57</v>
      </c>
      <c r="AS35" t="s">
        <v>57</v>
      </c>
      <c r="AT35" t="s">
        <v>57</v>
      </c>
      <c r="AU35" t="s">
        <v>148</v>
      </c>
      <c r="AV35" t="s">
        <v>57</v>
      </c>
      <c r="AW35" t="s">
        <v>57</v>
      </c>
      <c r="AX35" t="s">
        <v>57</v>
      </c>
      <c r="AY35" t="s">
        <v>148</v>
      </c>
      <c r="AZ35" t="s">
        <v>148</v>
      </c>
      <c r="BA35" t="s">
        <v>148</v>
      </c>
      <c r="BB35" t="s">
        <v>148</v>
      </c>
      <c r="BC35" t="s">
        <v>148</v>
      </c>
      <c r="BD35" t="s">
        <v>148</v>
      </c>
      <c r="BE35" t="s">
        <v>57</v>
      </c>
      <c r="BF35" t="s">
        <v>57</v>
      </c>
      <c r="BG35" t="s">
        <v>57</v>
      </c>
      <c r="BH35" t="s">
        <v>57</v>
      </c>
      <c r="BI35" t="s">
        <v>57</v>
      </c>
      <c r="BJ35" t="s">
        <v>57</v>
      </c>
      <c r="BK35" t="s">
        <v>57</v>
      </c>
      <c r="BL35" t="s">
        <v>57</v>
      </c>
      <c r="BM35" t="s">
        <v>57</v>
      </c>
      <c r="BN35" t="s">
        <v>57</v>
      </c>
      <c r="BO35" t="s">
        <v>57</v>
      </c>
      <c r="BP35" t="s">
        <v>57</v>
      </c>
      <c r="BQ35" t="s">
        <v>57</v>
      </c>
      <c r="BR35" t="s">
        <v>57</v>
      </c>
      <c r="BS35" t="s">
        <v>57</v>
      </c>
      <c r="BT35" t="s">
        <v>57</v>
      </c>
      <c r="BU35" t="s">
        <v>57</v>
      </c>
      <c r="BV35" t="s">
        <v>57</v>
      </c>
      <c r="BW35" t="s">
        <v>57</v>
      </c>
      <c r="BX35" t="s">
        <v>57</v>
      </c>
      <c r="BY35" t="s">
        <v>57</v>
      </c>
      <c r="BZ35" t="s">
        <v>57</v>
      </c>
      <c r="CA35" t="s">
        <v>57</v>
      </c>
      <c r="CB35" t="s">
        <v>57</v>
      </c>
      <c r="CC35" t="s">
        <v>57</v>
      </c>
      <c r="CD35" t="s">
        <v>57</v>
      </c>
      <c r="CE35" t="s">
        <v>57</v>
      </c>
      <c r="CF35" t="s">
        <v>57</v>
      </c>
      <c r="CG35" t="s">
        <v>57</v>
      </c>
      <c r="CH35" t="s">
        <v>57</v>
      </c>
      <c r="CI35" t="s">
        <v>57</v>
      </c>
      <c r="CJ35" t="s">
        <v>57</v>
      </c>
      <c r="CK35" t="s">
        <v>57</v>
      </c>
      <c r="CL35" t="s">
        <v>148</v>
      </c>
      <c r="CM35" t="s">
        <v>148</v>
      </c>
      <c r="CN35" t="s">
        <v>57</v>
      </c>
      <c r="CO35" t="s">
        <v>57</v>
      </c>
      <c r="CP35" t="s">
        <v>57</v>
      </c>
      <c r="CQ35" t="s">
        <v>57</v>
      </c>
      <c r="CR35" t="s">
        <v>57</v>
      </c>
      <c r="CS35" t="s">
        <v>57</v>
      </c>
      <c r="CT35" t="s">
        <v>57</v>
      </c>
      <c r="CU35" t="s">
        <v>57</v>
      </c>
      <c r="CV35" t="s">
        <v>57</v>
      </c>
      <c r="CW35" t="s">
        <v>57</v>
      </c>
      <c r="CX35" t="s">
        <v>57</v>
      </c>
      <c r="CY35" t="s">
        <v>57</v>
      </c>
      <c r="CZ35" t="s">
        <v>57</v>
      </c>
      <c r="DA35" t="s">
        <v>57</v>
      </c>
      <c r="DB35" t="s">
        <v>57</v>
      </c>
      <c r="DC35" t="s">
        <v>57</v>
      </c>
      <c r="DD35" t="s">
        <v>57</v>
      </c>
      <c r="DE35" t="s">
        <v>57</v>
      </c>
      <c r="DF35" t="s">
        <v>57</v>
      </c>
      <c r="DG35" t="s">
        <v>57</v>
      </c>
      <c r="DH35" t="s">
        <v>57</v>
      </c>
      <c r="DI35" t="s">
        <v>57</v>
      </c>
      <c r="DJ35" t="s">
        <v>57</v>
      </c>
      <c r="DK35" t="s">
        <v>148</v>
      </c>
      <c r="DL35" t="s">
        <v>57</v>
      </c>
      <c r="DM35" t="s">
        <v>57</v>
      </c>
      <c r="DN35" t="s">
        <v>57</v>
      </c>
      <c r="DO35" t="s">
        <v>57</v>
      </c>
      <c r="DP35" t="s">
        <v>57</v>
      </c>
      <c r="DQ35" t="s">
        <v>57</v>
      </c>
      <c r="DR35" t="s">
        <v>57</v>
      </c>
      <c r="DS35" t="s">
        <v>57</v>
      </c>
      <c r="DT35" t="s">
        <v>57</v>
      </c>
      <c r="DU35" t="s">
        <v>57</v>
      </c>
      <c r="DV35" t="s">
        <v>57</v>
      </c>
      <c r="DW35" t="s">
        <v>57</v>
      </c>
      <c r="DX35" t="s">
        <v>57</v>
      </c>
      <c r="DY35" t="s">
        <v>148</v>
      </c>
      <c r="DZ35" t="s">
        <v>57</v>
      </c>
      <c r="EA35" t="s">
        <v>57</v>
      </c>
      <c r="EB35" t="s">
        <v>57</v>
      </c>
      <c r="EC35" t="s">
        <v>57</v>
      </c>
      <c r="ED35" t="s">
        <v>57</v>
      </c>
      <c r="EE35" t="s">
        <v>57</v>
      </c>
      <c r="EF35" t="s">
        <v>57</v>
      </c>
      <c r="EG35" t="s">
        <v>57</v>
      </c>
      <c r="EH35" t="s">
        <v>57</v>
      </c>
      <c r="EI35" t="s">
        <v>57</v>
      </c>
      <c r="EJ35" t="s">
        <v>57</v>
      </c>
      <c r="EK35" t="s">
        <v>57</v>
      </c>
      <c r="EL35" t="s">
        <v>57</v>
      </c>
      <c r="EM35" t="s">
        <v>57</v>
      </c>
      <c r="EN35" t="s">
        <v>57</v>
      </c>
      <c r="EO35" t="s">
        <v>57</v>
      </c>
      <c r="EP35" t="s">
        <v>57</v>
      </c>
      <c r="EQ35" t="s">
        <v>57</v>
      </c>
      <c r="ER35" t="s">
        <v>57</v>
      </c>
      <c r="ES35" t="s">
        <v>57</v>
      </c>
      <c r="ET35" t="s">
        <v>57</v>
      </c>
      <c r="EU35" t="s">
        <v>57</v>
      </c>
      <c r="EV35" t="s">
        <v>57</v>
      </c>
      <c r="EW35" t="s">
        <v>57</v>
      </c>
      <c r="EX35" t="s">
        <v>57</v>
      </c>
      <c r="EY35" t="s">
        <v>57</v>
      </c>
      <c r="EZ35" t="s">
        <v>57</v>
      </c>
      <c r="FA35" t="s">
        <v>57</v>
      </c>
      <c r="FB35" t="s">
        <v>57</v>
      </c>
      <c r="FC35" t="s">
        <v>57</v>
      </c>
      <c r="FD35" t="s">
        <v>57</v>
      </c>
      <c r="FE35" t="s">
        <v>57</v>
      </c>
      <c r="FF35" t="s">
        <v>57</v>
      </c>
      <c r="FG35" t="s">
        <v>57</v>
      </c>
      <c r="FH35" t="s">
        <v>57</v>
      </c>
      <c r="FI35" t="s">
        <v>57</v>
      </c>
      <c r="FJ35" t="s">
        <v>57</v>
      </c>
      <c r="FK35" t="s">
        <v>148</v>
      </c>
      <c r="FL35" t="s">
        <v>148</v>
      </c>
      <c r="FM35" t="s">
        <v>57</v>
      </c>
      <c r="FN35" t="s">
        <v>57</v>
      </c>
      <c r="FO35" t="s">
        <v>148</v>
      </c>
      <c r="FP35" t="s">
        <v>148</v>
      </c>
      <c r="FQ35" t="s">
        <v>57</v>
      </c>
      <c r="FR35" t="s">
        <v>57</v>
      </c>
      <c r="FS35" t="s">
        <v>57</v>
      </c>
      <c r="FT35" t="s">
        <v>57</v>
      </c>
      <c r="FU35" t="s">
        <v>57</v>
      </c>
      <c r="FV35" t="s">
        <v>57</v>
      </c>
      <c r="FW35" t="s">
        <v>57</v>
      </c>
      <c r="FX35" t="s">
        <v>57</v>
      </c>
      <c r="FY35" t="s">
        <v>57</v>
      </c>
      <c r="FZ35" t="s">
        <v>57</v>
      </c>
      <c r="GA35" t="s">
        <v>57</v>
      </c>
      <c r="GB35" t="s">
        <v>57</v>
      </c>
      <c r="GC35" t="s">
        <v>57</v>
      </c>
      <c r="GD35" t="s">
        <v>57</v>
      </c>
      <c r="GE35" t="s">
        <v>57</v>
      </c>
      <c r="GF35" t="s">
        <v>57</v>
      </c>
      <c r="GG35" t="s">
        <v>148</v>
      </c>
      <c r="GH35" t="s">
        <v>57</v>
      </c>
      <c r="GI35" t="s">
        <v>57</v>
      </c>
      <c r="GJ35" t="s">
        <v>57</v>
      </c>
      <c r="GK35" t="s">
        <v>57</v>
      </c>
      <c r="GL35" t="s">
        <v>57</v>
      </c>
      <c r="GM35" t="s">
        <v>57</v>
      </c>
      <c r="GN35" t="s">
        <v>57</v>
      </c>
      <c r="GO35" t="s">
        <v>57</v>
      </c>
      <c r="GP35" t="s">
        <v>57</v>
      </c>
      <c r="GQ35" t="s">
        <v>57</v>
      </c>
      <c r="GR35" t="s">
        <v>57</v>
      </c>
      <c r="GS35" t="s">
        <v>57</v>
      </c>
      <c r="GT35" t="s">
        <v>57</v>
      </c>
      <c r="GU35" t="s">
        <v>57</v>
      </c>
      <c r="GV35" t="s">
        <v>148</v>
      </c>
      <c r="GW35" t="s">
        <v>57</v>
      </c>
      <c r="GX35" t="s">
        <v>148</v>
      </c>
      <c r="GY35" t="s">
        <v>57</v>
      </c>
      <c r="GZ35" t="s">
        <v>57</v>
      </c>
      <c r="HA35" t="s">
        <v>57</v>
      </c>
      <c r="HB35" t="s">
        <v>57</v>
      </c>
      <c r="HC35" t="s">
        <v>57</v>
      </c>
      <c r="HD35" t="s">
        <v>57</v>
      </c>
      <c r="HE35" t="s">
        <v>57</v>
      </c>
      <c r="HF35" t="s">
        <v>57</v>
      </c>
      <c r="HG35" t="s">
        <v>57</v>
      </c>
      <c r="HH35" t="s">
        <v>148</v>
      </c>
      <c r="HI35" t="s">
        <v>148</v>
      </c>
      <c r="HJ35" t="s">
        <v>148</v>
      </c>
      <c r="HK35" t="s">
        <v>148</v>
      </c>
      <c r="HL35" t="s">
        <v>57</v>
      </c>
      <c r="HM35" t="s">
        <v>57</v>
      </c>
      <c r="HN35" t="s">
        <v>57</v>
      </c>
      <c r="HO35" t="s">
        <v>57</v>
      </c>
      <c r="HP35" t="s">
        <v>57</v>
      </c>
      <c r="HQ35" t="s">
        <v>57</v>
      </c>
      <c r="HR35" t="s">
        <v>57</v>
      </c>
      <c r="HS35" t="s">
        <v>57</v>
      </c>
      <c r="HT35" t="s">
        <v>57</v>
      </c>
      <c r="HU35" t="s">
        <v>57</v>
      </c>
      <c r="HV35" t="s">
        <v>57</v>
      </c>
      <c r="HW35" t="s">
        <v>57</v>
      </c>
      <c r="HX35" t="s">
        <v>57</v>
      </c>
      <c r="HY35" t="s">
        <v>57</v>
      </c>
      <c r="HZ35" t="s">
        <v>57</v>
      </c>
      <c r="IA35" t="s">
        <v>57</v>
      </c>
      <c r="IB35" t="s">
        <v>57</v>
      </c>
      <c r="IC35" t="s">
        <v>57</v>
      </c>
      <c r="ID35" t="s">
        <v>57</v>
      </c>
      <c r="IE35" t="s">
        <v>57</v>
      </c>
      <c r="IF35" t="s">
        <v>124</v>
      </c>
      <c r="IG35" t="s">
        <v>155</v>
      </c>
      <c r="IH35" t="s">
        <v>123</v>
      </c>
      <c r="II35" t="s">
        <v>156</v>
      </c>
    </row>
    <row r="36" spans="1:243" x14ac:dyDescent="0.25">
      <c r="A36" s="111" t="str">
        <f>HYPERLINK("http://www.ofsted.gov.uk/inspection-reports/find-inspection-report/provider/ELS/102939 ","Ofsted School Webpage")</f>
        <v>Ofsted School Webpage</v>
      </c>
      <c r="B36">
        <v>102939</v>
      </c>
      <c r="C36">
        <v>3186055</v>
      </c>
      <c r="D36" t="s">
        <v>188</v>
      </c>
      <c r="E36" t="s">
        <v>36</v>
      </c>
      <c r="F36" t="s">
        <v>166</v>
      </c>
      <c r="G36" t="s">
        <v>189</v>
      </c>
      <c r="H36" t="s">
        <v>189</v>
      </c>
      <c r="I36" t="s">
        <v>190</v>
      </c>
      <c r="J36" t="s">
        <v>191</v>
      </c>
      <c r="K36" t="s">
        <v>142</v>
      </c>
      <c r="L36" t="s">
        <v>169</v>
      </c>
      <c r="M36" t="s">
        <v>2596</v>
      </c>
      <c r="N36" t="s">
        <v>143</v>
      </c>
      <c r="O36">
        <v>10038158</v>
      </c>
      <c r="P36" s="108">
        <v>42990</v>
      </c>
      <c r="Q36" s="108">
        <v>42992</v>
      </c>
      <c r="R36" s="108">
        <v>43020</v>
      </c>
      <c r="S36" t="s">
        <v>153</v>
      </c>
      <c r="T36" t="s">
        <v>154</v>
      </c>
      <c r="U36">
        <v>1</v>
      </c>
      <c r="V36">
        <v>1</v>
      </c>
      <c r="W36">
        <v>1</v>
      </c>
      <c r="X36">
        <v>1</v>
      </c>
      <c r="Y36">
        <v>1</v>
      </c>
      <c r="Z36">
        <v>1</v>
      </c>
      <c r="AA36" t="s">
        <v>2596</v>
      </c>
      <c r="AB36" t="s">
        <v>123</v>
      </c>
      <c r="AC36" t="s">
        <v>2596</v>
      </c>
      <c r="AD36" t="s">
        <v>2598</v>
      </c>
      <c r="AE36" t="s">
        <v>57</v>
      </c>
      <c r="AF36" t="s">
        <v>57</v>
      </c>
      <c r="AG36" t="s">
        <v>57</v>
      </c>
      <c r="AH36" t="s">
        <v>57</v>
      </c>
      <c r="AI36" t="s">
        <v>57</v>
      </c>
      <c r="AJ36" t="s">
        <v>57</v>
      </c>
      <c r="AK36" t="s">
        <v>57</v>
      </c>
      <c r="AL36" t="s">
        <v>57</v>
      </c>
      <c r="AM36" t="s">
        <v>57</v>
      </c>
      <c r="AN36" t="s">
        <v>57</v>
      </c>
      <c r="AO36" t="s">
        <v>57</v>
      </c>
      <c r="AP36" t="s">
        <v>57</v>
      </c>
      <c r="AQ36" t="s">
        <v>57</v>
      </c>
      <c r="AR36" t="s">
        <v>57</v>
      </c>
      <c r="AS36" t="s">
        <v>57</v>
      </c>
      <c r="AT36" t="s">
        <v>57</v>
      </c>
      <c r="AU36" t="s">
        <v>148</v>
      </c>
      <c r="AV36" t="s">
        <v>57</v>
      </c>
      <c r="AW36" t="s">
        <v>57</v>
      </c>
      <c r="AX36" t="s">
        <v>57</v>
      </c>
      <c r="AY36" t="s">
        <v>148</v>
      </c>
      <c r="AZ36" t="s">
        <v>148</v>
      </c>
      <c r="BA36" t="s">
        <v>148</v>
      </c>
      <c r="BB36" t="s">
        <v>148</v>
      </c>
      <c r="BC36" t="s">
        <v>57</v>
      </c>
      <c r="BD36" t="s">
        <v>148</v>
      </c>
      <c r="BE36" t="s">
        <v>57</v>
      </c>
      <c r="BF36" t="s">
        <v>57</v>
      </c>
      <c r="BG36" t="s">
        <v>57</v>
      </c>
      <c r="BH36" t="s">
        <v>57</v>
      </c>
      <c r="BI36" t="s">
        <v>57</v>
      </c>
      <c r="BJ36" t="s">
        <v>57</v>
      </c>
      <c r="BK36" t="s">
        <v>57</v>
      </c>
      <c r="BL36" t="s">
        <v>57</v>
      </c>
      <c r="BM36" t="s">
        <v>57</v>
      </c>
      <c r="BN36" t="s">
        <v>57</v>
      </c>
      <c r="BO36" t="s">
        <v>57</v>
      </c>
      <c r="BP36" t="s">
        <v>57</v>
      </c>
      <c r="BQ36" t="s">
        <v>57</v>
      </c>
      <c r="BR36" t="s">
        <v>57</v>
      </c>
      <c r="BS36" t="s">
        <v>57</v>
      </c>
      <c r="BT36" t="s">
        <v>57</v>
      </c>
      <c r="BU36" t="s">
        <v>57</v>
      </c>
      <c r="BV36" t="s">
        <v>57</v>
      </c>
      <c r="BW36" t="s">
        <v>57</v>
      </c>
      <c r="BX36" t="s">
        <v>57</v>
      </c>
      <c r="BY36" t="s">
        <v>57</v>
      </c>
      <c r="BZ36" t="s">
        <v>57</v>
      </c>
      <c r="CA36" t="s">
        <v>57</v>
      </c>
      <c r="CB36" t="s">
        <v>57</v>
      </c>
      <c r="CC36" t="s">
        <v>57</v>
      </c>
      <c r="CD36" t="s">
        <v>57</v>
      </c>
      <c r="CE36" t="s">
        <v>57</v>
      </c>
      <c r="CF36" t="s">
        <v>57</v>
      </c>
      <c r="CG36" t="s">
        <v>57</v>
      </c>
      <c r="CH36" t="s">
        <v>57</v>
      </c>
      <c r="CI36" t="s">
        <v>57</v>
      </c>
      <c r="CJ36" t="s">
        <v>57</v>
      </c>
      <c r="CK36" t="s">
        <v>148</v>
      </c>
      <c r="CL36" t="s">
        <v>148</v>
      </c>
      <c r="CM36" t="s">
        <v>148</v>
      </c>
      <c r="CN36" t="s">
        <v>57</v>
      </c>
      <c r="CO36" t="s">
        <v>57</v>
      </c>
      <c r="CP36" t="s">
        <v>57</v>
      </c>
      <c r="CQ36" t="s">
        <v>57</v>
      </c>
      <c r="CR36" t="s">
        <v>57</v>
      </c>
      <c r="CS36" t="s">
        <v>57</v>
      </c>
      <c r="CT36" t="s">
        <v>57</v>
      </c>
      <c r="CU36" t="s">
        <v>57</v>
      </c>
      <c r="CV36" t="s">
        <v>57</v>
      </c>
      <c r="CW36" t="s">
        <v>57</v>
      </c>
      <c r="CX36" t="s">
        <v>57</v>
      </c>
      <c r="CY36" t="s">
        <v>57</v>
      </c>
      <c r="CZ36" t="s">
        <v>57</v>
      </c>
      <c r="DA36" t="s">
        <v>57</v>
      </c>
      <c r="DB36" t="s">
        <v>57</v>
      </c>
      <c r="DC36" t="s">
        <v>57</v>
      </c>
      <c r="DD36" t="s">
        <v>57</v>
      </c>
      <c r="DE36" t="s">
        <v>57</v>
      </c>
      <c r="DF36" t="s">
        <v>57</v>
      </c>
      <c r="DG36" t="s">
        <v>57</v>
      </c>
      <c r="DH36" t="s">
        <v>57</v>
      </c>
      <c r="DI36" t="s">
        <v>57</v>
      </c>
      <c r="DJ36" t="s">
        <v>57</v>
      </c>
      <c r="DK36" t="s">
        <v>148</v>
      </c>
      <c r="DL36" t="s">
        <v>57</v>
      </c>
      <c r="DM36" t="s">
        <v>148</v>
      </c>
      <c r="DN36" t="s">
        <v>148</v>
      </c>
      <c r="DO36" t="s">
        <v>148</v>
      </c>
      <c r="DP36" t="s">
        <v>148</v>
      </c>
      <c r="DQ36" t="s">
        <v>148</v>
      </c>
      <c r="DR36" t="s">
        <v>148</v>
      </c>
      <c r="DS36" t="s">
        <v>148</v>
      </c>
      <c r="DT36" t="s">
        <v>148</v>
      </c>
      <c r="DU36" t="s">
        <v>148</v>
      </c>
      <c r="DV36" t="s">
        <v>148</v>
      </c>
      <c r="DW36" t="s">
        <v>148</v>
      </c>
      <c r="DX36" t="s">
        <v>148</v>
      </c>
      <c r="DY36" t="s">
        <v>148</v>
      </c>
      <c r="DZ36" t="s">
        <v>148</v>
      </c>
      <c r="EA36" t="s">
        <v>57</v>
      </c>
      <c r="EB36" t="s">
        <v>57</v>
      </c>
      <c r="EC36" t="s">
        <v>57</v>
      </c>
      <c r="ED36" t="s">
        <v>57</v>
      </c>
      <c r="EE36" t="s">
        <v>57</v>
      </c>
      <c r="EF36" t="s">
        <v>57</v>
      </c>
      <c r="EG36" t="s">
        <v>57</v>
      </c>
      <c r="EH36" t="s">
        <v>57</v>
      </c>
      <c r="EI36" t="s">
        <v>57</v>
      </c>
      <c r="EJ36" t="s">
        <v>57</v>
      </c>
      <c r="EK36" t="s">
        <v>57</v>
      </c>
      <c r="EL36" t="s">
        <v>57</v>
      </c>
      <c r="EM36" t="s">
        <v>57</v>
      </c>
      <c r="EN36" t="s">
        <v>57</v>
      </c>
      <c r="EO36" t="s">
        <v>57</v>
      </c>
      <c r="EP36" t="s">
        <v>57</v>
      </c>
      <c r="EQ36" t="s">
        <v>57</v>
      </c>
      <c r="ER36" t="s">
        <v>57</v>
      </c>
      <c r="ES36" t="s">
        <v>57</v>
      </c>
      <c r="ET36" t="s">
        <v>57</v>
      </c>
      <c r="EU36" t="s">
        <v>57</v>
      </c>
      <c r="EV36" t="s">
        <v>57</v>
      </c>
      <c r="EW36" t="s">
        <v>57</v>
      </c>
      <c r="EX36" t="s">
        <v>148</v>
      </c>
      <c r="EY36" t="s">
        <v>148</v>
      </c>
      <c r="EZ36" t="s">
        <v>148</v>
      </c>
      <c r="FA36" t="s">
        <v>148</v>
      </c>
      <c r="FB36" t="s">
        <v>148</v>
      </c>
      <c r="FC36" t="s">
        <v>148</v>
      </c>
      <c r="FD36" t="s">
        <v>57</v>
      </c>
      <c r="FE36" t="s">
        <v>57</v>
      </c>
      <c r="FF36" t="s">
        <v>57</v>
      </c>
      <c r="FG36" t="s">
        <v>57</v>
      </c>
      <c r="FH36" t="s">
        <v>57</v>
      </c>
      <c r="FI36" t="s">
        <v>57</v>
      </c>
      <c r="FJ36" t="s">
        <v>57</v>
      </c>
      <c r="FK36" t="s">
        <v>148</v>
      </c>
      <c r="FL36" t="s">
        <v>148</v>
      </c>
      <c r="FM36" t="s">
        <v>57</v>
      </c>
      <c r="FN36" t="s">
        <v>57</v>
      </c>
      <c r="FO36" t="s">
        <v>148</v>
      </c>
      <c r="FP36" t="s">
        <v>57</v>
      </c>
      <c r="FQ36" t="s">
        <v>57</v>
      </c>
      <c r="FR36" t="s">
        <v>57</v>
      </c>
      <c r="FS36" t="s">
        <v>57</v>
      </c>
      <c r="FT36" t="s">
        <v>57</v>
      </c>
      <c r="FU36" t="s">
        <v>57</v>
      </c>
      <c r="FV36" t="s">
        <v>57</v>
      </c>
      <c r="FW36" t="s">
        <v>57</v>
      </c>
      <c r="FX36" t="s">
        <v>57</v>
      </c>
      <c r="FY36" t="s">
        <v>57</v>
      </c>
      <c r="FZ36" t="s">
        <v>57</v>
      </c>
      <c r="GA36" t="s">
        <v>57</v>
      </c>
      <c r="GB36" t="s">
        <v>160</v>
      </c>
      <c r="GC36" t="s">
        <v>57</v>
      </c>
      <c r="GD36" t="s">
        <v>57</v>
      </c>
      <c r="GE36" t="s">
        <v>57</v>
      </c>
      <c r="GF36" t="s">
        <v>57</v>
      </c>
      <c r="GG36" t="s">
        <v>148</v>
      </c>
      <c r="GH36" t="s">
        <v>57</v>
      </c>
      <c r="GI36" t="s">
        <v>57</v>
      </c>
      <c r="GJ36" t="s">
        <v>57</v>
      </c>
      <c r="GK36" t="s">
        <v>57</v>
      </c>
      <c r="GL36" t="s">
        <v>57</v>
      </c>
      <c r="GM36" t="s">
        <v>57</v>
      </c>
      <c r="GN36" t="s">
        <v>57</v>
      </c>
      <c r="GO36" t="s">
        <v>57</v>
      </c>
      <c r="GP36" t="s">
        <v>148</v>
      </c>
      <c r="GQ36" t="s">
        <v>148</v>
      </c>
      <c r="GR36" t="s">
        <v>57</v>
      </c>
      <c r="GS36" t="s">
        <v>57</v>
      </c>
      <c r="GT36" t="s">
        <v>57</v>
      </c>
      <c r="GU36" t="s">
        <v>57</v>
      </c>
      <c r="GV36" t="s">
        <v>57</v>
      </c>
      <c r="GW36" t="s">
        <v>148</v>
      </c>
      <c r="GX36" t="s">
        <v>57</v>
      </c>
      <c r="GY36" t="s">
        <v>57</v>
      </c>
      <c r="GZ36" t="s">
        <v>57</v>
      </c>
      <c r="HA36" t="s">
        <v>57</v>
      </c>
      <c r="HB36" t="s">
        <v>57</v>
      </c>
      <c r="HC36" t="s">
        <v>57</v>
      </c>
      <c r="HD36" t="s">
        <v>57</v>
      </c>
      <c r="HE36" t="s">
        <v>57</v>
      </c>
      <c r="HF36" t="s">
        <v>57</v>
      </c>
      <c r="HG36" t="s">
        <v>57</v>
      </c>
      <c r="HH36" t="s">
        <v>57</v>
      </c>
      <c r="HI36" t="s">
        <v>57</v>
      </c>
      <c r="HJ36" t="s">
        <v>57</v>
      </c>
      <c r="HK36" t="s">
        <v>57</v>
      </c>
      <c r="HL36" t="s">
        <v>57</v>
      </c>
      <c r="HM36" t="s">
        <v>57</v>
      </c>
      <c r="HN36" t="s">
        <v>57</v>
      </c>
      <c r="HO36" t="s">
        <v>57</v>
      </c>
      <c r="HP36" t="s">
        <v>57</v>
      </c>
      <c r="HQ36" t="s">
        <v>57</v>
      </c>
      <c r="HR36" t="s">
        <v>57</v>
      </c>
      <c r="HS36" t="s">
        <v>57</v>
      </c>
      <c r="HT36" t="s">
        <v>57</v>
      </c>
      <c r="HU36" t="s">
        <v>57</v>
      </c>
      <c r="HV36" t="s">
        <v>57</v>
      </c>
      <c r="HW36" t="s">
        <v>57</v>
      </c>
      <c r="HX36" t="s">
        <v>57</v>
      </c>
      <c r="HY36" t="s">
        <v>57</v>
      </c>
      <c r="HZ36" t="s">
        <v>57</v>
      </c>
      <c r="IA36" t="s">
        <v>57</v>
      </c>
      <c r="IB36" t="s">
        <v>57</v>
      </c>
      <c r="IC36" t="s">
        <v>57</v>
      </c>
      <c r="ID36" t="s">
        <v>57</v>
      </c>
      <c r="IE36" t="s">
        <v>57</v>
      </c>
      <c r="IF36" t="s">
        <v>124</v>
      </c>
      <c r="IG36" t="s">
        <v>155</v>
      </c>
      <c r="IH36" t="s">
        <v>123</v>
      </c>
      <c r="II36" t="s">
        <v>156</v>
      </c>
    </row>
    <row r="37" spans="1:243" x14ac:dyDescent="0.25">
      <c r="A37" s="111" t="str">
        <f>HYPERLINK("http://www.ofsted.gov.uk/inspection-reports/find-inspection-report/provider/ELS/102941 ","Ofsted School Webpage")</f>
        <v>Ofsted School Webpage</v>
      </c>
      <c r="B37">
        <v>102941</v>
      </c>
      <c r="C37">
        <v>3186060</v>
      </c>
      <c r="D37" t="s">
        <v>606</v>
      </c>
      <c r="E37" t="s">
        <v>36</v>
      </c>
      <c r="F37" t="s">
        <v>166</v>
      </c>
      <c r="G37" t="s">
        <v>189</v>
      </c>
      <c r="H37" t="s">
        <v>189</v>
      </c>
      <c r="I37" t="s">
        <v>190</v>
      </c>
      <c r="J37" t="s">
        <v>607</v>
      </c>
      <c r="K37" t="s">
        <v>142</v>
      </c>
      <c r="L37" t="s">
        <v>142</v>
      </c>
      <c r="M37" t="s">
        <v>2596</v>
      </c>
      <c r="N37" t="s">
        <v>143</v>
      </c>
      <c r="O37">
        <v>10008547</v>
      </c>
      <c r="P37" s="108">
        <v>43053</v>
      </c>
      <c r="Q37" s="108">
        <v>43055</v>
      </c>
      <c r="R37" s="108">
        <v>43111</v>
      </c>
      <c r="S37" t="s">
        <v>153</v>
      </c>
      <c r="T37" t="s">
        <v>154</v>
      </c>
      <c r="U37">
        <v>3</v>
      </c>
      <c r="V37">
        <v>3</v>
      </c>
      <c r="W37">
        <v>2</v>
      </c>
      <c r="X37">
        <v>2</v>
      </c>
      <c r="Y37">
        <v>2</v>
      </c>
      <c r="Z37">
        <v>0</v>
      </c>
      <c r="AA37" t="s">
        <v>2596</v>
      </c>
      <c r="AB37" t="s">
        <v>123</v>
      </c>
      <c r="AC37" t="s">
        <v>2596</v>
      </c>
      <c r="AD37" t="s">
        <v>2599</v>
      </c>
      <c r="AE37" t="s">
        <v>57</v>
      </c>
      <c r="AF37" t="s">
        <v>57</v>
      </c>
      <c r="AG37" t="s">
        <v>58</v>
      </c>
      <c r="AH37" t="s">
        <v>57</v>
      </c>
      <c r="AI37" t="s">
        <v>57</v>
      </c>
      <c r="AJ37" t="s">
        <v>58</v>
      </c>
      <c r="AK37" t="s">
        <v>58</v>
      </c>
      <c r="AL37" t="s">
        <v>58</v>
      </c>
      <c r="AM37" t="s">
        <v>57</v>
      </c>
      <c r="AN37" t="s">
        <v>57</v>
      </c>
      <c r="AO37" t="s">
        <v>57</v>
      </c>
      <c r="AP37" t="s">
        <v>57</v>
      </c>
      <c r="AQ37" t="s">
        <v>57</v>
      </c>
      <c r="AR37" t="s">
        <v>57</v>
      </c>
      <c r="AS37" t="s">
        <v>57</v>
      </c>
      <c r="AT37" t="s">
        <v>57</v>
      </c>
      <c r="AU37" t="s">
        <v>57</v>
      </c>
      <c r="AV37" t="s">
        <v>57</v>
      </c>
      <c r="AW37" t="s">
        <v>57</v>
      </c>
      <c r="AX37" t="s">
        <v>57</v>
      </c>
      <c r="AY37" t="s">
        <v>148</v>
      </c>
      <c r="AZ37" t="s">
        <v>148</v>
      </c>
      <c r="BA37" t="s">
        <v>148</v>
      </c>
      <c r="BB37" t="s">
        <v>148</v>
      </c>
      <c r="BC37" t="s">
        <v>148</v>
      </c>
      <c r="BD37" t="s">
        <v>57</v>
      </c>
      <c r="BE37" t="s">
        <v>57</v>
      </c>
      <c r="BF37" t="s">
        <v>57</v>
      </c>
      <c r="BG37" t="s">
        <v>57</v>
      </c>
      <c r="BH37" t="s">
        <v>57</v>
      </c>
      <c r="BI37" t="s">
        <v>57</v>
      </c>
      <c r="BJ37" t="s">
        <v>57</v>
      </c>
      <c r="BK37" t="s">
        <v>57</v>
      </c>
      <c r="BL37" t="s">
        <v>57</v>
      </c>
      <c r="BM37" t="s">
        <v>57</v>
      </c>
      <c r="BN37" t="s">
        <v>57</v>
      </c>
      <c r="BO37" t="s">
        <v>57</v>
      </c>
      <c r="BP37" t="s">
        <v>57</v>
      </c>
      <c r="BQ37" t="s">
        <v>57</v>
      </c>
      <c r="BR37" t="s">
        <v>57</v>
      </c>
      <c r="BS37" t="s">
        <v>57</v>
      </c>
      <c r="BT37" t="s">
        <v>57</v>
      </c>
      <c r="BU37" t="s">
        <v>57</v>
      </c>
      <c r="BV37" t="s">
        <v>57</v>
      </c>
      <c r="BW37" t="s">
        <v>57</v>
      </c>
      <c r="BX37" t="s">
        <v>57</v>
      </c>
      <c r="BY37" t="s">
        <v>57</v>
      </c>
      <c r="BZ37" t="s">
        <v>57</v>
      </c>
      <c r="CA37" t="s">
        <v>57</v>
      </c>
      <c r="CB37" t="s">
        <v>57</v>
      </c>
      <c r="CC37" t="s">
        <v>57</v>
      </c>
      <c r="CD37" t="s">
        <v>57</v>
      </c>
      <c r="CE37" t="s">
        <v>57</v>
      </c>
      <c r="CF37" t="s">
        <v>57</v>
      </c>
      <c r="CG37" t="s">
        <v>57</v>
      </c>
      <c r="CH37" t="s">
        <v>58</v>
      </c>
      <c r="CI37" t="s">
        <v>57</v>
      </c>
      <c r="CJ37" t="s">
        <v>58</v>
      </c>
      <c r="CK37" t="s">
        <v>148</v>
      </c>
      <c r="CL37" t="s">
        <v>148</v>
      </c>
      <c r="CM37" t="s">
        <v>148</v>
      </c>
      <c r="CN37" t="s">
        <v>57</v>
      </c>
      <c r="CO37" t="s">
        <v>57</v>
      </c>
      <c r="CP37" t="s">
        <v>57</v>
      </c>
      <c r="CQ37" t="s">
        <v>57</v>
      </c>
      <c r="CR37" t="s">
        <v>57</v>
      </c>
      <c r="CS37" t="s">
        <v>58</v>
      </c>
      <c r="CT37" t="s">
        <v>58</v>
      </c>
      <c r="CU37" t="s">
        <v>57</v>
      </c>
      <c r="CV37" t="s">
        <v>57</v>
      </c>
      <c r="CW37" t="s">
        <v>58</v>
      </c>
      <c r="CX37" t="s">
        <v>58</v>
      </c>
      <c r="CY37" t="s">
        <v>58</v>
      </c>
      <c r="CZ37" t="s">
        <v>57</v>
      </c>
      <c r="DA37" t="s">
        <v>57</v>
      </c>
      <c r="DB37" t="s">
        <v>57</v>
      </c>
      <c r="DC37" t="s">
        <v>57</v>
      </c>
      <c r="DD37" t="s">
        <v>57</v>
      </c>
      <c r="DE37" t="s">
        <v>57</v>
      </c>
      <c r="DF37" t="s">
        <v>57</v>
      </c>
      <c r="DG37" t="s">
        <v>57</v>
      </c>
      <c r="DH37" t="s">
        <v>57</v>
      </c>
      <c r="DI37" t="s">
        <v>57</v>
      </c>
      <c r="DJ37" t="s">
        <v>148</v>
      </c>
      <c r="DK37" t="s">
        <v>148</v>
      </c>
      <c r="DL37" t="s">
        <v>58</v>
      </c>
      <c r="DM37" t="s">
        <v>148</v>
      </c>
      <c r="DN37" t="s">
        <v>148</v>
      </c>
      <c r="DO37" t="s">
        <v>148</v>
      </c>
      <c r="DP37" t="s">
        <v>148</v>
      </c>
      <c r="DQ37" t="s">
        <v>148</v>
      </c>
      <c r="DR37" t="s">
        <v>148</v>
      </c>
      <c r="DS37" t="s">
        <v>148</v>
      </c>
      <c r="DT37" t="s">
        <v>148</v>
      </c>
      <c r="DU37" t="s">
        <v>148</v>
      </c>
      <c r="DV37" t="s">
        <v>148</v>
      </c>
      <c r="DW37" t="s">
        <v>148</v>
      </c>
      <c r="DX37" t="s">
        <v>148</v>
      </c>
      <c r="DY37" t="s">
        <v>148</v>
      </c>
      <c r="DZ37" t="s">
        <v>57</v>
      </c>
      <c r="EA37" t="s">
        <v>57</v>
      </c>
      <c r="EB37" t="s">
        <v>57</v>
      </c>
      <c r="EC37" t="s">
        <v>57</v>
      </c>
      <c r="ED37" t="s">
        <v>57</v>
      </c>
      <c r="EE37" t="s">
        <v>148</v>
      </c>
      <c r="EF37" t="s">
        <v>148</v>
      </c>
      <c r="EG37" t="s">
        <v>148</v>
      </c>
      <c r="EH37" t="s">
        <v>148</v>
      </c>
      <c r="EI37" t="s">
        <v>57</v>
      </c>
      <c r="EJ37" t="s">
        <v>58</v>
      </c>
      <c r="EK37" t="s">
        <v>57</v>
      </c>
      <c r="EL37" t="s">
        <v>58</v>
      </c>
      <c r="EM37" t="s">
        <v>58</v>
      </c>
      <c r="EN37" t="s">
        <v>57</v>
      </c>
      <c r="EO37" t="s">
        <v>57</v>
      </c>
      <c r="EP37" t="s">
        <v>58</v>
      </c>
      <c r="EQ37" t="s">
        <v>57</v>
      </c>
      <c r="ER37" t="s">
        <v>57</v>
      </c>
      <c r="ES37" t="s">
        <v>57</v>
      </c>
      <c r="ET37" t="s">
        <v>57</v>
      </c>
      <c r="EU37" t="s">
        <v>58</v>
      </c>
      <c r="EV37" t="s">
        <v>58</v>
      </c>
      <c r="EW37" t="s">
        <v>58</v>
      </c>
      <c r="EX37" t="s">
        <v>148</v>
      </c>
      <c r="EY37" t="s">
        <v>148</v>
      </c>
      <c r="EZ37" t="s">
        <v>148</v>
      </c>
      <c r="FA37" t="s">
        <v>148</v>
      </c>
      <c r="FB37" t="s">
        <v>148</v>
      </c>
      <c r="FC37" t="s">
        <v>148</v>
      </c>
      <c r="FD37" t="s">
        <v>148</v>
      </c>
      <c r="FE37" t="s">
        <v>148</v>
      </c>
      <c r="FF37" t="s">
        <v>148</v>
      </c>
      <c r="FG37" t="s">
        <v>148</v>
      </c>
      <c r="FH37" t="s">
        <v>57</v>
      </c>
      <c r="FI37" t="s">
        <v>57</v>
      </c>
      <c r="FJ37" t="s">
        <v>148</v>
      </c>
      <c r="FK37" t="s">
        <v>148</v>
      </c>
      <c r="FL37" t="s">
        <v>57</v>
      </c>
      <c r="FM37" t="s">
        <v>57</v>
      </c>
      <c r="FN37" t="s">
        <v>57</v>
      </c>
      <c r="FO37" t="s">
        <v>148</v>
      </c>
      <c r="FP37" t="s">
        <v>57</v>
      </c>
      <c r="FQ37" t="s">
        <v>58</v>
      </c>
      <c r="FR37" t="s">
        <v>57</v>
      </c>
      <c r="FS37" t="s">
        <v>57</v>
      </c>
      <c r="FT37" t="s">
        <v>57</v>
      </c>
      <c r="FU37" t="s">
        <v>57</v>
      </c>
      <c r="FV37" t="s">
        <v>58</v>
      </c>
      <c r="FW37" t="s">
        <v>57</v>
      </c>
      <c r="FX37" t="s">
        <v>57</v>
      </c>
      <c r="FY37" t="s">
        <v>58</v>
      </c>
      <c r="FZ37" t="s">
        <v>57</v>
      </c>
      <c r="GA37" t="s">
        <v>57</v>
      </c>
      <c r="GB37" t="s">
        <v>57</v>
      </c>
      <c r="GC37" t="s">
        <v>57</v>
      </c>
      <c r="GD37" t="s">
        <v>57</v>
      </c>
      <c r="GE37" t="s">
        <v>57</v>
      </c>
      <c r="GF37" t="s">
        <v>57</v>
      </c>
      <c r="GG37" t="s">
        <v>148</v>
      </c>
      <c r="GH37" t="s">
        <v>58</v>
      </c>
      <c r="GI37" t="s">
        <v>58</v>
      </c>
      <c r="GJ37" t="s">
        <v>58</v>
      </c>
      <c r="GK37" t="s">
        <v>58</v>
      </c>
      <c r="GL37" t="s">
        <v>58</v>
      </c>
      <c r="GM37" t="s">
        <v>148</v>
      </c>
      <c r="GN37" t="s">
        <v>57</v>
      </c>
      <c r="GO37" t="s">
        <v>57</v>
      </c>
      <c r="GP37" t="s">
        <v>148</v>
      </c>
      <c r="GQ37" t="s">
        <v>148</v>
      </c>
      <c r="GR37" t="s">
        <v>148</v>
      </c>
      <c r="GS37" t="s">
        <v>58</v>
      </c>
      <c r="GT37" t="s">
        <v>57</v>
      </c>
      <c r="GU37" t="s">
        <v>58</v>
      </c>
      <c r="GV37" t="s">
        <v>58</v>
      </c>
      <c r="GW37" t="s">
        <v>148</v>
      </c>
      <c r="GX37" t="s">
        <v>148</v>
      </c>
      <c r="GY37" t="s">
        <v>57</v>
      </c>
      <c r="GZ37" t="s">
        <v>58</v>
      </c>
      <c r="HA37" t="s">
        <v>58</v>
      </c>
      <c r="HB37" t="s">
        <v>58</v>
      </c>
      <c r="HC37" t="s">
        <v>58</v>
      </c>
      <c r="HD37" t="s">
        <v>58</v>
      </c>
      <c r="HE37" t="s">
        <v>58</v>
      </c>
      <c r="HF37" t="s">
        <v>58</v>
      </c>
      <c r="HG37" t="s">
        <v>58</v>
      </c>
      <c r="HH37" t="s">
        <v>148</v>
      </c>
      <c r="HI37" t="s">
        <v>148</v>
      </c>
      <c r="HJ37" t="s">
        <v>148</v>
      </c>
      <c r="HK37" t="s">
        <v>148</v>
      </c>
      <c r="HL37" t="s">
        <v>58</v>
      </c>
      <c r="HM37" t="s">
        <v>57</v>
      </c>
      <c r="HN37" t="s">
        <v>57</v>
      </c>
      <c r="HO37" t="s">
        <v>57</v>
      </c>
      <c r="HP37" t="s">
        <v>57</v>
      </c>
      <c r="HQ37" t="s">
        <v>57</v>
      </c>
      <c r="HR37" t="s">
        <v>57</v>
      </c>
      <c r="HS37" t="s">
        <v>57</v>
      </c>
      <c r="HT37" t="s">
        <v>57</v>
      </c>
      <c r="HU37" t="s">
        <v>57</v>
      </c>
      <c r="HV37" t="s">
        <v>57</v>
      </c>
      <c r="HW37" t="s">
        <v>57</v>
      </c>
      <c r="HX37" t="s">
        <v>57</v>
      </c>
      <c r="HY37" t="s">
        <v>57</v>
      </c>
      <c r="HZ37" t="s">
        <v>57</v>
      </c>
      <c r="IA37" t="s">
        <v>58</v>
      </c>
      <c r="IB37" t="s">
        <v>58</v>
      </c>
      <c r="IC37" t="s">
        <v>58</v>
      </c>
      <c r="ID37" t="s">
        <v>58</v>
      </c>
      <c r="IE37" t="s">
        <v>57</v>
      </c>
      <c r="IF37" t="s">
        <v>124</v>
      </c>
      <c r="IG37" t="s">
        <v>155</v>
      </c>
      <c r="IH37" t="s">
        <v>123</v>
      </c>
      <c r="II37" t="s">
        <v>363</v>
      </c>
    </row>
    <row r="38" spans="1:243" x14ac:dyDescent="0.25">
      <c r="A38" s="111" t="str">
        <f>HYPERLINK("http://www.ofsted.gov.uk/inspection-reports/find-inspection-report/provider/ELS/103573 ","Ofsted School Webpage")</f>
        <v>Ofsted School Webpage</v>
      </c>
      <c r="B38">
        <v>103573</v>
      </c>
      <c r="C38">
        <v>3306048</v>
      </c>
      <c r="D38" t="s">
        <v>2297</v>
      </c>
      <c r="E38" t="s">
        <v>36</v>
      </c>
      <c r="F38" t="s">
        <v>166</v>
      </c>
      <c r="G38" t="s">
        <v>150</v>
      </c>
      <c r="H38" t="s">
        <v>150</v>
      </c>
      <c r="I38" t="s">
        <v>167</v>
      </c>
      <c r="J38" t="s">
        <v>2298</v>
      </c>
      <c r="K38" t="s">
        <v>142</v>
      </c>
      <c r="L38" t="s">
        <v>142</v>
      </c>
      <c r="M38" t="s">
        <v>2596</v>
      </c>
      <c r="N38" t="s">
        <v>143</v>
      </c>
      <c r="O38">
        <v>10020734</v>
      </c>
      <c r="P38" s="108">
        <v>43046</v>
      </c>
      <c r="Q38" s="108">
        <v>43048</v>
      </c>
      <c r="R38" s="108">
        <v>43139</v>
      </c>
      <c r="S38" t="s">
        <v>153</v>
      </c>
      <c r="T38" t="s">
        <v>154</v>
      </c>
      <c r="U38">
        <v>2</v>
      </c>
      <c r="V38">
        <v>2</v>
      </c>
      <c r="W38">
        <v>1</v>
      </c>
      <c r="X38">
        <v>2</v>
      </c>
      <c r="Y38">
        <v>2</v>
      </c>
      <c r="Z38">
        <v>2</v>
      </c>
      <c r="AA38" t="s">
        <v>2596</v>
      </c>
      <c r="AB38" t="s">
        <v>123</v>
      </c>
      <c r="AC38" t="s">
        <v>2596</v>
      </c>
      <c r="AD38" t="s">
        <v>2598</v>
      </c>
      <c r="AE38" t="s">
        <v>57</v>
      </c>
      <c r="AF38" t="s">
        <v>57</v>
      </c>
      <c r="AG38" t="s">
        <v>57</v>
      </c>
      <c r="AH38" t="s">
        <v>57</v>
      </c>
      <c r="AI38" t="s">
        <v>57</v>
      </c>
      <c r="AJ38" t="s">
        <v>57</v>
      </c>
      <c r="AK38" t="s">
        <v>57</v>
      </c>
      <c r="AL38" t="s">
        <v>57</v>
      </c>
      <c r="AM38" t="s">
        <v>57</v>
      </c>
      <c r="AN38" t="s">
        <v>57</v>
      </c>
      <c r="AO38" t="s">
        <v>57</v>
      </c>
      <c r="AP38" t="s">
        <v>57</v>
      </c>
      <c r="AQ38" t="s">
        <v>57</v>
      </c>
      <c r="AR38" t="s">
        <v>57</v>
      </c>
      <c r="AS38" t="s">
        <v>57</v>
      </c>
      <c r="AT38" t="s">
        <v>57</v>
      </c>
      <c r="AU38" t="s">
        <v>148</v>
      </c>
      <c r="AV38" t="s">
        <v>57</v>
      </c>
      <c r="AW38" t="s">
        <v>57</v>
      </c>
      <c r="AX38" t="s">
        <v>57</v>
      </c>
      <c r="AY38" t="s">
        <v>148</v>
      </c>
      <c r="AZ38" t="s">
        <v>148</v>
      </c>
      <c r="BA38" t="s">
        <v>148</v>
      </c>
      <c r="BB38" t="s">
        <v>148</v>
      </c>
      <c r="BC38" t="s">
        <v>57</v>
      </c>
      <c r="BD38" t="s">
        <v>148</v>
      </c>
      <c r="BE38" t="s">
        <v>57</v>
      </c>
      <c r="BF38" t="s">
        <v>57</v>
      </c>
      <c r="BG38" t="s">
        <v>57</v>
      </c>
      <c r="BH38" t="s">
        <v>57</v>
      </c>
      <c r="BI38" t="s">
        <v>57</v>
      </c>
      <c r="BJ38" t="s">
        <v>57</v>
      </c>
      <c r="BK38" t="s">
        <v>57</v>
      </c>
      <c r="BL38" t="s">
        <v>57</v>
      </c>
      <c r="BM38" t="s">
        <v>57</v>
      </c>
      <c r="BN38" t="s">
        <v>57</v>
      </c>
      <c r="BO38" t="s">
        <v>57</v>
      </c>
      <c r="BP38" t="s">
        <v>57</v>
      </c>
      <c r="BQ38" t="s">
        <v>57</v>
      </c>
      <c r="BR38" t="s">
        <v>57</v>
      </c>
      <c r="BS38" t="s">
        <v>57</v>
      </c>
      <c r="BT38" t="s">
        <v>57</v>
      </c>
      <c r="BU38" t="s">
        <v>57</v>
      </c>
      <c r="BV38" t="s">
        <v>57</v>
      </c>
      <c r="BW38" t="s">
        <v>57</v>
      </c>
      <c r="BX38" t="s">
        <v>57</v>
      </c>
      <c r="BY38" t="s">
        <v>57</v>
      </c>
      <c r="BZ38" t="s">
        <v>57</v>
      </c>
      <c r="CA38" t="s">
        <v>57</v>
      </c>
      <c r="CB38" t="s">
        <v>57</v>
      </c>
      <c r="CC38" t="s">
        <v>57</v>
      </c>
      <c r="CD38" t="s">
        <v>57</v>
      </c>
      <c r="CE38" t="s">
        <v>57</v>
      </c>
      <c r="CF38" t="s">
        <v>57</v>
      </c>
      <c r="CG38" t="s">
        <v>57</v>
      </c>
      <c r="CH38" t="s">
        <v>57</v>
      </c>
      <c r="CI38" t="s">
        <v>57</v>
      </c>
      <c r="CJ38" t="s">
        <v>57</v>
      </c>
      <c r="CK38" t="s">
        <v>148</v>
      </c>
      <c r="CL38" t="s">
        <v>148</v>
      </c>
      <c r="CM38" t="s">
        <v>148</v>
      </c>
      <c r="CN38" t="s">
        <v>57</v>
      </c>
      <c r="CO38" t="s">
        <v>57</v>
      </c>
      <c r="CP38" t="s">
        <v>57</v>
      </c>
      <c r="CQ38" t="s">
        <v>57</v>
      </c>
      <c r="CR38" t="s">
        <v>57</v>
      </c>
      <c r="CS38" t="s">
        <v>57</v>
      </c>
      <c r="CT38" t="s">
        <v>57</v>
      </c>
      <c r="CU38" t="s">
        <v>57</v>
      </c>
      <c r="CV38" t="s">
        <v>57</v>
      </c>
      <c r="CW38" t="s">
        <v>57</v>
      </c>
      <c r="CX38" t="s">
        <v>57</v>
      </c>
      <c r="CY38" t="s">
        <v>57</v>
      </c>
      <c r="CZ38" t="s">
        <v>57</v>
      </c>
      <c r="DA38" t="s">
        <v>57</v>
      </c>
      <c r="DB38" t="s">
        <v>57</v>
      </c>
      <c r="DC38" t="s">
        <v>57</v>
      </c>
      <c r="DD38" t="s">
        <v>57</v>
      </c>
      <c r="DE38" t="s">
        <v>57</v>
      </c>
      <c r="DF38" t="s">
        <v>57</v>
      </c>
      <c r="DG38" t="s">
        <v>57</v>
      </c>
      <c r="DH38" t="s">
        <v>57</v>
      </c>
      <c r="DI38" t="s">
        <v>57</v>
      </c>
      <c r="DJ38" t="s">
        <v>57</v>
      </c>
      <c r="DK38" t="s">
        <v>148</v>
      </c>
      <c r="DL38" t="s">
        <v>57</v>
      </c>
      <c r="DM38" t="s">
        <v>148</v>
      </c>
      <c r="DN38" t="s">
        <v>148</v>
      </c>
      <c r="DO38" t="s">
        <v>148</v>
      </c>
      <c r="DP38" t="s">
        <v>148</v>
      </c>
      <c r="DQ38" t="s">
        <v>148</v>
      </c>
      <c r="DR38" t="s">
        <v>148</v>
      </c>
      <c r="DS38" t="s">
        <v>148</v>
      </c>
      <c r="DT38" t="s">
        <v>148</v>
      </c>
      <c r="DU38" t="s">
        <v>148</v>
      </c>
      <c r="DV38" t="s">
        <v>148</v>
      </c>
      <c r="DW38" t="s">
        <v>148</v>
      </c>
      <c r="DX38" t="s">
        <v>148</v>
      </c>
      <c r="DY38" t="s">
        <v>148</v>
      </c>
      <c r="DZ38" t="s">
        <v>57</v>
      </c>
      <c r="EA38" t="s">
        <v>57</v>
      </c>
      <c r="EB38" t="s">
        <v>57</v>
      </c>
      <c r="EC38" t="s">
        <v>57</v>
      </c>
      <c r="ED38" t="s">
        <v>57</v>
      </c>
      <c r="EE38" t="s">
        <v>57</v>
      </c>
      <c r="EF38" t="s">
        <v>57</v>
      </c>
      <c r="EG38" t="s">
        <v>57</v>
      </c>
      <c r="EH38" t="s">
        <v>57</v>
      </c>
      <c r="EI38" t="s">
        <v>57</v>
      </c>
      <c r="EJ38" t="s">
        <v>57</v>
      </c>
      <c r="EK38" t="s">
        <v>57</v>
      </c>
      <c r="EL38" t="s">
        <v>57</v>
      </c>
      <c r="EM38" t="s">
        <v>57</v>
      </c>
      <c r="EN38" t="s">
        <v>57</v>
      </c>
      <c r="EO38" t="s">
        <v>57</v>
      </c>
      <c r="EP38" t="s">
        <v>57</v>
      </c>
      <c r="EQ38" t="s">
        <v>57</v>
      </c>
      <c r="ER38" t="s">
        <v>57</v>
      </c>
      <c r="ES38" t="s">
        <v>57</v>
      </c>
      <c r="ET38" t="s">
        <v>57</v>
      </c>
      <c r="EU38" t="s">
        <v>57</v>
      </c>
      <c r="EV38" t="s">
        <v>57</v>
      </c>
      <c r="EW38" t="s">
        <v>57</v>
      </c>
      <c r="EX38" t="s">
        <v>148</v>
      </c>
      <c r="EY38" t="s">
        <v>148</v>
      </c>
      <c r="EZ38" t="s">
        <v>148</v>
      </c>
      <c r="FA38" t="s">
        <v>148</v>
      </c>
      <c r="FB38" t="s">
        <v>148</v>
      </c>
      <c r="FC38" t="s">
        <v>148</v>
      </c>
      <c r="FD38" t="s">
        <v>57</v>
      </c>
      <c r="FE38" t="s">
        <v>57</v>
      </c>
      <c r="FF38" t="s">
        <v>57</v>
      </c>
      <c r="FG38" t="s">
        <v>57</v>
      </c>
      <c r="FH38" t="s">
        <v>57</v>
      </c>
      <c r="FI38" t="s">
        <v>57</v>
      </c>
      <c r="FJ38" t="s">
        <v>57</v>
      </c>
      <c r="FK38" t="s">
        <v>148</v>
      </c>
      <c r="FL38" t="s">
        <v>57</v>
      </c>
      <c r="FM38" t="s">
        <v>57</v>
      </c>
      <c r="FN38" t="s">
        <v>57</v>
      </c>
      <c r="FO38" t="s">
        <v>148</v>
      </c>
      <c r="FP38" t="s">
        <v>57</v>
      </c>
      <c r="FQ38" t="s">
        <v>57</v>
      </c>
      <c r="FR38" t="s">
        <v>57</v>
      </c>
      <c r="FS38" t="s">
        <v>57</v>
      </c>
      <c r="FT38" t="s">
        <v>57</v>
      </c>
      <c r="FU38" t="s">
        <v>57</v>
      </c>
      <c r="FV38" t="s">
        <v>57</v>
      </c>
      <c r="FW38" t="s">
        <v>57</v>
      </c>
      <c r="FX38" t="s">
        <v>57</v>
      </c>
      <c r="FY38" t="s">
        <v>57</v>
      </c>
      <c r="FZ38" t="s">
        <v>57</v>
      </c>
      <c r="GA38" t="s">
        <v>57</v>
      </c>
      <c r="GB38" t="s">
        <v>57</v>
      </c>
      <c r="GC38" t="s">
        <v>57</v>
      </c>
      <c r="GD38" t="s">
        <v>57</v>
      </c>
      <c r="GE38" t="s">
        <v>57</v>
      </c>
      <c r="GF38" t="s">
        <v>57</v>
      </c>
      <c r="GG38" t="s">
        <v>148</v>
      </c>
      <c r="GH38" t="s">
        <v>57</v>
      </c>
      <c r="GI38" t="s">
        <v>57</v>
      </c>
      <c r="GJ38" t="s">
        <v>57</v>
      </c>
      <c r="GK38" t="s">
        <v>57</v>
      </c>
      <c r="GL38" t="s">
        <v>57</v>
      </c>
      <c r="GM38" t="s">
        <v>148</v>
      </c>
      <c r="GN38" t="s">
        <v>57</v>
      </c>
      <c r="GO38" t="s">
        <v>57</v>
      </c>
      <c r="GP38" t="s">
        <v>148</v>
      </c>
      <c r="GQ38" t="s">
        <v>148</v>
      </c>
      <c r="GR38" t="s">
        <v>57</v>
      </c>
      <c r="GS38" t="s">
        <v>57</v>
      </c>
      <c r="GT38" t="s">
        <v>57</v>
      </c>
      <c r="GU38" t="s">
        <v>57</v>
      </c>
      <c r="GV38" t="s">
        <v>57</v>
      </c>
      <c r="GW38" t="s">
        <v>57</v>
      </c>
      <c r="GX38" t="s">
        <v>148</v>
      </c>
      <c r="GY38" t="s">
        <v>57</v>
      </c>
      <c r="GZ38" t="s">
        <v>57</v>
      </c>
      <c r="HA38" t="s">
        <v>57</v>
      </c>
      <c r="HB38" t="s">
        <v>57</v>
      </c>
      <c r="HC38" t="s">
        <v>57</v>
      </c>
      <c r="HD38" t="s">
        <v>57</v>
      </c>
      <c r="HE38" t="s">
        <v>57</v>
      </c>
      <c r="HF38" t="s">
        <v>57</v>
      </c>
      <c r="HG38" t="s">
        <v>57</v>
      </c>
      <c r="HH38" t="s">
        <v>148</v>
      </c>
      <c r="HI38" t="s">
        <v>148</v>
      </c>
      <c r="HJ38" t="s">
        <v>148</v>
      </c>
      <c r="HK38" t="s">
        <v>148</v>
      </c>
      <c r="HL38" t="s">
        <v>57</v>
      </c>
      <c r="HM38" t="s">
        <v>57</v>
      </c>
      <c r="HN38" t="s">
        <v>57</v>
      </c>
      <c r="HO38" t="s">
        <v>57</v>
      </c>
      <c r="HP38" t="s">
        <v>57</v>
      </c>
      <c r="HQ38" t="s">
        <v>57</v>
      </c>
      <c r="HR38" t="s">
        <v>57</v>
      </c>
      <c r="HS38" t="s">
        <v>57</v>
      </c>
      <c r="HT38" t="s">
        <v>57</v>
      </c>
      <c r="HU38" t="s">
        <v>57</v>
      </c>
      <c r="HV38" t="s">
        <v>57</v>
      </c>
      <c r="HW38" t="s">
        <v>57</v>
      </c>
      <c r="HX38" t="s">
        <v>57</v>
      </c>
      <c r="HY38" t="s">
        <v>57</v>
      </c>
      <c r="HZ38" t="s">
        <v>57</v>
      </c>
      <c r="IA38" t="s">
        <v>57</v>
      </c>
      <c r="IB38" t="s">
        <v>57</v>
      </c>
      <c r="IC38" t="s">
        <v>57</v>
      </c>
      <c r="ID38" t="s">
        <v>57</v>
      </c>
      <c r="IE38" t="s">
        <v>57</v>
      </c>
      <c r="IF38" t="s">
        <v>124</v>
      </c>
      <c r="IG38" t="s">
        <v>155</v>
      </c>
      <c r="IH38" t="s">
        <v>123</v>
      </c>
      <c r="II38" t="s">
        <v>156</v>
      </c>
    </row>
    <row r="39" spans="1:243" x14ac:dyDescent="0.25">
      <c r="A39" s="111" t="str">
        <f>HYPERLINK("http://www.ofsted.gov.uk/inspection-reports/find-inspection-report/provider/ELS/103586 ","Ofsted School Webpage")</f>
        <v>Ofsted School Webpage</v>
      </c>
      <c r="B39">
        <v>103586</v>
      </c>
      <c r="C39">
        <v>3306078</v>
      </c>
      <c r="D39" t="s">
        <v>359</v>
      </c>
      <c r="E39" t="s">
        <v>36</v>
      </c>
      <c r="F39" t="s">
        <v>166</v>
      </c>
      <c r="G39" t="s">
        <v>150</v>
      </c>
      <c r="H39" t="s">
        <v>150</v>
      </c>
      <c r="I39" t="s">
        <v>167</v>
      </c>
      <c r="J39" t="s">
        <v>360</v>
      </c>
      <c r="K39" t="s">
        <v>142</v>
      </c>
      <c r="L39" t="s">
        <v>180</v>
      </c>
      <c r="M39" t="s">
        <v>2596</v>
      </c>
      <c r="N39" t="s">
        <v>143</v>
      </c>
      <c r="O39">
        <v>10038825</v>
      </c>
      <c r="P39" s="108">
        <v>42997</v>
      </c>
      <c r="Q39" s="108">
        <v>42999</v>
      </c>
      <c r="R39" s="108">
        <v>43040</v>
      </c>
      <c r="S39" t="s">
        <v>153</v>
      </c>
      <c r="T39" t="s">
        <v>154</v>
      </c>
      <c r="U39">
        <v>2</v>
      </c>
      <c r="V39">
        <v>2</v>
      </c>
      <c r="W39">
        <v>2</v>
      </c>
      <c r="X39">
        <v>2</v>
      </c>
      <c r="Y39">
        <v>2</v>
      </c>
      <c r="Z39" t="s">
        <v>2596</v>
      </c>
      <c r="AA39" t="s">
        <v>2596</v>
      </c>
      <c r="AB39" t="s">
        <v>123</v>
      </c>
      <c r="AC39" t="s">
        <v>2596</v>
      </c>
      <c r="AD39" t="s">
        <v>2598</v>
      </c>
      <c r="AE39" t="s">
        <v>57</v>
      </c>
      <c r="AF39" t="s">
        <v>57</v>
      </c>
      <c r="AG39" t="s">
        <v>57</v>
      </c>
      <c r="AH39" t="s">
        <v>57</v>
      </c>
      <c r="AI39" t="s">
        <v>57</v>
      </c>
      <c r="AJ39" t="s">
        <v>57</v>
      </c>
      <c r="AK39" t="s">
        <v>57</v>
      </c>
      <c r="AL39" t="s">
        <v>57</v>
      </c>
      <c r="AM39" t="s">
        <v>57</v>
      </c>
      <c r="AN39" t="s">
        <v>57</v>
      </c>
      <c r="AO39" t="s">
        <v>57</v>
      </c>
      <c r="AP39" t="s">
        <v>57</v>
      </c>
      <c r="AQ39" t="s">
        <v>57</v>
      </c>
      <c r="AR39" t="s">
        <v>57</v>
      </c>
      <c r="AS39" t="s">
        <v>57</v>
      </c>
      <c r="AT39" t="s">
        <v>57</v>
      </c>
      <c r="AU39" t="s">
        <v>148</v>
      </c>
      <c r="AV39" t="s">
        <v>57</v>
      </c>
      <c r="AW39" t="s">
        <v>57</v>
      </c>
      <c r="AX39" t="s">
        <v>57</v>
      </c>
      <c r="AY39" t="s">
        <v>57</v>
      </c>
      <c r="AZ39" t="s">
        <v>57</v>
      </c>
      <c r="BA39" t="s">
        <v>57</v>
      </c>
      <c r="BB39" t="s">
        <v>57</v>
      </c>
      <c r="BC39" t="s">
        <v>148</v>
      </c>
      <c r="BD39" t="s">
        <v>57</v>
      </c>
      <c r="BE39" t="s">
        <v>57</v>
      </c>
      <c r="BF39" t="s">
        <v>57</v>
      </c>
      <c r="BG39" t="s">
        <v>57</v>
      </c>
      <c r="BH39" t="s">
        <v>57</v>
      </c>
      <c r="BI39" t="s">
        <v>57</v>
      </c>
      <c r="BJ39" t="s">
        <v>57</v>
      </c>
      <c r="BK39" t="s">
        <v>57</v>
      </c>
      <c r="BL39" t="s">
        <v>57</v>
      </c>
      <c r="BM39" t="s">
        <v>57</v>
      </c>
      <c r="BN39" t="s">
        <v>57</v>
      </c>
      <c r="BO39" t="s">
        <v>57</v>
      </c>
      <c r="BP39" t="s">
        <v>57</v>
      </c>
      <c r="BQ39" t="s">
        <v>57</v>
      </c>
      <c r="BR39" t="s">
        <v>57</v>
      </c>
      <c r="BS39" t="s">
        <v>57</v>
      </c>
      <c r="BT39" t="s">
        <v>57</v>
      </c>
      <c r="BU39" t="s">
        <v>57</v>
      </c>
      <c r="BV39" t="s">
        <v>57</v>
      </c>
      <c r="BW39" t="s">
        <v>57</v>
      </c>
      <c r="BX39" t="s">
        <v>57</v>
      </c>
      <c r="BY39" t="s">
        <v>57</v>
      </c>
      <c r="BZ39" t="s">
        <v>57</v>
      </c>
      <c r="CA39" t="s">
        <v>57</v>
      </c>
      <c r="CB39" t="s">
        <v>57</v>
      </c>
      <c r="CC39" t="s">
        <v>57</v>
      </c>
      <c r="CD39" t="s">
        <v>57</v>
      </c>
      <c r="CE39" t="s">
        <v>57</v>
      </c>
      <c r="CF39" t="s">
        <v>57</v>
      </c>
      <c r="CG39" t="s">
        <v>57</v>
      </c>
      <c r="CH39" t="s">
        <v>57</v>
      </c>
      <c r="CI39" t="s">
        <v>57</v>
      </c>
      <c r="CJ39" t="s">
        <v>57</v>
      </c>
      <c r="CK39" t="s">
        <v>148</v>
      </c>
      <c r="CL39" t="s">
        <v>148</v>
      </c>
      <c r="CM39" t="s">
        <v>148</v>
      </c>
      <c r="CN39" t="s">
        <v>57</v>
      </c>
      <c r="CO39" t="s">
        <v>57</v>
      </c>
      <c r="CP39" t="s">
        <v>57</v>
      </c>
      <c r="CQ39" t="s">
        <v>57</v>
      </c>
      <c r="CR39" t="s">
        <v>57</v>
      </c>
      <c r="CS39" t="s">
        <v>57</v>
      </c>
      <c r="CT39" t="s">
        <v>57</v>
      </c>
      <c r="CU39" t="s">
        <v>57</v>
      </c>
      <c r="CV39" t="s">
        <v>57</v>
      </c>
      <c r="CW39" t="s">
        <v>57</v>
      </c>
      <c r="CX39" t="s">
        <v>57</v>
      </c>
      <c r="CY39" t="s">
        <v>57</v>
      </c>
      <c r="CZ39" t="s">
        <v>57</v>
      </c>
      <c r="DA39" t="s">
        <v>57</v>
      </c>
      <c r="DB39" t="s">
        <v>57</v>
      </c>
      <c r="DC39" t="s">
        <v>57</v>
      </c>
      <c r="DD39" t="s">
        <v>57</v>
      </c>
      <c r="DE39" t="s">
        <v>57</v>
      </c>
      <c r="DF39" t="s">
        <v>57</v>
      </c>
      <c r="DG39" t="s">
        <v>57</v>
      </c>
      <c r="DH39" t="s">
        <v>57</v>
      </c>
      <c r="DI39" t="s">
        <v>57</v>
      </c>
      <c r="DJ39" t="s">
        <v>57</v>
      </c>
      <c r="DK39" t="s">
        <v>148</v>
      </c>
      <c r="DL39" t="s">
        <v>57</v>
      </c>
      <c r="DM39" t="s">
        <v>57</v>
      </c>
      <c r="DN39" t="s">
        <v>57</v>
      </c>
      <c r="DO39" t="s">
        <v>57</v>
      </c>
      <c r="DP39" t="s">
        <v>57</v>
      </c>
      <c r="DQ39" t="s">
        <v>57</v>
      </c>
      <c r="DR39" t="s">
        <v>57</v>
      </c>
      <c r="DS39" t="s">
        <v>57</v>
      </c>
      <c r="DT39" t="s">
        <v>57</v>
      </c>
      <c r="DU39" t="s">
        <v>57</v>
      </c>
      <c r="DV39" t="s">
        <v>57</v>
      </c>
      <c r="DW39" t="s">
        <v>57</v>
      </c>
      <c r="DX39" t="s">
        <v>57</v>
      </c>
      <c r="DY39" t="s">
        <v>148</v>
      </c>
      <c r="DZ39" t="s">
        <v>57</v>
      </c>
      <c r="EA39" t="s">
        <v>57</v>
      </c>
      <c r="EB39" t="s">
        <v>57</v>
      </c>
      <c r="EC39" t="s">
        <v>57</v>
      </c>
      <c r="ED39" t="s">
        <v>57</v>
      </c>
      <c r="EE39" t="s">
        <v>57</v>
      </c>
      <c r="EF39" t="s">
        <v>57</v>
      </c>
      <c r="EG39" t="s">
        <v>57</v>
      </c>
      <c r="EH39" t="s">
        <v>57</v>
      </c>
      <c r="EI39" t="s">
        <v>57</v>
      </c>
      <c r="EJ39" t="s">
        <v>57</v>
      </c>
      <c r="EK39" t="s">
        <v>57</v>
      </c>
      <c r="EL39" t="s">
        <v>57</v>
      </c>
      <c r="EM39" t="s">
        <v>57</v>
      </c>
      <c r="EN39" t="s">
        <v>57</v>
      </c>
      <c r="EO39" t="s">
        <v>57</v>
      </c>
      <c r="EP39" t="s">
        <v>57</v>
      </c>
      <c r="EQ39" t="s">
        <v>57</v>
      </c>
      <c r="ER39" t="s">
        <v>57</v>
      </c>
      <c r="ES39" t="s">
        <v>57</v>
      </c>
      <c r="ET39" t="s">
        <v>57</v>
      </c>
      <c r="EU39" t="s">
        <v>57</v>
      </c>
      <c r="EV39" t="s">
        <v>57</v>
      </c>
      <c r="EW39" t="s">
        <v>57</v>
      </c>
      <c r="EX39" t="s">
        <v>57</v>
      </c>
      <c r="EY39" t="s">
        <v>57</v>
      </c>
      <c r="EZ39" t="s">
        <v>57</v>
      </c>
      <c r="FA39" t="s">
        <v>57</v>
      </c>
      <c r="FB39" t="s">
        <v>57</v>
      </c>
      <c r="FC39" t="s">
        <v>57</v>
      </c>
      <c r="FD39" t="s">
        <v>57</v>
      </c>
      <c r="FE39" t="s">
        <v>148</v>
      </c>
      <c r="FF39" t="s">
        <v>148</v>
      </c>
      <c r="FG39" t="s">
        <v>148</v>
      </c>
      <c r="FH39" t="s">
        <v>57</v>
      </c>
      <c r="FI39" t="s">
        <v>57</v>
      </c>
      <c r="FJ39" t="s">
        <v>57</v>
      </c>
      <c r="FK39" t="s">
        <v>57</v>
      </c>
      <c r="FL39" t="s">
        <v>57</v>
      </c>
      <c r="FM39" t="s">
        <v>57</v>
      </c>
      <c r="FN39" t="s">
        <v>57</v>
      </c>
      <c r="FO39" t="s">
        <v>148</v>
      </c>
      <c r="FP39" t="s">
        <v>57</v>
      </c>
      <c r="FQ39" t="s">
        <v>57</v>
      </c>
      <c r="FR39" t="s">
        <v>57</v>
      </c>
      <c r="FS39" t="s">
        <v>57</v>
      </c>
      <c r="FT39" t="s">
        <v>57</v>
      </c>
      <c r="FU39" t="s">
        <v>57</v>
      </c>
      <c r="FV39" t="s">
        <v>57</v>
      </c>
      <c r="FW39" t="s">
        <v>57</v>
      </c>
      <c r="FX39" t="s">
        <v>57</v>
      </c>
      <c r="FY39" t="s">
        <v>57</v>
      </c>
      <c r="FZ39" t="s">
        <v>57</v>
      </c>
      <c r="GA39" t="s">
        <v>57</v>
      </c>
      <c r="GB39" t="s">
        <v>57</v>
      </c>
      <c r="GC39" t="s">
        <v>57</v>
      </c>
      <c r="GD39" t="s">
        <v>57</v>
      </c>
      <c r="GE39" t="s">
        <v>57</v>
      </c>
      <c r="GF39" t="s">
        <v>57</v>
      </c>
      <c r="GG39" t="s">
        <v>148</v>
      </c>
      <c r="GH39" t="s">
        <v>57</v>
      </c>
      <c r="GI39" t="s">
        <v>57</v>
      </c>
      <c r="GJ39" t="s">
        <v>57</v>
      </c>
      <c r="GK39" t="s">
        <v>57</v>
      </c>
      <c r="GL39" t="s">
        <v>57</v>
      </c>
      <c r="GM39" t="s">
        <v>148</v>
      </c>
      <c r="GN39" t="s">
        <v>57</v>
      </c>
      <c r="GO39" t="s">
        <v>57</v>
      </c>
      <c r="GP39" t="s">
        <v>148</v>
      </c>
      <c r="GQ39" t="s">
        <v>148</v>
      </c>
      <c r="GR39" t="s">
        <v>57</v>
      </c>
      <c r="GS39" t="s">
        <v>57</v>
      </c>
      <c r="GT39" t="s">
        <v>57</v>
      </c>
      <c r="GU39" t="s">
        <v>57</v>
      </c>
      <c r="GV39" t="s">
        <v>148</v>
      </c>
      <c r="GW39" t="s">
        <v>57</v>
      </c>
      <c r="GX39" t="s">
        <v>148</v>
      </c>
      <c r="GY39" t="s">
        <v>57</v>
      </c>
      <c r="GZ39" t="s">
        <v>57</v>
      </c>
      <c r="HA39" t="s">
        <v>57</v>
      </c>
      <c r="HB39" t="s">
        <v>57</v>
      </c>
      <c r="HC39" t="s">
        <v>57</v>
      </c>
      <c r="HD39" t="s">
        <v>57</v>
      </c>
      <c r="HE39" t="s">
        <v>57</v>
      </c>
      <c r="HF39" t="s">
        <v>57</v>
      </c>
      <c r="HG39" t="s">
        <v>57</v>
      </c>
      <c r="HH39" t="s">
        <v>148</v>
      </c>
      <c r="HI39" t="s">
        <v>148</v>
      </c>
      <c r="HJ39" t="s">
        <v>148</v>
      </c>
      <c r="HK39" t="s">
        <v>148</v>
      </c>
      <c r="HL39" t="s">
        <v>57</v>
      </c>
      <c r="HM39" t="s">
        <v>57</v>
      </c>
      <c r="HN39" t="s">
        <v>57</v>
      </c>
      <c r="HO39" t="s">
        <v>57</v>
      </c>
      <c r="HP39" t="s">
        <v>57</v>
      </c>
      <c r="HQ39" t="s">
        <v>57</v>
      </c>
      <c r="HR39" t="s">
        <v>57</v>
      </c>
      <c r="HS39" t="s">
        <v>57</v>
      </c>
      <c r="HT39" t="s">
        <v>57</v>
      </c>
      <c r="HU39" t="s">
        <v>57</v>
      </c>
      <c r="HV39" t="s">
        <v>57</v>
      </c>
      <c r="HW39" t="s">
        <v>57</v>
      </c>
      <c r="HX39" t="s">
        <v>57</v>
      </c>
      <c r="HY39" t="s">
        <v>57</v>
      </c>
      <c r="HZ39" t="s">
        <v>57</v>
      </c>
      <c r="IA39" t="s">
        <v>57</v>
      </c>
      <c r="IB39" t="s">
        <v>57</v>
      </c>
      <c r="IC39" t="s">
        <v>57</v>
      </c>
      <c r="ID39" t="s">
        <v>57</v>
      </c>
      <c r="IE39" t="s">
        <v>57</v>
      </c>
      <c r="IF39" t="s">
        <v>124</v>
      </c>
      <c r="IG39" t="s">
        <v>155</v>
      </c>
      <c r="IH39" t="s">
        <v>123</v>
      </c>
      <c r="II39" t="s">
        <v>156</v>
      </c>
    </row>
    <row r="40" spans="1:243" x14ac:dyDescent="0.25">
      <c r="A40" s="111" t="str">
        <f>HYPERLINK("http://www.ofsted.gov.uk/inspection-reports/find-inspection-report/provider/ELS/103753 ","Ofsted School Webpage")</f>
        <v>Ofsted School Webpage</v>
      </c>
      <c r="B40">
        <v>103753</v>
      </c>
      <c r="C40">
        <v>3316022</v>
      </c>
      <c r="D40" t="s">
        <v>414</v>
      </c>
      <c r="E40" t="s">
        <v>36</v>
      </c>
      <c r="F40" t="s">
        <v>166</v>
      </c>
      <c r="G40" t="s">
        <v>150</v>
      </c>
      <c r="H40" t="s">
        <v>150</v>
      </c>
      <c r="I40" t="s">
        <v>415</v>
      </c>
      <c r="J40" t="s">
        <v>416</v>
      </c>
      <c r="K40" t="s">
        <v>261</v>
      </c>
      <c r="L40" t="s">
        <v>180</v>
      </c>
      <c r="M40" t="s">
        <v>2596</v>
      </c>
      <c r="N40" t="s">
        <v>143</v>
      </c>
      <c r="O40">
        <v>10038826</v>
      </c>
      <c r="P40" s="108">
        <v>43018</v>
      </c>
      <c r="Q40" s="108">
        <v>43020</v>
      </c>
      <c r="R40" s="108">
        <v>43059</v>
      </c>
      <c r="S40" t="s">
        <v>153</v>
      </c>
      <c r="T40" t="s">
        <v>154</v>
      </c>
      <c r="U40">
        <v>3</v>
      </c>
      <c r="V40">
        <v>2</v>
      </c>
      <c r="W40">
        <v>2</v>
      </c>
      <c r="X40">
        <v>3</v>
      </c>
      <c r="Y40">
        <v>3</v>
      </c>
      <c r="Z40">
        <v>2</v>
      </c>
      <c r="AA40" t="s">
        <v>2596</v>
      </c>
      <c r="AB40" t="s">
        <v>123</v>
      </c>
      <c r="AC40" t="s">
        <v>2596</v>
      </c>
      <c r="AD40" t="s">
        <v>2598</v>
      </c>
      <c r="AE40" t="s">
        <v>57</v>
      </c>
      <c r="AF40" t="s">
        <v>57</v>
      </c>
      <c r="AG40" t="s">
        <v>57</v>
      </c>
      <c r="AH40" t="s">
        <v>57</v>
      </c>
      <c r="AI40" t="s">
        <v>57</v>
      </c>
      <c r="AJ40" t="s">
        <v>57</v>
      </c>
      <c r="AK40" t="s">
        <v>57</v>
      </c>
      <c r="AL40" t="s">
        <v>57</v>
      </c>
      <c r="AM40" t="s">
        <v>57</v>
      </c>
      <c r="AN40" t="s">
        <v>57</v>
      </c>
      <c r="AO40" t="s">
        <v>57</v>
      </c>
      <c r="AP40" t="s">
        <v>57</v>
      </c>
      <c r="AQ40" t="s">
        <v>57</v>
      </c>
      <c r="AR40" t="s">
        <v>57</v>
      </c>
      <c r="AS40" t="s">
        <v>57</v>
      </c>
      <c r="AT40" t="s">
        <v>57</v>
      </c>
      <c r="AU40" t="s">
        <v>175</v>
      </c>
      <c r="AV40" t="s">
        <v>57</v>
      </c>
      <c r="AW40" t="s">
        <v>57</v>
      </c>
      <c r="AX40" t="s">
        <v>57</v>
      </c>
      <c r="AY40" t="s">
        <v>175</v>
      </c>
      <c r="AZ40" t="s">
        <v>175</v>
      </c>
      <c r="BA40" t="s">
        <v>175</v>
      </c>
      <c r="BB40" t="s">
        <v>175</v>
      </c>
      <c r="BC40" t="s">
        <v>57</v>
      </c>
      <c r="BD40" t="s">
        <v>175</v>
      </c>
      <c r="BE40" t="s">
        <v>57</v>
      </c>
      <c r="BF40" t="s">
        <v>57</v>
      </c>
      <c r="BG40" t="s">
        <v>57</v>
      </c>
      <c r="BH40" t="s">
        <v>57</v>
      </c>
      <c r="BI40" t="s">
        <v>57</v>
      </c>
      <c r="BJ40" t="s">
        <v>57</v>
      </c>
      <c r="BK40" t="s">
        <v>57</v>
      </c>
      <c r="BL40" t="s">
        <v>57</v>
      </c>
      <c r="BM40" t="s">
        <v>57</v>
      </c>
      <c r="BN40" t="s">
        <v>57</v>
      </c>
      <c r="BO40" t="s">
        <v>57</v>
      </c>
      <c r="BP40" t="s">
        <v>57</v>
      </c>
      <c r="BQ40" t="s">
        <v>57</v>
      </c>
      <c r="BR40" t="s">
        <v>57</v>
      </c>
      <c r="BS40" t="s">
        <v>57</v>
      </c>
      <c r="BT40" t="s">
        <v>57</v>
      </c>
      <c r="BU40" t="s">
        <v>57</v>
      </c>
      <c r="BV40" t="s">
        <v>57</v>
      </c>
      <c r="BW40" t="s">
        <v>57</v>
      </c>
      <c r="BX40" t="s">
        <v>57</v>
      </c>
      <c r="BY40" t="s">
        <v>57</v>
      </c>
      <c r="BZ40" t="s">
        <v>57</v>
      </c>
      <c r="CA40" t="s">
        <v>57</v>
      </c>
      <c r="CB40" t="s">
        <v>57</v>
      </c>
      <c r="CC40" t="s">
        <v>57</v>
      </c>
      <c r="CD40" t="s">
        <v>57</v>
      </c>
      <c r="CE40" t="s">
        <v>57</v>
      </c>
      <c r="CF40" t="s">
        <v>57</v>
      </c>
      <c r="CG40" t="s">
        <v>57</v>
      </c>
      <c r="CH40" t="s">
        <v>57</v>
      </c>
      <c r="CI40" t="s">
        <v>57</v>
      </c>
      <c r="CJ40" t="s">
        <v>57</v>
      </c>
      <c r="CK40" t="s">
        <v>57</v>
      </c>
      <c r="CL40" t="s">
        <v>57</v>
      </c>
      <c r="CM40" t="s">
        <v>57</v>
      </c>
      <c r="CN40" t="s">
        <v>57</v>
      </c>
      <c r="CO40" t="s">
        <v>57</v>
      </c>
      <c r="CP40" t="s">
        <v>57</v>
      </c>
      <c r="CQ40" t="s">
        <v>57</v>
      </c>
      <c r="CR40" t="s">
        <v>57</v>
      </c>
      <c r="CS40" t="s">
        <v>57</v>
      </c>
      <c r="CT40" t="s">
        <v>57</v>
      </c>
      <c r="CU40" t="s">
        <v>57</v>
      </c>
      <c r="CV40" t="s">
        <v>57</v>
      </c>
      <c r="CW40" t="s">
        <v>57</v>
      </c>
      <c r="CX40" t="s">
        <v>57</v>
      </c>
      <c r="CY40" t="s">
        <v>57</v>
      </c>
      <c r="CZ40" t="s">
        <v>57</v>
      </c>
      <c r="DA40" t="s">
        <v>57</v>
      </c>
      <c r="DB40" t="s">
        <v>57</v>
      </c>
      <c r="DC40" t="s">
        <v>57</v>
      </c>
      <c r="DD40" t="s">
        <v>57</v>
      </c>
      <c r="DE40" t="s">
        <v>57</v>
      </c>
      <c r="DF40" t="s">
        <v>57</v>
      </c>
      <c r="DG40" t="s">
        <v>57</v>
      </c>
      <c r="DH40" t="s">
        <v>57</v>
      </c>
      <c r="DI40" t="s">
        <v>57</v>
      </c>
      <c r="DJ40" t="s">
        <v>57</v>
      </c>
      <c r="DK40" t="s">
        <v>57</v>
      </c>
      <c r="DL40" t="s">
        <v>57</v>
      </c>
      <c r="DM40" t="s">
        <v>57</v>
      </c>
      <c r="DN40" t="s">
        <v>57</v>
      </c>
      <c r="DO40" t="s">
        <v>57</v>
      </c>
      <c r="DP40" t="s">
        <v>57</v>
      </c>
      <c r="DQ40" t="s">
        <v>57</v>
      </c>
      <c r="DR40" t="s">
        <v>57</v>
      </c>
      <c r="DS40" t="s">
        <v>57</v>
      </c>
      <c r="DT40" t="s">
        <v>57</v>
      </c>
      <c r="DU40" t="s">
        <v>57</v>
      </c>
      <c r="DV40" t="s">
        <v>57</v>
      </c>
      <c r="DW40" t="s">
        <v>57</v>
      </c>
      <c r="DX40" t="s">
        <v>57</v>
      </c>
      <c r="DY40" t="s">
        <v>175</v>
      </c>
      <c r="DZ40" t="s">
        <v>57</v>
      </c>
      <c r="EA40" t="s">
        <v>57</v>
      </c>
      <c r="EB40" t="s">
        <v>57</v>
      </c>
      <c r="EC40" t="s">
        <v>57</v>
      </c>
      <c r="ED40" t="s">
        <v>57</v>
      </c>
      <c r="EE40" t="s">
        <v>57</v>
      </c>
      <c r="EF40" t="s">
        <v>57</v>
      </c>
      <c r="EG40" t="s">
        <v>57</v>
      </c>
      <c r="EH40" t="s">
        <v>57</v>
      </c>
      <c r="EI40" t="s">
        <v>57</v>
      </c>
      <c r="EJ40" t="s">
        <v>57</v>
      </c>
      <c r="EK40" t="s">
        <v>57</v>
      </c>
      <c r="EL40" t="s">
        <v>57</v>
      </c>
      <c r="EM40" t="s">
        <v>57</v>
      </c>
      <c r="EN40" t="s">
        <v>57</v>
      </c>
      <c r="EO40" t="s">
        <v>57</v>
      </c>
      <c r="EP40" t="s">
        <v>57</v>
      </c>
      <c r="EQ40" t="s">
        <v>57</v>
      </c>
      <c r="ER40" t="s">
        <v>57</v>
      </c>
      <c r="ES40" t="s">
        <v>57</v>
      </c>
      <c r="ET40" t="s">
        <v>57</v>
      </c>
      <c r="EU40" t="s">
        <v>57</v>
      </c>
      <c r="EV40" t="s">
        <v>57</v>
      </c>
      <c r="EW40" t="s">
        <v>57</v>
      </c>
      <c r="EX40" t="s">
        <v>57</v>
      </c>
      <c r="EY40" t="s">
        <v>57</v>
      </c>
      <c r="EZ40" t="s">
        <v>57</v>
      </c>
      <c r="FA40" t="s">
        <v>57</v>
      </c>
      <c r="FB40" t="s">
        <v>57</v>
      </c>
      <c r="FC40" t="s">
        <v>57</v>
      </c>
      <c r="FD40" t="s">
        <v>57</v>
      </c>
      <c r="FE40" t="s">
        <v>57</v>
      </c>
      <c r="FF40" t="s">
        <v>57</v>
      </c>
      <c r="FG40" t="s">
        <v>57</v>
      </c>
      <c r="FH40" t="s">
        <v>57</v>
      </c>
      <c r="FI40" t="s">
        <v>57</v>
      </c>
      <c r="FJ40" t="s">
        <v>57</v>
      </c>
      <c r="FK40" t="s">
        <v>57</v>
      </c>
      <c r="FL40" t="s">
        <v>57</v>
      </c>
      <c r="FM40" t="s">
        <v>57</v>
      </c>
      <c r="FN40" t="s">
        <v>57</v>
      </c>
      <c r="FO40" t="s">
        <v>57</v>
      </c>
      <c r="FP40" t="s">
        <v>57</v>
      </c>
      <c r="FQ40" t="s">
        <v>57</v>
      </c>
      <c r="FR40" t="s">
        <v>57</v>
      </c>
      <c r="FS40" t="s">
        <v>57</v>
      </c>
      <c r="FT40" t="s">
        <v>57</v>
      </c>
      <c r="FU40" t="s">
        <v>57</v>
      </c>
      <c r="FV40" t="s">
        <v>57</v>
      </c>
      <c r="FW40" t="s">
        <v>57</v>
      </c>
      <c r="FX40" t="s">
        <v>57</v>
      </c>
      <c r="FY40" t="s">
        <v>57</v>
      </c>
      <c r="FZ40" t="s">
        <v>57</v>
      </c>
      <c r="GA40" t="s">
        <v>57</v>
      </c>
      <c r="GB40" t="s">
        <v>57</v>
      </c>
      <c r="GC40" t="s">
        <v>57</v>
      </c>
      <c r="GD40" t="s">
        <v>57</v>
      </c>
      <c r="GE40" t="s">
        <v>57</v>
      </c>
      <c r="GF40" t="s">
        <v>57</v>
      </c>
      <c r="GG40" t="s">
        <v>57</v>
      </c>
      <c r="GH40" t="s">
        <v>57</v>
      </c>
      <c r="GI40" t="s">
        <v>57</v>
      </c>
      <c r="GJ40" t="s">
        <v>57</v>
      </c>
      <c r="GK40" t="s">
        <v>57</v>
      </c>
      <c r="GL40" t="s">
        <v>57</v>
      </c>
      <c r="GM40" t="s">
        <v>57</v>
      </c>
      <c r="GN40" t="s">
        <v>57</v>
      </c>
      <c r="GO40" t="s">
        <v>57</v>
      </c>
      <c r="GP40" t="s">
        <v>57</v>
      </c>
      <c r="GQ40" t="s">
        <v>57</v>
      </c>
      <c r="GR40" t="s">
        <v>57</v>
      </c>
      <c r="GS40" t="s">
        <v>57</v>
      </c>
      <c r="GT40" t="s">
        <v>57</v>
      </c>
      <c r="GU40" t="s">
        <v>57</v>
      </c>
      <c r="GV40" t="s">
        <v>57</v>
      </c>
      <c r="GW40" t="s">
        <v>57</v>
      </c>
      <c r="GX40" t="s">
        <v>57</v>
      </c>
      <c r="GY40" t="s">
        <v>57</v>
      </c>
      <c r="GZ40" t="s">
        <v>57</v>
      </c>
      <c r="HA40" t="s">
        <v>57</v>
      </c>
      <c r="HB40" t="s">
        <v>57</v>
      </c>
      <c r="HC40" t="s">
        <v>57</v>
      </c>
      <c r="HD40" t="s">
        <v>57</v>
      </c>
      <c r="HE40" t="s">
        <v>57</v>
      </c>
      <c r="HF40" t="s">
        <v>57</v>
      </c>
      <c r="HG40" t="s">
        <v>57</v>
      </c>
      <c r="HH40" t="s">
        <v>57</v>
      </c>
      <c r="HI40" t="s">
        <v>57</v>
      </c>
      <c r="HJ40" t="s">
        <v>57</v>
      </c>
      <c r="HK40" t="s">
        <v>57</v>
      </c>
      <c r="HL40" t="s">
        <v>57</v>
      </c>
      <c r="HM40" t="s">
        <v>57</v>
      </c>
      <c r="HN40" t="s">
        <v>57</v>
      </c>
      <c r="HO40" t="s">
        <v>57</v>
      </c>
      <c r="HP40" t="s">
        <v>57</v>
      </c>
      <c r="HQ40" t="s">
        <v>57</v>
      </c>
      <c r="HR40" t="s">
        <v>57</v>
      </c>
      <c r="HS40" t="s">
        <v>57</v>
      </c>
      <c r="HT40" t="s">
        <v>57</v>
      </c>
      <c r="HU40" t="s">
        <v>57</v>
      </c>
      <c r="HV40" t="s">
        <v>57</v>
      </c>
      <c r="HW40" t="s">
        <v>57</v>
      </c>
      <c r="HX40" t="s">
        <v>57</v>
      </c>
      <c r="HY40" t="s">
        <v>57</v>
      </c>
      <c r="HZ40" t="s">
        <v>57</v>
      </c>
      <c r="IA40" t="s">
        <v>57</v>
      </c>
      <c r="IB40" t="s">
        <v>57</v>
      </c>
      <c r="IC40" t="s">
        <v>57</v>
      </c>
      <c r="ID40" t="s">
        <v>57</v>
      </c>
      <c r="IE40" t="s">
        <v>57</v>
      </c>
      <c r="IF40" t="s">
        <v>124</v>
      </c>
      <c r="IG40" t="s">
        <v>148</v>
      </c>
      <c r="IH40" t="s">
        <v>123</v>
      </c>
      <c r="II40" t="s">
        <v>156</v>
      </c>
    </row>
    <row r="41" spans="1:243" x14ac:dyDescent="0.25">
      <c r="A41" s="111" t="str">
        <f>HYPERLINK("http://www.ofsted.gov.uk/inspection-reports/find-inspection-report/provider/ELS/105596 ","Ofsted School Webpage")</f>
        <v>Ofsted School Webpage</v>
      </c>
      <c r="B41">
        <v>105596</v>
      </c>
      <c r="C41">
        <v>3526037</v>
      </c>
      <c r="D41" t="s">
        <v>1584</v>
      </c>
      <c r="E41" t="s">
        <v>36</v>
      </c>
      <c r="F41" t="s">
        <v>166</v>
      </c>
      <c r="G41" t="s">
        <v>162</v>
      </c>
      <c r="H41" t="s">
        <v>162</v>
      </c>
      <c r="I41" t="s">
        <v>263</v>
      </c>
      <c r="J41" t="s">
        <v>1585</v>
      </c>
      <c r="K41" t="s">
        <v>142</v>
      </c>
      <c r="L41" t="s">
        <v>169</v>
      </c>
      <c r="M41" t="s">
        <v>2596</v>
      </c>
      <c r="N41" t="s">
        <v>143</v>
      </c>
      <c r="O41">
        <v>10044719</v>
      </c>
      <c r="P41" s="108">
        <v>43116</v>
      </c>
      <c r="Q41" s="108">
        <v>43118</v>
      </c>
      <c r="R41" s="108">
        <v>43143</v>
      </c>
      <c r="S41" t="s">
        <v>153</v>
      </c>
      <c r="T41" t="s">
        <v>154</v>
      </c>
      <c r="U41">
        <v>3</v>
      </c>
      <c r="V41">
        <v>3</v>
      </c>
      <c r="W41">
        <v>2</v>
      </c>
      <c r="X41">
        <v>3</v>
      </c>
      <c r="Y41">
        <v>3</v>
      </c>
      <c r="Z41">
        <v>3</v>
      </c>
      <c r="AA41">
        <v>3</v>
      </c>
      <c r="AB41" t="s">
        <v>123</v>
      </c>
      <c r="AC41" t="s">
        <v>2596</v>
      </c>
      <c r="AD41" t="s">
        <v>2598</v>
      </c>
      <c r="AE41" t="s">
        <v>57</v>
      </c>
      <c r="AF41" t="s">
        <v>57</v>
      </c>
      <c r="AG41" t="s">
        <v>57</v>
      </c>
      <c r="AH41" t="s">
        <v>57</v>
      </c>
      <c r="AI41" t="s">
        <v>57</v>
      </c>
      <c r="AJ41" t="s">
        <v>57</v>
      </c>
      <c r="AK41" t="s">
        <v>57</v>
      </c>
      <c r="AL41" t="s">
        <v>57</v>
      </c>
      <c r="AM41" t="s">
        <v>57</v>
      </c>
      <c r="AN41" t="s">
        <v>57</v>
      </c>
      <c r="AO41" t="s">
        <v>57</v>
      </c>
      <c r="AP41" t="s">
        <v>57</v>
      </c>
      <c r="AQ41" t="s">
        <v>57</v>
      </c>
      <c r="AR41" t="s">
        <v>57</v>
      </c>
      <c r="AS41" t="s">
        <v>57</v>
      </c>
      <c r="AT41" t="s">
        <v>57</v>
      </c>
      <c r="AU41" t="s">
        <v>175</v>
      </c>
      <c r="AV41" t="s">
        <v>57</v>
      </c>
      <c r="AW41" t="s">
        <v>57</v>
      </c>
      <c r="AX41" t="s">
        <v>57</v>
      </c>
      <c r="AY41" t="s">
        <v>57</v>
      </c>
      <c r="AZ41" t="s">
        <v>57</v>
      </c>
      <c r="BA41" t="s">
        <v>57</v>
      </c>
      <c r="BB41" t="s">
        <v>57</v>
      </c>
      <c r="BC41" t="s">
        <v>57</v>
      </c>
      <c r="BD41" t="s">
        <v>175</v>
      </c>
      <c r="BE41" t="s">
        <v>57</v>
      </c>
      <c r="BF41" t="s">
        <v>57</v>
      </c>
      <c r="BG41" t="s">
        <v>57</v>
      </c>
      <c r="BH41" t="s">
        <v>57</v>
      </c>
      <c r="BI41" t="s">
        <v>57</v>
      </c>
      <c r="BJ41" t="s">
        <v>57</v>
      </c>
      <c r="BK41" t="s">
        <v>57</v>
      </c>
      <c r="BL41" t="s">
        <v>57</v>
      </c>
      <c r="BM41" t="s">
        <v>57</v>
      </c>
      <c r="BN41" t="s">
        <v>57</v>
      </c>
      <c r="BO41" t="s">
        <v>57</v>
      </c>
      <c r="BP41" t="s">
        <v>57</v>
      </c>
      <c r="BQ41" t="s">
        <v>57</v>
      </c>
      <c r="BR41" t="s">
        <v>57</v>
      </c>
      <c r="BS41" t="s">
        <v>57</v>
      </c>
      <c r="BT41" t="s">
        <v>57</v>
      </c>
      <c r="BU41" t="s">
        <v>57</v>
      </c>
      <c r="BV41" t="s">
        <v>57</v>
      </c>
      <c r="BW41" t="s">
        <v>57</v>
      </c>
      <c r="BX41" t="s">
        <v>57</v>
      </c>
      <c r="BY41" t="s">
        <v>57</v>
      </c>
      <c r="BZ41" t="s">
        <v>57</v>
      </c>
      <c r="CA41" t="s">
        <v>57</v>
      </c>
      <c r="CB41" t="s">
        <v>57</v>
      </c>
      <c r="CC41" t="s">
        <v>57</v>
      </c>
      <c r="CD41" t="s">
        <v>57</v>
      </c>
      <c r="CE41" t="s">
        <v>57</v>
      </c>
      <c r="CF41" t="s">
        <v>57</v>
      </c>
      <c r="CG41" t="s">
        <v>57</v>
      </c>
      <c r="CH41" t="s">
        <v>57</v>
      </c>
      <c r="CI41" t="s">
        <v>57</v>
      </c>
      <c r="CJ41" t="s">
        <v>57</v>
      </c>
      <c r="CK41" t="s">
        <v>175</v>
      </c>
      <c r="CL41" t="s">
        <v>175</v>
      </c>
      <c r="CM41" t="s">
        <v>175</v>
      </c>
      <c r="CN41" t="s">
        <v>57</v>
      </c>
      <c r="CO41" t="s">
        <v>57</v>
      </c>
      <c r="CP41" t="s">
        <v>57</v>
      </c>
      <c r="CQ41" t="s">
        <v>57</v>
      </c>
      <c r="CR41" t="s">
        <v>57</v>
      </c>
      <c r="CS41" t="s">
        <v>57</v>
      </c>
      <c r="CT41" t="s">
        <v>57</v>
      </c>
      <c r="CU41" t="s">
        <v>57</v>
      </c>
      <c r="CV41" t="s">
        <v>57</v>
      </c>
      <c r="CW41" t="s">
        <v>57</v>
      </c>
      <c r="CX41" t="s">
        <v>57</v>
      </c>
      <c r="CY41" t="s">
        <v>57</v>
      </c>
      <c r="CZ41" t="s">
        <v>57</v>
      </c>
      <c r="DA41" t="s">
        <v>57</v>
      </c>
      <c r="DB41" t="s">
        <v>57</v>
      </c>
      <c r="DC41" t="s">
        <v>57</v>
      </c>
      <c r="DD41" t="s">
        <v>57</v>
      </c>
      <c r="DE41" t="s">
        <v>57</v>
      </c>
      <c r="DF41" t="s">
        <v>57</v>
      </c>
      <c r="DG41" t="s">
        <v>57</v>
      </c>
      <c r="DH41" t="s">
        <v>57</v>
      </c>
      <c r="DI41" t="s">
        <v>57</v>
      </c>
      <c r="DJ41" t="s">
        <v>57</v>
      </c>
      <c r="DK41" t="s">
        <v>175</v>
      </c>
      <c r="DL41" t="s">
        <v>57</v>
      </c>
      <c r="DM41" t="s">
        <v>175</v>
      </c>
      <c r="DN41" t="s">
        <v>175</v>
      </c>
      <c r="DO41" t="s">
        <v>175</v>
      </c>
      <c r="DP41" t="s">
        <v>175</v>
      </c>
      <c r="DQ41" t="s">
        <v>175</v>
      </c>
      <c r="DR41" t="s">
        <v>175</v>
      </c>
      <c r="DS41" t="s">
        <v>175</v>
      </c>
      <c r="DT41" t="s">
        <v>175</v>
      </c>
      <c r="DU41" t="s">
        <v>175</v>
      </c>
      <c r="DV41" t="s">
        <v>175</v>
      </c>
      <c r="DW41" t="s">
        <v>175</v>
      </c>
      <c r="DX41" t="s">
        <v>175</v>
      </c>
      <c r="DY41" t="s">
        <v>175</v>
      </c>
      <c r="DZ41" t="s">
        <v>175</v>
      </c>
      <c r="EA41" t="s">
        <v>175</v>
      </c>
      <c r="EB41" t="s">
        <v>175</v>
      </c>
      <c r="EC41" t="s">
        <v>175</v>
      </c>
      <c r="ED41" t="s">
        <v>175</v>
      </c>
      <c r="EE41" t="s">
        <v>175</v>
      </c>
      <c r="EF41" t="s">
        <v>175</v>
      </c>
      <c r="EG41" t="s">
        <v>175</v>
      </c>
      <c r="EH41" t="s">
        <v>175</v>
      </c>
      <c r="EI41" t="s">
        <v>175</v>
      </c>
      <c r="EJ41" t="s">
        <v>57</v>
      </c>
      <c r="EK41" t="s">
        <v>57</v>
      </c>
      <c r="EL41" t="s">
        <v>57</v>
      </c>
      <c r="EM41" t="s">
        <v>57</v>
      </c>
      <c r="EN41" t="s">
        <v>57</v>
      </c>
      <c r="EO41" t="s">
        <v>57</v>
      </c>
      <c r="EP41" t="s">
        <v>57</v>
      </c>
      <c r="EQ41" t="s">
        <v>57</v>
      </c>
      <c r="ER41" t="s">
        <v>57</v>
      </c>
      <c r="ES41" t="s">
        <v>57</v>
      </c>
      <c r="ET41" t="s">
        <v>57</v>
      </c>
      <c r="EU41" t="s">
        <v>57</v>
      </c>
      <c r="EV41" t="s">
        <v>57</v>
      </c>
      <c r="EW41" t="s">
        <v>57</v>
      </c>
      <c r="EX41" t="s">
        <v>175</v>
      </c>
      <c r="EY41" t="s">
        <v>175</v>
      </c>
      <c r="EZ41" t="s">
        <v>175</v>
      </c>
      <c r="FA41" t="s">
        <v>175</v>
      </c>
      <c r="FB41" t="s">
        <v>175</v>
      </c>
      <c r="FC41" t="s">
        <v>57</v>
      </c>
      <c r="FD41" t="s">
        <v>175</v>
      </c>
      <c r="FE41" t="s">
        <v>57</v>
      </c>
      <c r="FF41" t="s">
        <v>57</v>
      </c>
      <c r="FG41" t="s">
        <v>57</v>
      </c>
      <c r="FH41" t="s">
        <v>57</v>
      </c>
      <c r="FI41" t="s">
        <v>57</v>
      </c>
      <c r="FJ41" t="s">
        <v>57</v>
      </c>
      <c r="FK41" t="s">
        <v>57</v>
      </c>
      <c r="FL41" t="s">
        <v>57</v>
      </c>
      <c r="FM41" t="s">
        <v>57</v>
      </c>
      <c r="FN41" t="s">
        <v>57</v>
      </c>
      <c r="FO41" t="s">
        <v>175</v>
      </c>
      <c r="FP41" t="s">
        <v>57</v>
      </c>
      <c r="FQ41" t="s">
        <v>57</v>
      </c>
      <c r="FR41" t="s">
        <v>57</v>
      </c>
      <c r="FS41" t="s">
        <v>57</v>
      </c>
      <c r="FT41" t="s">
        <v>57</v>
      </c>
      <c r="FU41" t="s">
        <v>57</v>
      </c>
      <c r="FV41" t="s">
        <v>57</v>
      </c>
      <c r="FW41" t="s">
        <v>57</v>
      </c>
      <c r="FX41" t="s">
        <v>57</v>
      </c>
      <c r="FY41" t="s">
        <v>57</v>
      </c>
      <c r="FZ41" t="s">
        <v>57</v>
      </c>
      <c r="GA41" t="s">
        <v>57</v>
      </c>
      <c r="GB41" t="s">
        <v>57</v>
      </c>
      <c r="GC41" t="s">
        <v>57</v>
      </c>
      <c r="GD41" t="s">
        <v>57</v>
      </c>
      <c r="GE41" t="s">
        <v>57</v>
      </c>
      <c r="GF41" t="s">
        <v>57</v>
      </c>
      <c r="GG41" t="s">
        <v>175</v>
      </c>
      <c r="GH41" t="s">
        <v>57</v>
      </c>
      <c r="GI41" t="s">
        <v>57</v>
      </c>
      <c r="GJ41" t="s">
        <v>57</v>
      </c>
      <c r="GK41" t="s">
        <v>57</v>
      </c>
      <c r="GL41" t="s">
        <v>57</v>
      </c>
      <c r="GM41" t="s">
        <v>175</v>
      </c>
      <c r="GN41" t="s">
        <v>57</v>
      </c>
      <c r="GO41" t="s">
        <v>57</v>
      </c>
      <c r="GP41" t="s">
        <v>175</v>
      </c>
      <c r="GQ41" t="s">
        <v>57</v>
      </c>
      <c r="GR41" t="s">
        <v>57</v>
      </c>
      <c r="GS41" t="s">
        <v>57</v>
      </c>
      <c r="GT41" t="s">
        <v>57</v>
      </c>
      <c r="GU41" t="s">
        <v>57</v>
      </c>
      <c r="GV41" t="s">
        <v>57</v>
      </c>
      <c r="GW41" t="s">
        <v>175</v>
      </c>
      <c r="GX41" t="s">
        <v>57</v>
      </c>
      <c r="GY41" t="s">
        <v>57</v>
      </c>
      <c r="GZ41" t="s">
        <v>57</v>
      </c>
      <c r="HA41" t="s">
        <v>57</v>
      </c>
      <c r="HB41" t="s">
        <v>57</v>
      </c>
      <c r="HC41" t="s">
        <v>57</v>
      </c>
      <c r="HD41" t="s">
        <v>57</v>
      </c>
      <c r="HE41" t="s">
        <v>57</v>
      </c>
      <c r="HF41" t="s">
        <v>57</v>
      </c>
      <c r="HG41" t="s">
        <v>57</v>
      </c>
      <c r="HH41" t="s">
        <v>175</v>
      </c>
      <c r="HI41" t="s">
        <v>175</v>
      </c>
      <c r="HJ41" t="s">
        <v>175</v>
      </c>
      <c r="HK41" t="s">
        <v>175</v>
      </c>
      <c r="HL41" t="s">
        <v>57</v>
      </c>
      <c r="HM41" t="s">
        <v>57</v>
      </c>
      <c r="HN41" t="s">
        <v>57</v>
      </c>
      <c r="HO41" t="s">
        <v>57</v>
      </c>
      <c r="HP41" t="s">
        <v>57</v>
      </c>
      <c r="HQ41" t="s">
        <v>57</v>
      </c>
      <c r="HR41" t="s">
        <v>57</v>
      </c>
      <c r="HS41" t="s">
        <v>57</v>
      </c>
      <c r="HT41" t="s">
        <v>57</v>
      </c>
      <c r="HU41" t="s">
        <v>57</v>
      </c>
      <c r="HV41" t="s">
        <v>57</v>
      </c>
      <c r="HW41" t="s">
        <v>57</v>
      </c>
      <c r="HX41" t="s">
        <v>57</v>
      </c>
      <c r="HY41" t="s">
        <v>57</v>
      </c>
      <c r="HZ41" t="s">
        <v>57</v>
      </c>
      <c r="IA41" t="s">
        <v>57</v>
      </c>
      <c r="IB41" t="s">
        <v>57</v>
      </c>
      <c r="IC41" t="s">
        <v>57</v>
      </c>
      <c r="ID41" t="s">
        <v>57</v>
      </c>
      <c r="IE41" t="s">
        <v>57</v>
      </c>
      <c r="IF41" t="s">
        <v>124</v>
      </c>
      <c r="IG41" t="s">
        <v>148</v>
      </c>
      <c r="IH41" t="s">
        <v>123</v>
      </c>
      <c r="II41" t="s">
        <v>156</v>
      </c>
    </row>
    <row r="42" spans="1:243" x14ac:dyDescent="0.25">
      <c r="A42" s="111" t="str">
        <f>HYPERLINK("http://www.ofsted.gov.uk/inspection-reports/find-inspection-report/provider/ELS/105598 ","Ofsted School Webpage")</f>
        <v>Ofsted School Webpage</v>
      </c>
      <c r="B42">
        <v>105598</v>
      </c>
      <c r="C42">
        <v>3526041</v>
      </c>
      <c r="D42" t="s">
        <v>2258</v>
      </c>
      <c r="E42" t="s">
        <v>36</v>
      </c>
      <c r="F42" t="s">
        <v>166</v>
      </c>
      <c r="G42" t="s">
        <v>162</v>
      </c>
      <c r="H42" t="s">
        <v>162</v>
      </c>
      <c r="I42" t="s">
        <v>263</v>
      </c>
      <c r="J42" t="s">
        <v>2259</v>
      </c>
      <c r="K42" t="s">
        <v>261</v>
      </c>
      <c r="L42" t="s">
        <v>180</v>
      </c>
      <c r="M42" t="s">
        <v>2596</v>
      </c>
      <c r="N42" t="s">
        <v>143</v>
      </c>
      <c r="O42">
        <v>10043368</v>
      </c>
      <c r="P42" s="108">
        <v>43137</v>
      </c>
      <c r="Q42" s="108">
        <v>43139</v>
      </c>
      <c r="R42" s="108">
        <v>43172</v>
      </c>
      <c r="S42" t="s">
        <v>153</v>
      </c>
      <c r="T42" t="s">
        <v>154</v>
      </c>
      <c r="U42">
        <v>2</v>
      </c>
      <c r="V42">
        <v>2</v>
      </c>
      <c r="W42">
        <v>1</v>
      </c>
      <c r="X42">
        <v>2</v>
      </c>
      <c r="Y42">
        <v>2</v>
      </c>
      <c r="Z42">
        <v>2</v>
      </c>
      <c r="AA42" t="s">
        <v>2596</v>
      </c>
      <c r="AB42" t="s">
        <v>123</v>
      </c>
      <c r="AC42" t="s">
        <v>2596</v>
      </c>
      <c r="AD42" t="s">
        <v>2598</v>
      </c>
      <c r="AE42" t="s">
        <v>57</v>
      </c>
      <c r="AF42" t="s">
        <v>57</v>
      </c>
      <c r="AG42" t="s">
        <v>57</v>
      </c>
      <c r="AH42" t="s">
        <v>57</v>
      </c>
      <c r="AI42" t="s">
        <v>57</v>
      </c>
      <c r="AJ42" t="s">
        <v>57</v>
      </c>
      <c r="AK42" t="s">
        <v>57</v>
      </c>
      <c r="AL42" t="s">
        <v>57</v>
      </c>
      <c r="AM42" t="s">
        <v>57</v>
      </c>
      <c r="AN42" t="s">
        <v>57</v>
      </c>
      <c r="AO42" t="s">
        <v>57</v>
      </c>
      <c r="AP42" t="s">
        <v>57</v>
      </c>
      <c r="AQ42" t="s">
        <v>57</v>
      </c>
      <c r="AR42" t="s">
        <v>57</v>
      </c>
      <c r="AS42" t="s">
        <v>57</v>
      </c>
      <c r="AT42" t="s">
        <v>57</v>
      </c>
      <c r="AU42" t="s">
        <v>175</v>
      </c>
      <c r="AV42" t="s">
        <v>57</v>
      </c>
      <c r="AW42" t="s">
        <v>57</v>
      </c>
      <c r="AX42" t="s">
        <v>57</v>
      </c>
      <c r="AY42" t="s">
        <v>175</v>
      </c>
      <c r="AZ42" t="s">
        <v>175</v>
      </c>
      <c r="BA42" t="s">
        <v>175</v>
      </c>
      <c r="BB42" t="s">
        <v>175</v>
      </c>
      <c r="BC42" t="s">
        <v>57</v>
      </c>
      <c r="BD42" t="s">
        <v>175</v>
      </c>
      <c r="BE42" t="s">
        <v>57</v>
      </c>
      <c r="BF42" t="s">
        <v>57</v>
      </c>
      <c r="BG42" t="s">
        <v>57</v>
      </c>
      <c r="BH42" t="s">
        <v>57</v>
      </c>
      <c r="BI42" t="s">
        <v>57</v>
      </c>
      <c r="BJ42" t="s">
        <v>57</v>
      </c>
      <c r="BK42" t="s">
        <v>57</v>
      </c>
      <c r="BL42" t="s">
        <v>57</v>
      </c>
      <c r="BM42" t="s">
        <v>57</v>
      </c>
      <c r="BN42" t="s">
        <v>57</v>
      </c>
      <c r="BO42" t="s">
        <v>57</v>
      </c>
      <c r="BP42" t="s">
        <v>57</v>
      </c>
      <c r="BQ42" t="s">
        <v>57</v>
      </c>
      <c r="BR42" t="s">
        <v>57</v>
      </c>
      <c r="BS42" t="s">
        <v>57</v>
      </c>
      <c r="BT42" t="s">
        <v>57</v>
      </c>
      <c r="BU42" t="s">
        <v>57</v>
      </c>
      <c r="BV42" t="s">
        <v>57</v>
      </c>
      <c r="BW42" t="s">
        <v>57</v>
      </c>
      <c r="BX42" t="s">
        <v>57</v>
      </c>
      <c r="BY42" t="s">
        <v>57</v>
      </c>
      <c r="BZ42" t="s">
        <v>57</v>
      </c>
      <c r="CA42" t="s">
        <v>57</v>
      </c>
      <c r="CB42" t="s">
        <v>57</v>
      </c>
      <c r="CC42" t="s">
        <v>57</v>
      </c>
      <c r="CD42" t="s">
        <v>57</v>
      </c>
      <c r="CE42" t="s">
        <v>57</v>
      </c>
      <c r="CF42" t="s">
        <v>57</v>
      </c>
      <c r="CG42" t="s">
        <v>57</v>
      </c>
      <c r="CH42" t="s">
        <v>57</v>
      </c>
      <c r="CI42" t="s">
        <v>57</v>
      </c>
      <c r="CJ42" t="s">
        <v>57</v>
      </c>
      <c r="CK42" t="s">
        <v>57</v>
      </c>
      <c r="CL42" t="s">
        <v>175</v>
      </c>
      <c r="CM42" t="s">
        <v>175</v>
      </c>
      <c r="CN42" t="s">
        <v>57</v>
      </c>
      <c r="CO42" t="s">
        <v>57</v>
      </c>
      <c r="CP42" t="s">
        <v>57</v>
      </c>
      <c r="CQ42" t="s">
        <v>57</v>
      </c>
      <c r="CR42" t="s">
        <v>57</v>
      </c>
      <c r="CS42" t="s">
        <v>57</v>
      </c>
      <c r="CT42" t="s">
        <v>57</v>
      </c>
      <c r="CU42" t="s">
        <v>57</v>
      </c>
      <c r="CV42" t="s">
        <v>57</v>
      </c>
      <c r="CW42" t="s">
        <v>57</v>
      </c>
      <c r="CX42" t="s">
        <v>57</v>
      </c>
      <c r="CY42" t="s">
        <v>57</v>
      </c>
      <c r="CZ42" t="s">
        <v>57</v>
      </c>
      <c r="DA42" t="s">
        <v>57</v>
      </c>
      <c r="DB42" t="s">
        <v>57</v>
      </c>
      <c r="DC42" t="s">
        <v>57</v>
      </c>
      <c r="DD42" t="s">
        <v>57</v>
      </c>
      <c r="DE42" t="s">
        <v>57</v>
      </c>
      <c r="DF42" t="s">
        <v>57</v>
      </c>
      <c r="DG42" t="s">
        <v>57</v>
      </c>
      <c r="DH42" t="s">
        <v>57</v>
      </c>
      <c r="DI42" t="s">
        <v>57</v>
      </c>
      <c r="DJ42" t="s">
        <v>57</v>
      </c>
      <c r="DK42" t="s">
        <v>175</v>
      </c>
      <c r="DL42" t="s">
        <v>57</v>
      </c>
      <c r="DM42" t="s">
        <v>57</v>
      </c>
      <c r="DN42" t="s">
        <v>57</v>
      </c>
      <c r="DO42" t="s">
        <v>57</v>
      </c>
      <c r="DP42" t="s">
        <v>57</v>
      </c>
      <c r="DQ42" t="s">
        <v>57</v>
      </c>
      <c r="DR42" t="s">
        <v>57</v>
      </c>
      <c r="DS42" t="s">
        <v>57</v>
      </c>
      <c r="DT42" t="s">
        <v>57</v>
      </c>
      <c r="DU42" t="s">
        <v>57</v>
      </c>
      <c r="DV42" t="s">
        <v>57</v>
      </c>
      <c r="DW42" t="s">
        <v>57</v>
      </c>
      <c r="DX42" t="s">
        <v>57</v>
      </c>
      <c r="DY42" t="s">
        <v>175</v>
      </c>
      <c r="DZ42" t="s">
        <v>57</v>
      </c>
      <c r="EA42" t="s">
        <v>57</v>
      </c>
      <c r="EB42" t="s">
        <v>57</v>
      </c>
      <c r="EC42" t="s">
        <v>57</v>
      </c>
      <c r="ED42" t="s">
        <v>57</v>
      </c>
      <c r="EE42" t="s">
        <v>57</v>
      </c>
      <c r="EF42" t="s">
        <v>57</v>
      </c>
      <c r="EG42" t="s">
        <v>57</v>
      </c>
      <c r="EH42" t="s">
        <v>57</v>
      </c>
      <c r="EI42" t="s">
        <v>57</v>
      </c>
      <c r="EJ42" t="s">
        <v>57</v>
      </c>
      <c r="EK42" t="s">
        <v>57</v>
      </c>
      <c r="EL42" t="s">
        <v>57</v>
      </c>
      <c r="EM42" t="s">
        <v>57</v>
      </c>
      <c r="EN42" t="s">
        <v>57</v>
      </c>
      <c r="EO42" t="s">
        <v>57</v>
      </c>
      <c r="EP42" t="s">
        <v>57</v>
      </c>
      <c r="EQ42" t="s">
        <v>57</v>
      </c>
      <c r="ER42" t="s">
        <v>57</v>
      </c>
      <c r="ES42" t="s">
        <v>57</v>
      </c>
      <c r="ET42" t="s">
        <v>57</v>
      </c>
      <c r="EU42" t="s">
        <v>57</v>
      </c>
      <c r="EV42" t="s">
        <v>57</v>
      </c>
      <c r="EW42" t="s">
        <v>57</v>
      </c>
      <c r="EX42" t="s">
        <v>57</v>
      </c>
      <c r="EY42" t="s">
        <v>57</v>
      </c>
      <c r="EZ42" t="s">
        <v>57</v>
      </c>
      <c r="FA42" t="s">
        <v>57</v>
      </c>
      <c r="FB42" t="s">
        <v>57</v>
      </c>
      <c r="FC42" t="s">
        <v>57</v>
      </c>
      <c r="FD42" t="s">
        <v>57</v>
      </c>
      <c r="FE42" t="s">
        <v>57</v>
      </c>
      <c r="FF42" t="s">
        <v>57</v>
      </c>
      <c r="FG42" t="s">
        <v>57</v>
      </c>
      <c r="FH42" t="s">
        <v>57</v>
      </c>
      <c r="FI42" t="s">
        <v>57</v>
      </c>
      <c r="FJ42" t="s">
        <v>57</v>
      </c>
      <c r="FK42" t="s">
        <v>175</v>
      </c>
      <c r="FL42" t="s">
        <v>57</v>
      </c>
      <c r="FM42" t="s">
        <v>57</v>
      </c>
      <c r="FN42" t="s">
        <v>57</v>
      </c>
      <c r="FO42" t="s">
        <v>175</v>
      </c>
      <c r="FP42" t="s">
        <v>57</v>
      </c>
      <c r="FQ42" t="s">
        <v>57</v>
      </c>
      <c r="FR42" t="s">
        <v>57</v>
      </c>
      <c r="FS42" t="s">
        <v>57</v>
      </c>
      <c r="FT42" t="s">
        <v>57</v>
      </c>
      <c r="FU42" t="s">
        <v>57</v>
      </c>
      <c r="FV42" t="s">
        <v>57</v>
      </c>
      <c r="FW42" t="s">
        <v>57</v>
      </c>
      <c r="FX42" t="s">
        <v>57</v>
      </c>
      <c r="FY42" t="s">
        <v>57</v>
      </c>
      <c r="FZ42" t="s">
        <v>57</v>
      </c>
      <c r="GA42" t="s">
        <v>57</v>
      </c>
      <c r="GB42" t="s">
        <v>57</v>
      </c>
      <c r="GC42" t="s">
        <v>57</v>
      </c>
      <c r="GD42" t="s">
        <v>57</v>
      </c>
      <c r="GE42" t="s">
        <v>57</v>
      </c>
      <c r="GF42" t="s">
        <v>57</v>
      </c>
      <c r="GG42" t="s">
        <v>175</v>
      </c>
      <c r="GH42" t="s">
        <v>57</v>
      </c>
      <c r="GI42" t="s">
        <v>57</v>
      </c>
      <c r="GJ42" t="s">
        <v>57</v>
      </c>
      <c r="GK42" t="s">
        <v>57</v>
      </c>
      <c r="GL42" t="s">
        <v>57</v>
      </c>
      <c r="GM42" t="s">
        <v>175</v>
      </c>
      <c r="GN42" t="s">
        <v>57</v>
      </c>
      <c r="GO42" t="s">
        <v>57</v>
      </c>
      <c r="GP42" t="s">
        <v>175</v>
      </c>
      <c r="GQ42" t="s">
        <v>175</v>
      </c>
      <c r="GR42" t="s">
        <v>57</v>
      </c>
      <c r="GS42" t="s">
        <v>57</v>
      </c>
      <c r="GT42" t="s">
        <v>57</v>
      </c>
      <c r="GU42" t="s">
        <v>57</v>
      </c>
      <c r="GV42" t="s">
        <v>175</v>
      </c>
      <c r="GW42" t="s">
        <v>57</v>
      </c>
      <c r="GX42" t="s">
        <v>57</v>
      </c>
      <c r="GY42" t="s">
        <v>57</v>
      </c>
      <c r="GZ42" t="s">
        <v>57</v>
      </c>
      <c r="HA42" t="s">
        <v>57</v>
      </c>
      <c r="HB42" t="s">
        <v>57</v>
      </c>
      <c r="HC42" t="s">
        <v>57</v>
      </c>
      <c r="HD42" t="s">
        <v>57</v>
      </c>
      <c r="HE42" t="s">
        <v>57</v>
      </c>
      <c r="HF42" t="s">
        <v>57</v>
      </c>
      <c r="HG42" t="s">
        <v>57</v>
      </c>
      <c r="HH42" t="s">
        <v>57</v>
      </c>
      <c r="HI42" t="s">
        <v>57</v>
      </c>
      <c r="HJ42" t="s">
        <v>57</v>
      </c>
      <c r="HK42" t="s">
        <v>57</v>
      </c>
      <c r="HL42" t="s">
        <v>57</v>
      </c>
      <c r="HM42" t="s">
        <v>57</v>
      </c>
      <c r="HN42" t="s">
        <v>57</v>
      </c>
      <c r="HO42" t="s">
        <v>57</v>
      </c>
      <c r="HP42" t="s">
        <v>57</v>
      </c>
      <c r="HQ42" t="s">
        <v>57</v>
      </c>
      <c r="HR42" t="s">
        <v>57</v>
      </c>
      <c r="HS42" t="s">
        <v>57</v>
      </c>
      <c r="HT42" t="s">
        <v>57</v>
      </c>
      <c r="HU42" t="s">
        <v>57</v>
      </c>
      <c r="HV42" t="s">
        <v>57</v>
      </c>
      <c r="HW42" t="s">
        <v>57</v>
      </c>
      <c r="HX42" t="s">
        <v>57</v>
      </c>
      <c r="HY42" t="s">
        <v>57</v>
      </c>
      <c r="HZ42" t="s">
        <v>57</v>
      </c>
      <c r="IA42" t="s">
        <v>57</v>
      </c>
      <c r="IB42" t="s">
        <v>57</v>
      </c>
      <c r="IC42" t="s">
        <v>57</v>
      </c>
      <c r="ID42" t="s">
        <v>57</v>
      </c>
      <c r="IE42" t="s">
        <v>57</v>
      </c>
      <c r="IF42" t="s">
        <v>124</v>
      </c>
      <c r="IG42" t="s">
        <v>148</v>
      </c>
      <c r="IH42" t="s">
        <v>123</v>
      </c>
      <c r="II42" t="s">
        <v>156</v>
      </c>
    </row>
    <row r="43" spans="1:243" x14ac:dyDescent="0.25">
      <c r="A43" s="111" t="str">
        <f>HYPERLINK("http://www.ofsted.gov.uk/inspection-reports/find-inspection-report/provider/ELS/105747 ","Ofsted School Webpage")</f>
        <v>Ofsted School Webpage</v>
      </c>
      <c r="B43">
        <v>105747</v>
      </c>
      <c r="C43">
        <v>3536014</v>
      </c>
      <c r="D43" t="s">
        <v>422</v>
      </c>
      <c r="E43" t="s">
        <v>36</v>
      </c>
      <c r="F43" t="s">
        <v>166</v>
      </c>
      <c r="G43" t="s">
        <v>162</v>
      </c>
      <c r="H43" t="s">
        <v>162</v>
      </c>
      <c r="I43" t="s">
        <v>423</v>
      </c>
      <c r="J43" t="s">
        <v>424</v>
      </c>
      <c r="K43" t="s">
        <v>142</v>
      </c>
      <c r="L43" t="s">
        <v>142</v>
      </c>
      <c r="M43" t="s">
        <v>2596</v>
      </c>
      <c r="N43" t="s">
        <v>143</v>
      </c>
      <c r="O43">
        <v>10034020</v>
      </c>
      <c r="P43" s="108">
        <v>43004</v>
      </c>
      <c r="Q43" s="108">
        <v>43006</v>
      </c>
      <c r="R43" s="108">
        <v>43025</v>
      </c>
      <c r="S43" t="s">
        <v>153</v>
      </c>
      <c r="T43" t="s">
        <v>154</v>
      </c>
      <c r="U43">
        <v>2</v>
      </c>
      <c r="V43">
        <v>2</v>
      </c>
      <c r="W43">
        <v>1</v>
      </c>
      <c r="X43">
        <v>2</v>
      </c>
      <c r="Y43">
        <v>2</v>
      </c>
      <c r="Z43">
        <v>3</v>
      </c>
      <c r="AA43" t="s">
        <v>2596</v>
      </c>
      <c r="AB43" t="s">
        <v>123</v>
      </c>
      <c r="AC43" t="s">
        <v>2596</v>
      </c>
      <c r="AD43" t="s">
        <v>2598</v>
      </c>
      <c r="AE43" t="s">
        <v>57</v>
      </c>
      <c r="AF43" t="s">
        <v>57</v>
      </c>
      <c r="AG43" t="s">
        <v>57</v>
      </c>
      <c r="AH43" t="s">
        <v>57</v>
      </c>
      <c r="AI43" t="s">
        <v>57</v>
      </c>
      <c r="AJ43" t="s">
        <v>57</v>
      </c>
      <c r="AK43" t="s">
        <v>57</v>
      </c>
      <c r="AL43" t="s">
        <v>57</v>
      </c>
      <c r="AM43" t="s">
        <v>57</v>
      </c>
      <c r="AN43" t="s">
        <v>57</v>
      </c>
      <c r="AO43" t="s">
        <v>57</v>
      </c>
      <c r="AP43" t="s">
        <v>57</v>
      </c>
      <c r="AQ43" t="s">
        <v>57</v>
      </c>
      <c r="AR43" t="s">
        <v>57</v>
      </c>
      <c r="AS43" t="s">
        <v>57</v>
      </c>
      <c r="AT43" t="s">
        <v>57</v>
      </c>
      <c r="AU43" t="s">
        <v>175</v>
      </c>
      <c r="AV43" t="s">
        <v>57</v>
      </c>
      <c r="AW43" t="s">
        <v>57</v>
      </c>
      <c r="AX43" t="s">
        <v>57</v>
      </c>
      <c r="AY43" t="s">
        <v>175</v>
      </c>
      <c r="AZ43" t="s">
        <v>175</v>
      </c>
      <c r="BA43" t="s">
        <v>175</v>
      </c>
      <c r="BB43" t="s">
        <v>175</v>
      </c>
      <c r="BC43" t="s">
        <v>57</v>
      </c>
      <c r="BD43" t="s">
        <v>175</v>
      </c>
      <c r="BE43" t="s">
        <v>57</v>
      </c>
      <c r="BF43" t="s">
        <v>57</v>
      </c>
      <c r="BG43" t="s">
        <v>57</v>
      </c>
      <c r="BH43" t="s">
        <v>57</v>
      </c>
      <c r="BI43" t="s">
        <v>57</v>
      </c>
      <c r="BJ43" t="s">
        <v>57</v>
      </c>
      <c r="BK43" t="s">
        <v>57</v>
      </c>
      <c r="BL43" t="s">
        <v>57</v>
      </c>
      <c r="BM43" t="s">
        <v>57</v>
      </c>
      <c r="BN43" t="s">
        <v>57</v>
      </c>
      <c r="BO43" t="s">
        <v>57</v>
      </c>
      <c r="BP43" t="s">
        <v>57</v>
      </c>
      <c r="BQ43" t="s">
        <v>57</v>
      </c>
      <c r="BR43" t="s">
        <v>57</v>
      </c>
      <c r="BS43" t="s">
        <v>57</v>
      </c>
      <c r="BT43" t="s">
        <v>57</v>
      </c>
      <c r="BU43" t="s">
        <v>57</v>
      </c>
      <c r="BV43" t="s">
        <v>57</v>
      </c>
      <c r="BW43" t="s">
        <v>57</v>
      </c>
      <c r="BX43" t="s">
        <v>57</v>
      </c>
      <c r="BY43" t="s">
        <v>57</v>
      </c>
      <c r="BZ43" t="s">
        <v>57</v>
      </c>
      <c r="CA43" t="s">
        <v>57</v>
      </c>
      <c r="CB43" t="s">
        <v>57</v>
      </c>
      <c r="CC43" t="s">
        <v>57</v>
      </c>
      <c r="CD43" t="s">
        <v>57</v>
      </c>
      <c r="CE43" t="s">
        <v>57</v>
      </c>
      <c r="CF43" t="s">
        <v>57</v>
      </c>
      <c r="CG43" t="s">
        <v>57</v>
      </c>
      <c r="CH43" t="s">
        <v>57</v>
      </c>
      <c r="CI43" t="s">
        <v>57</v>
      </c>
      <c r="CJ43" t="s">
        <v>57</v>
      </c>
      <c r="CK43" t="s">
        <v>175</v>
      </c>
      <c r="CL43" t="s">
        <v>175</v>
      </c>
      <c r="CM43" t="s">
        <v>175</v>
      </c>
      <c r="CN43" t="s">
        <v>57</v>
      </c>
      <c r="CO43" t="s">
        <v>57</v>
      </c>
      <c r="CP43" t="s">
        <v>57</v>
      </c>
      <c r="CQ43" t="s">
        <v>57</v>
      </c>
      <c r="CR43" t="s">
        <v>57</v>
      </c>
      <c r="CS43" t="s">
        <v>57</v>
      </c>
      <c r="CT43" t="s">
        <v>57</v>
      </c>
      <c r="CU43" t="s">
        <v>57</v>
      </c>
      <c r="CV43" t="s">
        <v>57</v>
      </c>
      <c r="CW43" t="s">
        <v>57</v>
      </c>
      <c r="CX43" t="s">
        <v>57</v>
      </c>
      <c r="CY43" t="s">
        <v>57</v>
      </c>
      <c r="CZ43" t="s">
        <v>57</v>
      </c>
      <c r="DA43" t="s">
        <v>57</v>
      </c>
      <c r="DB43" t="s">
        <v>57</v>
      </c>
      <c r="DC43" t="s">
        <v>57</v>
      </c>
      <c r="DD43" t="s">
        <v>57</v>
      </c>
      <c r="DE43" t="s">
        <v>57</v>
      </c>
      <c r="DF43" t="s">
        <v>57</v>
      </c>
      <c r="DG43" t="s">
        <v>57</v>
      </c>
      <c r="DH43" t="s">
        <v>57</v>
      </c>
      <c r="DI43" t="s">
        <v>57</v>
      </c>
      <c r="DJ43" t="s">
        <v>57</v>
      </c>
      <c r="DK43" t="s">
        <v>175</v>
      </c>
      <c r="DL43" t="s">
        <v>57</v>
      </c>
      <c r="DM43" t="s">
        <v>175</v>
      </c>
      <c r="DN43" t="s">
        <v>175</v>
      </c>
      <c r="DO43" t="s">
        <v>175</v>
      </c>
      <c r="DP43" t="s">
        <v>175</v>
      </c>
      <c r="DQ43" t="s">
        <v>175</v>
      </c>
      <c r="DR43" t="s">
        <v>175</v>
      </c>
      <c r="DS43" t="s">
        <v>175</v>
      </c>
      <c r="DT43" t="s">
        <v>175</v>
      </c>
      <c r="DU43" t="s">
        <v>175</v>
      </c>
      <c r="DV43" t="s">
        <v>175</v>
      </c>
      <c r="DW43" t="s">
        <v>175</v>
      </c>
      <c r="DX43" t="s">
        <v>175</v>
      </c>
      <c r="DY43" t="s">
        <v>175</v>
      </c>
      <c r="DZ43" t="s">
        <v>175</v>
      </c>
      <c r="EA43" t="s">
        <v>57</v>
      </c>
      <c r="EB43" t="s">
        <v>57</v>
      </c>
      <c r="EC43" t="s">
        <v>57</v>
      </c>
      <c r="ED43" t="s">
        <v>57</v>
      </c>
      <c r="EE43" t="s">
        <v>57</v>
      </c>
      <c r="EF43" t="s">
        <v>57</v>
      </c>
      <c r="EG43" t="s">
        <v>57</v>
      </c>
      <c r="EH43" t="s">
        <v>57</v>
      </c>
      <c r="EI43" t="s">
        <v>57</v>
      </c>
      <c r="EJ43" t="s">
        <v>57</v>
      </c>
      <c r="EK43" t="s">
        <v>57</v>
      </c>
      <c r="EL43" t="s">
        <v>57</v>
      </c>
      <c r="EM43" t="s">
        <v>57</v>
      </c>
      <c r="EN43" t="s">
        <v>57</v>
      </c>
      <c r="EO43" t="s">
        <v>57</v>
      </c>
      <c r="EP43" t="s">
        <v>57</v>
      </c>
      <c r="EQ43" t="s">
        <v>57</v>
      </c>
      <c r="ER43" t="s">
        <v>57</v>
      </c>
      <c r="ES43" t="s">
        <v>57</v>
      </c>
      <c r="ET43" t="s">
        <v>57</v>
      </c>
      <c r="EU43" t="s">
        <v>57</v>
      </c>
      <c r="EV43" t="s">
        <v>57</v>
      </c>
      <c r="EW43" t="s">
        <v>57</v>
      </c>
      <c r="EX43" t="s">
        <v>175</v>
      </c>
      <c r="EY43" t="s">
        <v>175</v>
      </c>
      <c r="EZ43" t="s">
        <v>175</v>
      </c>
      <c r="FA43" t="s">
        <v>175</v>
      </c>
      <c r="FB43" t="s">
        <v>175</v>
      </c>
      <c r="FC43" t="s">
        <v>175</v>
      </c>
      <c r="FD43" t="s">
        <v>57</v>
      </c>
      <c r="FE43" t="s">
        <v>57</v>
      </c>
      <c r="FF43" t="s">
        <v>57</v>
      </c>
      <c r="FG43" t="s">
        <v>57</v>
      </c>
      <c r="FH43" t="s">
        <v>57</v>
      </c>
      <c r="FI43" t="s">
        <v>57</v>
      </c>
      <c r="FJ43" t="s">
        <v>57</v>
      </c>
      <c r="FK43" t="s">
        <v>175</v>
      </c>
      <c r="FL43" t="s">
        <v>57</v>
      </c>
      <c r="FM43" t="s">
        <v>57</v>
      </c>
      <c r="FN43" t="s">
        <v>57</v>
      </c>
      <c r="FO43" t="s">
        <v>175</v>
      </c>
      <c r="FP43" t="s">
        <v>57</v>
      </c>
      <c r="FQ43" t="s">
        <v>57</v>
      </c>
      <c r="FR43" t="s">
        <v>57</v>
      </c>
      <c r="FS43" t="s">
        <v>57</v>
      </c>
      <c r="FT43" t="s">
        <v>57</v>
      </c>
      <c r="FU43" t="s">
        <v>57</v>
      </c>
      <c r="FV43" t="s">
        <v>57</v>
      </c>
      <c r="FW43" t="s">
        <v>57</v>
      </c>
      <c r="FX43" t="s">
        <v>57</v>
      </c>
      <c r="FY43" t="s">
        <v>57</v>
      </c>
      <c r="FZ43" t="s">
        <v>57</v>
      </c>
      <c r="GA43" t="s">
        <v>57</v>
      </c>
      <c r="GB43" t="s">
        <v>57</v>
      </c>
      <c r="GC43" t="s">
        <v>57</v>
      </c>
      <c r="GD43" t="s">
        <v>57</v>
      </c>
      <c r="GE43" t="s">
        <v>57</v>
      </c>
      <c r="GF43" t="s">
        <v>57</v>
      </c>
      <c r="GG43" t="s">
        <v>175</v>
      </c>
      <c r="GH43" t="s">
        <v>57</v>
      </c>
      <c r="GI43" t="s">
        <v>57</v>
      </c>
      <c r="GJ43" t="s">
        <v>57</v>
      </c>
      <c r="GK43" t="s">
        <v>57</v>
      </c>
      <c r="GL43" t="s">
        <v>57</v>
      </c>
      <c r="GM43" t="s">
        <v>175</v>
      </c>
      <c r="GN43" t="s">
        <v>57</v>
      </c>
      <c r="GO43" t="s">
        <v>57</v>
      </c>
      <c r="GP43" t="s">
        <v>175</v>
      </c>
      <c r="GQ43" t="s">
        <v>175</v>
      </c>
      <c r="GR43" t="s">
        <v>57</v>
      </c>
      <c r="GS43" t="s">
        <v>57</v>
      </c>
      <c r="GT43" t="s">
        <v>57</v>
      </c>
      <c r="GU43" t="s">
        <v>57</v>
      </c>
      <c r="GV43" t="s">
        <v>175</v>
      </c>
      <c r="GW43" t="s">
        <v>57</v>
      </c>
      <c r="GX43" t="s">
        <v>175</v>
      </c>
      <c r="GY43" t="s">
        <v>57</v>
      </c>
      <c r="GZ43" t="s">
        <v>57</v>
      </c>
      <c r="HA43" t="s">
        <v>57</v>
      </c>
      <c r="HB43" t="s">
        <v>57</v>
      </c>
      <c r="HC43" t="s">
        <v>57</v>
      </c>
      <c r="HD43" t="s">
        <v>57</v>
      </c>
      <c r="HE43" t="s">
        <v>57</v>
      </c>
      <c r="HF43" t="s">
        <v>57</v>
      </c>
      <c r="HG43" t="s">
        <v>57</v>
      </c>
      <c r="HH43" t="s">
        <v>175</v>
      </c>
      <c r="HI43" t="s">
        <v>175</v>
      </c>
      <c r="HJ43" t="s">
        <v>175</v>
      </c>
      <c r="HK43" t="s">
        <v>175</v>
      </c>
      <c r="HL43" t="s">
        <v>57</v>
      </c>
      <c r="HM43" t="s">
        <v>57</v>
      </c>
      <c r="HN43" t="s">
        <v>57</v>
      </c>
      <c r="HO43" t="s">
        <v>57</v>
      </c>
      <c r="HP43" t="s">
        <v>57</v>
      </c>
      <c r="HQ43" t="s">
        <v>57</v>
      </c>
      <c r="HR43" t="s">
        <v>57</v>
      </c>
      <c r="HS43" t="s">
        <v>57</v>
      </c>
      <c r="HT43" t="s">
        <v>57</v>
      </c>
      <c r="HU43" t="s">
        <v>57</v>
      </c>
      <c r="HV43" t="s">
        <v>57</v>
      </c>
      <c r="HW43" t="s">
        <v>57</v>
      </c>
      <c r="HX43" t="s">
        <v>57</v>
      </c>
      <c r="HY43" t="s">
        <v>57</v>
      </c>
      <c r="HZ43" t="s">
        <v>57</v>
      </c>
      <c r="IA43" t="s">
        <v>57</v>
      </c>
      <c r="IB43" t="s">
        <v>57</v>
      </c>
      <c r="IC43" t="s">
        <v>57</v>
      </c>
      <c r="ID43" t="s">
        <v>57</v>
      </c>
      <c r="IE43" t="s">
        <v>57</v>
      </c>
      <c r="IF43" t="s">
        <v>124</v>
      </c>
      <c r="IG43" t="s">
        <v>148</v>
      </c>
      <c r="IH43" t="s">
        <v>123</v>
      </c>
      <c r="II43" t="s">
        <v>156</v>
      </c>
    </row>
    <row r="44" spans="1:243" x14ac:dyDescent="0.25">
      <c r="A44" s="111" t="str">
        <f>HYPERLINK("http://www.ofsted.gov.uk/inspection-reports/find-inspection-report/provider/ELS/106002 ","Ofsted School Webpage")</f>
        <v>Ofsted School Webpage</v>
      </c>
      <c r="B44">
        <v>106002</v>
      </c>
      <c r="C44">
        <v>3556024</v>
      </c>
      <c r="D44" t="s">
        <v>1989</v>
      </c>
      <c r="E44" t="s">
        <v>36</v>
      </c>
      <c r="F44" t="s">
        <v>166</v>
      </c>
      <c r="G44" t="s">
        <v>162</v>
      </c>
      <c r="H44" t="s">
        <v>162</v>
      </c>
      <c r="I44" t="s">
        <v>804</v>
      </c>
      <c r="J44" t="s">
        <v>1990</v>
      </c>
      <c r="K44" t="s">
        <v>776</v>
      </c>
      <c r="L44" t="s">
        <v>142</v>
      </c>
      <c r="M44" t="s">
        <v>2596</v>
      </c>
      <c r="N44" t="s">
        <v>143</v>
      </c>
      <c r="O44">
        <v>10026001</v>
      </c>
      <c r="P44" s="108">
        <v>43053</v>
      </c>
      <c r="Q44" s="108">
        <v>43055</v>
      </c>
      <c r="R44" s="108">
        <v>43109</v>
      </c>
      <c r="S44" t="s">
        <v>153</v>
      </c>
      <c r="T44" t="s">
        <v>154</v>
      </c>
      <c r="U44">
        <v>3</v>
      </c>
      <c r="V44">
        <v>3</v>
      </c>
      <c r="W44">
        <v>2</v>
      </c>
      <c r="X44">
        <v>3</v>
      </c>
      <c r="Y44">
        <v>3</v>
      </c>
      <c r="Z44">
        <v>2</v>
      </c>
      <c r="AA44" t="s">
        <v>2596</v>
      </c>
      <c r="AB44" t="s">
        <v>123</v>
      </c>
      <c r="AC44" t="s">
        <v>2596</v>
      </c>
      <c r="AD44" t="s">
        <v>2598</v>
      </c>
      <c r="AE44" t="s">
        <v>57</v>
      </c>
      <c r="AF44" t="s">
        <v>57</v>
      </c>
      <c r="AG44" t="s">
        <v>57</v>
      </c>
      <c r="AH44" t="s">
        <v>57</v>
      </c>
      <c r="AI44" t="s">
        <v>57</v>
      </c>
      <c r="AJ44" t="s">
        <v>57</v>
      </c>
      <c r="AK44" t="s">
        <v>57</v>
      </c>
      <c r="AL44" t="s">
        <v>57</v>
      </c>
      <c r="AM44" t="s">
        <v>57</v>
      </c>
      <c r="AN44" t="s">
        <v>57</v>
      </c>
      <c r="AO44" t="s">
        <v>57</v>
      </c>
      <c r="AP44" t="s">
        <v>57</v>
      </c>
      <c r="AQ44" t="s">
        <v>57</v>
      </c>
      <c r="AR44" t="s">
        <v>57</v>
      </c>
      <c r="AS44" t="s">
        <v>57</v>
      </c>
      <c r="AT44" t="s">
        <v>57</v>
      </c>
      <c r="AU44" t="s">
        <v>148</v>
      </c>
      <c r="AV44" t="s">
        <v>57</v>
      </c>
      <c r="AW44" t="s">
        <v>57</v>
      </c>
      <c r="AX44" t="s">
        <v>57</v>
      </c>
      <c r="AY44" t="s">
        <v>148</v>
      </c>
      <c r="AZ44" t="s">
        <v>148</v>
      </c>
      <c r="BA44" t="s">
        <v>148</v>
      </c>
      <c r="BB44" t="s">
        <v>148</v>
      </c>
      <c r="BC44" t="s">
        <v>57</v>
      </c>
      <c r="BD44" t="s">
        <v>148</v>
      </c>
      <c r="BE44" t="s">
        <v>57</v>
      </c>
      <c r="BF44" t="s">
        <v>57</v>
      </c>
      <c r="BG44" t="s">
        <v>57</v>
      </c>
      <c r="BH44" t="s">
        <v>57</v>
      </c>
      <c r="BI44" t="s">
        <v>57</v>
      </c>
      <c r="BJ44" t="s">
        <v>57</v>
      </c>
      <c r="BK44" t="s">
        <v>57</v>
      </c>
      <c r="BL44" t="s">
        <v>57</v>
      </c>
      <c r="BM44" t="s">
        <v>57</v>
      </c>
      <c r="BN44" t="s">
        <v>57</v>
      </c>
      <c r="BO44" t="s">
        <v>57</v>
      </c>
      <c r="BP44" t="s">
        <v>57</v>
      </c>
      <c r="BQ44" t="s">
        <v>57</v>
      </c>
      <c r="BR44" t="s">
        <v>57</v>
      </c>
      <c r="BS44" t="s">
        <v>57</v>
      </c>
      <c r="BT44" t="s">
        <v>57</v>
      </c>
      <c r="BU44" t="s">
        <v>57</v>
      </c>
      <c r="BV44" t="s">
        <v>57</v>
      </c>
      <c r="BW44" t="s">
        <v>57</v>
      </c>
      <c r="BX44" t="s">
        <v>57</v>
      </c>
      <c r="BY44" t="s">
        <v>57</v>
      </c>
      <c r="BZ44" t="s">
        <v>57</v>
      </c>
      <c r="CA44" t="s">
        <v>57</v>
      </c>
      <c r="CB44" t="s">
        <v>57</v>
      </c>
      <c r="CC44" t="s">
        <v>57</v>
      </c>
      <c r="CD44" t="s">
        <v>57</v>
      </c>
      <c r="CE44" t="s">
        <v>57</v>
      </c>
      <c r="CF44" t="s">
        <v>57</v>
      </c>
      <c r="CG44" t="s">
        <v>57</v>
      </c>
      <c r="CH44" t="s">
        <v>57</v>
      </c>
      <c r="CI44" t="s">
        <v>57</v>
      </c>
      <c r="CJ44" t="s">
        <v>57</v>
      </c>
      <c r="CK44" t="s">
        <v>57</v>
      </c>
      <c r="CL44" t="s">
        <v>57</v>
      </c>
      <c r="CM44" t="s">
        <v>57</v>
      </c>
      <c r="CN44" t="s">
        <v>57</v>
      </c>
      <c r="CO44" t="s">
        <v>57</v>
      </c>
      <c r="CP44" t="s">
        <v>57</v>
      </c>
      <c r="CQ44" t="s">
        <v>57</v>
      </c>
      <c r="CR44" t="s">
        <v>57</v>
      </c>
      <c r="CS44" t="s">
        <v>57</v>
      </c>
      <c r="CT44" t="s">
        <v>57</v>
      </c>
      <c r="CU44" t="s">
        <v>57</v>
      </c>
      <c r="CV44" t="s">
        <v>57</v>
      </c>
      <c r="CW44" t="s">
        <v>57</v>
      </c>
      <c r="CX44" t="s">
        <v>57</v>
      </c>
      <c r="CY44" t="s">
        <v>57</v>
      </c>
      <c r="CZ44" t="s">
        <v>57</v>
      </c>
      <c r="DA44" t="s">
        <v>57</v>
      </c>
      <c r="DB44" t="s">
        <v>57</v>
      </c>
      <c r="DC44" t="s">
        <v>57</v>
      </c>
      <c r="DD44" t="s">
        <v>57</v>
      </c>
      <c r="DE44" t="s">
        <v>57</v>
      </c>
      <c r="DF44" t="s">
        <v>57</v>
      </c>
      <c r="DG44" t="s">
        <v>57</v>
      </c>
      <c r="DH44" t="s">
        <v>57</v>
      </c>
      <c r="DI44" t="s">
        <v>57</v>
      </c>
      <c r="DJ44" t="s">
        <v>57</v>
      </c>
      <c r="DK44" t="s">
        <v>148</v>
      </c>
      <c r="DL44" t="s">
        <v>57</v>
      </c>
      <c r="DM44" t="s">
        <v>57</v>
      </c>
      <c r="DN44" t="s">
        <v>57</v>
      </c>
      <c r="DO44" t="s">
        <v>57</v>
      </c>
      <c r="DP44" t="s">
        <v>57</v>
      </c>
      <c r="DQ44" t="s">
        <v>57</v>
      </c>
      <c r="DR44" t="s">
        <v>57</v>
      </c>
      <c r="DS44" t="s">
        <v>57</v>
      </c>
      <c r="DT44" t="s">
        <v>57</v>
      </c>
      <c r="DU44" t="s">
        <v>57</v>
      </c>
      <c r="DV44" t="s">
        <v>57</v>
      </c>
      <c r="DW44" t="s">
        <v>57</v>
      </c>
      <c r="DX44" t="s">
        <v>57</v>
      </c>
      <c r="DY44" t="s">
        <v>148</v>
      </c>
      <c r="DZ44" t="s">
        <v>57</v>
      </c>
      <c r="EA44" t="s">
        <v>148</v>
      </c>
      <c r="EB44" t="s">
        <v>148</v>
      </c>
      <c r="EC44" t="s">
        <v>148</v>
      </c>
      <c r="ED44" t="s">
        <v>148</v>
      </c>
      <c r="EE44" t="s">
        <v>148</v>
      </c>
      <c r="EF44" t="s">
        <v>148</v>
      </c>
      <c r="EG44" t="s">
        <v>148</v>
      </c>
      <c r="EH44" t="s">
        <v>148</v>
      </c>
      <c r="EI44" t="s">
        <v>148</v>
      </c>
      <c r="EJ44" t="s">
        <v>57</v>
      </c>
      <c r="EK44" t="s">
        <v>57</v>
      </c>
      <c r="EL44" t="s">
        <v>57</v>
      </c>
      <c r="EM44" t="s">
        <v>57</v>
      </c>
      <c r="EN44" t="s">
        <v>57</v>
      </c>
      <c r="EO44" t="s">
        <v>57</v>
      </c>
      <c r="EP44" t="s">
        <v>57</v>
      </c>
      <c r="EQ44" t="s">
        <v>57</v>
      </c>
      <c r="ER44" t="s">
        <v>57</v>
      </c>
      <c r="ES44" t="s">
        <v>57</v>
      </c>
      <c r="ET44" t="s">
        <v>57</v>
      </c>
      <c r="EU44" t="s">
        <v>57</v>
      </c>
      <c r="EV44" t="s">
        <v>57</v>
      </c>
      <c r="EW44" t="s">
        <v>57</v>
      </c>
      <c r="EX44" t="s">
        <v>57</v>
      </c>
      <c r="EY44" t="s">
        <v>57</v>
      </c>
      <c r="EZ44" t="s">
        <v>57</v>
      </c>
      <c r="FA44" t="s">
        <v>57</v>
      </c>
      <c r="FB44" t="s">
        <v>57</v>
      </c>
      <c r="FC44" t="s">
        <v>57</v>
      </c>
      <c r="FD44" t="s">
        <v>148</v>
      </c>
      <c r="FE44" t="s">
        <v>57</v>
      </c>
      <c r="FF44" t="s">
        <v>57</v>
      </c>
      <c r="FG44" t="s">
        <v>57</v>
      </c>
      <c r="FH44" t="s">
        <v>57</v>
      </c>
      <c r="FI44" t="s">
        <v>57</v>
      </c>
      <c r="FJ44" t="s">
        <v>57</v>
      </c>
      <c r="FK44" t="s">
        <v>148</v>
      </c>
      <c r="FL44" t="s">
        <v>57</v>
      </c>
      <c r="FM44" t="s">
        <v>57</v>
      </c>
      <c r="FN44" t="s">
        <v>57</v>
      </c>
      <c r="FO44" t="s">
        <v>148</v>
      </c>
      <c r="FP44" t="s">
        <v>57</v>
      </c>
      <c r="FQ44" t="s">
        <v>57</v>
      </c>
      <c r="FR44" t="s">
        <v>57</v>
      </c>
      <c r="FS44" t="s">
        <v>57</v>
      </c>
      <c r="FT44" t="s">
        <v>57</v>
      </c>
      <c r="FU44" t="s">
        <v>57</v>
      </c>
      <c r="FV44" t="s">
        <v>57</v>
      </c>
      <c r="FW44" t="s">
        <v>57</v>
      </c>
      <c r="FX44" t="s">
        <v>57</v>
      </c>
      <c r="FY44" t="s">
        <v>57</v>
      </c>
      <c r="FZ44" t="s">
        <v>57</v>
      </c>
      <c r="GA44" t="s">
        <v>57</v>
      </c>
      <c r="GB44" t="s">
        <v>57</v>
      </c>
      <c r="GC44" t="s">
        <v>57</v>
      </c>
      <c r="GD44" t="s">
        <v>57</v>
      </c>
      <c r="GE44" t="s">
        <v>57</v>
      </c>
      <c r="GF44" t="s">
        <v>57</v>
      </c>
      <c r="GG44" t="s">
        <v>148</v>
      </c>
      <c r="GH44" t="s">
        <v>57</v>
      </c>
      <c r="GI44" t="s">
        <v>57</v>
      </c>
      <c r="GJ44" t="s">
        <v>57</v>
      </c>
      <c r="GK44" t="s">
        <v>57</v>
      </c>
      <c r="GL44" t="s">
        <v>57</v>
      </c>
      <c r="GM44" t="s">
        <v>57</v>
      </c>
      <c r="GN44" t="s">
        <v>57</v>
      </c>
      <c r="GO44" t="s">
        <v>57</v>
      </c>
      <c r="GP44" t="s">
        <v>57</v>
      </c>
      <c r="GQ44" t="s">
        <v>57</v>
      </c>
      <c r="GR44" t="s">
        <v>57</v>
      </c>
      <c r="GS44" t="s">
        <v>57</v>
      </c>
      <c r="GT44" t="s">
        <v>57</v>
      </c>
      <c r="GU44" t="s">
        <v>57</v>
      </c>
      <c r="GV44" t="s">
        <v>57</v>
      </c>
      <c r="GW44" t="s">
        <v>148</v>
      </c>
      <c r="GX44" t="s">
        <v>148</v>
      </c>
      <c r="GY44" t="s">
        <v>57</v>
      </c>
      <c r="GZ44" t="s">
        <v>57</v>
      </c>
      <c r="HA44" t="s">
        <v>57</v>
      </c>
      <c r="HB44" t="s">
        <v>57</v>
      </c>
      <c r="HC44" t="s">
        <v>57</v>
      </c>
      <c r="HD44" t="s">
        <v>57</v>
      </c>
      <c r="HE44" t="s">
        <v>57</v>
      </c>
      <c r="HF44" t="s">
        <v>57</v>
      </c>
      <c r="HG44" t="s">
        <v>57</v>
      </c>
      <c r="HH44" t="s">
        <v>148</v>
      </c>
      <c r="HI44" t="s">
        <v>148</v>
      </c>
      <c r="HJ44" t="s">
        <v>148</v>
      </c>
      <c r="HK44" t="s">
        <v>148</v>
      </c>
      <c r="HL44" t="s">
        <v>57</v>
      </c>
      <c r="HM44" t="s">
        <v>57</v>
      </c>
      <c r="HN44" t="s">
        <v>57</v>
      </c>
      <c r="HO44" t="s">
        <v>57</v>
      </c>
      <c r="HP44" t="s">
        <v>57</v>
      </c>
      <c r="HQ44" t="s">
        <v>57</v>
      </c>
      <c r="HR44" t="s">
        <v>57</v>
      </c>
      <c r="HS44" t="s">
        <v>57</v>
      </c>
      <c r="HT44" t="s">
        <v>57</v>
      </c>
      <c r="HU44" t="s">
        <v>57</v>
      </c>
      <c r="HV44" t="s">
        <v>57</v>
      </c>
      <c r="HW44" t="s">
        <v>57</v>
      </c>
      <c r="HX44" t="s">
        <v>57</v>
      </c>
      <c r="HY44" t="s">
        <v>57</v>
      </c>
      <c r="HZ44" t="s">
        <v>57</v>
      </c>
      <c r="IA44" t="s">
        <v>57</v>
      </c>
      <c r="IB44" t="s">
        <v>57</v>
      </c>
      <c r="IC44" t="s">
        <v>57</v>
      </c>
      <c r="ID44" t="s">
        <v>57</v>
      </c>
      <c r="IE44" t="s">
        <v>57</v>
      </c>
      <c r="IF44" t="s">
        <v>124</v>
      </c>
      <c r="IG44" t="s">
        <v>155</v>
      </c>
      <c r="IH44" t="s">
        <v>123</v>
      </c>
      <c r="II44" t="s">
        <v>156</v>
      </c>
    </row>
    <row r="45" spans="1:243" x14ac:dyDescent="0.25">
      <c r="A45" s="111" t="str">
        <f>HYPERLINK("http://www.ofsted.gov.uk/inspection-reports/find-inspection-report/provider/ELS/107791 ","Ofsted School Webpage")</f>
        <v>Ofsted School Webpage</v>
      </c>
      <c r="B45">
        <v>107791</v>
      </c>
      <c r="C45">
        <v>3826013</v>
      </c>
      <c r="D45" t="s">
        <v>2230</v>
      </c>
      <c r="E45" t="s">
        <v>36</v>
      </c>
      <c r="F45" t="s">
        <v>166</v>
      </c>
      <c r="G45" t="s">
        <v>202</v>
      </c>
      <c r="H45" t="s">
        <v>203</v>
      </c>
      <c r="I45" t="s">
        <v>720</v>
      </c>
      <c r="J45" t="s">
        <v>2231</v>
      </c>
      <c r="K45" t="s">
        <v>142</v>
      </c>
      <c r="L45" t="s">
        <v>180</v>
      </c>
      <c r="M45" t="s">
        <v>2596</v>
      </c>
      <c r="N45" t="s">
        <v>143</v>
      </c>
      <c r="O45">
        <v>10044408</v>
      </c>
      <c r="P45" s="108">
        <v>43067</v>
      </c>
      <c r="Q45" s="108">
        <v>43069</v>
      </c>
      <c r="R45" s="108">
        <v>43115</v>
      </c>
      <c r="S45" t="s">
        <v>224</v>
      </c>
      <c r="T45" t="s">
        <v>154</v>
      </c>
      <c r="U45">
        <v>2</v>
      </c>
      <c r="V45">
        <v>2</v>
      </c>
      <c r="W45">
        <v>1</v>
      </c>
      <c r="X45">
        <v>2</v>
      </c>
      <c r="Y45">
        <v>2</v>
      </c>
      <c r="Z45" t="s">
        <v>2596</v>
      </c>
      <c r="AA45">
        <v>2</v>
      </c>
      <c r="AB45" t="s">
        <v>123</v>
      </c>
      <c r="AC45" t="s">
        <v>2596</v>
      </c>
      <c r="AD45" t="s">
        <v>2598</v>
      </c>
      <c r="AE45" t="s">
        <v>57</v>
      </c>
      <c r="AF45" t="s">
        <v>57</v>
      </c>
      <c r="AG45" t="s">
        <v>57</v>
      </c>
      <c r="AH45" t="s">
        <v>57</v>
      </c>
      <c r="AI45" t="s">
        <v>57</v>
      </c>
      <c r="AJ45" t="s">
        <v>57</v>
      </c>
      <c r="AK45" t="s">
        <v>57</v>
      </c>
      <c r="AL45" t="s">
        <v>57</v>
      </c>
      <c r="AM45" t="s">
        <v>57</v>
      </c>
      <c r="AN45" t="s">
        <v>57</v>
      </c>
      <c r="AO45" t="s">
        <v>57</v>
      </c>
      <c r="AP45" t="s">
        <v>57</v>
      </c>
      <c r="AQ45" t="s">
        <v>57</v>
      </c>
      <c r="AR45" t="s">
        <v>57</v>
      </c>
      <c r="AS45" t="s">
        <v>57</v>
      </c>
      <c r="AT45" t="s">
        <v>57</v>
      </c>
      <c r="AU45" t="s">
        <v>175</v>
      </c>
      <c r="AV45" t="s">
        <v>57</v>
      </c>
      <c r="AW45" t="s">
        <v>57</v>
      </c>
      <c r="AX45" t="s">
        <v>57</v>
      </c>
      <c r="AY45" t="s">
        <v>57</v>
      </c>
      <c r="AZ45" t="s">
        <v>57</v>
      </c>
      <c r="BA45" t="s">
        <v>57</v>
      </c>
      <c r="BB45" t="s">
        <v>57</v>
      </c>
      <c r="BC45" t="s">
        <v>175</v>
      </c>
      <c r="BD45" t="s">
        <v>57</v>
      </c>
      <c r="BE45" t="s">
        <v>57</v>
      </c>
      <c r="BF45" t="s">
        <v>57</v>
      </c>
      <c r="BG45" t="s">
        <v>57</v>
      </c>
      <c r="BH45" t="s">
        <v>57</v>
      </c>
      <c r="BI45" t="s">
        <v>57</v>
      </c>
      <c r="BJ45" t="s">
        <v>57</v>
      </c>
      <c r="BK45" t="s">
        <v>57</v>
      </c>
      <c r="BL45" t="s">
        <v>57</v>
      </c>
      <c r="BM45" t="s">
        <v>57</v>
      </c>
      <c r="BN45" t="s">
        <v>57</v>
      </c>
      <c r="BO45" t="s">
        <v>57</v>
      </c>
      <c r="BP45" t="s">
        <v>57</v>
      </c>
      <c r="BQ45" t="s">
        <v>57</v>
      </c>
      <c r="BR45" t="s">
        <v>57</v>
      </c>
      <c r="BS45" t="s">
        <v>57</v>
      </c>
      <c r="BT45" t="s">
        <v>57</v>
      </c>
      <c r="BU45" t="s">
        <v>57</v>
      </c>
      <c r="BV45" t="s">
        <v>57</v>
      </c>
      <c r="BW45" t="s">
        <v>57</v>
      </c>
      <c r="BX45" t="s">
        <v>57</v>
      </c>
      <c r="BY45" t="s">
        <v>57</v>
      </c>
      <c r="BZ45" t="s">
        <v>57</v>
      </c>
      <c r="CA45" t="s">
        <v>57</v>
      </c>
      <c r="CB45" t="s">
        <v>57</v>
      </c>
      <c r="CC45" t="s">
        <v>57</v>
      </c>
      <c r="CD45" t="s">
        <v>57</v>
      </c>
      <c r="CE45" t="s">
        <v>57</v>
      </c>
      <c r="CF45" t="s">
        <v>57</v>
      </c>
      <c r="CG45" t="s">
        <v>57</v>
      </c>
      <c r="CH45" t="s">
        <v>57</v>
      </c>
      <c r="CI45" t="s">
        <v>57</v>
      </c>
      <c r="CJ45" t="s">
        <v>57</v>
      </c>
      <c r="CK45" t="s">
        <v>464</v>
      </c>
      <c r="CL45" t="s">
        <v>464</v>
      </c>
      <c r="CM45" t="s">
        <v>464</v>
      </c>
      <c r="CN45" t="s">
        <v>57</v>
      </c>
      <c r="CO45" t="s">
        <v>57</v>
      </c>
      <c r="CP45" t="s">
        <v>57</v>
      </c>
      <c r="CQ45" t="s">
        <v>57</v>
      </c>
      <c r="CR45" t="s">
        <v>57</v>
      </c>
      <c r="CS45" t="s">
        <v>57</v>
      </c>
      <c r="CT45" t="s">
        <v>57</v>
      </c>
      <c r="CU45" t="s">
        <v>57</v>
      </c>
      <c r="CV45" t="s">
        <v>57</v>
      </c>
      <c r="CW45" t="s">
        <v>57</v>
      </c>
      <c r="CX45" t="s">
        <v>57</v>
      </c>
      <c r="CY45" t="s">
        <v>57</v>
      </c>
      <c r="CZ45" t="s">
        <v>57</v>
      </c>
      <c r="DA45" t="s">
        <v>57</v>
      </c>
      <c r="DB45" t="s">
        <v>57</v>
      </c>
      <c r="DC45" t="s">
        <v>57</v>
      </c>
      <c r="DD45" t="s">
        <v>57</v>
      </c>
      <c r="DE45" t="s">
        <v>57</v>
      </c>
      <c r="DF45" t="s">
        <v>57</v>
      </c>
      <c r="DG45" t="s">
        <v>57</v>
      </c>
      <c r="DH45" t="s">
        <v>57</v>
      </c>
      <c r="DI45" t="s">
        <v>57</v>
      </c>
      <c r="DJ45" t="s">
        <v>57</v>
      </c>
      <c r="DK45" t="s">
        <v>464</v>
      </c>
      <c r="DL45" t="s">
        <v>57</v>
      </c>
      <c r="DM45" t="s">
        <v>175</v>
      </c>
      <c r="DN45" t="s">
        <v>175</v>
      </c>
      <c r="DO45" t="s">
        <v>175</v>
      </c>
      <c r="DP45" t="s">
        <v>175</v>
      </c>
      <c r="DQ45" t="s">
        <v>175</v>
      </c>
      <c r="DR45" t="s">
        <v>175</v>
      </c>
      <c r="DS45" t="s">
        <v>175</v>
      </c>
      <c r="DT45" t="s">
        <v>175</v>
      </c>
      <c r="DU45" t="s">
        <v>175</v>
      </c>
      <c r="DV45" t="s">
        <v>175</v>
      </c>
      <c r="DW45" t="s">
        <v>175</v>
      </c>
      <c r="DX45" t="s">
        <v>175</v>
      </c>
      <c r="DY45" t="s">
        <v>464</v>
      </c>
      <c r="DZ45" t="s">
        <v>57</v>
      </c>
      <c r="EA45" t="s">
        <v>57</v>
      </c>
      <c r="EB45" t="s">
        <v>57</v>
      </c>
      <c r="EC45" t="s">
        <v>57</v>
      </c>
      <c r="ED45" t="s">
        <v>57</v>
      </c>
      <c r="EE45" t="s">
        <v>57</v>
      </c>
      <c r="EF45" t="s">
        <v>57</v>
      </c>
      <c r="EG45" t="s">
        <v>57</v>
      </c>
      <c r="EH45" t="s">
        <v>57</v>
      </c>
      <c r="EI45" t="s">
        <v>57</v>
      </c>
      <c r="EJ45" t="s">
        <v>57</v>
      </c>
      <c r="EK45" t="s">
        <v>57</v>
      </c>
      <c r="EL45" t="s">
        <v>57</v>
      </c>
      <c r="EM45" t="s">
        <v>57</v>
      </c>
      <c r="EN45" t="s">
        <v>57</v>
      </c>
      <c r="EO45" t="s">
        <v>57</v>
      </c>
      <c r="EP45" t="s">
        <v>57</v>
      </c>
      <c r="EQ45" t="s">
        <v>57</v>
      </c>
      <c r="ER45" t="s">
        <v>57</v>
      </c>
      <c r="ES45" t="s">
        <v>57</v>
      </c>
      <c r="ET45" t="s">
        <v>57</v>
      </c>
      <c r="EU45" t="s">
        <v>57</v>
      </c>
      <c r="EV45" t="s">
        <v>57</v>
      </c>
      <c r="EW45" t="s">
        <v>57</v>
      </c>
      <c r="EX45" t="s">
        <v>175</v>
      </c>
      <c r="EY45" t="s">
        <v>175</v>
      </c>
      <c r="EZ45" t="s">
        <v>175</v>
      </c>
      <c r="FA45" t="s">
        <v>175</v>
      </c>
      <c r="FB45" t="s">
        <v>175</v>
      </c>
      <c r="FC45" t="s">
        <v>175</v>
      </c>
      <c r="FD45" t="s">
        <v>57</v>
      </c>
      <c r="FE45" t="s">
        <v>57</v>
      </c>
      <c r="FF45" t="s">
        <v>57</v>
      </c>
      <c r="FG45" t="s">
        <v>57</v>
      </c>
      <c r="FH45" t="s">
        <v>57</v>
      </c>
      <c r="FI45" t="s">
        <v>57</v>
      </c>
      <c r="FJ45" t="s">
        <v>175</v>
      </c>
      <c r="FK45" t="s">
        <v>57</v>
      </c>
      <c r="FL45" t="s">
        <v>57</v>
      </c>
      <c r="FM45" t="s">
        <v>57</v>
      </c>
      <c r="FN45" t="s">
        <v>57</v>
      </c>
      <c r="FO45" t="s">
        <v>175</v>
      </c>
      <c r="FP45" t="s">
        <v>57</v>
      </c>
      <c r="FQ45" t="s">
        <v>57</v>
      </c>
      <c r="FR45" t="s">
        <v>57</v>
      </c>
      <c r="FS45" t="s">
        <v>57</v>
      </c>
      <c r="FT45" t="s">
        <v>57</v>
      </c>
      <c r="FU45" t="s">
        <v>57</v>
      </c>
      <c r="FV45" t="s">
        <v>57</v>
      </c>
      <c r="FW45" t="s">
        <v>57</v>
      </c>
      <c r="FX45" t="s">
        <v>57</v>
      </c>
      <c r="FY45" t="s">
        <v>57</v>
      </c>
      <c r="FZ45" t="s">
        <v>57</v>
      </c>
      <c r="GA45" t="s">
        <v>57</v>
      </c>
      <c r="GB45" t="s">
        <v>57</v>
      </c>
      <c r="GC45" t="s">
        <v>57</v>
      </c>
      <c r="GD45" t="s">
        <v>57</v>
      </c>
      <c r="GE45" t="s">
        <v>57</v>
      </c>
      <c r="GF45" t="s">
        <v>57</v>
      </c>
      <c r="GG45" t="s">
        <v>464</v>
      </c>
      <c r="GH45" t="s">
        <v>57</v>
      </c>
      <c r="GI45" t="s">
        <v>57</v>
      </c>
      <c r="GJ45" t="s">
        <v>57</v>
      </c>
      <c r="GK45" t="s">
        <v>57</v>
      </c>
      <c r="GL45" t="s">
        <v>57</v>
      </c>
      <c r="GM45" t="s">
        <v>464</v>
      </c>
      <c r="GN45" t="s">
        <v>57</v>
      </c>
      <c r="GO45" t="s">
        <v>57</v>
      </c>
      <c r="GP45" t="s">
        <v>175</v>
      </c>
      <c r="GQ45" t="s">
        <v>175</v>
      </c>
      <c r="GR45" t="s">
        <v>57</v>
      </c>
      <c r="GS45" t="s">
        <v>57</v>
      </c>
      <c r="GT45" t="s">
        <v>57</v>
      </c>
      <c r="GU45" t="s">
        <v>57</v>
      </c>
      <c r="GV45" t="s">
        <v>57</v>
      </c>
      <c r="GW45" t="s">
        <v>175</v>
      </c>
      <c r="GX45" t="s">
        <v>57</v>
      </c>
      <c r="GY45" t="s">
        <v>57</v>
      </c>
      <c r="GZ45" t="s">
        <v>57</v>
      </c>
      <c r="HA45" t="s">
        <v>57</v>
      </c>
      <c r="HB45" t="s">
        <v>57</v>
      </c>
      <c r="HC45" t="s">
        <v>57</v>
      </c>
      <c r="HD45" t="s">
        <v>57</v>
      </c>
      <c r="HE45" t="s">
        <v>57</v>
      </c>
      <c r="HF45" t="s">
        <v>57</v>
      </c>
      <c r="HG45" t="s">
        <v>57</v>
      </c>
      <c r="HH45" t="s">
        <v>57</v>
      </c>
      <c r="HI45" t="s">
        <v>175</v>
      </c>
      <c r="HJ45" t="s">
        <v>175</v>
      </c>
      <c r="HK45" t="s">
        <v>175</v>
      </c>
      <c r="HL45" t="s">
        <v>57</v>
      </c>
      <c r="HM45" t="s">
        <v>57</v>
      </c>
      <c r="HN45" t="s">
        <v>57</v>
      </c>
      <c r="HO45" t="s">
        <v>57</v>
      </c>
      <c r="HP45" t="s">
        <v>57</v>
      </c>
      <c r="HQ45" t="s">
        <v>57</v>
      </c>
      <c r="HR45" t="s">
        <v>57</v>
      </c>
      <c r="HS45" t="s">
        <v>57</v>
      </c>
      <c r="HT45" t="s">
        <v>57</v>
      </c>
      <c r="HU45" t="s">
        <v>57</v>
      </c>
      <c r="HV45" t="s">
        <v>57</v>
      </c>
      <c r="HW45" t="s">
        <v>57</v>
      </c>
      <c r="HX45" t="s">
        <v>57</v>
      </c>
      <c r="HY45" t="s">
        <v>57</v>
      </c>
      <c r="HZ45" t="s">
        <v>57</v>
      </c>
      <c r="IA45" t="s">
        <v>57</v>
      </c>
      <c r="IB45" t="s">
        <v>57</v>
      </c>
      <c r="IC45" t="s">
        <v>57</v>
      </c>
      <c r="ID45" t="s">
        <v>57</v>
      </c>
      <c r="IE45" t="s">
        <v>57</v>
      </c>
      <c r="IF45" t="s">
        <v>124</v>
      </c>
      <c r="IG45" t="s">
        <v>148</v>
      </c>
      <c r="IH45" t="s">
        <v>123</v>
      </c>
      <c r="II45" t="s">
        <v>156</v>
      </c>
    </row>
    <row r="46" spans="1:243" x14ac:dyDescent="0.25">
      <c r="A46" s="111" t="str">
        <f>HYPERLINK("http://www.ofsted.gov.uk/inspection-reports/find-inspection-report/provider/ELS/108886 ","Ofsted School Webpage")</f>
        <v>Ofsted School Webpage</v>
      </c>
      <c r="B46">
        <v>108886</v>
      </c>
      <c r="C46">
        <v>8736051</v>
      </c>
      <c r="D46" t="s">
        <v>1030</v>
      </c>
      <c r="E46" t="s">
        <v>37</v>
      </c>
      <c r="F46" t="s">
        <v>138</v>
      </c>
      <c r="G46" t="s">
        <v>177</v>
      </c>
      <c r="H46" t="s">
        <v>177</v>
      </c>
      <c r="I46" t="s">
        <v>241</v>
      </c>
      <c r="J46" t="s">
        <v>1031</v>
      </c>
      <c r="K46" t="s">
        <v>142</v>
      </c>
      <c r="L46" t="s">
        <v>142</v>
      </c>
      <c r="M46" t="s">
        <v>2596</v>
      </c>
      <c r="N46" t="s">
        <v>143</v>
      </c>
      <c r="O46">
        <v>10043517</v>
      </c>
      <c r="P46" s="108">
        <v>43060</v>
      </c>
      <c r="Q46" s="108">
        <v>43062</v>
      </c>
      <c r="R46" s="108">
        <v>43117</v>
      </c>
      <c r="S46" t="s">
        <v>153</v>
      </c>
      <c r="T46" t="s">
        <v>154</v>
      </c>
      <c r="U46">
        <v>1</v>
      </c>
      <c r="V46">
        <v>1</v>
      </c>
      <c r="W46">
        <v>1</v>
      </c>
      <c r="X46">
        <v>1</v>
      </c>
      <c r="Y46">
        <v>1</v>
      </c>
      <c r="Z46" t="s">
        <v>2596</v>
      </c>
      <c r="AA46" t="s">
        <v>2596</v>
      </c>
      <c r="AB46" t="s">
        <v>123</v>
      </c>
      <c r="AC46" t="s">
        <v>2596</v>
      </c>
      <c r="AD46" t="s">
        <v>2598</v>
      </c>
      <c r="AE46" t="s">
        <v>57</v>
      </c>
      <c r="AF46" t="s">
        <v>57</v>
      </c>
      <c r="AG46" t="s">
        <v>57</v>
      </c>
      <c r="AH46" t="s">
        <v>57</v>
      </c>
      <c r="AI46" t="s">
        <v>57</v>
      </c>
      <c r="AJ46" t="s">
        <v>57</v>
      </c>
      <c r="AK46" t="s">
        <v>57</v>
      </c>
      <c r="AL46" t="s">
        <v>57</v>
      </c>
      <c r="AM46" t="s">
        <v>57</v>
      </c>
      <c r="AN46" t="s">
        <v>57</v>
      </c>
      <c r="AO46" t="s">
        <v>57</v>
      </c>
      <c r="AP46" t="s">
        <v>57</v>
      </c>
      <c r="AQ46" t="s">
        <v>57</v>
      </c>
      <c r="AR46" t="s">
        <v>57</v>
      </c>
      <c r="AS46" t="s">
        <v>57</v>
      </c>
      <c r="AT46" t="s">
        <v>57</v>
      </c>
      <c r="AU46" t="s">
        <v>175</v>
      </c>
      <c r="AV46" t="s">
        <v>57</v>
      </c>
      <c r="AW46" t="s">
        <v>57</v>
      </c>
      <c r="AX46" t="s">
        <v>57</v>
      </c>
      <c r="AY46" t="s">
        <v>57</v>
      </c>
      <c r="AZ46" t="s">
        <v>57</v>
      </c>
      <c r="BA46" t="s">
        <v>57</v>
      </c>
      <c r="BB46" t="s">
        <v>57</v>
      </c>
      <c r="BC46" t="s">
        <v>175</v>
      </c>
      <c r="BD46" t="s">
        <v>175</v>
      </c>
      <c r="BE46" t="s">
        <v>57</v>
      </c>
      <c r="BF46" t="s">
        <v>57</v>
      </c>
      <c r="BG46" t="s">
        <v>57</v>
      </c>
      <c r="BH46" t="s">
        <v>57</v>
      </c>
      <c r="BI46" t="s">
        <v>57</v>
      </c>
      <c r="BJ46" t="s">
        <v>57</v>
      </c>
      <c r="BK46" t="s">
        <v>57</v>
      </c>
      <c r="BL46" t="s">
        <v>57</v>
      </c>
      <c r="BM46" t="s">
        <v>57</v>
      </c>
      <c r="BN46" t="s">
        <v>57</v>
      </c>
      <c r="BO46" t="s">
        <v>57</v>
      </c>
      <c r="BP46" t="s">
        <v>57</v>
      </c>
      <c r="BQ46" t="s">
        <v>57</v>
      </c>
      <c r="BR46" t="s">
        <v>57</v>
      </c>
      <c r="BS46" t="s">
        <v>57</v>
      </c>
      <c r="BT46" t="s">
        <v>57</v>
      </c>
      <c r="BU46" t="s">
        <v>57</v>
      </c>
      <c r="BV46" t="s">
        <v>57</v>
      </c>
      <c r="BW46" t="s">
        <v>57</v>
      </c>
      <c r="BX46" t="s">
        <v>57</v>
      </c>
      <c r="BY46" t="s">
        <v>57</v>
      </c>
      <c r="BZ46" t="s">
        <v>57</v>
      </c>
      <c r="CA46" t="s">
        <v>57</v>
      </c>
      <c r="CB46" t="s">
        <v>57</v>
      </c>
      <c r="CC46" t="s">
        <v>57</v>
      </c>
      <c r="CD46" t="s">
        <v>57</v>
      </c>
      <c r="CE46" t="s">
        <v>57</v>
      </c>
      <c r="CF46" t="s">
        <v>57</v>
      </c>
      <c r="CG46" t="s">
        <v>57</v>
      </c>
      <c r="CH46" t="s">
        <v>57</v>
      </c>
      <c r="CI46" t="s">
        <v>57</v>
      </c>
      <c r="CJ46" t="s">
        <v>57</v>
      </c>
      <c r="CK46" t="s">
        <v>175</v>
      </c>
      <c r="CL46" t="s">
        <v>175</v>
      </c>
      <c r="CM46" t="s">
        <v>175</v>
      </c>
      <c r="CN46" t="s">
        <v>57</v>
      </c>
      <c r="CO46" t="s">
        <v>57</v>
      </c>
      <c r="CP46" t="s">
        <v>57</v>
      </c>
      <c r="CQ46" t="s">
        <v>57</v>
      </c>
      <c r="CR46" t="s">
        <v>57</v>
      </c>
      <c r="CS46" t="s">
        <v>57</v>
      </c>
      <c r="CT46" t="s">
        <v>57</v>
      </c>
      <c r="CU46" t="s">
        <v>57</v>
      </c>
      <c r="CV46" t="s">
        <v>57</v>
      </c>
      <c r="CW46" t="s">
        <v>57</v>
      </c>
      <c r="CX46" t="s">
        <v>57</v>
      </c>
      <c r="CY46" t="s">
        <v>57</v>
      </c>
      <c r="CZ46" t="s">
        <v>57</v>
      </c>
      <c r="DA46" t="s">
        <v>57</v>
      </c>
      <c r="DB46" t="s">
        <v>57</v>
      </c>
      <c r="DC46" t="s">
        <v>57</v>
      </c>
      <c r="DD46" t="s">
        <v>57</v>
      </c>
      <c r="DE46" t="s">
        <v>57</v>
      </c>
      <c r="DF46" t="s">
        <v>57</v>
      </c>
      <c r="DG46" t="s">
        <v>57</v>
      </c>
      <c r="DH46" t="s">
        <v>57</v>
      </c>
      <c r="DI46" t="s">
        <v>57</v>
      </c>
      <c r="DJ46" t="s">
        <v>57</v>
      </c>
      <c r="DK46" t="s">
        <v>175</v>
      </c>
      <c r="DL46" t="s">
        <v>57</v>
      </c>
      <c r="DM46" t="s">
        <v>175</v>
      </c>
      <c r="DN46" t="s">
        <v>175</v>
      </c>
      <c r="DO46" t="s">
        <v>175</v>
      </c>
      <c r="DP46" t="s">
        <v>175</v>
      </c>
      <c r="DQ46" t="s">
        <v>175</v>
      </c>
      <c r="DR46" t="s">
        <v>175</v>
      </c>
      <c r="DS46" t="s">
        <v>175</v>
      </c>
      <c r="DT46" t="s">
        <v>175</v>
      </c>
      <c r="DU46" t="s">
        <v>175</v>
      </c>
      <c r="DV46" t="s">
        <v>175</v>
      </c>
      <c r="DW46" t="s">
        <v>175</v>
      </c>
      <c r="DX46" t="s">
        <v>175</v>
      </c>
      <c r="DY46" t="s">
        <v>175</v>
      </c>
      <c r="DZ46" t="s">
        <v>175</v>
      </c>
      <c r="EA46" t="s">
        <v>57</v>
      </c>
      <c r="EB46" t="s">
        <v>57</v>
      </c>
      <c r="EC46" t="s">
        <v>57</v>
      </c>
      <c r="ED46" t="s">
        <v>57</v>
      </c>
      <c r="EE46" t="s">
        <v>57</v>
      </c>
      <c r="EF46" t="s">
        <v>57</v>
      </c>
      <c r="EG46" t="s">
        <v>57</v>
      </c>
      <c r="EH46" t="s">
        <v>57</v>
      </c>
      <c r="EI46" t="s">
        <v>57</v>
      </c>
      <c r="EJ46" t="s">
        <v>57</v>
      </c>
      <c r="EK46" t="s">
        <v>57</v>
      </c>
      <c r="EL46" t="s">
        <v>57</v>
      </c>
      <c r="EM46" t="s">
        <v>57</v>
      </c>
      <c r="EN46" t="s">
        <v>57</v>
      </c>
      <c r="EO46" t="s">
        <v>57</v>
      </c>
      <c r="EP46" t="s">
        <v>57</v>
      </c>
      <c r="EQ46" t="s">
        <v>57</v>
      </c>
      <c r="ER46" t="s">
        <v>57</v>
      </c>
      <c r="ES46" t="s">
        <v>57</v>
      </c>
      <c r="ET46" t="s">
        <v>57</v>
      </c>
      <c r="EU46" t="s">
        <v>57</v>
      </c>
      <c r="EV46" t="s">
        <v>57</v>
      </c>
      <c r="EW46" t="s">
        <v>57</v>
      </c>
      <c r="EX46" t="s">
        <v>175</v>
      </c>
      <c r="EY46" t="s">
        <v>175</v>
      </c>
      <c r="EZ46" t="s">
        <v>175</v>
      </c>
      <c r="FA46" t="s">
        <v>175</v>
      </c>
      <c r="FB46" t="s">
        <v>175</v>
      </c>
      <c r="FC46" t="s">
        <v>175</v>
      </c>
      <c r="FD46" t="s">
        <v>57</v>
      </c>
      <c r="FE46" t="s">
        <v>57</v>
      </c>
      <c r="FF46" t="s">
        <v>57</v>
      </c>
      <c r="FG46" t="s">
        <v>57</v>
      </c>
      <c r="FH46" t="s">
        <v>57</v>
      </c>
      <c r="FI46" t="s">
        <v>57</v>
      </c>
      <c r="FJ46" t="s">
        <v>57</v>
      </c>
      <c r="FK46" t="s">
        <v>57</v>
      </c>
      <c r="FL46" t="s">
        <v>57</v>
      </c>
      <c r="FM46" t="s">
        <v>57</v>
      </c>
      <c r="FN46" t="s">
        <v>57</v>
      </c>
      <c r="FO46" t="s">
        <v>57</v>
      </c>
      <c r="FP46" t="s">
        <v>57</v>
      </c>
      <c r="FQ46" t="s">
        <v>57</v>
      </c>
      <c r="FR46" t="s">
        <v>57</v>
      </c>
      <c r="FS46" t="s">
        <v>57</v>
      </c>
      <c r="FT46" t="s">
        <v>57</v>
      </c>
      <c r="FU46" t="s">
        <v>57</v>
      </c>
      <c r="FV46" t="s">
        <v>57</v>
      </c>
      <c r="FW46" t="s">
        <v>57</v>
      </c>
      <c r="FX46" t="s">
        <v>57</v>
      </c>
      <c r="FY46" t="s">
        <v>57</v>
      </c>
      <c r="FZ46" t="s">
        <v>57</v>
      </c>
      <c r="GA46" t="s">
        <v>57</v>
      </c>
      <c r="GB46" t="s">
        <v>57</v>
      </c>
      <c r="GC46" t="s">
        <v>57</v>
      </c>
      <c r="GD46" t="s">
        <v>57</v>
      </c>
      <c r="GE46" t="s">
        <v>57</v>
      </c>
      <c r="GF46" t="s">
        <v>57</v>
      </c>
      <c r="GG46" t="s">
        <v>175</v>
      </c>
      <c r="GH46" t="s">
        <v>57</v>
      </c>
      <c r="GI46" t="s">
        <v>57</v>
      </c>
      <c r="GJ46" t="s">
        <v>57</v>
      </c>
      <c r="GK46" t="s">
        <v>57</v>
      </c>
      <c r="GL46" t="s">
        <v>57</v>
      </c>
      <c r="GM46" t="s">
        <v>175</v>
      </c>
      <c r="GN46" t="s">
        <v>57</v>
      </c>
      <c r="GO46" t="s">
        <v>57</v>
      </c>
      <c r="GP46" t="s">
        <v>57</v>
      </c>
      <c r="GQ46" t="s">
        <v>57</v>
      </c>
      <c r="GR46" t="s">
        <v>57</v>
      </c>
      <c r="GS46" t="s">
        <v>57</v>
      </c>
      <c r="GT46" t="s">
        <v>57</v>
      </c>
      <c r="GU46" t="s">
        <v>57</v>
      </c>
      <c r="GV46" t="s">
        <v>175</v>
      </c>
      <c r="GW46" t="s">
        <v>57</v>
      </c>
      <c r="GX46" t="s">
        <v>57</v>
      </c>
      <c r="GY46" t="s">
        <v>57</v>
      </c>
      <c r="GZ46" t="s">
        <v>57</v>
      </c>
      <c r="HA46" t="s">
        <v>57</v>
      </c>
      <c r="HB46" t="s">
        <v>57</v>
      </c>
      <c r="HC46" t="s">
        <v>57</v>
      </c>
      <c r="HD46" t="s">
        <v>57</v>
      </c>
      <c r="HE46" t="s">
        <v>57</v>
      </c>
      <c r="HF46" t="s">
        <v>57</v>
      </c>
      <c r="HG46" t="s">
        <v>57</v>
      </c>
      <c r="HH46" t="s">
        <v>57</v>
      </c>
      <c r="HI46" t="s">
        <v>57</v>
      </c>
      <c r="HJ46" t="s">
        <v>57</v>
      </c>
      <c r="HK46" t="s">
        <v>57</v>
      </c>
      <c r="HL46" t="s">
        <v>57</v>
      </c>
      <c r="HM46" t="s">
        <v>57</v>
      </c>
      <c r="HN46" t="s">
        <v>57</v>
      </c>
      <c r="HO46" t="s">
        <v>57</v>
      </c>
      <c r="HP46" t="s">
        <v>57</v>
      </c>
      <c r="HQ46" t="s">
        <v>57</v>
      </c>
      <c r="HR46" t="s">
        <v>57</v>
      </c>
      <c r="HS46" t="s">
        <v>57</v>
      </c>
      <c r="HT46" t="s">
        <v>57</v>
      </c>
      <c r="HU46" t="s">
        <v>57</v>
      </c>
      <c r="HV46" t="s">
        <v>57</v>
      </c>
      <c r="HW46" t="s">
        <v>57</v>
      </c>
      <c r="HX46" t="s">
        <v>57</v>
      </c>
      <c r="HY46" t="s">
        <v>57</v>
      </c>
      <c r="HZ46" t="s">
        <v>57</v>
      </c>
      <c r="IA46" t="s">
        <v>57</v>
      </c>
      <c r="IB46" t="s">
        <v>57</v>
      </c>
      <c r="IC46" t="s">
        <v>57</v>
      </c>
      <c r="ID46" t="s">
        <v>57</v>
      </c>
      <c r="IE46" t="s">
        <v>57</v>
      </c>
      <c r="IF46" t="s">
        <v>124</v>
      </c>
      <c r="IG46" t="s">
        <v>148</v>
      </c>
      <c r="IH46" t="s">
        <v>123</v>
      </c>
      <c r="II46" t="s">
        <v>156</v>
      </c>
    </row>
    <row r="47" spans="1:243" x14ac:dyDescent="0.25">
      <c r="A47" s="111" t="str">
        <f>HYPERLINK("http://www.ofsted.gov.uk/inspection-reports/find-inspection-report/provider/ELS/109364 ","Ofsted School Webpage")</f>
        <v>Ofsted School Webpage</v>
      </c>
      <c r="B47">
        <v>109364</v>
      </c>
      <c r="C47">
        <v>8026004</v>
      </c>
      <c r="D47" t="s">
        <v>1525</v>
      </c>
      <c r="E47" t="s">
        <v>36</v>
      </c>
      <c r="F47" t="s">
        <v>166</v>
      </c>
      <c r="G47" t="s">
        <v>182</v>
      </c>
      <c r="H47" t="s">
        <v>182</v>
      </c>
      <c r="I47" t="s">
        <v>1526</v>
      </c>
      <c r="J47" t="s">
        <v>1527</v>
      </c>
      <c r="K47" t="s">
        <v>142</v>
      </c>
      <c r="L47" t="s">
        <v>142</v>
      </c>
      <c r="M47" t="s">
        <v>2596</v>
      </c>
      <c r="N47" t="s">
        <v>143</v>
      </c>
      <c r="O47">
        <v>10041373</v>
      </c>
      <c r="P47" s="108">
        <v>43123</v>
      </c>
      <c r="Q47" s="108">
        <v>43125</v>
      </c>
      <c r="R47" s="108">
        <v>43151</v>
      </c>
      <c r="S47" t="s">
        <v>153</v>
      </c>
      <c r="T47" t="s">
        <v>154</v>
      </c>
      <c r="U47">
        <v>2</v>
      </c>
      <c r="V47">
        <v>2</v>
      </c>
      <c r="W47">
        <v>1</v>
      </c>
      <c r="X47">
        <v>2</v>
      </c>
      <c r="Y47">
        <v>2</v>
      </c>
      <c r="Z47">
        <v>2</v>
      </c>
      <c r="AA47" t="s">
        <v>2596</v>
      </c>
      <c r="AB47" t="s">
        <v>123</v>
      </c>
      <c r="AC47" t="s">
        <v>2596</v>
      </c>
      <c r="AD47" t="s">
        <v>2598</v>
      </c>
      <c r="AE47" t="s">
        <v>57</v>
      </c>
      <c r="AF47" t="s">
        <v>57</v>
      </c>
      <c r="AG47" t="s">
        <v>57</v>
      </c>
      <c r="AH47" t="s">
        <v>57</v>
      </c>
      <c r="AI47" t="s">
        <v>57</v>
      </c>
      <c r="AJ47" t="s">
        <v>57</v>
      </c>
      <c r="AK47" t="s">
        <v>57</v>
      </c>
      <c r="AL47" t="s">
        <v>57</v>
      </c>
      <c r="AM47" t="s">
        <v>57</v>
      </c>
      <c r="AN47" t="s">
        <v>57</v>
      </c>
      <c r="AO47" t="s">
        <v>57</v>
      </c>
      <c r="AP47" t="s">
        <v>57</v>
      </c>
      <c r="AQ47" t="s">
        <v>57</v>
      </c>
      <c r="AR47" t="s">
        <v>57</v>
      </c>
      <c r="AS47" t="s">
        <v>57</v>
      </c>
      <c r="AT47" t="s">
        <v>57</v>
      </c>
      <c r="AU47" t="s">
        <v>175</v>
      </c>
      <c r="AV47" t="s">
        <v>57</v>
      </c>
      <c r="AW47" t="s">
        <v>57</v>
      </c>
      <c r="AX47" t="s">
        <v>57</v>
      </c>
      <c r="AY47" t="s">
        <v>175</v>
      </c>
      <c r="AZ47" t="s">
        <v>175</v>
      </c>
      <c r="BA47" t="s">
        <v>175</v>
      </c>
      <c r="BB47" t="s">
        <v>175</v>
      </c>
      <c r="BC47" t="s">
        <v>57</v>
      </c>
      <c r="BD47" t="s">
        <v>175</v>
      </c>
      <c r="BE47" t="s">
        <v>57</v>
      </c>
      <c r="BF47" t="s">
        <v>57</v>
      </c>
      <c r="BG47" t="s">
        <v>57</v>
      </c>
      <c r="BH47" t="s">
        <v>57</v>
      </c>
      <c r="BI47" t="s">
        <v>57</v>
      </c>
      <c r="BJ47" t="s">
        <v>57</v>
      </c>
      <c r="BK47" t="s">
        <v>57</v>
      </c>
      <c r="BL47" t="s">
        <v>57</v>
      </c>
      <c r="BM47" t="s">
        <v>57</v>
      </c>
      <c r="BN47" t="s">
        <v>57</v>
      </c>
      <c r="BO47" t="s">
        <v>57</v>
      </c>
      <c r="BP47" t="s">
        <v>57</v>
      </c>
      <c r="BQ47" t="s">
        <v>57</v>
      </c>
      <c r="BR47" t="s">
        <v>57</v>
      </c>
      <c r="BS47" t="s">
        <v>57</v>
      </c>
      <c r="BT47" t="s">
        <v>57</v>
      </c>
      <c r="BU47" t="s">
        <v>57</v>
      </c>
      <c r="BV47" t="s">
        <v>57</v>
      </c>
      <c r="BW47" t="s">
        <v>57</v>
      </c>
      <c r="BX47" t="s">
        <v>57</v>
      </c>
      <c r="BY47" t="s">
        <v>57</v>
      </c>
      <c r="BZ47" t="s">
        <v>57</v>
      </c>
      <c r="CA47" t="s">
        <v>57</v>
      </c>
      <c r="CB47" t="s">
        <v>57</v>
      </c>
      <c r="CC47" t="s">
        <v>57</v>
      </c>
      <c r="CD47" t="s">
        <v>57</v>
      </c>
      <c r="CE47" t="s">
        <v>57</v>
      </c>
      <c r="CF47" t="s">
        <v>57</v>
      </c>
      <c r="CG47" t="s">
        <v>57</v>
      </c>
      <c r="CH47" t="s">
        <v>57</v>
      </c>
      <c r="CI47" t="s">
        <v>57</v>
      </c>
      <c r="CJ47" t="s">
        <v>57</v>
      </c>
      <c r="CK47" t="s">
        <v>175</v>
      </c>
      <c r="CL47" t="s">
        <v>175</v>
      </c>
      <c r="CM47" t="s">
        <v>175</v>
      </c>
      <c r="CN47" t="s">
        <v>57</v>
      </c>
      <c r="CO47" t="s">
        <v>57</v>
      </c>
      <c r="CP47" t="s">
        <v>57</v>
      </c>
      <c r="CQ47" t="s">
        <v>57</v>
      </c>
      <c r="CR47" t="s">
        <v>57</v>
      </c>
      <c r="CS47" t="s">
        <v>57</v>
      </c>
      <c r="CT47" t="s">
        <v>57</v>
      </c>
      <c r="CU47" t="s">
        <v>57</v>
      </c>
      <c r="CV47" t="s">
        <v>57</v>
      </c>
      <c r="CW47" t="s">
        <v>57</v>
      </c>
      <c r="CX47" t="s">
        <v>57</v>
      </c>
      <c r="CY47" t="s">
        <v>57</v>
      </c>
      <c r="CZ47" t="s">
        <v>57</v>
      </c>
      <c r="DA47" t="s">
        <v>57</v>
      </c>
      <c r="DB47" t="s">
        <v>57</v>
      </c>
      <c r="DC47" t="s">
        <v>57</v>
      </c>
      <c r="DD47" t="s">
        <v>57</v>
      </c>
      <c r="DE47" t="s">
        <v>57</v>
      </c>
      <c r="DF47" t="s">
        <v>57</v>
      </c>
      <c r="DG47" t="s">
        <v>57</v>
      </c>
      <c r="DH47" t="s">
        <v>57</v>
      </c>
      <c r="DI47" t="s">
        <v>57</v>
      </c>
      <c r="DJ47" t="s">
        <v>175</v>
      </c>
      <c r="DK47" t="s">
        <v>175</v>
      </c>
      <c r="DL47" t="s">
        <v>57</v>
      </c>
      <c r="DM47" t="s">
        <v>175</v>
      </c>
      <c r="DN47" t="s">
        <v>175</v>
      </c>
      <c r="DO47" t="s">
        <v>175</v>
      </c>
      <c r="DP47" t="s">
        <v>175</v>
      </c>
      <c r="DQ47" t="s">
        <v>175</v>
      </c>
      <c r="DR47" t="s">
        <v>175</v>
      </c>
      <c r="DS47" t="s">
        <v>175</v>
      </c>
      <c r="DT47" t="s">
        <v>175</v>
      </c>
      <c r="DU47" t="s">
        <v>175</v>
      </c>
      <c r="DV47" t="s">
        <v>175</v>
      </c>
      <c r="DW47" t="s">
        <v>175</v>
      </c>
      <c r="DX47" t="s">
        <v>175</v>
      </c>
      <c r="DY47" t="s">
        <v>175</v>
      </c>
      <c r="DZ47" t="s">
        <v>175</v>
      </c>
      <c r="EA47" t="s">
        <v>57</v>
      </c>
      <c r="EB47" t="s">
        <v>57</v>
      </c>
      <c r="EC47" t="s">
        <v>57</v>
      </c>
      <c r="ED47" t="s">
        <v>57</v>
      </c>
      <c r="EE47" t="s">
        <v>57</v>
      </c>
      <c r="EF47" t="s">
        <v>57</v>
      </c>
      <c r="EG47" t="s">
        <v>57</v>
      </c>
      <c r="EH47" t="s">
        <v>57</v>
      </c>
      <c r="EI47" t="s">
        <v>57</v>
      </c>
      <c r="EJ47" t="s">
        <v>57</v>
      </c>
      <c r="EK47" t="s">
        <v>57</v>
      </c>
      <c r="EL47" t="s">
        <v>57</v>
      </c>
      <c r="EM47" t="s">
        <v>57</v>
      </c>
      <c r="EN47" t="s">
        <v>57</v>
      </c>
      <c r="EO47" t="s">
        <v>57</v>
      </c>
      <c r="EP47" t="s">
        <v>57</v>
      </c>
      <c r="EQ47" t="s">
        <v>57</v>
      </c>
      <c r="ER47" t="s">
        <v>57</v>
      </c>
      <c r="ES47" t="s">
        <v>57</v>
      </c>
      <c r="ET47" t="s">
        <v>57</v>
      </c>
      <c r="EU47" t="s">
        <v>57</v>
      </c>
      <c r="EV47" t="s">
        <v>57</v>
      </c>
      <c r="EW47" t="s">
        <v>57</v>
      </c>
      <c r="EX47" t="s">
        <v>175</v>
      </c>
      <c r="EY47" t="s">
        <v>175</v>
      </c>
      <c r="EZ47" t="s">
        <v>175</v>
      </c>
      <c r="FA47" t="s">
        <v>175</v>
      </c>
      <c r="FB47" t="s">
        <v>175</v>
      </c>
      <c r="FC47" t="s">
        <v>175</v>
      </c>
      <c r="FD47" t="s">
        <v>175</v>
      </c>
      <c r="FE47" t="s">
        <v>57</v>
      </c>
      <c r="FF47" t="s">
        <v>57</v>
      </c>
      <c r="FG47" t="s">
        <v>57</v>
      </c>
      <c r="FH47" t="s">
        <v>57</v>
      </c>
      <c r="FI47" t="s">
        <v>57</v>
      </c>
      <c r="FJ47" t="s">
        <v>57</v>
      </c>
      <c r="FK47" t="s">
        <v>175</v>
      </c>
      <c r="FL47" t="s">
        <v>57</v>
      </c>
      <c r="FM47" t="s">
        <v>57</v>
      </c>
      <c r="FN47" t="s">
        <v>57</v>
      </c>
      <c r="FO47" t="s">
        <v>57</v>
      </c>
      <c r="FP47" t="s">
        <v>57</v>
      </c>
      <c r="FQ47" t="s">
        <v>57</v>
      </c>
      <c r="FR47" t="s">
        <v>57</v>
      </c>
      <c r="FS47" t="s">
        <v>57</v>
      </c>
      <c r="FT47" t="s">
        <v>57</v>
      </c>
      <c r="FU47" t="s">
        <v>57</v>
      </c>
      <c r="FV47" t="s">
        <v>57</v>
      </c>
      <c r="FW47" t="s">
        <v>57</v>
      </c>
      <c r="FX47" t="s">
        <v>57</v>
      </c>
      <c r="FY47" t="s">
        <v>57</v>
      </c>
      <c r="FZ47" t="s">
        <v>57</v>
      </c>
      <c r="GA47" t="s">
        <v>57</v>
      </c>
      <c r="GB47" t="s">
        <v>57</v>
      </c>
      <c r="GC47" t="s">
        <v>57</v>
      </c>
      <c r="GD47" t="s">
        <v>57</v>
      </c>
      <c r="GE47" t="s">
        <v>57</v>
      </c>
      <c r="GF47" t="s">
        <v>57</v>
      </c>
      <c r="GG47" t="s">
        <v>175</v>
      </c>
      <c r="GH47" t="s">
        <v>57</v>
      </c>
      <c r="GI47" t="s">
        <v>57</v>
      </c>
      <c r="GJ47" t="s">
        <v>57</v>
      </c>
      <c r="GK47" t="s">
        <v>57</v>
      </c>
      <c r="GL47" t="s">
        <v>57</v>
      </c>
      <c r="GM47" t="s">
        <v>175</v>
      </c>
      <c r="GN47" t="s">
        <v>57</v>
      </c>
      <c r="GO47" t="s">
        <v>57</v>
      </c>
      <c r="GP47" t="s">
        <v>57</v>
      </c>
      <c r="GQ47" t="s">
        <v>175</v>
      </c>
      <c r="GR47" t="s">
        <v>57</v>
      </c>
      <c r="GS47" t="s">
        <v>57</v>
      </c>
      <c r="GT47" t="s">
        <v>57</v>
      </c>
      <c r="GU47" t="s">
        <v>57</v>
      </c>
      <c r="GV47" t="s">
        <v>57</v>
      </c>
      <c r="GW47" t="s">
        <v>57</v>
      </c>
      <c r="GX47" t="s">
        <v>175</v>
      </c>
      <c r="GY47" t="s">
        <v>57</v>
      </c>
      <c r="GZ47" t="s">
        <v>57</v>
      </c>
      <c r="HA47" t="s">
        <v>57</v>
      </c>
      <c r="HB47" t="s">
        <v>57</v>
      </c>
      <c r="HC47" t="s">
        <v>57</v>
      </c>
      <c r="HD47" t="s">
        <v>57</v>
      </c>
      <c r="HE47" t="s">
        <v>57</v>
      </c>
      <c r="HF47" t="s">
        <v>57</v>
      </c>
      <c r="HG47" t="s">
        <v>57</v>
      </c>
      <c r="HH47" t="s">
        <v>57</v>
      </c>
      <c r="HI47" t="s">
        <v>175</v>
      </c>
      <c r="HJ47" t="s">
        <v>175</v>
      </c>
      <c r="HK47" t="s">
        <v>175</v>
      </c>
      <c r="HL47" t="s">
        <v>57</v>
      </c>
      <c r="HM47" t="s">
        <v>57</v>
      </c>
      <c r="HN47" t="s">
        <v>57</v>
      </c>
      <c r="HO47" t="s">
        <v>57</v>
      </c>
      <c r="HP47" t="s">
        <v>57</v>
      </c>
      <c r="HQ47" t="s">
        <v>57</v>
      </c>
      <c r="HR47" t="s">
        <v>57</v>
      </c>
      <c r="HS47" t="s">
        <v>57</v>
      </c>
      <c r="HT47" t="s">
        <v>57</v>
      </c>
      <c r="HU47" t="s">
        <v>57</v>
      </c>
      <c r="HV47" t="s">
        <v>57</v>
      </c>
      <c r="HW47" t="s">
        <v>57</v>
      </c>
      <c r="HX47" t="s">
        <v>57</v>
      </c>
      <c r="HY47" t="s">
        <v>57</v>
      </c>
      <c r="HZ47" t="s">
        <v>57</v>
      </c>
      <c r="IA47" t="s">
        <v>57</v>
      </c>
      <c r="IB47" t="s">
        <v>57</v>
      </c>
      <c r="IC47" t="s">
        <v>57</v>
      </c>
      <c r="ID47" t="s">
        <v>57</v>
      </c>
      <c r="IE47" t="s">
        <v>57</v>
      </c>
      <c r="IF47" t="s">
        <v>124</v>
      </c>
      <c r="IG47" t="s">
        <v>148</v>
      </c>
      <c r="IH47" t="s">
        <v>123</v>
      </c>
      <c r="II47" t="s">
        <v>156</v>
      </c>
    </row>
    <row r="48" spans="1:243" x14ac:dyDescent="0.25">
      <c r="A48" s="111" t="str">
        <f>HYPERLINK("http://www.ofsted.gov.uk/inspection-reports/find-inspection-report/provider/ELS/109723 ","Ofsted School Webpage")</f>
        <v>Ofsted School Webpage</v>
      </c>
      <c r="B48">
        <v>109723</v>
      </c>
      <c r="C48">
        <v>8236007</v>
      </c>
      <c r="D48" t="s">
        <v>370</v>
      </c>
      <c r="E48" t="s">
        <v>36</v>
      </c>
      <c r="F48" t="s">
        <v>166</v>
      </c>
      <c r="G48" t="s">
        <v>177</v>
      </c>
      <c r="H48" t="s">
        <v>177</v>
      </c>
      <c r="I48" t="s">
        <v>371</v>
      </c>
      <c r="J48" t="s">
        <v>372</v>
      </c>
      <c r="K48" t="s">
        <v>142</v>
      </c>
      <c r="L48" t="s">
        <v>142</v>
      </c>
      <c r="M48" t="s">
        <v>2596</v>
      </c>
      <c r="N48" t="s">
        <v>143</v>
      </c>
      <c r="O48">
        <v>10026060</v>
      </c>
      <c r="P48" s="108">
        <v>43011</v>
      </c>
      <c r="Q48" s="108">
        <v>43013</v>
      </c>
      <c r="R48" s="108">
        <v>43055</v>
      </c>
      <c r="S48" t="s">
        <v>153</v>
      </c>
      <c r="T48" t="s">
        <v>154</v>
      </c>
      <c r="U48">
        <v>2</v>
      </c>
      <c r="V48">
        <v>2</v>
      </c>
      <c r="W48">
        <v>2</v>
      </c>
      <c r="X48">
        <v>2</v>
      </c>
      <c r="Y48">
        <v>2</v>
      </c>
      <c r="Z48">
        <v>2</v>
      </c>
      <c r="AA48" t="s">
        <v>2596</v>
      </c>
      <c r="AB48" t="s">
        <v>123</v>
      </c>
      <c r="AC48" t="s">
        <v>2596</v>
      </c>
      <c r="AD48" t="s">
        <v>2598</v>
      </c>
      <c r="AE48" t="s">
        <v>57</v>
      </c>
      <c r="AF48" t="s">
        <v>57</v>
      </c>
      <c r="AG48" t="s">
        <v>57</v>
      </c>
      <c r="AH48" t="s">
        <v>57</v>
      </c>
      <c r="AI48" t="s">
        <v>57</v>
      </c>
      <c r="AJ48" t="s">
        <v>57</v>
      </c>
      <c r="AK48" t="s">
        <v>57</v>
      </c>
      <c r="AL48" t="s">
        <v>57</v>
      </c>
      <c r="AM48" t="s">
        <v>57</v>
      </c>
      <c r="AN48" t="s">
        <v>57</v>
      </c>
      <c r="AO48" t="s">
        <v>57</v>
      </c>
      <c r="AP48" t="s">
        <v>57</v>
      </c>
      <c r="AQ48" t="s">
        <v>57</v>
      </c>
      <c r="AR48" t="s">
        <v>57</v>
      </c>
      <c r="AS48" t="s">
        <v>57</v>
      </c>
      <c r="AT48" t="s">
        <v>57</v>
      </c>
      <c r="AU48" t="s">
        <v>175</v>
      </c>
      <c r="AV48" t="s">
        <v>57</v>
      </c>
      <c r="AW48" t="s">
        <v>57</v>
      </c>
      <c r="AX48" t="s">
        <v>57</v>
      </c>
      <c r="AY48" t="s">
        <v>175</v>
      </c>
      <c r="AZ48" t="s">
        <v>175</v>
      </c>
      <c r="BA48" t="s">
        <v>175</v>
      </c>
      <c r="BB48" t="s">
        <v>175</v>
      </c>
      <c r="BC48" t="s">
        <v>57</v>
      </c>
      <c r="BD48" t="s">
        <v>175</v>
      </c>
      <c r="BE48" t="s">
        <v>57</v>
      </c>
      <c r="BF48" t="s">
        <v>57</v>
      </c>
      <c r="BG48" t="s">
        <v>57</v>
      </c>
      <c r="BH48" t="s">
        <v>57</v>
      </c>
      <c r="BI48" t="s">
        <v>57</v>
      </c>
      <c r="BJ48" t="s">
        <v>57</v>
      </c>
      <c r="BK48" t="s">
        <v>57</v>
      </c>
      <c r="BL48" t="s">
        <v>57</v>
      </c>
      <c r="BM48" t="s">
        <v>57</v>
      </c>
      <c r="BN48" t="s">
        <v>57</v>
      </c>
      <c r="BO48" t="s">
        <v>57</v>
      </c>
      <c r="BP48" t="s">
        <v>57</v>
      </c>
      <c r="BQ48" t="s">
        <v>57</v>
      </c>
      <c r="BR48" t="s">
        <v>57</v>
      </c>
      <c r="BS48" t="s">
        <v>57</v>
      </c>
      <c r="BT48" t="s">
        <v>57</v>
      </c>
      <c r="BU48" t="s">
        <v>57</v>
      </c>
      <c r="BV48" t="s">
        <v>57</v>
      </c>
      <c r="BW48" t="s">
        <v>57</v>
      </c>
      <c r="BX48" t="s">
        <v>57</v>
      </c>
      <c r="BY48" t="s">
        <v>57</v>
      </c>
      <c r="BZ48" t="s">
        <v>57</v>
      </c>
      <c r="CA48" t="s">
        <v>57</v>
      </c>
      <c r="CB48" t="s">
        <v>57</v>
      </c>
      <c r="CC48" t="s">
        <v>57</v>
      </c>
      <c r="CD48" t="s">
        <v>57</v>
      </c>
      <c r="CE48" t="s">
        <v>57</v>
      </c>
      <c r="CF48" t="s">
        <v>57</v>
      </c>
      <c r="CG48" t="s">
        <v>57</v>
      </c>
      <c r="CH48" t="s">
        <v>57</v>
      </c>
      <c r="CI48" t="s">
        <v>57</v>
      </c>
      <c r="CJ48" t="s">
        <v>57</v>
      </c>
      <c r="CK48" t="s">
        <v>57</v>
      </c>
      <c r="CL48" t="s">
        <v>175</v>
      </c>
      <c r="CM48" t="s">
        <v>175</v>
      </c>
      <c r="CN48" t="s">
        <v>57</v>
      </c>
      <c r="CO48" t="s">
        <v>57</v>
      </c>
      <c r="CP48" t="s">
        <v>57</v>
      </c>
      <c r="CQ48" t="s">
        <v>57</v>
      </c>
      <c r="CR48" t="s">
        <v>57</v>
      </c>
      <c r="CS48" t="s">
        <v>57</v>
      </c>
      <c r="CT48" t="s">
        <v>57</v>
      </c>
      <c r="CU48" t="s">
        <v>57</v>
      </c>
      <c r="CV48" t="s">
        <v>57</v>
      </c>
      <c r="CW48" t="s">
        <v>57</v>
      </c>
      <c r="CX48" t="s">
        <v>57</v>
      </c>
      <c r="CY48" t="s">
        <v>57</v>
      </c>
      <c r="CZ48" t="s">
        <v>57</v>
      </c>
      <c r="DA48" t="s">
        <v>57</v>
      </c>
      <c r="DB48" t="s">
        <v>57</v>
      </c>
      <c r="DC48" t="s">
        <v>57</v>
      </c>
      <c r="DD48" t="s">
        <v>57</v>
      </c>
      <c r="DE48" t="s">
        <v>57</v>
      </c>
      <c r="DF48" t="s">
        <v>57</v>
      </c>
      <c r="DG48" t="s">
        <v>57</v>
      </c>
      <c r="DH48" t="s">
        <v>57</v>
      </c>
      <c r="DI48" t="s">
        <v>57</v>
      </c>
      <c r="DJ48" t="s">
        <v>175</v>
      </c>
      <c r="DK48" t="s">
        <v>175</v>
      </c>
      <c r="DL48" t="s">
        <v>57</v>
      </c>
      <c r="DM48" t="s">
        <v>175</v>
      </c>
      <c r="DN48" t="s">
        <v>175</v>
      </c>
      <c r="DO48" t="s">
        <v>175</v>
      </c>
      <c r="DP48" t="s">
        <v>175</v>
      </c>
      <c r="DQ48" t="s">
        <v>175</v>
      </c>
      <c r="DR48" t="s">
        <v>175</v>
      </c>
      <c r="DS48" t="s">
        <v>175</v>
      </c>
      <c r="DT48" t="s">
        <v>175</v>
      </c>
      <c r="DU48" t="s">
        <v>175</v>
      </c>
      <c r="DV48" t="s">
        <v>175</v>
      </c>
      <c r="DW48" t="s">
        <v>175</v>
      </c>
      <c r="DX48" t="s">
        <v>175</v>
      </c>
      <c r="DY48" t="s">
        <v>175</v>
      </c>
      <c r="DZ48" t="s">
        <v>57</v>
      </c>
      <c r="EA48" t="s">
        <v>175</v>
      </c>
      <c r="EB48" t="s">
        <v>175</v>
      </c>
      <c r="EC48" t="s">
        <v>175</v>
      </c>
      <c r="ED48" t="s">
        <v>175</v>
      </c>
      <c r="EE48" t="s">
        <v>175</v>
      </c>
      <c r="EF48" t="s">
        <v>175</v>
      </c>
      <c r="EG48" t="s">
        <v>175</v>
      </c>
      <c r="EH48" t="s">
        <v>175</v>
      </c>
      <c r="EI48" t="s">
        <v>57</v>
      </c>
      <c r="EJ48" t="s">
        <v>57</v>
      </c>
      <c r="EK48" t="s">
        <v>57</v>
      </c>
      <c r="EL48" t="s">
        <v>57</v>
      </c>
      <c r="EM48" t="s">
        <v>57</v>
      </c>
      <c r="EN48" t="s">
        <v>57</v>
      </c>
      <c r="EO48" t="s">
        <v>57</v>
      </c>
      <c r="EP48" t="s">
        <v>57</v>
      </c>
      <c r="EQ48" t="s">
        <v>57</v>
      </c>
      <c r="ER48" t="s">
        <v>57</v>
      </c>
      <c r="ES48" t="s">
        <v>57</v>
      </c>
      <c r="ET48" t="s">
        <v>57</v>
      </c>
      <c r="EU48" t="s">
        <v>57</v>
      </c>
      <c r="EV48" t="s">
        <v>57</v>
      </c>
      <c r="EW48" t="s">
        <v>57</v>
      </c>
      <c r="EX48" t="s">
        <v>175</v>
      </c>
      <c r="EY48" t="s">
        <v>175</v>
      </c>
      <c r="EZ48" t="s">
        <v>175</v>
      </c>
      <c r="FA48" t="s">
        <v>57</v>
      </c>
      <c r="FB48" t="s">
        <v>175</v>
      </c>
      <c r="FC48" t="s">
        <v>175</v>
      </c>
      <c r="FD48" t="s">
        <v>175</v>
      </c>
      <c r="FE48" t="s">
        <v>175</v>
      </c>
      <c r="FF48" t="s">
        <v>148</v>
      </c>
      <c r="FG48" t="s">
        <v>175</v>
      </c>
      <c r="FH48" t="s">
        <v>57</v>
      </c>
      <c r="FI48" t="s">
        <v>57</v>
      </c>
      <c r="FJ48" t="s">
        <v>57</v>
      </c>
      <c r="FK48" t="s">
        <v>175</v>
      </c>
      <c r="FL48" t="s">
        <v>57</v>
      </c>
      <c r="FM48" t="s">
        <v>57</v>
      </c>
      <c r="FN48" t="s">
        <v>57</v>
      </c>
      <c r="FO48" t="s">
        <v>175</v>
      </c>
      <c r="FP48" t="s">
        <v>57</v>
      </c>
      <c r="FQ48" t="s">
        <v>57</v>
      </c>
      <c r="FR48" t="s">
        <v>57</v>
      </c>
      <c r="FS48" t="s">
        <v>57</v>
      </c>
      <c r="FT48" t="s">
        <v>57</v>
      </c>
      <c r="FU48" t="s">
        <v>57</v>
      </c>
      <c r="FV48" t="s">
        <v>57</v>
      </c>
      <c r="FW48" t="s">
        <v>57</v>
      </c>
      <c r="FX48" t="s">
        <v>57</v>
      </c>
      <c r="FY48" t="s">
        <v>57</v>
      </c>
      <c r="FZ48" t="s">
        <v>57</v>
      </c>
      <c r="GA48" t="s">
        <v>57</v>
      </c>
      <c r="GB48" t="s">
        <v>57</v>
      </c>
      <c r="GC48" t="s">
        <v>57</v>
      </c>
      <c r="GD48" t="s">
        <v>57</v>
      </c>
      <c r="GE48" t="s">
        <v>57</v>
      </c>
      <c r="GF48" t="s">
        <v>57</v>
      </c>
      <c r="GG48" t="s">
        <v>175</v>
      </c>
      <c r="GH48" t="s">
        <v>57</v>
      </c>
      <c r="GI48" t="s">
        <v>57</v>
      </c>
      <c r="GJ48" t="s">
        <v>57</v>
      </c>
      <c r="GK48" t="s">
        <v>57</v>
      </c>
      <c r="GL48" t="s">
        <v>175</v>
      </c>
      <c r="GM48" t="s">
        <v>175</v>
      </c>
      <c r="GN48" t="s">
        <v>57</v>
      </c>
      <c r="GO48" t="s">
        <v>57</v>
      </c>
      <c r="GP48" t="s">
        <v>175</v>
      </c>
      <c r="GQ48" t="s">
        <v>175</v>
      </c>
      <c r="GR48" t="s">
        <v>57</v>
      </c>
      <c r="GS48" t="s">
        <v>57</v>
      </c>
      <c r="GT48" t="s">
        <v>57</v>
      </c>
      <c r="GU48" t="s">
        <v>57</v>
      </c>
      <c r="GV48" t="s">
        <v>57</v>
      </c>
      <c r="GW48" t="s">
        <v>175</v>
      </c>
      <c r="GX48" t="s">
        <v>175</v>
      </c>
      <c r="GY48" t="s">
        <v>57</v>
      </c>
      <c r="GZ48" t="s">
        <v>57</v>
      </c>
      <c r="HA48" t="s">
        <v>57</v>
      </c>
      <c r="HB48" t="s">
        <v>57</v>
      </c>
      <c r="HC48" t="s">
        <v>57</v>
      </c>
      <c r="HD48" t="s">
        <v>57</v>
      </c>
      <c r="HE48" t="s">
        <v>175</v>
      </c>
      <c r="HF48" t="s">
        <v>57</v>
      </c>
      <c r="HG48" t="s">
        <v>175</v>
      </c>
      <c r="HH48" t="s">
        <v>175</v>
      </c>
      <c r="HI48" t="s">
        <v>175</v>
      </c>
      <c r="HJ48" t="s">
        <v>175</v>
      </c>
      <c r="HK48" t="s">
        <v>175</v>
      </c>
      <c r="HL48" t="s">
        <v>57</v>
      </c>
      <c r="HM48" t="s">
        <v>57</v>
      </c>
      <c r="HN48" t="s">
        <v>57</v>
      </c>
      <c r="HO48" t="s">
        <v>57</v>
      </c>
      <c r="HP48" t="s">
        <v>57</v>
      </c>
      <c r="HQ48" t="s">
        <v>57</v>
      </c>
      <c r="HR48" t="s">
        <v>57</v>
      </c>
      <c r="HS48" t="s">
        <v>57</v>
      </c>
      <c r="HT48" t="s">
        <v>57</v>
      </c>
      <c r="HU48" t="s">
        <v>57</v>
      </c>
      <c r="HV48" t="s">
        <v>57</v>
      </c>
      <c r="HW48" t="s">
        <v>57</v>
      </c>
      <c r="HX48" t="s">
        <v>57</v>
      </c>
      <c r="HY48" t="s">
        <v>57</v>
      </c>
      <c r="HZ48" t="s">
        <v>57</v>
      </c>
      <c r="IA48" t="s">
        <v>57</v>
      </c>
      <c r="IB48" t="s">
        <v>57</v>
      </c>
      <c r="IC48" t="s">
        <v>57</v>
      </c>
      <c r="ID48" t="s">
        <v>57</v>
      </c>
      <c r="IE48" t="s">
        <v>57</v>
      </c>
      <c r="IF48" t="s">
        <v>124</v>
      </c>
      <c r="IG48" t="s">
        <v>148</v>
      </c>
      <c r="IH48" t="s">
        <v>123</v>
      </c>
      <c r="II48" t="s">
        <v>156</v>
      </c>
    </row>
    <row r="49" spans="1:243" x14ac:dyDescent="0.25">
      <c r="A49" s="111" t="str">
        <f>HYPERLINK("http://www.ofsted.gov.uk/inspection-reports/find-inspection-report/provider/ELS/109774 ","Ofsted School Webpage")</f>
        <v>Ofsted School Webpage</v>
      </c>
      <c r="B49">
        <v>109774</v>
      </c>
      <c r="C49">
        <v>3156588</v>
      </c>
      <c r="D49" t="s">
        <v>192</v>
      </c>
      <c r="E49" t="s">
        <v>36</v>
      </c>
      <c r="F49" t="s">
        <v>166</v>
      </c>
      <c r="G49" t="s">
        <v>189</v>
      </c>
      <c r="H49" t="s">
        <v>189</v>
      </c>
      <c r="I49" t="s">
        <v>193</v>
      </c>
      <c r="J49" t="s">
        <v>194</v>
      </c>
      <c r="K49" t="s">
        <v>142</v>
      </c>
      <c r="L49" t="s">
        <v>261</v>
      </c>
      <c r="M49" t="s">
        <v>2596</v>
      </c>
      <c r="N49" t="s">
        <v>143</v>
      </c>
      <c r="O49">
        <v>10034417</v>
      </c>
      <c r="P49" s="108">
        <v>42990</v>
      </c>
      <c r="Q49" s="108">
        <v>42992</v>
      </c>
      <c r="R49" s="108">
        <v>43045</v>
      </c>
      <c r="S49" t="s">
        <v>153</v>
      </c>
      <c r="T49" t="s">
        <v>154</v>
      </c>
      <c r="U49">
        <v>4</v>
      </c>
      <c r="V49">
        <v>4</v>
      </c>
      <c r="W49">
        <v>3</v>
      </c>
      <c r="X49">
        <v>4</v>
      </c>
      <c r="Y49">
        <v>4</v>
      </c>
      <c r="Z49">
        <v>3</v>
      </c>
      <c r="AA49" t="s">
        <v>2596</v>
      </c>
      <c r="AB49" t="s">
        <v>123</v>
      </c>
      <c r="AC49" t="s">
        <v>2596</v>
      </c>
      <c r="AD49" t="s">
        <v>2599</v>
      </c>
      <c r="AE49" t="s">
        <v>58</v>
      </c>
      <c r="AF49" t="s">
        <v>57</v>
      </c>
      <c r="AG49" t="s">
        <v>57</v>
      </c>
      <c r="AH49" t="s">
        <v>57</v>
      </c>
      <c r="AI49" t="s">
        <v>57</v>
      </c>
      <c r="AJ49" t="s">
        <v>57</v>
      </c>
      <c r="AK49" t="s">
        <v>57</v>
      </c>
      <c r="AL49" t="s">
        <v>58</v>
      </c>
      <c r="AM49" t="s">
        <v>58</v>
      </c>
      <c r="AN49" t="s">
        <v>57</v>
      </c>
      <c r="AO49" t="s">
        <v>58</v>
      </c>
      <c r="AP49" t="s">
        <v>58</v>
      </c>
      <c r="AQ49" t="s">
        <v>57</v>
      </c>
      <c r="AR49" t="s">
        <v>57</v>
      </c>
      <c r="AS49" t="s">
        <v>57</v>
      </c>
      <c r="AT49" t="s">
        <v>57</v>
      </c>
      <c r="AU49" t="s">
        <v>148</v>
      </c>
      <c r="AV49" t="s">
        <v>57</v>
      </c>
      <c r="AW49" t="s">
        <v>57</v>
      </c>
      <c r="AX49" t="s">
        <v>57</v>
      </c>
      <c r="AY49" t="s">
        <v>148</v>
      </c>
      <c r="AZ49" t="s">
        <v>148</v>
      </c>
      <c r="BA49" t="s">
        <v>148</v>
      </c>
      <c r="BB49" t="s">
        <v>148</v>
      </c>
      <c r="BC49" t="s">
        <v>57</v>
      </c>
      <c r="BD49" t="s">
        <v>148</v>
      </c>
      <c r="BE49" t="s">
        <v>57</v>
      </c>
      <c r="BF49" t="s">
        <v>57</v>
      </c>
      <c r="BG49" t="s">
        <v>58</v>
      </c>
      <c r="BH49" t="s">
        <v>58</v>
      </c>
      <c r="BI49" t="s">
        <v>57</v>
      </c>
      <c r="BJ49" t="s">
        <v>58</v>
      </c>
      <c r="BK49" t="s">
        <v>58</v>
      </c>
      <c r="BL49" t="s">
        <v>57</v>
      </c>
      <c r="BM49" t="s">
        <v>58</v>
      </c>
      <c r="BN49" t="s">
        <v>58</v>
      </c>
      <c r="BO49" t="s">
        <v>57</v>
      </c>
      <c r="BP49" t="s">
        <v>57</v>
      </c>
      <c r="BQ49" t="s">
        <v>57</v>
      </c>
      <c r="BR49" t="s">
        <v>57</v>
      </c>
      <c r="BS49" t="s">
        <v>57</v>
      </c>
      <c r="BT49" t="s">
        <v>57</v>
      </c>
      <c r="BU49" t="s">
        <v>57</v>
      </c>
      <c r="BV49" t="s">
        <v>57</v>
      </c>
      <c r="BW49" t="s">
        <v>57</v>
      </c>
      <c r="BX49" t="s">
        <v>57</v>
      </c>
      <c r="BY49" t="s">
        <v>57</v>
      </c>
      <c r="BZ49" t="s">
        <v>57</v>
      </c>
      <c r="CA49" t="s">
        <v>57</v>
      </c>
      <c r="CB49" t="s">
        <v>57</v>
      </c>
      <c r="CC49" t="s">
        <v>57</v>
      </c>
      <c r="CD49" t="s">
        <v>57</v>
      </c>
      <c r="CE49" t="s">
        <v>160</v>
      </c>
      <c r="CF49" t="s">
        <v>57</v>
      </c>
      <c r="CG49" t="s">
        <v>57</v>
      </c>
      <c r="CH49" t="s">
        <v>57</v>
      </c>
      <c r="CI49" t="s">
        <v>57</v>
      </c>
      <c r="CJ49" t="s">
        <v>57</v>
      </c>
      <c r="CK49" t="s">
        <v>148</v>
      </c>
      <c r="CL49" t="s">
        <v>148</v>
      </c>
      <c r="CM49" t="s">
        <v>148</v>
      </c>
      <c r="CN49" t="s">
        <v>57</v>
      </c>
      <c r="CO49" t="s">
        <v>57</v>
      </c>
      <c r="CP49" t="s">
        <v>57</v>
      </c>
      <c r="CQ49" t="s">
        <v>57</v>
      </c>
      <c r="CR49" t="s">
        <v>57</v>
      </c>
      <c r="CS49" t="s">
        <v>57</v>
      </c>
      <c r="CT49" t="s">
        <v>57</v>
      </c>
      <c r="CU49" t="s">
        <v>57</v>
      </c>
      <c r="CV49" t="s">
        <v>57</v>
      </c>
      <c r="CW49" t="s">
        <v>57</v>
      </c>
      <c r="CX49" t="s">
        <v>57</v>
      </c>
      <c r="CY49" t="s">
        <v>57</v>
      </c>
      <c r="CZ49" t="s">
        <v>57</v>
      </c>
      <c r="DA49" t="s">
        <v>57</v>
      </c>
      <c r="DB49" t="s">
        <v>57</v>
      </c>
      <c r="DC49" t="s">
        <v>57</v>
      </c>
      <c r="DD49" t="s">
        <v>57</v>
      </c>
      <c r="DE49" t="s">
        <v>57</v>
      </c>
      <c r="DF49" t="s">
        <v>57</v>
      </c>
      <c r="DG49" t="s">
        <v>57</v>
      </c>
      <c r="DH49" t="s">
        <v>57</v>
      </c>
      <c r="DI49" t="s">
        <v>57</v>
      </c>
      <c r="DJ49" t="s">
        <v>57</v>
      </c>
      <c r="DK49" t="s">
        <v>148</v>
      </c>
      <c r="DL49" t="s">
        <v>57</v>
      </c>
      <c r="DM49" t="s">
        <v>57</v>
      </c>
      <c r="DN49" t="s">
        <v>57</v>
      </c>
      <c r="DO49" t="s">
        <v>57</v>
      </c>
      <c r="DP49" t="s">
        <v>57</v>
      </c>
      <c r="DQ49" t="s">
        <v>57</v>
      </c>
      <c r="DR49" t="s">
        <v>57</v>
      </c>
      <c r="DS49" t="s">
        <v>57</v>
      </c>
      <c r="DT49" t="s">
        <v>57</v>
      </c>
      <c r="DU49" t="s">
        <v>57</v>
      </c>
      <c r="DV49" t="s">
        <v>57</v>
      </c>
      <c r="DW49" t="s">
        <v>57</v>
      </c>
      <c r="DX49" t="s">
        <v>57</v>
      </c>
      <c r="DY49" t="s">
        <v>148</v>
      </c>
      <c r="DZ49" t="s">
        <v>57</v>
      </c>
      <c r="EA49" t="s">
        <v>57</v>
      </c>
      <c r="EB49" t="s">
        <v>57</v>
      </c>
      <c r="EC49" t="s">
        <v>57</v>
      </c>
      <c r="ED49" t="s">
        <v>57</v>
      </c>
      <c r="EE49" t="s">
        <v>57</v>
      </c>
      <c r="EF49" t="s">
        <v>57</v>
      </c>
      <c r="EG49" t="s">
        <v>57</v>
      </c>
      <c r="EH49" t="s">
        <v>57</v>
      </c>
      <c r="EI49" t="s">
        <v>57</v>
      </c>
      <c r="EJ49" t="s">
        <v>57</v>
      </c>
      <c r="EK49" t="s">
        <v>57</v>
      </c>
      <c r="EL49" t="s">
        <v>57</v>
      </c>
      <c r="EM49" t="s">
        <v>57</v>
      </c>
      <c r="EN49" t="s">
        <v>57</v>
      </c>
      <c r="EO49" t="s">
        <v>57</v>
      </c>
      <c r="EP49" t="s">
        <v>57</v>
      </c>
      <c r="EQ49" t="s">
        <v>57</v>
      </c>
      <c r="ER49" t="s">
        <v>57</v>
      </c>
      <c r="ES49" t="s">
        <v>57</v>
      </c>
      <c r="ET49" t="s">
        <v>57</v>
      </c>
      <c r="EU49" t="s">
        <v>57</v>
      </c>
      <c r="EV49" t="s">
        <v>57</v>
      </c>
      <c r="EW49" t="s">
        <v>57</v>
      </c>
      <c r="EX49" t="s">
        <v>57</v>
      </c>
      <c r="EY49" t="s">
        <v>57</v>
      </c>
      <c r="EZ49" t="s">
        <v>57</v>
      </c>
      <c r="FA49" t="s">
        <v>57</v>
      </c>
      <c r="FB49" t="s">
        <v>57</v>
      </c>
      <c r="FC49" t="s">
        <v>57</v>
      </c>
      <c r="FD49" t="s">
        <v>57</v>
      </c>
      <c r="FE49" t="s">
        <v>57</v>
      </c>
      <c r="FF49" t="s">
        <v>57</v>
      </c>
      <c r="FG49" t="s">
        <v>57</v>
      </c>
      <c r="FH49" t="s">
        <v>57</v>
      </c>
      <c r="FI49" t="s">
        <v>57</v>
      </c>
      <c r="FJ49" t="s">
        <v>57</v>
      </c>
      <c r="FK49" t="s">
        <v>148</v>
      </c>
      <c r="FL49" t="s">
        <v>57</v>
      </c>
      <c r="FM49" t="s">
        <v>57</v>
      </c>
      <c r="FN49" t="s">
        <v>57</v>
      </c>
      <c r="FO49" t="s">
        <v>57</v>
      </c>
      <c r="FP49" t="s">
        <v>57</v>
      </c>
      <c r="FQ49" t="s">
        <v>57</v>
      </c>
      <c r="FR49" t="s">
        <v>57</v>
      </c>
      <c r="FS49" t="s">
        <v>57</v>
      </c>
      <c r="FT49" t="s">
        <v>57</v>
      </c>
      <c r="FU49" t="s">
        <v>57</v>
      </c>
      <c r="FV49" t="s">
        <v>57</v>
      </c>
      <c r="FW49" t="s">
        <v>57</v>
      </c>
      <c r="FX49" t="s">
        <v>57</v>
      </c>
      <c r="FY49" t="s">
        <v>57</v>
      </c>
      <c r="FZ49" t="s">
        <v>57</v>
      </c>
      <c r="GA49" t="s">
        <v>57</v>
      </c>
      <c r="GB49" t="s">
        <v>57</v>
      </c>
      <c r="GC49" t="s">
        <v>57</v>
      </c>
      <c r="GD49" t="s">
        <v>57</v>
      </c>
      <c r="GE49" t="s">
        <v>57</v>
      </c>
      <c r="GF49" t="s">
        <v>57</v>
      </c>
      <c r="GG49" t="s">
        <v>148</v>
      </c>
      <c r="GH49" t="s">
        <v>57</v>
      </c>
      <c r="GI49" t="s">
        <v>57</v>
      </c>
      <c r="GJ49" t="s">
        <v>57</v>
      </c>
      <c r="GK49" t="s">
        <v>57</v>
      </c>
      <c r="GL49" t="s">
        <v>57</v>
      </c>
      <c r="GM49" t="s">
        <v>148</v>
      </c>
      <c r="GN49" t="s">
        <v>57</v>
      </c>
      <c r="GO49" t="s">
        <v>57</v>
      </c>
      <c r="GP49" t="s">
        <v>148</v>
      </c>
      <c r="GQ49" t="s">
        <v>148</v>
      </c>
      <c r="GR49" t="s">
        <v>57</v>
      </c>
      <c r="GS49" t="s">
        <v>57</v>
      </c>
      <c r="GT49" t="s">
        <v>57</v>
      </c>
      <c r="GU49" t="s">
        <v>160</v>
      </c>
      <c r="GV49" t="s">
        <v>57</v>
      </c>
      <c r="GW49" t="s">
        <v>57</v>
      </c>
      <c r="GX49" t="s">
        <v>57</v>
      </c>
      <c r="GY49" t="s">
        <v>57</v>
      </c>
      <c r="GZ49" t="s">
        <v>57</v>
      </c>
      <c r="HA49" t="s">
        <v>57</v>
      </c>
      <c r="HB49" t="s">
        <v>57</v>
      </c>
      <c r="HC49" t="s">
        <v>57</v>
      </c>
      <c r="HD49" t="s">
        <v>57</v>
      </c>
      <c r="HE49" t="s">
        <v>57</v>
      </c>
      <c r="HF49" t="s">
        <v>57</v>
      </c>
      <c r="HG49" t="s">
        <v>57</v>
      </c>
      <c r="HH49" t="s">
        <v>57</v>
      </c>
      <c r="HI49" t="s">
        <v>57</v>
      </c>
      <c r="HJ49" t="s">
        <v>57</v>
      </c>
      <c r="HK49" t="s">
        <v>57</v>
      </c>
      <c r="HL49" t="s">
        <v>57</v>
      </c>
      <c r="HM49" t="s">
        <v>57</v>
      </c>
      <c r="HN49" t="s">
        <v>57</v>
      </c>
      <c r="HO49" t="s">
        <v>57</v>
      </c>
      <c r="HP49" t="s">
        <v>57</v>
      </c>
      <c r="HQ49" t="s">
        <v>57</v>
      </c>
      <c r="HR49" t="s">
        <v>57</v>
      </c>
      <c r="HS49" t="s">
        <v>57</v>
      </c>
      <c r="HT49" t="s">
        <v>57</v>
      </c>
      <c r="HU49" t="s">
        <v>57</v>
      </c>
      <c r="HV49" t="s">
        <v>57</v>
      </c>
      <c r="HW49" t="s">
        <v>57</v>
      </c>
      <c r="HX49" t="s">
        <v>57</v>
      </c>
      <c r="HY49" t="s">
        <v>57</v>
      </c>
      <c r="HZ49" t="s">
        <v>57</v>
      </c>
      <c r="IA49" t="s">
        <v>57</v>
      </c>
      <c r="IB49" t="s">
        <v>58</v>
      </c>
      <c r="IC49" t="s">
        <v>58</v>
      </c>
      <c r="ID49" t="s">
        <v>58</v>
      </c>
      <c r="IE49" t="s">
        <v>57</v>
      </c>
      <c r="IF49" t="s">
        <v>124</v>
      </c>
      <c r="IG49" t="s">
        <v>155</v>
      </c>
      <c r="IH49" t="s">
        <v>123</v>
      </c>
      <c r="II49" t="s">
        <v>156</v>
      </c>
    </row>
    <row r="50" spans="1:243" x14ac:dyDescent="0.25">
      <c r="A50" s="111" t="str">
        <f>HYPERLINK("http://www.ofsted.gov.uk/inspection-reports/find-inspection-report/provider/ELS/110920 ","Ofsted School Webpage")</f>
        <v>Ofsted School Webpage</v>
      </c>
      <c r="B50">
        <v>110920</v>
      </c>
      <c r="C50">
        <v>8736008</v>
      </c>
      <c r="D50" t="s">
        <v>529</v>
      </c>
      <c r="E50" t="s">
        <v>37</v>
      </c>
      <c r="F50" t="s">
        <v>138</v>
      </c>
      <c r="G50" t="s">
        <v>177</v>
      </c>
      <c r="H50" t="s">
        <v>177</v>
      </c>
      <c r="I50" t="s">
        <v>241</v>
      </c>
      <c r="J50" t="s">
        <v>530</v>
      </c>
      <c r="K50" t="s">
        <v>142</v>
      </c>
      <c r="L50" t="s">
        <v>142</v>
      </c>
      <c r="M50" t="s">
        <v>2596</v>
      </c>
      <c r="N50" t="s">
        <v>143</v>
      </c>
      <c r="O50">
        <v>10020932</v>
      </c>
      <c r="P50" s="108">
        <v>43047</v>
      </c>
      <c r="Q50" s="108">
        <v>43049</v>
      </c>
      <c r="R50" s="108">
        <v>43082</v>
      </c>
      <c r="S50" t="s">
        <v>153</v>
      </c>
      <c r="T50" t="s">
        <v>154</v>
      </c>
      <c r="U50">
        <v>2</v>
      </c>
      <c r="V50">
        <v>2</v>
      </c>
      <c r="W50">
        <v>2</v>
      </c>
      <c r="X50">
        <v>2</v>
      </c>
      <c r="Y50">
        <v>2</v>
      </c>
      <c r="Z50" t="s">
        <v>2596</v>
      </c>
      <c r="AA50">
        <v>2</v>
      </c>
      <c r="AB50" t="s">
        <v>123</v>
      </c>
      <c r="AC50" t="s">
        <v>2596</v>
      </c>
      <c r="AD50" t="s">
        <v>2598</v>
      </c>
      <c r="AE50" t="s">
        <v>57</v>
      </c>
      <c r="AF50" t="s">
        <v>57</v>
      </c>
      <c r="AG50" t="s">
        <v>57</v>
      </c>
      <c r="AH50" t="s">
        <v>57</v>
      </c>
      <c r="AI50" t="s">
        <v>57</v>
      </c>
      <c r="AJ50" t="s">
        <v>57</v>
      </c>
      <c r="AK50" t="s">
        <v>57</v>
      </c>
      <c r="AL50" t="s">
        <v>57</v>
      </c>
      <c r="AM50" t="s">
        <v>57</v>
      </c>
      <c r="AN50" t="s">
        <v>57</v>
      </c>
      <c r="AO50" t="s">
        <v>57</v>
      </c>
      <c r="AP50" t="s">
        <v>57</v>
      </c>
      <c r="AQ50" t="s">
        <v>57</v>
      </c>
      <c r="AR50" t="s">
        <v>57</v>
      </c>
      <c r="AS50" t="s">
        <v>57</v>
      </c>
      <c r="AT50" t="s">
        <v>57</v>
      </c>
      <c r="AU50" t="s">
        <v>148</v>
      </c>
      <c r="AV50" t="s">
        <v>57</v>
      </c>
      <c r="AW50" t="s">
        <v>57</v>
      </c>
      <c r="AX50" t="s">
        <v>57</v>
      </c>
      <c r="AY50" t="s">
        <v>57</v>
      </c>
      <c r="AZ50" t="s">
        <v>57</v>
      </c>
      <c r="BA50" t="s">
        <v>57</v>
      </c>
      <c r="BB50" t="s">
        <v>57</v>
      </c>
      <c r="BC50" t="s">
        <v>148</v>
      </c>
      <c r="BD50" t="s">
        <v>57</v>
      </c>
      <c r="BE50" t="s">
        <v>57</v>
      </c>
      <c r="BF50" t="s">
        <v>57</v>
      </c>
      <c r="BG50" t="s">
        <v>57</v>
      </c>
      <c r="BH50" t="s">
        <v>57</v>
      </c>
      <c r="BI50" t="s">
        <v>57</v>
      </c>
      <c r="BJ50" t="s">
        <v>57</v>
      </c>
      <c r="BK50" t="s">
        <v>57</v>
      </c>
      <c r="BL50" t="s">
        <v>57</v>
      </c>
      <c r="BM50" t="s">
        <v>57</v>
      </c>
      <c r="BN50" t="s">
        <v>57</v>
      </c>
      <c r="BO50" t="s">
        <v>57</v>
      </c>
      <c r="BP50" t="s">
        <v>57</v>
      </c>
      <c r="BQ50" t="s">
        <v>57</v>
      </c>
      <c r="BR50" t="s">
        <v>57</v>
      </c>
      <c r="BS50" t="s">
        <v>57</v>
      </c>
      <c r="BT50" t="s">
        <v>57</v>
      </c>
      <c r="BU50" t="s">
        <v>57</v>
      </c>
      <c r="BV50" t="s">
        <v>57</v>
      </c>
      <c r="BW50" t="s">
        <v>57</v>
      </c>
      <c r="BX50" t="s">
        <v>57</v>
      </c>
      <c r="BY50" t="s">
        <v>57</v>
      </c>
      <c r="BZ50" t="s">
        <v>57</v>
      </c>
      <c r="CA50" t="s">
        <v>57</v>
      </c>
      <c r="CB50" t="s">
        <v>57</v>
      </c>
      <c r="CC50" t="s">
        <v>57</v>
      </c>
      <c r="CD50" t="s">
        <v>57</v>
      </c>
      <c r="CE50" t="s">
        <v>57</v>
      </c>
      <c r="CF50" t="s">
        <v>57</v>
      </c>
      <c r="CG50" t="s">
        <v>57</v>
      </c>
      <c r="CH50" t="s">
        <v>57</v>
      </c>
      <c r="CI50" t="s">
        <v>57</v>
      </c>
      <c r="CJ50" t="s">
        <v>57</v>
      </c>
      <c r="CK50" t="s">
        <v>148</v>
      </c>
      <c r="CL50" t="s">
        <v>148</v>
      </c>
      <c r="CM50" t="s">
        <v>148</v>
      </c>
      <c r="CN50" t="s">
        <v>57</v>
      </c>
      <c r="CO50" t="s">
        <v>57</v>
      </c>
      <c r="CP50" t="s">
        <v>57</v>
      </c>
      <c r="CQ50" t="s">
        <v>57</v>
      </c>
      <c r="CR50" t="s">
        <v>57</v>
      </c>
      <c r="CS50" t="s">
        <v>57</v>
      </c>
      <c r="CT50" t="s">
        <v>57</v>
      </c>
      <c r="CU50" t="s">
        <v>57</v>
      </c>
      <c r="CV50" t="s">
        <v>57</v>
      </c>
      <c r="CW50" t="s">
        <v>57</v>
      </c>
      <c r="CX50" t="s">
        <v>57</v>
      </c>
      <c r="CY50" t="s">
        <v>57</v>
      </c>
      <c r="CZ50" t="s">
        <v>57</v>
      </c>
      <c r="DA50" t="s">
        <v>57</v>
      </c>
      <c r="DB50" t="s">
        <v>57</v>
      </c>
      <c r="DC50" t="s">
        <v>57</v>
      </c>
      <c r="DD50" t="s">
        <v>57</v>
      </c>
      <c r="DE50" t="s">
        <v>57</v>
      </c>
      <c r="DF50" t="s">
        <v>57</v>
      </c>
      <c r="DG50" t="s">
        <v>57</v>
      </c>
      <c r="DH50" t="s">
        <v>57</v>
      </c>
      <c r="DI50" t="s">
        <v>57</v>
      </c>
      <c r="DJ50" t="s">
        <v>57</v>
      </c>
      <c r="DK50" t="s">
        <v>57</v>
      </c>
      <c r="DL50" t="s">
        <v>57</v>
      </c>
      <c r="DM50" t="s">
        <v>148</v>
      </c>
      <c r="DN50" t="s">
        <v>148</v>
      </c>
      <c r="DO50" t="s">
        <v>148</v>
      </c>
      <c r="DP50" t="s">
        <v>148</v>
      </c>
      <c r="DQ50" t="s">
        <v>148</v>
      </c>
      <c r="DR50" t="s">
        <v>148</v>
      </c>
      <c r="DS50" t="s">
        <v>148</v>
      </c>
      <c r="DT50" t="s">
        <v>148</v>
      </c>
      <c r="DU50" t="s">
        <v>148</v>
      </c>
      <c r="DV50" t="s">
        <v>148</v>
      </c>
      <c r="DW50" t="s">
        <v>148</v>
      </c>
      <c r="DX50" t="s">
        <v>148</v>
      </c>
      <c r="DY50" t="s">
        <v>148</v>
      </c>
      <c r="DZ50" t="s">
        <v>148</v>
      </c>
      <c r="EA50" t="s">
        <v>57</v>
      </c>
      <c r="EB50" t="s">
        <v>57</v>
      </c>
      <c r="EC50" t="s">
        <v>57</v>
      </c>
      <c r="ED50" t="s">
        <v>57</v>
      </c>
      <c r="EE50" t="s">
        <v>57</v>
      </c>
      <c r="EF50" t="s">
        <v>57</v>
      </c>
      <c r="EG50" t="s">
        <v>57</v>
      </c>
      <c r="EH50" t="s">
        <v>57</v>
      </c>
      <c r="EI50" t="s">
        <v>57</v>
      </c>
      <c r="EJ50" t="s">
        <v>57</v>
      </c>
      <c r="EK50" t="s">
        <v>57</v>
      </c>
      <c r="EL50" t="s">
        <v>57</v>
      </c>
      <c r="EM50" t="s">
        <v>57</v>
      </c>
      <c r="EN50" t="s">
        <v>57</v>
      </c>
      <c r="EO50" t="s">
        <v>57</v>
      </c>
      <c r="EP50" t="s">
        <v>57</v>
      </c>
      <c r="EQ50" t="s">
        <v>57</v>
      </c>
      <c r="ER50" t="s">
        <v>57</v>
      </c>
      <c r="ES50" t="s">
        <v>57</v>
      </c>
      <c r="ET50" t="s">
        <v>57</v>
      </c>
      <c r="EU50" t="s">
        <v>57</v>
      </c>
      <c r="EV50" t="s">
        <v>57</v>
      </c>
      <c r="EW50" t="s">
        <v>148</v>
      </c>
      <c r="EX50" t="s">
        <v>148</v>
      </c>
      <c r="EY50" t="s">
        <v>148</v>
      </c>
      <c r="EZ50" t="s">
        <v>148</v>
      </c>
      <c r="FA50" t="s">
        <v>148</v>
      </c>
      <c r="FB50" t="s">
        <v>148</v>
      </c>
      <c r="FC50" t="s">
        <v>148</v>
      </c>
      <c r="FD50" t="s">
        <v>57</v>
      </c>
      <c r="FE50" t="s">
        <v>148</v>
      </c>
      <c r="FF50" t="s">
        <v>57</v>
      </c>
      <c r="FG50" t="s">
        <v>57</v>
      </c>
      <c r="FH50" t="s">
        <v>57</v>
      </c>
      <c r="FI50" t="s">
        <v>57</v>
      </c>
      <c r="FJ50" t="s">
        <v>57</v>
      </c>
      <c r="FK50" t="s">
        <v>57</v>
      </c>
      <c r="FL50" t="s">
        <v>57</v>
      </c>
      <c r="FM50" t="s">
        <v>57</v>
      </c>
      <c r="FN50" t="s">
        <v>57</v>
      </c>
      <c r="FO50" t="s">
        <v>57</v>
      </c>
      <c r="FP50" t="s">
        <v>148</v>
      </c>
      <c r="FQ50" t="s">
        <v>57</v>
      </c>
      <c r="FR50" t="s">
        <v>57</v>
      </c>
      <c r="FS50" t="s">
        <v>57</v>
      </c>
      <c r="FT50" t="s">
        <v>57</v>
      </c>
      <c r="FU50" t="s">
        <v>57</v>
      </c>
      <c r="FV50" t="s">
        <v>57</v>
      </c>
      <c r="FW50" t="s">
        <v>57</v>
      </c>
      <c r="FX50" t="s">
        <v>57</v>
      </c>
      <c r="FY50" t="s">
        <v>57</v>
      </c>
      <c r="FZ50" t="s">
        <v>57</v>
      </c>
      <c r="GA50" t="s">
        <v>57</v>
      </c>
      <c r="GB50" t="s">
        <v>57</v>
      </c>
      <c r="GC50" t="s">
        <v>57</v>
      </c>
      <c r="GD50" t="s">
        <v>57</v>
      </c>
      <c r="GE50" t="s">
        <v>57</v>
      </c>
      <c r="GF50" t="s">
        <v>57</v>
      </c>
      <c r="GG50" t="s">
        <v>148</v>
      </c>
      <c r="GH50" t="s">
        <v>57</v>
      </c>
      <c r="GI50" t="s">
        <v>57</v>
      </c>
      <c r="GJ50" t="s">
        <v>57</v>
      </c>
      <c r="GK50" t="s">
        <v>57</v>
      </c>
      <c r="GL50" t="s">
        <v>57</v>
      </c>
      <c r="GM50" t="s">
        <v>148</v>
      </c>
      <c r="GN50" t="s">
        <v>57</v>
      </c>
      <c r="GO50" t="s">
        <v>57</v>
      </c>
      <c r="GP50" t="s">
        <v>57</v>
      </c>
      <c r="GQ50" t="s">
        <v>57</v>
      </c>
      <c r="GR50" t="s">
        <v>148</v>
      </c>
      <c r="GS50" t="s">
        <v>57</v>
      </c>
      <c r="GT50" t="s">
        <v>57</v>
      </c>
      <c r="GU50" t="s">
        <v>57</v>
      </c>
      <c r="GV50" t="s">
        <v>148</v>
      </c>
      <c r="GW50" t="s">
        <v>57</v>
      </c>
      <c r="GX50" t="s">
        <v>57</v>
      </c>
      <c r="GY50" t="s">
        <v>57</v>
      </c>
      <c r="GZ50" t="s">
        <v>57</v>
      </c>
      <c r="HA50" t="s">
        <v>57</v>
      </c>
      <c r="HB50" t="s">
        <v>57</v>
      </c>
      <c r="HC50" t="s">
        <v>57</v>
      </c>
      <c r="HD50" t="s">
        <v>57</v>
      </c>
      <c r="HE50" t="s">
        <v>148</v>
      </c>
      <c r="HF50" t="s">
        <v>57</v>
      </c>
      <c r="HG50" t="s">
        <v>57</v>
      </c>
      <c r="HH50" t="s">
        <v>57</v>
      </c>
      <c r="HI50" t="s">
        <v>148</v>
      </c>
      <c r="HJ50" t="s">
        <v>148</v>
      </c>
      <c r="HK50" t="s">
        <v>148</v>
      </c>
      <c r="HL50" t="s">
        <v>57</v>
      </c>
      <c r="HM50" t="s">
        <v>57</v>
      </c>
      <c r="HN50" t="s">
        <v>57</v>
      </c>
      <c r="HO50" t="s">
        <v>57</v>
      </c>
      <c r="HP50" t="s">
        <v>57</v>
      </c>
      <c r="HQ50" t="s">
        <v>57</v>
      </c>
      <c r="HR50" t="s">
        <v>57</v>
      </c>
      <c r="HS50" t="s">
        <v>57</v>
      </c>
      <c r="HT50" t="s">
        <v>57</v>
      </c>
      <c r="HU50" t="s">
        <v>57</v>
      </c>
      <c r="HV50" t="s">
        <v>57</v>
      </c>
      <c r="HW50" t="s">
        <v>57</v>
      </c>
      <c r="HX50" t="s">
        <v>57</v>
      </c>
      <c r="HY50" t="s">
        <v>57</v>
      </c>
      <c r="HZ50" t="s">
        <v>57</v>
      </c>
      <c r="IA50" t="s">
        <v>57</v>
      </c>
      <c r="IB50" t="s">
        <v>57</v>
      </c>
      <c r="IC50" t="s">
        <v>57</v>
      </c>
      <c r="ID50" t="s">
        <v>57</v>
      </c>
      <c r="IE50" t="s">
        <v>57</v>
      </c>
      <c r="IF50" t="s">
        <v>124</v>
      </c>
      <c r="IG50" t="s">
        <v>155</v>
      </c>
      <c r="IH50" t="s">
        <v>123</v>
      </c>
      <c r="II50" t="s">
        <v>156</v>
      </c>
    </row>
    <row r="51" spans="1:243" x14ac:dyDescent="0.25">
      <c r="A51" s="111" t="str">
        <f>HYPERLINK("http://www.ofsted.gov.uk/inspection-reports/find-inspection-report/provider/ELS/110931 ","Ofsted School Webpage")</f>
        <v>Ofsted School Webpage</v>
      </c>
      <c r="B51">
        <v>110931</v>
      </c>
      <c r="C51">
        <v>8736018</v>
      </c>
      <c r="D51" t="s">
        <v>876</v>
      </c>
      <c r="E51" t="s">
        <v>37</v>
      </c>
      <c r="F51" t="s">
        <v>138</v>
      </c>
      <c r="G51" t="s">
        <v>177</v>
      </c>
      <c r="H51" t="s">
        <v>177</v>
      </c>
      <c r="I51" t="s">
        <v>241</v>
      </c>
      <c r="J51" t="s">
        <v>877</v>
      </c>
      <c r="K51" t="s">
        <v>142</v>
      </c>
      <c r="L51" t="s">
        <v>142</v>
      </c>
      <c r="M51" t="s">
        <v>2596</v>
      </c>
      <c r="N51" t="s">
        <v>143</v>
      </c>
      <c r="O51">
        <v>10038901</v>
      </c>
      <c r="P51" s="108">
        <v>43116</v>
      </c>
      <c r="Q51" s="108">
        <v>43118</v>
      </c>
      <c r="R51" s="108">
        <v>43153</v>
      </c>
      <c r="S51" t="s">
        <v>153</v>
      </c>
      <c r="T51" t="s">
        <v>154</v>
      </c>
      <c r="U51">
        <v>2</v>
      </c>
      <c r="V51">
        <v>2</v>
      </c>
      <c r="W51">
        <v>1</v>
      </c>
      <c r="X51">
        <v>2</v>
      </c>
      <c r="Y51">
        <v>2</v>
      </c>
      <c r="Z51" t="s">
        <v>2596</v>
      </c>
      <c r="AA51" t="s">
        <v>2596</v>
      </c>
      <c r="AB51" t="s">
        <v>123</v>
      </c>
      <c r="AC51" t="s">
        <v>2596</v>
      </c>
      <c r="AD51" t="s">
        <v>2598</v>
      </c>
      <c r="AE51" t="s">
        <v>57</v>
      </c>
      <c r="AF51" t="s">
        <v>57</v>
      </c>
      <c r="AG51" t="s">
        <v>57</v>
      </c>
      <c r="AH51" t="s">
        <v>57</v>
      </c>
      <c r="AI51" t="s">
        <v>57</v>
      </c>
      <c r="AJ51" t="s">
        <v>57</v>
      </c>
      <c r="AK51" t="s">
        <v>57</v>
      </c>
      <c r="AL51" t="s">
        <v>57</v>
      </c>
      <c r="AM51" t="s">
        <v>57</v>
      </c>
      <c r="AN51" t="s">
        <v>57</v>
      </c>
      <c r="AO51" t="s">
        <v>57</v>
      </c>
      <c r="AP51" t="s">
        <v>57</v>
      </c>
      <c r="AQ51" t="s">
        <v>57</v>
      </c>
      <c r="AR51" t="s">
        <v>57</v>
      </c>
      <c r="AS51" t="s">
        <v>57</v>
      </c>
      <c r="AT51" t="s">
        <v>57</v>
      </c>
      <c r="AU51" t="s">
        <v>175</v>
      </c>
      <c r="AV51" t="s">
        <v>57</v>
      </c>
      <c r="AW51" t="s">
        <v>57</v>
      </c>
      <c r="AX51" t="s">
        <v>57</v>
      </c>
      <c r="AY51" t="s">
        <v>57</v>
      </c>
      <c r="AZ51" t="s">
        <v>57</v>
      </c>
      <c r="BA51" t="s">
        <v>57</v>
      </c>
      <c r="BB51" t="s">
        <v>57</v>
      </c>
      <c r="BC51" t="s">
        <v>175</v>
      </c>
      <c r="BD51" t="s">
        <v>175</v>
      </c>
      <c r="BE51" t="s">
        <v>57</v>
      </c>
      <c r="BF51" t="s">
        <v>57</v>
      </c>
      <c r="BG51" t="s">
        <v>57</v>
      </c>
      <c r="BH51" t="s">
        <v>57</v>
      </c>
      <c r="BI51" t="s">
        <v>57</v>
      </c>
      <c r="BJ51" t="s">
        <v>57</v>
      </c>
      <c r="BK51" t="s">
        <v>57</v>
      </c>
      <c r="BL51" t="s">
        <v>57</v>
      </c>
      <c r="BM51" t="s">
        <v>57</v>
      </c>
      <c r="BN51" t="s">
        <v>57</v>
      </c>
      <c r="BO51" t="s">
        <v>57</v>
      </c>
      <c r="BP51" t="s">
        <v>57</v>
      </c>
      <c r="BQ51" t="s">
        <v>57</v>
      </c>
      <c r="BR51" t="s">
        <v>57</v>
      </c>
      <c r="BS51" t="s">
        <v>57</v>
      </c>
      <c r="BT51" t="s">
        <v>57</v>
      </c>
      <c r="BU51" t="s">
        <v>57</v>
      </c>
      <c r="BV51" t="s">
        <v>57</v>
      </c>
      <c r="BW51" t="s">
        <v>57</v>
      </c>
      <c r="BX51" t="s">
        <v>57</v>
      </c>
      <c r="BY51" t="s">
        <v>57</v>
      </c>
      <c r="BZ51" t="s">
        <v>57</v>
      </c>
      <c r="CA51" t="s">
        <v>57</v>
      </c>
      <c r="CB51" t="s">
        <v>57</v>
      </c>
      <c r="CC51" t="s">
        <v>57</v>
      </c>
      <c r="CD51" t="s">
        <v>57</v>
      </c>
      <c r="CE51" t="s">
        <v>57</v>
      </c>
      <c r="CF51" t="s">
        <v>57</v>
      </c>
      <c r="CG51" t="s">
        <v>57</v>
      </c>
      <c r="CH51" t="s">
        <v>57</v>
      </c>
      <c r="CI51" t="s">
        <v>57</v>
      </c>
      <c r="CJ51" t="s">
        <v>57</v>
      </c>
      <c r="CK51" t="s">
        <v>175</v>
      </c>
      <c r="CL51" t="s">
        <v>175</v>
      </c>
      <c r="CM51" t="s">
        <v>175</v>
      </c>
      <c r="CN51" t="s">
        <v>57</v>
      </c>
      <c r="CO51" t="s">
        <v>57</v>
      </c>
      <c r="CP51" t="s">
        <v>57</v>
      </c>
      <c r="CQ51" t="s">
        <v>57</v>
      </c>
      <c r="CR51" t="s">
        <v>57</v>
      </c>
      <c r="CS51" t="s">
        <v>57</v>
      </c>
      <c r="CT51" t="s">
        <v>57</v>
      </c>
      <c r="CU51" t="s">
        <v>57</v>
      </c>
      <c r="CV51" t="s">
        <v>57</v>
      </c>
      <c r="CW51" t="s">
        <v>57</v>
      </c>
      <c r="CX51" t="s">
        <v>57</v>
      </c>
      <c r="CY51" t="s">
        <v>57</v>
      </c>
      <c r="CZ51" t="s">
        <v>57</v>
      </c>
      <c r="DA51" t="s">
        <v>57</v>
      </c>
      <c r="DB51" t="s">
        <v>57</v>
      </c>
      <c r="DC51" t="s">
        <v>57</v>
      </c>
      <c r="DD51" t="s">
        <v>57</v>
      </c>
      <c r="DE51" t="s">
        <v>57</v>
      </c>
      <c r="DF51" t="s">
        <v>57</v>
      </c>
      <c r="DG51" t="s">
        <v>57</v>
      </c>
      <c r="DH51" t="s">
        <v>57</v>
      </c>
      <c r="DI51" t="s">
        <v>57</v>
      </c>
      <c r="DJ51" t="s">
        <v>175</v>
      </c>
      <c r="DK51" t="s">
        <v>175</v>
      </c>
      <c r="DL51" t="s">
        <v>57</v>
      </c>
      <c r="DM51" t="s">
        <v>175</v>
      </c>
      <c r="DN51" t="s">
        <v>175</v>
      </c>
      <c r="DO51" t="s">
        <v>175</v>
      </c>
      <c r="DP51" t="s">
        <v>175</v>
      </c>
      <c r="DQ51" t="s">
        <v>175</v>
      </c>
      <c r="DR51" t="s">
        <v>175</v>
      </c>
      <c r="DS51" t="s">
        <v>175</v>
      </c>
      <c r="DT51" t="s">
        <v>175</v>
      </c>
      <c r="DU51" t="s">
        <v>175</v>
      </c>
      <c r="DV51" t="s">
        <v>175</v>
      </c>
      <c r="DW51" t="s">
        <v>175</v>
      </c>
      <c r="DX51" t="s">
        <v>175</v>
      </c>
      <c r="DY51" t="s">
        <v>57</v>
      </c>
      <c r="DZ51" t="s">
        <v>57</v>
      </c>
      <c r="EA51" t="s">
        <v>175</v>
      </c>
      <c r="EB51" t="s">
        <v>175</v>
      </c>
      <c r="EC51" t="s">
        <v>175</v>
      </c>
      <c r="ED51" t="s">
        <v>175</v>
      </c>
      <c r="EE51" t="s">
        <v>175</v>
      </c>
      <c r="EF51" t="s">
        <v>175</v>
      </c>
      <c r="EG51" t="s">
        <v>175</v>
      </c>
      <c r="EH51" t="s">
        <v>175</v>
      </c>
      <c r="EI51" t="s">
        <v>175</v>
      </c>
      <c r="EJ51" t="s">
        <v>57</v>
      </c>
      <c r="EK51" t="s">
        <v>57</v>
      </c>
      <c r="EL51" t="s">
        <v>57</v>
      </c>
      <c r="EM51" t="s">
        <v>57</v>
      </c>
      <c r="EN51" t="s">
        <v>57</v>
      </c>
      <c r="EO51" t="s">
        <v>57</v>
      </c>
      <c r="EP51" t="s">
        <v>57</v>
      </c>
      <c r="EQ51" t="s">
        <v>57</v>
      </c>
      <c r="ER51" t="s">
        <v>57</v>
      </c>
      <c r="ES51" t="s">
        <v>57</v>
      </c>
      <c r="ET51" t="s">
        <v>57</v>
      </c>
      <c r="EU51" t="s">
        <v>57</v>
      </c>
      <c r="EV51" t="s">
        <v>57</v>
      </c>
      <c r="EW51" t="s">
        <v>57</v>
      </c>
      <c r="EX51" t="s">
        <v>175</v>
      </c>
      <c r="EY51" t="s">
        <v>175</v>
      </c>
      <c r="EZ51" t="s">
        <v>175</v>
      </c>
      <c r="FA51" t="s">
        <v>175</v>
      </c>
      <c r="FB51" t="s">
        <v>175</v>
      </c>
      <c r="FC51" t="s">
        <v>175</v>
      </c>
      <c r="FD51" t="s">
        <v>57</v>
      </c>
      <c r="FE51" t="s">
        <v>57</v>
      </c>
      <c r="FF51" t="s">
        <v>57</v>
      </c>
      <c r="FG51" t="s">
        <v>57</v>
      </c>
      <c r="FH51" t="s">
        <v>57</v>
      </c>
      <c r="FI51" t="s">
        <v>57</v>
      </c>
      <c r="FJ51" t="s">
        <v>57</v>
      </c>
      <c r="FK51" t="s">
        <v>57</v>
      </c>
      <c r="FL51" t="s">
        <v>57</v>
      </c>
      <c r="FM51" t="s">
        <v>57</v>
      </c>
      <c r="FN51" t="s">
        <v>57</v>
      </c>
      <c r="FO51" t="s">
        <v>57</v>
      </c>
      <c r="FP51" t="s">
        <v>57</v>
      </c>
      <c r="FQ51" t="s">
        <v>57</v>
      </c>
      <c r="FR51" t="s">
        <v>57</v>
      </c>
      <c r="FS51" t="s">
        <v>57</v>
      </c>
      <c r="FT51" t="s">
        <v>57</v>
      </c>
      <c r="FU51" t="s">
        <v>57</v>
      </c>
      <c r="FV51" t="s">
        <v>57</v>
      </c>
      <c r="FW51" t="s">
        <v>57</v>
      </c>
      <c r="FX51" t="s">
        <v>57</v>
      </c>
      <c r="FY51" t="s">
        <v>57</v>
      </c>
      <c r="FZ51" t="s">
        <v>57</v>
      </c>
      <c r="GA51" t="s">
        <v>57</v>
      </c>
      <c r="GB51" t="s">
        <v>57</v>
      </c>
      <c r="GC51" t="s">
        <v>57</v>
      </c>
      <c r="GD51" t="s">
        <v>57</v>
      </c>
      <c r="GE51" t="s">
        <v>57</v>
      </c>
      <c r="GF51" t="s">
        <v>57</v>
      </c>
      <c r="GG51" t="s">
        <v>57</v>
      </c>
      <c r="GH51" t="s">
        <v>57</v>
      </c>
      <c r="GI51" t="s">
        <v>57</v>
      </c>
      <c r="GJ51" t="s">
        <v>57</v>
      </c>
      <c r="GK51" t="s">
        <v>57</v>
      </c>
      <c r="GL51" t="s">
        <v>57</v>
      </c>
      <c r="GM51" t="s">
        <v>57</v>
      </c>
      <c r="GN51" t="s">
        <v>57</v>
      </c>
      <c r="GO51" t="s">
        <v>57</v>
      </c>
      <c r="GP51" t="s">
        <v>57</v>
      </c>
      <c r="GQ51" t="s">
        <v>57</v>
      </c>
      <c r="GR51" t="s">
        <v>57</v>
      </c>
      <c r="GS51" t="s">
        <v>57</v>
      </c>
      <c r="GT51" t="s">
        <v>57</v>
      </c>
      <c r="GU51" t="s">
        <v>57</v>
      </c>
      <c r="GV51" t="s">
        <v>57</v>
      </c>
      <c r="GW51" t="s">
        <v>175</v>
      </c>
      <c r="GX51" t="s">
        <v>175</v>
      </c>
      <c r="GY51" t="s">
        <v>57</v>
      </c>
      <c r="GZ51" t="s">
        <v>57</v>
      </c>
      <c r="HA51" t="s">
        <v>57</v>
      </c>
      <c r="HB51" t="s">
        <v>57</v>
      </c>
      <c r="HC51" t="s">
        <v>57</v>
      </c>
      <c r="HD51" t="s">
        <v>57</v>
      </c>
      <c r="HE51" t="s">
        <v>464</v>
      </c>
      <c r="HF51" t="s">
        <v>57</v>
      </c>
      <c r="HG51" t="s">
        <v>175</v>
      </c>
      <c r="HH51" t="s">
        <v>175</v>
      </c>
      <c r="HI51" t="s">
        <v>175</v>
      </c>
      <c r="HJ51" t="s">
        <v>175</v>
      </c>
      <c r="HK51" t="s">
        <v>175</v>
      </c>
      <c r="HL51" t="s">
        <v>57</v>
      </c>
      <c r="HM51" t="s">
        <v>57</v>
      </c>
      <c r="HN51" t="s">
        <v>57</v>
      </c>
      <c r="HO51" t="s">
        <v>57</v>
      </c>
      <c r="HP51" t="s">
        <v>57</v>
      </c>
      <c r="HQ51" t="s">
        <v>57</v>
      </c>
      <c r="HR51" t="s">
        <v>57</v>
      </c>
      <c r="HS51" t="s">
        <v>57</v>
      </c>
      <c r="HT51" t="s">
        <v>57</v>
      </c>
      <c r="HU51" t="s">
        <v>57</v>
      </c>
      <c r="HV51" t="s">
        <v>57</v>
      </c>
      <c r="HW51" t="s">
        <v>57</v>
      </c>
      <c r="HX51" t="s">
        <v>57</v>
      </c>
      <c r="HY51" t="s">
        <v>57</v>
      </c>
      <c r="HZ51" t="s">
        <v>57</v>
      </c>
      <c r="IA51" t="s">
        <v>57</v>
      </c>
      <c r="IB51" t="s">
        <v>57</v>
      </c>
      <c r="IC51" t="s">
        <v>57</v>
      </c>
      <c r="ID51" t="s">
        <v>57</v>
      </c>
      <c r="IE51" t="s">
        <v>57</v>
      </c>
      <c r="IF51" t="s">
        <v>124</v>
      </c>
      <c r="IG51" t="s">
        <v>148</v>
      </c>
      <c r="IH51" t="s">
        <v>123</v>
      </c>
      <c r="II51" t="s">
        <v>156</v>
      </c>
    </row>
    <row r="52" spans="1:243" x14ac:dyDescent="0.25">
      <c r="A52" s="111" t="str">
        <f>HYPERLINK("http://www.ofsted.gov.uk/inspection-reports/find-inspection-report/provider/ELS/112452 ","Ofsted School Webpage")</f>
        <v>Ofsted School Webpage</v>
      </c>
      <c r="B52">
        <v>112452</v>
      </c>
      <c r="C52">
        <v>9096027</v>
      </c>
      <c r="D52" t="s">
        <v>1254</v>
      </c>
      <c r="E52" t="s">
        <v>37</v>
      </c>
      <c r="F52" t="s">
        <v>138</v>
      </c>
      <c r="G52" t="s">
        <v>162</v>
      </c>
      <c r="H52" t="s">
        <v>162</v>
      </c>
      <c r="I52" t="s">
        <v>895</v>
      </c>
      <c r="J52" t="s">
        <v>1255</v>
      </c>
      <c r="K52" t="s">
        <v>142</v>
      </c>
      <c r="L52" t="s">
        <v>142</v>
      </c>
      <c r="M52" t="s">
        <v>2596</v>
      </c>
      <c r="N52" t="s">
        <v>143</v>
      </c>
      <c r="O52">
        <v>10043369</v>
      </c>
      <c r="P52" s="108">
        <v>43116</v>
      </c>
      <c r="Q52" s="108">
        <v>43118</v>
      </c>
      <c r="R52" s="108">
        <v>43157</v>
      </c>
      <c r="S52" t="s">
        <v>153</v>
      </c>
      <c r="T52" t="s">
        <v>154</v>
      </c>
      <c r="U52">
        <v>2</v>
      </c>
      <c r="V52">
        <v>2</v>
      </c>
      <c r="W52">
        <v>2</v>
      </c>
      <c r="X52">
        <v>2</v>
      </c>
      <c r="Y52">
        <v>2</v>
      </c>
      <c r="Z52" t="s">
        <v>2596</v>
      </c>
      <c r="AA52">
        <v>2</v>
      </c>
      <c r="AB52" t="s">
        <v>123</v>
      </c>
      <c r="AC52" t="s">
        <v>2596</v>
      </c>
      <c r="AD52" t="s">
        <v>2598</v>
      </c>
      <c r="AE52" t="s">
        <v>57</v>
      </c>
      <c r="AF52" t="s">
        <v>57</v>
      </c>
      <c r="AG52" t="s">
        <v>57</v>
      </c>
      <c r="AH52" t="s">
        <v>57</v>
      </c>
      <c r="AI52" t="s">
        <v>57</v>
      </c>
      <c r="AJ52" t="s">
        <v>57</v>
      </c>
      <c r="AK52" t="s">
        <v>57</v>
      </c>
      <c r="AL52" t="s">
        <v>57</v>
      </c>
      <c r="AM52" t="s">
        <v>57</v>
      </c>
      <c r="AN52" t="s">
        <v>57</v>
      </c>
      <c r="AO52" t="s">
        <v>57</v>
      </c>
      <c r="AP52" t="s">
        <v>57</v>
      </c>
      <c r="AQ52" t="s">
        <v>57</v>
      </c>
      <c r="AR52" t="s">
        <v>57</v>
      </c>
      <c r="AS52" t="s">
        <v>57</v>
      </c>
      <c r="AT52" t="s">
        <v>57</v>
      </c>
      <c r="AU52" t="s">
        <v>175</v>
      </c>
      <c r="AV52" t="s">
        <v>57</v>
      </c>
      <c r="AW52" t="s">
        <v>57</v>
      </c>
      <c r="AX52" t="s">
        <v>57</v>
      </c>
      <c r="AY52" t="s">
        <v>57</v>
      </c>
      <c r="AZ52" t="s">
        <v>57</v>
      </c>
      <c r="BA52" t="s">
        <v>57</v>
      </c>
      <c r="BB52" t="s">
        <v>57</v>
      </c>
      <c r="BC52" t="s">
        <v>175</v>
      </c>
      <c r="BD52" t="s">
        <v>57</v>
      </c>
      <c r="BE52" t="s">
        <v>57</v>
      </c>
      <c r="BF52" t="s">
        <v>57</v>
      </c>
      <c r="BG52" t="s">
        <v>57</v>
      </c>
      <c r="BH52" t="s">
        <v>57</v>
      </c>
      <c r="BI52" t="s">
        <v>57</v>
      </c>
      <c r="BJ52" t="s">
        <v>57</v>
      </c>
      <c r="BK52" t="s">
        <v>57</v>
      </c>
      <c r="BL52" t="s">
        <v>57</v>
      </c>
      <c r="BM52" t="s">
        <v>57</v>
      </c>
      <c r="BN52" t="s">
        <v>57</v>
      </c>
      <c r="BO52" t="s">
        <v>57</v>
      </c>
      <c r="BP52" t="s">
        <v>57</v>
      </c>
      <c r="BQ52" t="s">
        <v>57</v>
      </c>
      <c r="BR52" t="s">
        <v>57</v>
      </c>
      <c r="BS52" t="s">
        <v>57</v>
      </c>
      <c r="BT52" t="s">
        <v>57</v>
      </c>
      <c r="BU52" t="s">
        <v>57</v>
      </c>
      <c r="BV52" t="s">
        <v>57</v>
      </c>
      <c r="BW52" t="s">
        <v>57</v>
      </c>
      <c r="BX52" t="s">
        <v>57</v>
      </c>
      <c r="BY52" t="s">
        <v>57</v>
      </c>
      <c r="BZ52" t="s">
        <v>57</v>
      </c>
      <c r="CA52" t="s">
        <v>57</v>
      </c>
      <c r="CB52" t="s">
        <v>57</v>
      </c>
      <c r="CC52" t="s">
        <v>57</v>
      </c>
      <c r="CD52" t="s">
        <v>57</v>
      </c>
      <c r="CE52" t="s">
        <v>57</v>
      </c>
      <c r="CF52" t="s">
        <v>57</v>
      </c>
      <c r="CG52" t="s">
        <v>57</v>
      </c>
      <c r="CH52" t="s">
        <v>57</v>
      </c>
      <c r="CI52" t="s">
        <v>57</v>
      </c>
      <c r="CJ52" t="s">
        <v>57</v>
      </c>
      <c r="CK52" t="s">
        <v>57</v>
      </c>
      <c r="CL52" t="s">
        <v>57</v>
      </c>
      <c r="CM52" t="s">
        <v>57</v>
      </c>
      <c r="CN52" t="s">
        <v>57</v>
      </c>
      <c r="CO52" t="s">
        <v>57</v>
      </c>
      <c r="CP52" t="s">
        <v>57</v>
      </c>
      <c r="CQ52" t="s">
        <v>57</v>
      </c>
      <c r="CR52" t="s">
        <v>57</v>
      </c>
      <c r="CS52" t="s">
        <v>57</v>
      </c>
      <c r="CT52" t="s">
        <v>57</v>
      </c>
      <c r="CU52" t="s">
        <v>57</v>
      </c>
      <c r="CV52" t="s">
        <v>57</v>
      </c>
      <c r="CW52" t="s">
        <v>57</v>
      </c>
      <c r="CX52" t="s">
        <v>57</v>
      </c>
      <c r="CY52" t="s">
        <v>57</v>
      </c>
      <c r="CZ52" t="s">
        <v>57</v>
      </c>
      <c r="DA52" t="s">
        <v>57</v>
      </c>
      <c r="DB52" t="s">
        <v>57</v>
      </c>
      <c r="DC52" t="s">
        <v>57</v>
      </c>
      <c r="DD52" t="s">
        <v>57</v>
      </c>
      <c r="DE52" t="s">
        <v>57</v>
      </c>
      <c r="DF52" t="s">
        <v>57</v>
      </c>
      <c r="DG52" t="s">
        <v>57</v>
      </c>
      <c r="DH52" t="s">
        <v>57</v>
      </c>
      <c r="DI52" t="s">
        <v>57</v>
      </c>
      <c r="DJ52" t="s">
        <v>57</v>
      </c>
      <c r="DK52" t="s">
        <v>57</v>
      </c>
      <c r="DL52" t="s">
        <v>57</v>
      </c>
      <c r="DM52" t="s">
        <v>57</v>
      </c>
      <c r="DN52" t="s">
        <v>57</v>
      </c>
      <c r="DO52" t="s">
        <v>57</v>
      </c>
      <c r="DP52" t="s">
        <v>57</v>
      </c>
      <c r="DQ52" t="s">
        <v>57</v>
      </c>
      <c r="DR52" t="s">
        <v>57</v>
      </c>
      <c r="DS52" t="s">
        <v>57</v>
      </c>
      <c r="DT52" t="s">
        <v>57</v>
      </c>
      <c r="DU52" t="s">
        <v>57</v>
      </c>
      <c r="DV52" t="s">
        <v>57</v>
      </c>
      <c r="DW52" t="s">
        <v>57</v>
      </c>
      <c r="DX52" t="s">
        <v>57</v>
      </c>
      <c r="DY52" t="s">
        <v>57</v>
      </c>
      <c r="DZ52" t="s">
        <v>57</v>
      </c>
      <c r="EA52" t="s">
        <v>57</v>
      </c>
      <c r="EB52" t="s">
        <v>57</v>
      </c>
      <c r="EC52" t="s">
        <v>57</v>
      </c>
      <c r="ED52" t="s">
        <v>57</v>
      </c>
      <c r="EE52" t="s">
        <v>57</v>
      </c>
      <c r="EF52" t="s">
        <v>57</v>
      </c>
      <c r="EG52" t="s">
        <v>57</v>
      </c>
      <c r="EH52" t="s">
        <v>57</v>
      </c>
      <c r="EI52" t="s">
        <v>57</v>
      </c>
      <c r="EJ52" t="s">
        <v>57</v>
      </c>
      <c r="EK52" t="s">
        <v>57</v>
      </c>
      <c r="EL52" t="s">
        <v>57</v>
      </c>
      <c r="EM52" t="s">
        <v>57</v>
      </c>
      <c r="EN52" t="s">
        <v>57</v>
      </c>
      <c r="EO52" t="s">
        <v>57</v>
      </c>
      <c r="EP52" t="s">
        <v>57</v>
      </c>
      <c r="EQ52" t="s">
        <v>57</v>
      </c>
      <c r="ER52" t="s">
        <v>57</v>
      </c>
      <c r="ES52" t="s">
        <v>57</v>
      </c>
      <c r="ET52" t="s">
        <v>57</v>
      </c>
      <c r="EU52" t="s">
        <v>57</v>
      </c>
      <c r="EV52" t="s">
        <v>57</v>
      </c>
      <c r="EW52" t="s">
        <v>57</v>
      </c>
      <c r="EX52" t="s">
        <v>57</v>
      </c>
      <c r="EY52" t="s">
        <v>57</v>
      </c>
      <c r="EZ52" t="s">
        <v>57</v>
      </c>
      <c r="FA52" t="s">
        <v>57</v>
      </c>
      <c r="FB52" t="s">
        <v>57</v>
      </c>
      <c r="FC52" t="s">
        <v>57</v>
      </c>
      <c r="FD52" t="s">
        <v>57</v>
      </c>
      <c r="FE52" t="s">
        <v>57</v>
      </c>
      <c r="FF52" t="s">
        <v>57</v>
      </c>
      <c r="FG52" t="s">
        <v>57</v>
      </c>
      <c r="FH52" t="s">
        <v>57</v>
      </c>
      <c r="FI52" t="s">
        <v>57</v>
      </c>
      <c r="FJ52" t="s">
        <v>57</v>
      </c>
      <c r="FK52" t="s">
        <v>57</v>
      </c>
      <c r="FL52" t="s">
        <v>57</v>
      </c>
      <c r="FM52" t="s">
        <v>57</v>
      </c>
      <c r="FN52" t="s">
        <v>57</v>
      </c>
      <c r="FO52" t="s">
        <v>57</v>
      </c>
      <c r="FP52" t="s">
        <v>57</v>
      </c>
      <c r="FQ52" t="s">
        <v>57</v>
      </c>
      <c r="FR52" t="s">
        <v>57</v>
      </c>
      <c r="FS52" t="s">
        <v>57</v>
      </c>
      <c r="FT52" t="s">
        <v>57</v>
      </c>
      <c r="FU52" t="s">
        <v>57</v>
      </c>
      <c r="FV52" t="s">
        <v>57</v>
      </c>
      <c r="FW52" t="s">
        <v>57</v>
      </c>
      <c r="FX52" t="s">
        <v>57</v>
      </c>
      <c r="FY52" t="s">
        <v>57</v>
      </c>
      <c r="FZ52" t="s">
        <v>57</v>
      </c>
      <c r="GA52" t="s">
        <v>57</v>
      </c>
      <c r="GB52" t="s">
        <v>57</v>
      </c>
      <c r="GC52" t="s">
        <v>57</v>
      </c>
      <c r="GD52" t="s">
        <v>57</v>
      </c>
      <c r="GE52" t="s">
        <v>57</v>
      </c>
      <c r="GF52" t="s">
        <v>57</v>
      </c>
      <c r="GG52" t="s">
        <v>57</v>
      </c>
      <c r="GH52" t="s">
        <v>57</v>
      </c>
      <c r="GI52" t="s">
        <v>57</v>
      </c>
      <c r="GJ52" t="s">
        <v>57</v>
      </c>
      <c r="GK52" t="s">
        <v>57</v>
      </c>
      <c r="GL52" t="s">
        <v>57</v>
      </c>
      <c r="GM52" t="s">
        <v>57</v>
      </c>
      <c r="GN52" t="s">
        <v>57</v>
      </c>
      <c r="GO52" t="s">
        <v>57</v>
      </c>
      <c r="GP52" t="s">
        <v>57</v>
      </c>
      <c r="GQ52" t="s">
        <v>57</v>
      </c>
      <c r="GR52" t="s">
        <v>57</v>
      </c>
      <c r="GS52" t="s">
        <v>57</v>
      </c>
      <c r="GT52" t="s">
        <v>57</v>
      </c>
      <c r="GU52" t="s">
        <v>57</v>
      </c>
      <c r="GV52" t="s">
        <v>57</v>
      </c>
      <c r="GW52" t="s">
        <v>57</v>
      </c>
      <c r="GX52" t="s">
        <v>57</v>
      </c>
      <c r="GY52" t="s">
        <v>57</v>
      </c>
      <c r="GZ52" t="s">
        <v>57</v>
      </c>
      <c r="HA52" t="s">
        <v>57</v>
      </c>
      <c r="HB52" t="s">
        <v>57</v>
      </c>
      <c r="HC52" t="s">
        <v>57</v>
      </c>
      <c r="HD52" t="s">
        <v>57</v>
      </c>
      <c r="HE52" t="s">
        <v>57</v>
      </c>
      <c r="HF52" t="s">
        <v>57</v>
      </c>
      <c r="HG52" t="s">
        <v>57</v>
      </c>
      <c r="HH52" t="s">
        <v>57</v>
      </c>
      <c r="HI52" t="s">
        <v>175</v>
      </c>
      <c r="HJ52" t="s">
        <v>175</v>
      </c>
      <c r="HK52" t="s">
        <v>175</v>
      </c>
      <c r="HL52" t="s">
        <v>57</v>
      </c>
      <c r="HM52" t="s">
        <v>57</v>
      </c>
      <c r="HN52" t="s">
        <v>57</v>
      </c>
      <c r="HO52" t="s">
        <v>57</v>
      </c>
      <c r="HP52" t="s">
        <v>57</v>
      </c>
      <c r="HQ52" t="s">
        <v>57</v>
      </c>
      <c r="HR52" t="s">
        <v>57</v>
      </c>
      <c r="HS52" t="s">
        <v>57</v>
      </c>
      <c r="HT52" t="s">
        <v>57</v>
      </c>
      <c r="HU52" t="s">
        <v>57</v>
      </c>
      <c r="HV52" t="s">
        <v>57</v>
      </c>
      <c r="HW52" t="s">
        <v>57</v>
      </c>
      <c r="HX52" t="s">
        <v>57</v>
      </c>
      <c r="HY52" t="s">
        <v>57</v>
      </c>
      <c r="HZ52" t="s">
        <v>57</v>
      </c>
      <c r="IA52" t="s">
        <v>57</v>
      </c>
      <c r="IB52" t="s">
        <v>57</v>
      </c>
      <c r="IC52" t="s">
        <v>57</v>
      </c>
      <c r="ID52" t="s">
        <v>57</v>
      </c>
      <c r="IE52" t="s">
        <v>57</v>
      </c>
      <c r="IF52" t="s">
        <v>124</v>
      </c>
      <c r="IG52" t="s">
        <v>148</v>
      </c>
      <c r="IH52" t="s">
        <v>123</v>
      </c>
      <c r="II52" t="s">
        <v>156</v>
      </c>
    </row>
    <row r="53" spans="1:243" x14ac:dyDescent="0.25">
      <c r="A53" s="111" t="str">
        <f>HYPERLINK("http://www.ofsted.gov.uk/inspection-reports/find-inspection-report/provider/ELS/112461 ","Ofsted School Webpage")</f>
        <v>Ofsted School Webpage</v>
      </c>
      <c r="B53">
        <v>112461</v>
      </c>
      <c r="C53">
        <v>9096044</v>
      </c>
      <c r="D53" t="s">
        <v>1415</v>
      </c>
      <c r="E53" t="s">
        <v>37</v>
      </c>
      <c r="F53" t="s">
        <v>138</v>
      </c>
      <c r="G53" t="s">
        <v>162</v>
      </c>
      <c r="H53" t="s">
        <v>162</v>
      </c>
      <c r="I53" t="s">
        <v>895</v>
      </c>
      <c r="J53" t="s">
        <v>1416</v>
      </c>
      <c r="K53" t="s">
        <v>142</v>
      </c>
      <c r="L53" t="s">
        <v>142</v>
      </c>
      <c r="M53" t="s">
        <v>2596</v>
      </c>
      <c r="N53" t="s">
        <v>143</v>
      </c>
      <c r="O53">
        <v>10008938</v>
      </c>
      <c r="P53" s="108">
        <v>43109</v>
      </c>
      <c r="Q53" s="108">
        <v>43111</v>
      </c>
      <c r="R53" s="108">
        <v>43146</v>
      </c>
      <c r="S53" t="s">
        <v>153</v>
      </c>
      <c r="T53" t="s">
        <v>154</v>
      </c>
      <c r="U53">
        <v>1</v>
      </c>
      <c r="V53">
        <v>1</v>
      </c>
      <c r="W53">
        <v>1</v>
      </c>
      <c r="X53">
        <v>1</v>
      </c>
      <c r="Y53">
        <v>1</v>
      </c>
      <c r="Z53" t="s">
        <v>2596</v>
      </c>
      <c r="AA53">
        <v>1</v>
      </c>
      <c r="AB53" t="s">
        <v>123</v>
      </c>
      <c r="AC53" t="s">
        <v>2596</v>
      </c>
      <c r="AD53" t="s">
        <v>2598</v>
      </c>
      <c r="AE53" t="s">
        <v>57</v>
      </c>
      <c r="AF53" t="s">
        <v>57</v>
      </c>
      <c r="AG53" t="s">
        <v>57</v>
      </c>
      <c r="AH53" t="s">
        <v>57</v>
      </c>
      <c r="AI53" t="s">
        <v>57</v>
      </c>
      <c r="AJ53" t="s">
        <v>57</v>
      </c>
      <c r="AK53" t="s">
        <v>57</v>
      </c>
      <c r="AL53" t="s">
        <v>57</v>
      </c>
      <c r="AM53" t="s">
        <v>57</v>
      </c>
      <c r="AN53" t="s">
        <v>57</v>
      </c>
      <c r="AO53" t="s">
        <v>57</v>
      </c>
      <c r="AP53" t="s">
        <v>57</v>
      </c>
      <c r="AQ53" t="s">
        <v>57</v>
      </c>
      <c r="AR53" t="s">
        <v>57</v>
      </c>
      <c r="AS53" t="s">
        <v>57</v>
      </c>
      <c r="AT53" t="s">
        <v>57</v>
      </c>
      <c r="AU53" t="s">
        <v>175</v>
      </c>
      <c r="AV53" t="s">
        <v>57</v>
      </c>
      <c r="AW53" t="s">
        <v>57</v>
      </c>
      <c r="AX53" t="s">
        <v>57</v>
      </c>
      <c r="AY53" t="s">
        <v>57</v>
      </c>
      <c r="AZ53" t="s">
        <v>57</v>
      </c>
      <c r="BA53" t="s">
        <v>57</v>
      </c>
      <c r="BB53" t="s">
        <v>57</v>
      </c>
      <c r="BC53" t="s">
        <v>175</v>
      </c>
      <c r="BD53" t="s">
        <v>57</v>
      </c>
      <c r="BE53" t="s">
        <v>57</v>
      </c>
      <c r="BF53" t="s">
        <v>57</v>
      </c>
      <c r="BG53" t="s">
        <v>57</v>
      </c>
      <c r="BH53" t="s">
        <v>57</v>
      </c>
      <c r="BI53" t="s">
        <v>57</v>
      </c>
      <c r="BJ53" t="s">
        <v>57</v>
      </c>
      <c r="BK53" t="s">
        <v>57</v>
      </c>
      <c r="BL53" t="s">
        <v>57</v>
      </c>
      <c r="BM53" t="s">
        <v>57</v>
      </c>
      <c r="BN53" t="s">
        <v>57</v>
      </c>
      <c r="BO53" t="s">
        <v>57</v>
      </c>
      <c r="BP53" t="s">
        <v>57</v>
      </c>
      <c r="BQ53" t="s">
        <v>57</v>
      </c>
      <c r="BR53" t="s">
        <v>57</v>
      </c>
      <c r="BS53" t="s">
        <v>57</v>
      </c>
      <c r="BT53" t="s">
        <v>57</v>
      </c>
      <c r="BU53" t="s">
        <v>57</v>
      </c>
      <c r="BV53" t="s">
        <v>57</v>
      </c>
      <c r="BW53" t="s">
        <v>57</v>
      </c>
      <c r="BX53" t="s">
        <v>57</v>
      </c>
      <c r="BY53" t="s">
        <v>57</v>
      </c>
      <c r="BZ53" t="s">
        <v>57</v>
      </c>
      <c r="CA53" t="s">
        <v>57</v>
      </c>
      <c r="CB53" t="s">
        <v>57</v>
      </c>
      <c r="CC53" t="s">
        <v>57</v>
      </c>
      <c r="CD53" t="s">
        <v>57</v>
      </c>
      <c r="CE53" t="s">
        <v>57</v>
      </c>
      <c r="CF53" t="s">
        <v>57</v>
      </c>
      <c r="CG53" t="s">
        <v>57</v>
      </c>
      <c r="CH53" t="s">
        <v>57</v>
      </c>
      <c r="CI53" t="s">
        <v>57</v>
      </c>
      <c r="CJ53" t="s">
        <v>57</v>
      </c>
      <c r="CK53" t="s">
        <v>57</v>
      </c>
      <c r="CL53" t="s">
        <v>175</v>
      </c>
      <c r="CM53" t="s">
        <v>175</v>
      </c>
      <c r="CN53" t="s">
        <v>57</v>
      </c>
      <c r="CO53" t="s">
        <v>57</v>
      </c>
      <c r="CP53" t="s">
        <v>57</v>
      </c>
      <c r="CQ53" t="s">
        <v>57</v>
      </c>
      <c r="CR53" t="s">
        <v>57</v>
      </c>
      <c r="CS53" t="s">
        <v>57</v>
      </c>
      <c r="CT53" t="s">
        <v>57</v>
      </c>
      <c r="CU53" t="s">
        <v>57</v>
      </c>
      <c r="CV53" t="s">
        <v>57</v>
      </c>
      <c r="CW53" t="s">
        <v>57</v>
      </c>
      <c r="CX53" t="s">
        <v>57</v>
      </c>
      <c r="CY53" t="s">
        <v>57</v>
      </c>
      <c r="CZ53" t="s">
        <v>57</v>
      </c>
      <c r="DA53" t="s">
        <v>57</v>
      </c>
      <c r="DB53" t="s">
        <v>57</v>
      </c>
      <c r="DC53" t="s">
        <v>57</v>
      </c>
      <c r="DD53" t="s">
        <v>57</v>
      </c>
      <c r="DE53" t="s">
        <v>57</v>
      </c>
      <c r="DF53" t="s">
        <v>57</v>
      </c>
      <c r="DG53" t="s">
        <v>57</v>
      </c>
      <c r="DH53" t="s">
        <v>57</v>
      </c>
      <c r="DI53" t="s">
        <v>57</v>
      </c>
      <c r="DJ53" t="s">
        <v>57</v>
      </c>
      <c r="DK53" t="s">
        <v>57</v>
      </c>
      <c r="DL53" t="s">
        <v>57</v>
      </c>
      <c r="DM53" t="s">
        <v>57</v>
      </c>
      <c r="DN53" t="s">
        <v>57</v>
      </c>
      <c r="DO53" t="s">
        <v>57</v>
      </c>
      <c r="DP53" t="s">
        <v>57</v>
      </c>
      <c r="DQ53" t="s">
        <v>57</v>
      </c>
      <c r="DR53" t="s">
        <v>57</v>
      </c>
      <c r="DS53" t="s">
        <v>57</v>
      </c>
      <c r="DT53" t="s">
        <v>57</v>
      </c>
      <c r="DU53" t="s">
        <v>57</v>
      </c>
      <c r="DV53" t="s">
        <v>57</v>
      </c>
      <c r="DW53" t="s">
        <v>57</v>
      </c>
      <c r="DX53" t="s">
        <v>57</v>
      </c>
      <c r="DY53" t="s">
        <v>57</v>
      </c>
      <c r="DZ53" t="s">
        <v>57</v>
      </c>
      <c r="EA53" t="s">
        <v>57</v>
      </c>
      <c r="EB53" t="s">
        <v>57</v>
      </c>
      <c r="EC53" t="s">
        <v>57</v>
      </c>
      <c r="ED53" t="s">
        <v>57</v>
      </c>
      <c r="EE53" t="s">
        <v>57</v>
      </c>
      <c r="EF53" t="s">
        <v>57</v>
      </c>
      <c r="EG53" t="s">
        <v>57</v>
      </c>
      <c r="EH53" t="s">
        <v>57</v>
      </c>
      <c r="EI53" t="s">
        <v>57</v>
      </c>
      <c r="EJ53" t="s">
        <v>57</v>
      </c>
      <c r="EK53" t="s">
        <v>57</v>
      </c>
      <c r="EL53" t="s">
        <v>57</v>
      </c>
      <c r="EM53" t="s">
        <v>57</v>
      </c>
      <c r="EN53" t="s">
        <v>57</v>
      </c>
      <c r="EO53" t="s">
        <v>57</v>
      </c>
      <c r="EP53" t="s">
        <v>57</v>
      </c>
      <c r="EQ53" t="s">
        <v>57</v>
      </c>
      <c r="ER53" t="s">
        <v>57</v>
      </c>
      <c r="ES53" t="s">
        <v>57</v>
      </c>
      <c r="ET53" t="s">
        <v>57</v>
      </c>
      <c r="EU53" t="s">
        <v>57</v>
      </c>
      <c r="EV53" t="s">
        <v>57</v>
      </c>
      <c r="EW53" t="s">
        <v>57</v>
      </c>
      <c r="EX53" t="s">
        <v>57</v>
      </c>
      <c r="EY53" t="s">
        <v>57</v>
      </c>
      <c r="EZ53" t="s">
        <v>57</v>
      </c>
      <c r="FA53" t="s">
        <v>57</v>
      </c>
      <c r="FB53" t="s">
        <v>57</v>
      </c>
      <c r="FC53" t="s">
        <v>57</v>
      </c>
      <c r="FD53" t="s">
        <v>57</v>
      </c>
      <c r="FE53" t="s">
        <v>57</v>
      </c>
      <c r="FF53" t="s">
        <v>57</v>
      </c>
      <c r="FG53" t="s">
        <v>57</v>
      </c>
      <c r="FH53" t="s">
        <v>57</v>
      </c>
      <c r="FI53" t="s">
        <v>57</v>
      </c>
      <c r="FJ53" t="s">
        <v>57</v>
      </c>
      <c r="FK53" t="s">
        <v>57</v>
      </c>
      <c r="FL53" t="s">
        <v>57</v>
      </c>
      <c r="FM53" t="s">
        <v>57</v>
      </c>
      <c r="FN53" t="s">
        <v>57</v>
      </c>
      <c r="FO53" t="s">
        <v>57</v>
      </c>
      <c r="FP53" t="s">
        <v>57</v>
      </c>
      <c r="FQ53" t="s">
        <v>57</v>
      </c>
      <c r="FR53" t="s">
        <v>57</v>
      </c>
      <c r="FS53" t="s">
        <v>57</v>
      </c>
      <c r="FT53" t="s">
        <v>57</v>
      </c>
      <c r="FU53" t="s">
        <v>57</v>
      </c>
      <c r="FV53" t="s">
        <v>57</v>
      </c>
      <c r="FW53" t="s">
        <v>57</v>
      </c>
      <c r="FX53" t="s">
        <v>57</v>
      </c>
      <c r="FY53" t="s">
        <v>57</v>
      </c>
      <c r="FZ53" t="s">
        <v>57</v>
      </c>
      <c r="GA53" t="s">
        <v>57</v>
      </c>
      <c r="GB53" t="s">
        <v>57</v>
      </c>
      <c r="GC53" t="s">
        <v>57</v>
      </c>
      <c r="GD53" t="s">
        <v>57</v>
      </c>
      <c r="GE53" t="s">
        <v>57</v>
      </c>
      <c r="GF53" t="s">
        <v>57</v>
      </c>
      <c r="GG53" t="s">
        <v>57</v>
      </c>
      <c r="GH53" t="s">
        <v>57</v>
      </c>
      <c r="GI53" t="s">
        <v>57</v>
      </c>
      <c r="GJ53" t="s">
        <v>57</v>
      </c>
      <c r="GK53" t="s">
        <v>57</v>
      </c>
      <c r="GL53" t="s">
        <v>57</v>
      </c>
      <c r="GM53" t="s">
        <v>57</v>
      </c>
      <c r="GN53" t="s">
        <v>57</v>
      </c>
      <c r="GO53" t="s">
        <v>57</v>
      </c>
      <c r="GP53" t="s">
        <v>57</v>
      </c>
      <c r="GQ53" t="s">
        <v>57</v>
      </c>
      <c r="GR53" t="s">
        <v>57</v>
      </c>
      <c r="GS53" t="s">
        <v>57</v>
      </c>
      <c r="GT53" t="s">
        <v>57</v>
      </c>
      <c r="GU53" t="s">
        <v>57</v>
      </c>
      <c r="GV53" t="s">
        <v>175</v>
      </c>
      <c r="GW53" t="s">
        <v>57</v>
      </c>
      <c r="GX53" t="s">
        <v>57</v>
      </c>
      <c r="GY53" t="s">
        <v>57</v>
      </c>
      <c r="GZ53" t="s">
        <v>57</v>
      </c>
      <c r="HA53" t="s">
        <v>57</v>
      </c>
      <c r="HB53" t="s">
        <v>57</v>
      </c>
      <c r="HC53" t="s">
        <v>57</v>
      </c>
      <c r="HD53" t="s">
        <v>57</v>
      </c>
      <c r="HE53" t="s">
        <v>57</v>
      </c>
      <c r="HF53" t="s">
        <v>57</v>
      </c>
      <c r="HG53" t="s">
        <v>57</v>
      </c>
      <c r="HH53" t="s">
        <v>57</v>
      </c>
      <c r="HI53" t="s">
        <v>57</v>
      </c>
      <c r="HJ53" t="s">
        <v>57</v>
      </c>
      <c r="HK53" t="s">
        <v>57</v>
      </c>
      <c r="HL53" t="s">
        <v>57</v>
      </c>
      <c r="HM53" t="s">
        <v>57</v>
      </c>
      <c r="HN53" t="s">
        <v>57</v>
      </c>
      <c r="HO53" t="s">
        <v>57</v>
      </c>
      <c r="HP53" t="s">
        <v>57</v>
      </c>
      <c r="HQ53" t="s">
        <v>57</v>
      </c>
      <c r="HR53" t="s">
        <v>57</v>
      </c>
      <c r="HS53" t="s">
        <v>57</v>
      </c>
      <c r="HT53" t="s">
        <v>57</v>
      </c>
      <c r="HU53" t="s">
        <v>57</v>
      </c>
      <c r="HV53" t="s">
        <v>57</v>
      </c>
      <c r="HW53" t="s">
        <v>57</v>
      </c>
      <c r="HX53" t="s">
        <v>57</v>
      </c>
      <c r="HY53" t="s">
        <v>57</v>
      </c>
      <c r="HZ53" t="s">
        <v>57</v>
      </c>
      <c r="IA53" t="s">
        <v>57</v>
      </c>
      <c r="IB53" t="s">
        <v>57</v>
      </c>
      <c r="IC53" t="s">
        <v>57</v>
      </c>
      <c r="ID53" t="s">
        <v>57</v>
      </c>
      <c r="IE53" t="s">
        <v>57</v>
      </c>
      <c r="IF53" t="s">
        <v>124</v>
      </c>
      <c r="IG53" t="s">
        <v>148</v>
      </c>
      <c r="IH53" t="s">
        <v>123</v>
      </c>
      <c r="II53" t="s">
        <v>156</v>
      </c>
    </row>
    <row r="54" spans="1:243" x14ac:dyDescent="0.25">
      <c r="A54" s="111" t="str">
        <f>HYPERLINK("http://www.ofsted.gov.uk/inspection-reports/find-inspection-report/provider/ELS/113567 ","Ofsted School Webpage")</f>
        <v>Ofsted School Webpage</v>
      </c>
      <c r="B54">
        <v>113567</v>
      </c>
      <c r="C54">
        <v>8786004</v>
      </c>
      <c r="D54" t="s">
        <v>322</v>
      </c>
      <c r="E54" t="s">
        <v>36</v>
      </c>
      <c r="F54" t="s">
        <v>166</v>
      </c>
      <c r="G54" t="s">
        <v>182</v>
      </c>
      <c r="H54" t="s">
        <v>182</v>
      </c>
      <c r="I54" t="s">
        <v>323</v>
      </c>
      <c r="J54" t="s">
        <v>324</v>
      </c>
      <c r="K54" t="s">
        <v>142</v>
      </c>
      <c r="L54" t="s">
        <v>249</v>
      </c>
      <c r="M54" t="s">
        <v>2596</v>
      </c>
      <c r="N54" t="s">
        <v>143</v>
      </c>
      <c r="O54">
        <v>10033881</v>
      </c>
      <c r="P54" s="108">
        <v>43025</v>
      </c>
      <c r="Q54" s="108">
        <v>43027</v>
      </c>
      <c r="R54" s="108">
        <v>43059</v>
      </c>
      <c r="S54" t="s">
        <v>153</v>
      </c>
      <c r="T54" t="s">
        <v>154</v>
      </c>
      <c r="U54">
        <v>2</v>
      </c>
      <c r="V54">
        <v>2</v>
      </c>
      <c r="W54">
        <v>2</v>
      </c>
      <c r="X54">
        <v>2</v>
      </c>
      <c r="Y54">
        <v>2</v>
      </c>
      <c r="Z54">
        <v>2</v>
      </c>
      <c r="AA54" t="s">
        <v>2596</v>
      </c>
      <c r="AB54" t="s">
        <v>123</v>
      </c>
      <c r="AC54" t="s">
        <v>2596</v>
      </c>
      <c r="AD54" t="s">
        <v>2598</v>
      </c>
      <c r="AE54" t="s">
        <v>57</v>
      </c>
      <c r="AF54" t="s">
        <v>57</v>
      </c>
      <c r="AG54" t="s">
        <v>57</v>
      </c>
      <c r="AH54" t="s">
        <v>57</v>
      </c>
      <c r="AI54" t="s">
        <v>57</v>
      </c>
      <c r="AJ54" t="s">
        <v>57</v>
      </c>
      <c r="AK54" t="s">
        <v>57</v>
      </c>
      <c r="AL54" t="s">
        <v>57</v>
      </c>
      <c r="AM54" t="s">
        <v>57</v>
      </c>
      <c r="AN54" t="s">
        <v>57</v>
      </c>
      <c r="AO54" t="s">
        <v>57</v>
      </c>
      <c r="AP54" t="s">
        <v>57</v>
      </c>
      <c r="AQ54" t="s">
        <v>57</v>
      </c>
      <c r="AR54" t="s">
        <v>57</v>
      </c>
      <c r="AS54" t="s">
        <v>57</v>
      </c>
      <c r="AT54" t="s">
        <v>57</v>
      </c>
      <c r="AU54" t="s">
        <v>57</v>
      </c>
      <c r="AV54" t="s">
        <v>57</v>
      </c>
      <c r="AW54" t="s">
        <v>57</v>
      </c>
      <c r="AX54" t="s">
        <v>57</v>
      </c>
      <c r="AY54" t="s">
        <v>57</v>
      </c>
      <c r="AZ54" t="s">
        <v>57</v>
      </c>
      <c r="BA54" t="s">
        <v>57</v>
      </c>
      <c r="BB54" t="s">
        <v>57</v>
      </c>
      <c r="BC54" t="s">
        <v>57</v>
      </c>
      <c r="BD54" t="s">
        <v>175</v>
      </c>
      <c r="BE54" t="s">
        <v>57</v>
      </c>
      <c r="BF54" t="s">
        <v>57</v>
      </c>
      <c r="BG54" t="s">
        <v>57</v>
      </c>
      <c r="BH54" t="s">
        <v>57</v>
      </c>
      <c r="BI54" t="s">
        <v>57</v>
      </c>
      <c r="BJ54" t="s">
        <v>57</v>
      </c>
      <c r="BK54" t="s">
        <v>57</v>
      </c>
      <c r="BL54" t="s">
        <v>57</v>
      </c>
      <c r="BM54" t="s">
        <v>57</v>
      </c>
      <c r="BN54" t="s">
        <v>57</v>
      </c>
      <c r="BO54" t="s">
        <v>57</v>
      </c>
      <c r="BP54" t="s">
        <v>57</v>
      </c>
      <c r="BQ54" t="s">
        <v>57</v>
      </c>
      <c r="BR54" t="s">
        <v>57</v>
      </c>
      <c r="BS54" t="s">
        <v>57</v>
      </c>
      <c r="BT54" t="s">
        <v>57</v>
      </c>
      <c r="BU54" t="s">
        <v>57</v>
      </c>
      <c r="BV54" t="s">
        <v>57</v>
      </c>
      <c r="BW54" t="s">
        <v>57</v>
      </c>
      <c r="BX54" t="s">
        <v>57</v>
      </c>
      <c r="BY54" t="s">
        <v>57</v>
      </c>
      <c r="BZ54" t="s">
        <v>57</v>
      </c>
      <c r="CA54" t="s">
        <v>57</v>
      </c>
      <c r="CB54" t="s">
        <v>57</v>
      </c>
      <c r="CC54" t="s">
        <v>57</v>
      </c>
      <c r="CD54" t="s">
        <v>57</v>
      </c>
      <c r="CE54" t="s">
        <v>57</v>
      </c>
      <c r="CF54" t="s">
        <v>57</v>
      </c>
      <c r="CG54" t="s">
        <v>57</v>
      </c>
      <c r="CH54" t="s">
        <v>57</v>
      </c>
      <c r="CI54" t="s">
        <v>57</v>
      </c>
      <c r="CJ54" t="s">
        <v>57</v>
      </c>
      <c r="CK54" t="s">
        <v>57</v>
      </c>
      <c r="CL54" t="s">
        <v>57</v>
      </c>
      <c r="CM54" t="s">
        <v>57</v>
      </c>
      <c r="CN54" t="s">
        <v>57</v>
      </c>
      <c r="CO54" t="s">
        <v>57</v>
      </c>
      <c r="CP54" t="s">
        <v>57</v>
      </c>
      <c r="CQ54" t="s">
        <v>57</v>
      </c>
      <c r="CR54" t="s">
        <v>57</v>
      </c>
      <c r="CS54" t="s">
        <v>57</v>
      </c>
      <c r="CT54" t="s">
        <v>57</v>
      </c>
      <c r="CU54" t="s">
        <v>57</v>
      </c>
      <c r="CV54" t="s">
        <v>57</v>
      </c>
      <c r="CW54" t="s">
        <v>57</v>
      </c>
      <c r="CX54" t="s">
        <v>57</v>
      </c>
      <c r="CY54" t="s">
        <v>57</v>
      </c>
      <c r="CZ54" t="s">
        <v>57</v>
      </c>
      <c r="DA54" t="s">
        <v>57</v>
      </c>
      <c r="DB54" t="s">
        <v>57</v>
      </c>
      <c r="DC54" t="s">
        <v>57</v>
      </c>
      <c r="DD54" t="s">
        <v>57</v>
      </c>
      <c r="DE54" t="s">
        <v>57</v>
      </c>
      <c r="DF54" t="s">
        <v>57</v>
      </c>
      <c r="DG54" t="s">
        <v>57</v>
      </c>
      <c r="DH54" t="s">
        <v>57</v>
      </c>
      <c r="DI54" t="s">
        <v>57</v>
      </c>
      <c r="DJ54" t="s">
        <v>57</v>
      </c>
      <c r="DK54" t="s">
        <v>175</v>
      </c>
      <c r="DL54" t="s">
        <v>57</v>
      </c>
      <c r="DM54" t="s">
        <v>57</v>
      </c>
      <c r="DN54" t="s">
        <v>57</v>
      </c>
      <c r="DO54" t="s">
        <v>57</v>
      </c>
      <c r="DP54" t="s">
        <v>57</v>
      </c>
      <c r="DQ54" t="s">
        <v>57</v>
      </c>
      <c r="DR54" t="s">
        <v>57</v>
      </c>
      <c r="DS54" t="s">
        <v>57</v>
      </c>
      <c r="DT54" t="s">
        <v>57</v>
      </c>
      <c r="DU54" t="s">
        <v>57</v>
      </c>
      <c r="DV54" t="s">
        <v>57</v>
      </c>
      <c r="DW54" t="s">
        <v>57</v>
      </c>
      <c r="DX54" t="s">
        <v>57</v>
      </c>
      <c r="DY54" t="s">
        <v>57</v>
      </c>
      <c r="DZ54" t="s">
        <v>57</v>
      </c>
      <c r="EA54" t="s">
        <v>57</v>
      </c>
      <c r="EB54" t="s">
        <v>57</v>
      </c>
      <c r="EC54" t="s">
        <v>57</v>
      </c>
      <c r="ED54" t="s">
        <v>57</v>
      </c>
      <c r="EE54" t="s">
        <v>57</v>
      </c>
      <c r="EF54" t="s">
        <v>57</v>
      </c>
      <c r="EG54" t="s">
        <v>57</v>
      </c>
      <c r="EH54" t="s">
        <v>57</v>
      </c>
      <c r="EI54" t="s">
        <v>57</v>
      </c>
      <c r="EJ54" t="s">
        <v>57</v>
      </c>
      <c r="EK54" t="s">
        <v>57</v>
      </c>
      <c r="EL54" t="s">
        <v>57</v>
      </c>
      <c r="EM54" t="s">
        <v>57</v>
      </c>
      <c r="EN54" t="s">
        <v>57</v>
      </c>
      <c r="EO54" t="s">
        <v>57</v>
      </c>
      <c r="EP54" t="s">
        <v>57</v>
      </c>
      <c r="EQ54" t="s">
        <v>57</v>
      </c>
      <c r="ER54" t="s">
        <v>57</v>
      </c>
      <c r="ES54" t="s">
        <v>57</v>
      </c>
      <c r="ET54" t="s">
        <v>57</v>
      </c>
      <c r="EU54" t="s">
        <v>57</v>
      </c>
      <c r="EV54" t="s">
        <v>57</v>
      </c>
      <c r="EW54" t="s">
        <v>57</v>
      </c>
      <c r="EX54" t="s">
        <v>57</v>
      </c>
      <c r="EY54" t="s">
        <v>57</v>
      </c>
      <c r="EZ54" t="s">
        <v>57</v>
      </c>
      <c r="FA54" t="s">
        <v>57</v>
      </c>
      <c r="FB54" t="s">
        <v>57</v>
      </c>
      <c r="FC54" t="s">
        <v>57</v>
      </c>
      <c r="FD54" t="s">
        <v>57</v>
      </c>
      <c r="FE54" t="s">
        <v>57</v>
      </c>
      <c r="FF54" t="s">
        <v>57</v>
      </c>
      <c r="FG54" t="s">
        <v>57</v>
      </c>
      <c r="FH54" t="s">
        <v>57</v>
      </c>
      <c r="FI54" t="s">
        <v>57</v>
      </c>
      <c r="FJ54" t="s">
        <v>57</v>
      </c>
      <c r="FK54" t="s">
        <v>57</v>
      </c>
      <c r="FL54" t="s">
        <v>57</v>
      </c>
      <c r="FM54" t="s">
        <v>57</v>
      </c>
      <c r="FN54" t="s">
        <v>57</v>
      </c>
      <c r="FO54" t="s">
        <v>57</v>
      </c>
      <c r="FP54" t="s">
        <v>57</v>
      </c>
      <c r="FQ54" t="s">
        <v>57</v>
      </c>
      <c r="FR54" t="s">
        <v>57</v>
      </c>
      <c r="FS54" t="s">
        <v>57</v>
      </c>
      <c r="FT54" t="s">
        <v>57</v>
      </c>
      <c r="FU54" t="s">
        <v>57</v>
      </c>
      <c r="FV54" t="s">
        <v>57</v>
      </c>
      <c r="FW54" t="s">
        <v>57</v>
      </c>
      <c r="FX54" t="s">
        <v>57</v>
      </c>
      <c r="FY54" t="s">
        <v>57</v>
      </c>
      <c r="FZ54" t="s">
        <v>57</v>
      </c>
      <c r="GA54" t="s">
        <v>57</v>
      </c>
      <c r="GB54" t="s">
        <v>57</v>
      </c>
      <c r="GC54" t="s">
        <v>57</v>
      </c>
      <c r="GD54" t="s">
        <v>57</v>
      </c>
      <c r="GE54" t="s">
        <v>57</v>
      </c>
      <c r="GF54" t="s">
        <v>57</v>
      </c>
      <c r="GG54" t="s">
        <v>175</v>
      </c>
      <c r="GH54" t="s">
        <v>57</v>
      </c>
      <c r="GI54" t="s">
        <v>57</v>
      </c>
      <c r="GJ54" t="s">
        <v>57</v>
      </c>
      <c r="GK54" t="s">
        <v>57</v>
      </c>
      <c r="GL54" t="s">
        <v>57</v>
      </c>
      <c r="GM54" t="s">
        <v>57</v>
      </c>
      <c r="GN54" t="s">
        <v>57</v>
      </c>
      <c r="GO54" t="s">
        <v>57</v>
      </c>
      <c r="GP54" t="s">
        <v>57</v>
      </c>
      <c r="GQ54" t="s">
        <v>57</v>
      </c>
      <c r="GR54" t="s">
        <v>57</v>
      </c>
      <c r="GS54" t="s">
        <v>57</v>
      </c>
      <c r="GT54" t="s">
        <v>57</v>
      </c>
      <c r="GU54" t="s">
        <v>57</v>
      </c>
      <c r="GV54" t="s">
        <v>57</v>
      </c>
      <c r="GW54" t="s">
        <v>57</v>
      </c>
      <c r="GX54" t="s">
        <v>175</v>
      </c>
      <c r="GY54" t="s">
        <v>57</v>
      </c>
      <c r="GZ54" t="s">
        <v>57</v>
      </c>
      <c r="HA54" t="s">
        <v>57</v>
      </c>
      <c r="HB54" t="s">
        <v>57</v>
      </c>
      <c r="HC54" t="s">
        <v>57</v>
      </c>
      <c r="HD54" t="s">
        <v>57</v>
      </c>
      <c r="HE54" t="s">
        <v>57</v>
      </c>
      <c r="HF54" t="s">
        <v>57</v>
      </c>
      <c r="HG54" t="s">
        <v>57</v>
      </c>
      <c r="HH54" t="s">
        <v>57</v>
      </c>
      <c r="HI54" t="s">
        <v>175</v>
      </c>
      <c r="HJ54" t="s">
        <v>175</v>
      </c>
      <c r="HK54" t="s">
        <v>175</v>
      </c>
      <c r="HL54" t="s">
        <v>57</v>
      </c>
      <c r="HM54" t="s">
        <v>57</v>
      </c>
      <c r="HN54" t="s">
        <v>57</v>
      </c>
      <c r="HO54" t="s">
        <v>57</v>
      </c>
      <c r="HP54" t="s">
        <v>57</v>
      </c>
      <c r="HQ54" t="s">
        <v>57</v>
      </c>
      <c r="HR54" t="s">
        <v>2596</v>
      </c>
      <c r="HS54" t="s">
        <v>57</v>
      </c>
      <c r="HT54" t="s">
        <v>57</v>
      </c>
      <c r="HU54" t="s">
        <v>57</v>
      </c>
      <c r="HV54" t="s">
        <v>57</v>
      </c>
      <c r="HW54" t="s">
        <v>57</v>
      </c>
      <c r="HX54" t="s">
        <v>57</v>
      </c>
      <c r="HY54" t="s">
        <v>57</v>
      </c>
      <c r="HZ54" t="s">
        <v>57</v>
      </c>
      <c r="IA54" t="s">
        <v>57</v>
      </c>
      <c r="IB54" t="s">
        <v>57</v>
      </c>
      <c r="IC54" t="s">
        <v>57</v>
      </c>
      <c r="ID54" t="s">
        <v>57</v>
      </c>
      <c r="IE54" t="s">
        <v>57</v>
      </c>
      <c r="IF54" t="s">
        <v>124</v>
      </c>
      <c r="IG54" t="s">
        <v>148</v>
      </c>
      <c r="IH54" t="s">
        <v>123</v>
      </c>
      <c r="II54" t="s">
        <v>156</v>
      </c>
    </row>
    <row r="55" spans="1:243" x14ac:dyDescent="0.25">
      <c r="A55" s="111" t="str">
        <f>HYPERLINK("http://www.ofsted.gov.uk/inspection-reports/find-inspection-report/provider/ELS/113623 ","Ofsted School Webpage")</f>
        <v>Ofsted School Webpage</v>
      </c>
      <c r="B55">
        <v>113623</v>
      </c>
      <c r="C55">
        <v>8786045</v>
      </c>
      <c r="D55" t="s">
        <v>1472</v>
      </c>
      <c r="E55" t="s">
        <v>36</v>
      </c>
      <c r="F55" t="s">
        <v>166</v>
      </c>
      <c r="G55" t="s">
        <v>182</v>
      </c>
      <c r="H55" t="s">
        <v>182</v>
      </c>
      <c r="I55" t="s">
        <v>323</v>
      </c>
      <c r="J55" t="s">
        <v>1473</v>
      </c>
      <c r="K55" t="s">
        <v>142</v>
      </c>
      <c r="L55" t="s">
        <v>142</v>
      </c>
      <c r="M55" t="s">
        <v>2596</v>
      </c>
      <c r="N55" t="s">
        <v>143</v>
      </c>
      <c r="O55">
        <v>10035558</v>
      </c>
      <c r="P55" s="108">
        <v>43067</v>
      </c>
      <c r="Q55" s="108">
        <v>43069</v>
      </c>
      <c r="R55" s="108">
        <v>43116</v>
      </c>
      <c r="S55" t="s">
        <v>153</v>
      </c>
      <c r="T55" t="s">
        <v>154</v>
      </c>
      <c r="U55">
        <v>4</v>
      </c>
      <c r="V55">
        <v>4</v>
      </c>
      <c r="W55">
        <v>4</v>
      </c>
      <c r="X55">
        <v>4</v>
      </c>
      <c r="Y55">
        <v>4</v>
      </c>
      <c r="Z55" t="s">
        <v>2596</v>
      </c>
      <c r="AA55" t="s">
        <v>2596</v>
      </c>
      <c r="AB55" t="s">
        <v>123</v>
      </c>
      <c r="AC55" t="s">
        <v>2596</v>
      </c>
      <c r="AD55" t="s">
        <v>2599</v>
      </c>
      <c r="AE55" t="s">
        <v>58</v>
      </c>
      <c r="AF55" t="s">
        <v>58</v>
      </c>
      <c r="AG55" t="s">
        <v>57</v>
      </c>
      <c r="AH55" t="s">
        <v>57</v>
      </c>
      <c r="AI55" t="s">
        <v>57</v>
      </c>
      <c r="AJ55" t="s">
        <v>58</v>
      </c>
      <c r="AK55" t="s">
        <v>57</v>
      </c>
      <c r="AL55" t="s">
        <v>58</v>
      </c>
      <c r="AM55" t="s">
        <v>58</v>
      </c>
      <c r="AN55" t="s">
        <v>58</v>
      </c>
      <c r="AO55" t="s">
        <v>58</v>
      </c>
      <c r="AP55" t="s">
        <v>58</v>
      </c>
      <c r="AQ55" t="s">
        <v>57</v>
      </c>
      <c r="AR55" t="s">
        <v>58</v>
      </c>
      <c r="AS55" t="s">
        <v>57</v>
      </c>
      <c r="AT55" t="s">
        <v>57</v>
      </c>
      <c r="AU55" t="s">
        <v>57</v>
      </c>
      <c r="AV55" t="s">
        <v>58</v>
      </c>
      <c r="AW55" t="s">
        <v>58</v>
      </c>
      <c r="AX55" t="s">
        <v>57</v>
      </c>
      <c r="AY55" t="s">
        <v>57</v>
      </c>
      <c r="AZ55" t="s">
        <v>57</v>
      </c>
      <c r="BA55" t="s">
        <v>58</v>
      </c>
      <c r="BB55" t="s">
        <v>58</v>
      </c>
      <c r="BC55" t="s">
        <v>175</v>
      </c>
      <c r="BD55" t="s">
        <v>58</v>
      </c>
      <c r="BE55" t="s">
        <v>58</v>
      </c>
      <c r="BF55" t="s">
        <v>58</v>
      </c>
      <c r="BG55" t="s">
        <v>58</v>
      </c>
      <c r="BH55" t="s">
        <v>58</v>
      </c>
      <c r="BI55" t="s">
        <v>58</v>
      </c>
      <c r="BJ55" t="s">
        <v>58</v>
      </c>
      <c r="BK55" t="s">
        <v>58</v>
      </c>
      <c r="BL55" t="s">
        <v>58</v>
      </c>
      <c r="BM55" t="s">
        <v>58</v>
      </c>
      <c r="BN55" t="s">
        <v>58</v>
      </c>
      <c r="BO55" t="s">
        <v>57</v>
      </c>
      <c r="BP55" t="s">
        <v>57</v>
      </c>
      <c r="BQ55" t="s">
        <v>57</v>
      </c>
      <c r="BR55" t="s">
        <v>58</v>
      </c>
      <c r="BS55" t="s">
        <v>58</v>
      </c>
      <c r="BT55" t="s">
        <v>58</v>
      </c>
      <c r="BU55" t="s">
        <v>58</v>
      </c>
      <c r="BV55" t="s">
        <v>57</v>
      </c>
      <c r="BW55" t="s">
        <v>57</v>
      </c>
      <c r="BX55" t="s">
        <v>57</v>
      </c>
      <c r="BY55" t="s">
        <v>57</v>
      </c>
      <c r="BZ55" t="s">
        <v>58</v>
      </c>
      <c r="CA55" t="s">
        <v>57</v>
      </c>
      <c r="CB55" t="s">
        <v>57</v>
      </c>
      <c r="CC55" t="s">
        <v>57</v>
      </c>
      <c r="CD55" t="s">
        <v>57</v>
      </c>
      <c r="CE55" t="s">
        <v>57</v>
      </c>
      <c r="CF55" t="s">
        <v>57</v>
      </c>
      <c r="CG55" t="s">
        <v>57</v>
      </c>
      <c r="CH55" t="s">
        <v>57</v>
      </c>
      <c r="CI55" t="s">
        <v>57</v>
      </c>
      <c r="CJ55" t="s">
        <v>57</v>
      </c>
      <c r="CK55" t="s">
        <v>175</v>
      </c>
      <c r="CL55" t="s">
        <v>175</v>
      </c>
      <c r="CM55" t="s">
        <v>175</v>
      </c>
      <c r="CN55" t="s">
        <v>57</v>
      </c>
      <c r="CO55" t="s">
        <v>57</v>
      </c>
      <c r="CP55" t="s">
        <v>57</v>
      </c>
      <c r="CQ55" t="s">
        <v>57</v>
      </c>
      <c r="CR55" t="s">
        <v>57</v>
      </c>
      <c r="CS55" t="s">
        <v>58</v>
      </c>
      <c r="CT55" t="s">
        <v>58</v>
      </c>
      <c r="CU55" t="s">
        <v>57</v>
      </c>
      <c r="CV55" t="s">
        <v>57</v>
      </c>
      <c r="CW55" t="s">
        <v>57</v>
      </c>
      <c r="CX55" t="s">
        <v>57</v>
      </c>
      <c r="CY55" t="s">
        <v>57</v>
      </c>
      <c r="CZ55" t="s">
        <v>57</v>
      </c>
      <c r="DA55" t="s">
        <v>57</v>
      </c>
      <c r="DB55" t="s">
        <v>57</v>
      </c>
      <c r="DC55" t="s">
        <v>57</v>
      </c>
      <c r="DD55" t="s">
        <v>57</v>
      </c>
      <c r="DE55" t="s">
        <v>57</v>
      </c>
      <c r="DF55" t="s">
        <v>57</v>
      </c>
      <c r="DG55" t="s">
        <v>57</v>
      </c>
      <c r="DH55" t="s">
        <v>57</v>
      </c>
      <c r="DI55" t="s">
        <v>57</v>
      </c>
      <c r="DJ55" t="s">
        <v>57</v>
      </c>
      <c r="DK55" t="s">
        <v>57</v>
      </c>
      <c r="DL55" t="s">
        <v>57</v>
      </c>
      <c r="DM55" t="s">
        <v>57</v>
      </c>
      <c r="DN55" t="s">
        <v>57</v>
      </c>
      <c r="DO55" t="s">
        <v>57</v>
      </c>
      <c r="DP55" t="s">
        <v>57</v>
      </c>
      <c r="DQ55" t="s">
        <v>57</v>
      </c>
      <c r="DR55" t="s">
        <v>57</v>
      </c>
      <c r="DS55" t="s">
        <v>57</v>
      </c>
      <c r="DT55" t="s">
        <v>57</v>
      </c>
      <c r="DU55" t="s">
        <v>57</v>
      </c>
      <c r="DV55" t="s">
        <v>57</v>
      </c>
      <c r="DW55" t="s">
        <v>57</v>
      </c>
      <c r="DX55" t="s">
        <v>57</v>
      </c>
      <c r="DY55" t="s">
        <v>175</v>
      </c>
      <c r="DZ55" t="s">
        <v>57</v>
      </c>
      <c r="EA55" t="s">
        <v>57</v>
      </c>
      <c r="EB55" t="s">
        <v>57</v>
      </c>
      <c r="EC55" t="s">
        <v>57</v>
      </c>
      <c r="ED55" t="s">
        <v>57</v>
      </c>
      <c r="EE55" t="s">
        <v>57</v>
      </c>
      <c r="EF55" t="s">
        <v>57</v>
      </c>
      <c r="EG55" t="s">
        <v>57</v>
      </c>
      <c r="EH55" t="s">
        <v>57</v>
      </c>
      <c r="EI55" t="s">
        <v>57</v>
      </c>
      <c r="EJ55" t="s">
        <v>57</v>
      </c>
      <c r="EK55" t="s">
        <v>57</v>
      </c>
      <c r="EL55" t="s">
        <v>57</v>
      </c>
      <c r="EM55" t="s">
        <v>57</v>
      </c>
      <c r="EN55" t="s">
        <v>57</v>
      </c>
      <c r="EO55" t="s">
        <v>57</v>
      </c>
      <c r="EP55" t="s">
        <v>57</v>
      </c>
      <c r="EQ55" t="s">
        <v>57</v>
      </c>
      <c r="ER55" t="s">
        <v>57</v>
      </c>
      <c r="ES55" t="s">
        <v>57</v>
      </c>
      <c r="ET55" t="s">
        <v>57</v>
      </c>
      <c r="EU55" t="s">
        <v>57</v>
      </c>
      <c r="EV55" t="s">
        <v>57</v>
      </c>
      <c r="EW55" t="s">
        <v>57</v>
      </c>
      <c r="EX55" t="s">
        <v>57</v>
      </c>
      <c r="EY55" t="s">
        <v>57</v>
      </c>
      <c r="EZ55" t="s">
        <v>57</v>
      </c>
      <c r="FA55" t="s">
        <v>57</v>
      </c>
      <c r="FB55" t="s">
        <v>57</v>
      </c>
      <c r="FC55" t="s">
        <v>57</v>
      </c>
      <c r="FD55" t="s">
        <v>57</v>
      </c>
      <c r="FE55" t="s">
        <v>57</v>
      </c>
      <c r="FF55" t="s">
        <v>57</v>
      </c>
      <c r="FG55" t="s">
        <v>57</v>
      </c>
      <c r="FH55" t="s">
        <v>57</v>
      </c>
      <c r="FI55" t="s">
        <v>57</v>
      </c>
      <c r="FJ55" t="s">
        <v>57</v>
      </c>
      <c r="FK55" t="s">
        <v>57</v>
      </c>
      <c r="FL55" t="s">
        <v>57</v>
      </c>
      <c r="FM55" t="s">
        <v>57</v>
      </c>
      <c r="FN55" t="s">
        <v>57</v>
      </c>
      <c r="FO55" t="s">
        <v>57</v>
      </c>
      <c r="FP55" t="s">
        <v>175</v>
      </c>
      <c r="FQ55" t="s">
        <v>58</v>
      </c>
      <c r="FR55" t="s">
        <v>57</v>
      </c>
      <c r="FS55" t="s">
        <v>57</v>
      </c>
      <c r="FT55" t="s">
        <v>57</v>
      </c>
      <c r="FU55" t="s">
        <v>57</v>
      </c>
      <c r="FV55" t="s">
        <v>57</v>
      </c>
      <c r="FW55" t="s">
        <v>57</v>
      </c>
      <c r="FX55" t="s">
        <v>57</v>
      </c>
      <c r="FY55" t="s">
        <v>57</v>
      </c>
      <c r="FZ55" t="s">
        <v>57</v>
      </c>
      <c r="GA55" t="s">
        <v>57</v>
      </c>
      <c r="GB55" t="s">
        <v>57</v>
      </c>
      <c r="GC55" t="s">
        <v>57</v>
      </c>
      <c r="GD55" t="s">
        <v>57</v>
      </c>
      <c r="GE55" t="s">
        <v>57</v>
      </c>
      <c r="GF55" t="s">
        <v>57</v>
      </c>
      <c r="GG55" t="s">
        <v>57</v>
      </c>
      <c r="GH55" t="s">
        <v>58</v>
      </c>
      <c r="GI55" t="s">
        <v>57</v>
      </c>
      <c r="GJ55" t="s">
        <v>57</v>
      </c>
      <c r="GK55" t="s">
        <v>57</v>
      </c>
      <c r="GL55" t="s">
        <v>57</v>
      </c>
      <c r="GM55" t="s">
        <v>57</v>
      </c>
      <c r="GN55" t="s">
        <v>57</v>
      </c>
      <c r="GO55" t="s">
        <v>57</v>
      </c>
      <c r="GP55" t="s">
        <v>58</v>
      </c>
      <c r="GQ55" t="s">
        <v>58</v>
      </c>
      <c r="GR55" t="s">
        <v>57</v>
      </c>
      <c r="GS55" t="s">
        <v>57</v>
      </c>
      <c r="GT55" t="s">
        <v>57</v>
      </c>
      <c r="GU55" t="s">
        <v>57</v>
      </c>
      <c r="GV55" t="s">
        <v>57</v>
      </c>
      <c r="GW55" t="s">
        <v>57</v>
      </c>
      <c r="GX55" t="s">
        <v>57</v>
      </c>
      <c r="GY55" t="s">
        <v>57</v>
      </c>
      <c r="GZ55" t="s">
        <v>57</v>
      </c>
      <c r="HA55" t="s">
        <v>57</v>
      </c>
      <c r="HB55" t="s">
        <v>57</v>
      </c>
      <c r="HC55" t="s">
        <v>57</v>
      </c>
      <c r="HD55" t="s">
        <v>57</v>
      </c>
      <c r="HE55" t="s">
        <v>57</v>
      </c>
      <c r="HF55" t="s">
        <v>57</v>
      </c>
      <c r="HG55" t="s">
        <v>57</v>
      </c>
      <c r="HH55" t="s">
        <v>175</v>
      </c>
      <c r="HI55" t="s">
        <v>175</v>
      </c>
      <c r="HJ55" t="s">
        <v>175</v>
      </c>
      <c r="HK55" t="s">
        <v>175</v>
      </c>
      <c r="HL55" t="s">
        <v>57</v>
      </c>
      <c r="HM55" t="s">
        <v>57</v>
      </c>
      <c r="HN55" t="s">
        <v>57</v>
      </c>
      <c r="HO55" t="s">
        <v>57</v>
      </c>
      <c r="HP55" t="s">
        <v>57</v>
      </c>
      <c r="HQ55" t="s">
        <v>57</v>
      </c>
      <c r="HR55" t="s">
        <v>57</v>
      </c>
      <c r="HS55" t="s">
        <v>57</v>
      </c>
      <c r="HT55" t="s">
        <v>57</v>
      </c>
      <c r="HU55" t="s">
        <v>57</v>
      </c>
      <c r="HV55" t="s">
        <v>57</v>
      </c>
      <c r="HW55" t="s">
        <v>57</v>
      </c>
      <c r="HX55" t="s">
        <v>57</v>
      </c>
      <c r="HY55" t="s">
        <v>57</v>
      </c>
      <c r="HZ55" t="s">
        <v>57</v>
      </c>
      <c r="IA55" t="s">
        <v>57</v>
      </c>
      <c r="IB55" t="s">
        <v>58</v>
      </c>
      <c r="IC55" t="s">
        <v>58</v>
      </c>
      <c r="ID55" t="s">
        <v>58</v>
      </c>
      <c r="IE55" t="s">
        <v>58</v>
      </c>
      <c r="IF55" t="s">
        <v>124</v>
      </c>
      <c r="IG55" t="s">
        <v>148</v>
      </c>
      <c r="IH55" t="s">
        <v>123</v>
      </c>
      <c r="II55" t="s">
        <v>156</v>
      </c>
    </row>
    <row r="56" spans="1:243" x14ac:dyDescent="0.25">
      <c r="A56" s="111" t="str">
        <f>HYPERLINK("http://www.ofsted.gov.uk/inspection-reports/find-inspection-report/provider/ELS/113940 ","Ofsted School Webpage")</f>
        <v>Ofsted School Webpage</v>
      </c>
      <c r="B56">
        <v>113940</v>
      </c>
      <c r="C56">
        <v>8376003</v>
      </c>
      <c r="D56" t="s">
        <v>246</v>
      </c>
      <c r="E56" t="s">
        <v>36</v>
      </c>
      <c r="F56" t="s">
        <v>166</v>
      </c>
      <c r="G56" t="s">
        <v>182</v>
      </c>
      <c r="H56" t="s">
        <v>182</v>
      </c>
      <c r="I56" t="s">
        <v>247</v>
      </c>
      <c r="J56" t="s">
        <v>248</v>
      </c>
      <c r="K56" t="s">
        <v>249</v>
      </c>
      <c r="L56" t="s">
        <v>249</v>
      </c>
      <c r="M56" t="s">
        <v>2596</v>
      </c>
      <c r="N56" t="s">
        <v>143</v>
      </c>
      <c r="O56">
        <v>10033883</v>
      </c>
      <c r="P56" s="108">
        <v>43004</v>
      </c>
      <c r="Q56" s="108">
        <v>43006</v>
      </c>
      <c r="R56" s="108">
        <v>43038</v>
      </c>
      <c r="S56" t="s">
        <v>153</v>
      </c>
      <c r="T56" t="s">
        <v>154</v>
      </c>
      <c r="U56">
        <v>2</v>
      </c>
      <c r="V56">
        <v>2</v>
      </c>
      <c r="W56">
        <v>2</v>
      </c>
      <c r="X56">
        <v>2</v>
      </c>
      <c r="Y56">
        <v>2</v>
      </c>
      <c r="Z56">
        <v>3</v>
      </c>
      <c r="AA56" t="s">
        <v>2596</v>
      </c>
      <c r="AB56" t="s">
        <v>123</v>
      </c>
      <c r="AC56" t="s">
        <v>2596</v>
      </c>
      <c r="AD56" t="s">
        <v>2598</v>
      </c>
      <c r="AE56" t="s">
        <v>57</v>
      </c>
      <c r="AF56" t="s">
        <v>57</v>
      </c>
      <c r="AG56" t="s">
        <v>57</v>
      </c>
      <c r="AH56" t="s">
        <v>57</v>
      </c>
      <c r="AI56" t="s">
        <v>57</v>
      </c>
      <c r="AJ56" t="s">
        <v>57</v>
      </c>
      <c r="AK56" t="s">
        <v>57</v>
      </c>
      <c r="AL56" t="s">
        <v>57</v>
      </c>
      <c r="AM56" t="s">
        <v>57</v>
      </c>
      <c r="AN56" t="s">
        <v>57</v>
      </c>
      <c r="AO56" t="s">
        <v>57</v>
      </c>
      <c r="AP56" t="s">
        <v>57</v>
      </c>
      <c r="AQ56" t="s">
        <v>57</v>
      </c>
      <c r="AR56" t="s">
        <v>57</v>
      </c>
      <c r="AS56" t="s">
        <v>57</v>
      </c>
      <c r="AT56" t="s">
        <v>57</v>
      </c>
      <c r="AU56" t="s">
        <v>175</v>
      </c>
      <c r="AV56" t="s">
        <v>57</v>
      </c>
      <c r="AW56" t="s">
        <v>57</v>
      </c>
      <c r="AX56" t="s">
        <v>57</v>
      </c>
      <c r="AY56" t="s">
        <v>175</v>
      </c>
      <c r="AZ56" t="s">
        <v>175</v>
      </c>
      <c r="BA56" t="s">
        <v>175</v>
      </c>
      <c r="BB56" t="s">
        <v>175</v>
      </c>
      <c r="BC56" t="s">
        <v>175</v>
      </c>
      <c r="BD56" t="s">
        <v>175</v>
      </c>
      <c r="BE56" t="s">
        <v>57</v>
      </c>
      <c r="BF56" t="s">
        <v>57</v>
      </c>
      <c r="BG56" t="s">
        <v>57</v>
      </c>
      <c r="BH56" t="s">
        <v>57</v>
      </c>
      <c r="BI56" t="s">
        <v>57</v>
      </c>
      <c r="BJ56" t="s">
        <v>57</v>
      </c>
      <c r="BK56" t="s">
        <v>57</v>
      </c>
      <c r="BL56" t="s">
        <v>57</v>
      </c>
      <c r="BM56" t="s">
        <v>57</v>
      </c>
      <c r="BN56" t="s">
        <v>57</v>
      </c>
      <c r="BO56" t="s">
        <v>57</v>
      </c>
      <c r="BP56" t="s">
        <v>57</v>
      </c>
      <c r="BQ56" t="s">
        <v>57</v>
      </c>
      <c r="BR56" t="s">
        <v>57</v>
      </c>
      <c r="BS56" t="s">
        <v>57</v>
      </c>
      <c r="BT56" t="s">
        <v>57</v>
      </c>
      <c r="BU56" t="s">
        <v>57</v>
      </c>
      <c r="BV56" t="s">
        <v>57</v>
      </c>
      <c r="BW56" t="s">
        <v>57</v>
      </c>
      <c r="BX56" t="s">
        <v>57</v>
      </c>
      <c r="BY56" t="s">
        <v>57</v>
      </c>
      <c r="BZ56" t="s">
        <v>57</v>
      </c>
      <c r="CA56" t="s">
        <v>57</v>
      </c>
      <c r="CB56" t="s">
        <v>57</v>
      </c>
      <c r="CC56" t="s">
        <v>57</v>
      </c>
      <c r="CD56" t="s">
        <v>57</v>
      </c>
      <c r="CE56" t="s">
        <v>57</v>
      </c>
      <c r="CF56" t="s">
        <v>57</v>
      </c>
      <c r="CG56" t="s">
        <v>57</v>
      </c>
      <c r="CH56" t="s">
        <v>57</v>
      </c>
      <c r="CI56" t="s">
        <v>57</v>
      </c>
      <c r="CJ56" t="s">
        <v>57</v>
      </c>
      <c r="CK56" t="s">
        <v>175</v>
      </c>
      <c r="CL56" t="s">
        <v>175</v>
      </c>
      <c r="CM56" t="s">
        <v>175</v>
      </c>
      <c r="CN56" t="s">
        <v>57</v>
      </c>
      <c r="CO56" t="s">
        <v>57</v>
      </c>
      <c r="CP56" t="s">
        <v>57</v>
      </c>
      <c r="CQ56" t="s">
        <v>57</v>
      </c>
      <c r="CR56" t="s">
        <v>57</v>
      </c>
      <c r="CS56" t="s">
        <v>57</v>
      </c>
      <c r="CT56" t="s">
        <v>57</v>
      </c>
      <c r="CU56" t="s">
        <v>57</v>
      </c>
      <c r="CV56" t="s">
        <v>57</v>
      </c>
      <c r="CW56" t="s">
        <v>57</v>
      </c>
      <c r="CX56" t="s">
        <v>57</v>
      </c>
      <c r="CY56" t="s">
        <v>57</v>
      </c>
      <c r="CZ56" t="s">
        <v>57</v>
      </c>
      <c r="DA56" t="s">
        <v>57</v>
      </c>
      <c r="DB56" t="s">
        <v>57</v>
      </c>
      <c r="DC56" t="s">
        <v>57</v>
      </c>
      <c r="DD56" t="s">
        <v>57</v>
      </c>
      <c r="DE56" t="s">
        <v>57</v>
      </c>
      <c r="DF56" t="s">
        <v>57</v>
      </c>
      <c r="DG56" t="s">
        <v>57</v>
      </c>
      <c r="DH56" t="s">
        <v>57</v>
      </c>
      <c r="DI56" t="s">
        <v>57</v>
      </c>
      <c r="DJ56" t="s">
        <v>57</v>
      </c>
      <c r="DK56" t="s">
        <v>57</v>
      </c>
      <c r="DL56" t="s">
        <v>57</v>
      </c>
      <c r="DM56" t="s">
        <v>175</v>
      </c>
      <c r="DN56" t="s">
        <v>175</v>
      </c>
      <c r="DO56" t="s">
        <v>175</v>
      </c>
      <c r="DP56" t="s">
        <v>175</v>
      </c>
      <c r="DQ56" t="s">
        <v>175</v>
      </c>
      <c r="DR56" t="s">
        <v>175</v>
      </c>
      <c r="DS56" t="s">
        <v>175</v>
      </c>
      <c r="DT56" t="s">
        <v>175</v>
      </c>
      <c r="DU56" t="s">
        <v>175</v>
      </c>
      <c r="DV56" t="s">
        <v>175</v>
      </c>
      <c r="DW56" t="s">
        <v>175</v>
      </c>
      <c r="DX56" t="s">
        <v>175</v>
      </c>
      <c r="DY56" t="s">
        <v>175</v>
      </c>
      <c r="DZ56" t="s">
        <v>175</v>
      </c>
      <c r="EA56" t="s">
        <v>175</v>
      </c>
      <c r="EB56" t="s">
        <v>175</v>
      </c>
      <c r="EC56" t="s">
        <v>175</v>
      </c>
      <c r="ED56" t="s">
        <v>175</v>
      </c>
      <c r="EE56" t="s">
        <v>175</v>
      </c>
      <c r="EF56" t="s">
        <v>175</v>
      </c>
      <c r="EG56" t="s">
        <v>175</v>
      </c>
      <c r="EH56" t="s">
        <v>175</v>
      </c>
      <c r="EI56" t="s">
        <v>175</v>
      </c>
      <c r="EJ56" t="s">
        <v>57</v>
      </c>
      <c r="EK56" t="s">
        <v>57</v>
      </c>
      <c r="EL56" t="s">
        <v>57</v>
      </c>
      <c r="EM56" t="s">
        <v>57</v>
      </c>
      <c r="EN56" t="s">
        <v>57</v>
      </c>
      <c r="EO56" t="s">
        <v>57</v>
      </c>
      <c r="EP56" t="s">
        <v>57</v>
      </c>
      <c r="EQ56" t="s">
        <v>57</v>
      </c>
      <c r="ER56" t="s">
        <v>57</v>
      </c>
      <c r="ES56" t="s">
        <v>57</v>
      </c>
      <c r="ET56" t="s">
        <v>57</v>
      </c>
      <c r="EU56" t="s">
        <v>57</v>
      </c>
      <c r="EV56" t="s">
        <v>57</v>
      </c>
      <c r="EW56" t="s">
        <v>57</v>
      </c>
      <c r="EX56" t="s">
        <v>175</v>
      </c>
      <c r="EY56" t="s">
        <v>175</v>
      </c>
      <c r="EZ56" t="s">
        <v>175</v>
      </c>
      <c r="FA56" t="s">
        <v>175</v>
      </c>
      <c r="FB56" t="s">
        <v>175</v>
      </c>
      <c r="FC56" t="s">
        <v>175</v>
      </c>
      <c r="FD56" t="s">
        <v>175</v>
      </c>
      <c r="FE56" t="s">
        <v>175</v>
      </c>
      <c r="FF56" t="s">
        <v>148</v>
      </c>
      <c r="FG56" t="s">
        <v>175</v>
      </c>
      <c r="FH56" t="s">
        <v>57</v>
      </c>
      <c r="FI56" t="s">
        <v>57</v>
      </c>
      <c r="FJ56" t="s">
        <v>57</v>
      </c>
      <c r="FK56" t="s">
        <v>175</v>
      </c>
      <c r="FL56" t="s">
        <v>57</v>
      </c>
      <c r="FM56" t="s">
        <v>57</v>
      </c>
      <c r="FN56" t="s">
        <v>57</v>
      </c>
      <c r="FO56" t="s">
        <v>175</v>
      </c>
      <c r="FP56" t="s">
        <v>57</v>
      </c>
      <c r="FQ56" t="s">
        <v>57</v>
      </c>
      <c r="FR56" t="s">
        <v>57</v>
      </c>
      <c r="FS56" t="s">
        <v>57</v>
      </c>
      <c r="FT56" t="s">
        <v>57</v>
      </c>
      <c r="FU56" t="s">
        <v>57</v>
      </c>
      <c r="FV56" t="s">
        <v>57</v>
      </c>
      <c r="FW56" t="s">
        <v>57</v>
      </c>
      <c r="FX56" t="s">
        <v>57</v>
      </c>
      <c r="FY56" t="s">
        <v>57</v>
      </c>
      <c r="FZ56" t="s">
        <v>57</v>
      </c>
      <c r="GA56" t="s">
        <v>57</v>
      </c>
      <c r="GB56" t="s">
        <v>57</v>
      </c>
      <c r="GC56" t="s">
        <v>57</v>
      </c>
      <c r="GD56" t="s">
        <v>57</v>
      </c>
      <c r="GE56" t="s">
        <v>57</v>
      </c>
      <c r="GF56" t="s">
        <v>57</v>
      </c>
      <c r="GG56" t="s">
        <v>175</v>
      </c>
      <c r="GH56" t="s">
        <v>57</v>
      </c>
      <c r="GI56" t="s">
        <v>57</v>
      </c>
      <c r="GJ56" t="s">
        <v>57</v>
      </c>
      <c r="GK56" t="s">
        <v>57</v>
      </c>
      <c r="GL56" t="s">
        <v>57</v>
      </c>
      <c r="GM56" t="s">
        <v>175</v>
      </c>
      <c r="GN56" t="s">
        <v>57</v>
      </c>
      <c r="GO56" t="s">
        <v>57</v>
      </c>
      <c r="GP56" t="s">
        <v>175</v>
      </c>
      <c r="GQ56" t="s">
        <v>175</v>
      </c>
      <c r="GR56" t="s">
        <v>57</v>
      </c>
      <c r="GS56" t="s">
        <v>57</v>
      </c>
      <c r="GT56" t="s">
        <v>57</v>
      </c>
      <c r="GU56" t="s">
        <v>57</v>
      </c>
      <c r="GV56" t="s">
        <v>57</v>
      </c>
      <c r="GW56" t="s">
        <v>175</v>
      </c>
      <c r="GX56" t="s">
        <v>175</v>
      </c>
      <c r="GY56" t="s">
        <v>57</v>
      </c>
      <c r="GZ56" t="s">
        <v>57</v>
      </c>
      <c r="HA56" t="s">
        <v>57</v>
      </c>
      <c r="HB56" t="s">
        <v>57</v>
      </c>
      <c r="HC56" t="s">
        <v>57</v>
      </c>
      <c r="HD56" t="s">
        <v>57</v>
      </c>
      <c r="HE56" t="s">
        <v>57</v>
      </c>
      <c r="HF56" t="s">
        <v>57</v>
      </c>
      <c r="HG56" t="s">
        <v>57</v>
      </c>
      <c r="HH56" t="s">
        <v>175</v>
      </c>
      <c r="HI56" t="s">
        <v>175</v>
      </c>
      <c r="HJ56" t="s">
        <v>175</v>
      </c>
      <c r="HK56" t="s">
        <v>175</v>
      </c>
      <c r="HL56" t="s">
        <v>57</v>
      </c>
      <c r="HM56" t="s">
        <v>57</v>
      </c>
      <c r="HN56" t="s">
        <v>57</v>
      </c>
      <c r="HO56" t="s">
        <v>57</v>
      </c>
      <c r="HP56" t="s">
        <v>57</v>
      </c>
      <c r="HQ56" t="s">
        <v>57</v>
      </c>
      <c r="HR56" t="s">
        <v>57</v>
      </c>
      <c r="HS56" t="s">
        <v>57</v>
      </c>
      <c r="HT56" t="s">
        <v>57</v>
      </c>
      <c r="HU56" t="s">
        <v>57</v>
      </c>
      <c r="HV56" t="s">
        <v>57</v>
      </c>
      <c r="HW56" t="s">
        <v>57</v>
      </c>
      <c r="HX56" t="s">
        <v>57</v>
      </c>
      <c r="HY56" t="s">
        <v>57</v>
      </c>
      <c r="HZ56" t="s">
        <v>57</v>
      </c>
      <c r="IA56" t="s">
        <v>57</v>
      </c>
      <c r="IB56" t="s">
        <v>57</v>
      </c>
      <c r="IC56" t="s">
        <v>57</v>
      </c>
      <c r="ID56" t="s">
        <v>57</v>
      </c>
      <c r="IE56" t="s">
        <v>57</v>
      </c>
      <c r="IF56" t="s">
        <v>124</v>
      </c>
      <c r="IG56" t="s">
        <v>148</v>
      </c>
      <c r="IH56" t="s">
        <v>123</v>
      </c>
      <c r="II56" t="s">
        <v>156</v>
      </c>
    </row>
    <row r="57" spans="1:243" x14ac:dyDescent="0.25">
      <c r="A57" s="111" t="str">
        <f>HYPERLINK("http://www.ofsted.gov.uk/inspection-reports/find-inspection-report/provider/ELS/113944 ","Ofsted School Webpage")</f>
        <v>Ofsted School Webpage</v>
      </c>
      <c r="B57">
        <v>113944</v>
      </c>
      <c r="C57">
        <v>8376004</v>
      </c>
      <c r="D57" t="s">
        <v>367</v>
      </c>
      <c r="E57" t="s">
        <v>36</v>
      </c>
      <c r="F57" t="s">
        <v>166</v>
      </c>
      <c r="G57" t="s">
        <v>182</v>
      </c>
      <c r="H57" t="s">
        <v>182</v>
      </c>
      <c r="I57" t="s">
        <v>247</v>
      </c>
      <c r="J57" t="s">
        <v>368</v>
      </c>
      <c r="K57" t="s">
        <v>369</v>
      </c>
      <c r="L57" t="s">
        <v>369</v>
      </c>
      <c r="M57" t="s">
        <v>2596</v>
      </c>
      <c r="N57" t="s">
        <v>143</v>
      </c>
      <c r="O57">
        <v>10033884</v>
      </c>
      <c r="P57" s="108">
        <v>42997</v>
      </c>
      <c r="Q57" s="108">
        <v>42999</v>
      </c>
      <c r="R57" s="108">
        <v>43021</v>
      </c>
      <c r="S57" t="s">
        <v>153</v>
      </c>
      <c r="T57" t="s">
        <v>154</v>
      </c>
      <c r="U57">
        <v>2</v>
      </c>
      <c r="V57">
        <v>2</v>
      </c>
      <c r="W57">
        <v>2</v>
      </c>
      <c r="X57">
        <v>2</v>
      </c>
      <c r="Y57">
        <v>2</v>
      </c>
      <c r="Z57">
        <v>2</v>
      </c>
      <c r="AA57" t="s">
        <v>2596</v>
      </c>
      <c r="AB57" t="s">
        <v>123</v>
      </c>
      <c r="AC57" t="s">
        <v>2596</v>
      </c>
      <c r="AD57" t="s">
        <v>2598</v>
      </c>
      <c r="AE57" t="s">
        <v>57</v>
      </c>
      <c r="AF57" t="s">
        <v>57</v>
      </c>
      <c r="AG57" t="s">
        <v>57</v>
      </c>
      <c r="AH57" t="s">
        <v>57</v>
      </c>
      <c r="AI57" t="s">
        <v>57</v>
      </c>
      <c r="AJ57" t="s">
        <v>57</v>
      </c>
      <c r="AK57" t="s">
        <v>57</v>
      </c>
      <c r="AL57" t="s">
        <v>57</v>
      </c>
      <c r="AM57" t="s">
        <v>57</v>
      </c>
      <c r="AN57" t="s">
        <v>57</v>
      </c>
      <c r="AO57" t="s">
        <v>57</v>
      </c>
      <c r="AP57" t="s">
        <v>57</v>
      </c>
      <c r="AQ57" t="s">
        <v>57</v>
      </c>
      <c r="AR57" t="s">
        <v>57</v>
      </c>
      <c r="AS57" t="s">
        <v>57</v>
      </c>
      <c r="AT57" t="s">
        <v>57</v>
      </c>
      <c r="AU57" t="s">
        <v>57</v>
      </c>
      <c r="AV57" t="s">
        <v>57</v>
      </c>
      <c r="AW57" t="s">
        <v>57</v>
      </c>
      <c r="AX57" t="s">
        <v>57</v>
      </c>
      <c r="AY57" t="s">
        <v>148</v>
      </c>
      <c r="AZ57" t="s">
        <v>148</v>
      </c>
      <c r="BA57" t="s">
        <v>148</v>
      </c>
      <c r="BB57" t="s">
        <v>148</v>
      </c>
      <c r="BC57" t="s">
        <v>57</v>
      </c>
      <c r="BD57" t="s">
        <v>148</v>
      </c>
      <c r="BE57" t="s">
        <v>57</v>
      </c>
      <c r="BF57" t="s">
        <v>57</v>
      </c>
      <c r="BG57" t="s">
        <v>57</v>
      </c>
      <c r="BH57" t="s">
        <v>57</v>
      </c>
      <c r="BI57" t="s">
        <v>57</v>
      </c>
      <c r="BJ57" t="s">
        <v>57</v>
      </c>
      <c r="BK57" t="s">
        <v>57</v>
      </c>
      <c r="BL57" t="s">
        <v>57</v>
      </c>
      <c r="BM57" t="s">
        <v>57</v>
      </c>
      <c r="BN57" t="s">
        <v>57</v>
      </c>
      <c r="BO57" t="s">
        <v>57</v>
      </c>
      <c r="BP57" t="s">
        <v>57</v>
      </c>
      <c r="BQ57" t="s">
        <v>57</v>
      </c>
      <c r="BR57" t="s">
        <v>57</v>
      </c>
      <c r="BS57" t="s">
        <v>57</v>
      </c>
      <c r="BT57" t="s">
        <v>57</v>
      </c>
      <c r="BU57" t="s">
        <v>57</v>
      </c>
      <c r="BV57" t="s">
        <v>57</v>
      </c>
      <c r="BW57" t="s">
        <v>57</v>
      </c>
      <c r="BX57" t="s">
        <v>57</v>
      </c>
      <c r="BY57" t="s">
        <v>57</v>
      </c>
      <c r="BZ57" t="s">
        <v>57</v>
      </c>
      <c r="CA57" t="s">
        <v>57</v>
      </c>
      <c r="CB57" t="s">
        <v>57</v>
      </c>
      <c r="CC57" t="s">
        <v>57</v>
      </c>
      <c r="CD57" t="s">
        <v>57</v>
      </c>
      <c r="CE57" t="s">
        <v>57</v>
      </c>
      <c r="CF57" t="s">
        <v>57</v>
      </c>
      <c r="CG57" t="s">
        <v>57</v>
      </c>
      <c r="CH57" t="s">
        <v>57</v>
      </c>
      <c r="CI57" t="s">
        <v>57</v>
      </c>
      <c r="CJ57" t="s">
        <v>57</v>
      </c>
      <c r="CK57" t="s">
        <v>148</v>
      </c>
      <c r="CL57" t="s">
        <v>148</v>
      </c>
      <c r="CM57" t="s">
        <v>148</v>
      </c>
      <c r="CN57" t="s">
        <v>57</v>
      </c>
      <c r="CO57" t="s">
        <v>57</v>
      </c>
      <c r="CP57" t="s">
        <v>57</v>
      </c>
      <c r="CQ57" t="s">
        <v>57</v>
      </c>
      <c r="CR57" t="s">
        <v>57</v>
      </c>
      <c r="CS57" t="s">
        <v>57</v>
      </c>
      <c r="CT57" t="s">
        <v>57</v>
      </c>
      <c r="CU57" t="s">
        <v>57</v>
      </c>
      <c r="CV57" t="s">
        <v>57</v>
      </c>
      <c r="CW57" t="s">
        <v>57</v>
      </c>
      <c r="CX57" t="s">
        <v>57</v>
      </c>
      <c r="CY57" t="s">
        <v>57</v>
      </c>
      <c r="CZ57" t="s">
        <v>57</v>
      </c>
      <c r="DA57" t="s">
        <v>57</v>
      </c>
      <c r="DB57" t="s">
        <v>57</v>
      </c>
      <c r="DC57" t="s">
        <v>57</v>
      </c>
      <c r="DD57" t="s">
        <v>57</v>
      </c>
      <c r="DE57" t="s">
        <v>57</v>
      </c>
      <c r="DF57" t="s">
        <v>57</v>
      </c>
      <c r="DG57" t="s">
        <v>57</v>
      </c>
      <c r="DH57" t="s">
        <v>57</v>
      </c>
      <c r="DI57" t="s">
        <v>57</v>
      </c>
      <c r="DJ57" t="s">
        <v>57</v>
      </c>
      <c r="DK57" t="s">
        <v>148</v>
      </c>
      <c r="DL57" t="s">
        <v>57</v>
      </c>
      <c r="DM57" t="s">
        <v>57</v>
      </c>
      <c r="DN57" t="s">
        <v>57</v>
      </c>
      <c r="DO57" t="s">
        <v>57</v>
      </c>
      <c r="DP57" t="s">
        <v>160</v>
      </c>
      <c r="DQ57" t="s">
        <v>57</v>
      </c>
      <c r="DR57" t="s">
        <v>57</v>
      </c>
      <c r="DS57" t="s">
        <v>57</v>
      </c>
      <c r="DT57" t="s">
        <v>57</v>
      </c>
      <c r="DU57" t="s">
        <v>57</v>
      </c>
      <c r="DV57" t="s">
        <v>57</v>
      </c>
      <c r="DW57" t="s">
        <v>57</v>
      </c>
      <c r="DX57" t="s">
        <v>57</v>
      </c>
      <c r="DY57" t="s">
        <v>148</v>
      </c>
      <c r="DZ57" t="s">
        <v>57</v>
      </c>
      <c r="EA57" t="s">
        <v>57</v>
      </c>
      <c r="EB57" t="s">
        <v>57</v>
      </c>
      <c r="EC57" t="s">
        <v>57</v>
      </c>
      <c r="ED57" t="s">
        <v>57</v>
      </c>
      <c r="EE57" t="s">
        <v>57</v>
      </c>
      <c r="EF57" t="s">
        <v>57</v>
      </c>
      <c r="EG57" t="s">
        <v>57</v>
      </c>
      <c r="EH57" t="s">
        <v>160</v>
      </c>
      <c r="EI57" t="s">
        <v>160</v>
      </c>
      <c r="EJ57" t="s">
        <v>160</v>
      </c>
      <c r="EK57" t="s">
        <v>160</v>
      </c>
      <c r="EL57" t="s">
        <v>160</v>
      </c>
      <c r="EM57" t="s">
        <v>160</v>
      </c>
      <c r="EN57" t="s">
        <v>160</v>
      </c>
      <c r="EO57" t="s">
        <v>160</v>
      </c>
      <c r="EP57" t="s">
        <v>160</v>
      </c>
      <c r="EQ57" t="s">
        <v>160</v>
      </c>
      <c r="ER57" t="s">
        <v>160</v>
      </c>
      <c r="ES57" t="s">
        <v>160</v>
      </c>
      <c r="ET57" t="s">
        <v>160</v>
      </c>
      <c r="EU57" t="s">
        <v>160</v>
      </c>
      <c r="EV57" t="s">
        <v>160</v>
      </c>
      <c r="EW57" t="s">
        <v>160</v>
      </c>
      <c r="EX57" t="s">
        <v>160</v>
      </c>
      <c r="EY57" t="s">
        <v>160</v>
      </c>
      <c r="EZ57" t="s">
        <v>160</v>
      </c>
      <c r="FA57" t="s">
        <v>160</v>
      </c>
      <c r="FB57" t="s">
        <v>160</v>
      </c>
      <c r="FC57" t="s">
        <v>160</v>
      </c>
      <c r="FD57" t="s">
        <v>160</v>
      </c>
      <c r="FE57" t="s">
        <v>160</v>
      </c>
      <c r="FF57" t="s">
        <v>160</v>
      </c>
      <c r="FG57" t="s">
        <v>160</v>
      </c>
      <c r="FH57" t="s">
        <v>57</v>
      </c>
      <c r="FI57" t="s">
        <v>57</v>
      </c>
      <c r="FJ57" t="s">
        <v>57</v>
      </c>
      <c r="FK57" t="s">
        <v>148</v>
      </c>
      <c r="FL57" t="s">
        <v>57</v>
      </c>
      <c r="FM57" t="s">
        <v>57</v>
      </c>
      <c r="FN57" t="s">
        <v>57</v>
      </c>
      <c r="FO57" t="s">
        <v>57</v>
      </c>
      <c r="FP57" t="s">
        <v>57</v>
      </c>
      <c r="FQ57" t="s">
        <v>57</v>
      </c>
      <c r="FR57" t="s">
        <v>57</v>
      </c>
      <c r="FS57" t="s">
        <v>57</v>
      </c>
      <c r="FT57" t="s">
        <v>57</v>
      </c>
      <c r="FU57" t="s">
        <v>57</v>
      </c>
      <c r="FV57" t="s">
        <v>57</v>
      </c>
      <c r="FW57" t="s">
        <v>57</v>
      </c>
      <c r="FX57" t="s">
        <v>57</v>
      </c>
      <c r="FY57" t="s">
        <v>57</v>
      </c>
      <c r="FZ57" t="s">
        <v>57</v>
      </c>
      <c r="GA57" t="s">
        <v>57</v>
      </c>
      <c r="GB57" t="s">
        <v>57</v>
      </c>
      <c r="GC57" t="s">
        <v>57</v>
      </c>
      <c r="GD57" t="s">
        <v>57</v>
      </c>
      <c r="GE57" t="s">
        <v>57</v>
      </c>
      <c r="GF57" t="s">
        <v>57</v>
      </c>
      <c r="GG57" t="s">
        <v>148</v>
      </c>
      <c r="GH57" t="s">
        <v>57</v>
      </c>
      <c r="GI57" t="s">
        <v>57</v>
      </c>
      <c r="GJ57" t="s">
        <v>160</v>
      </c>
      <c r="GK57" t="s">
        <v>57</v>
      </c>
      <c r="GL57" t="s">
        <v>57</v>
      </c>
      <c r="GM57" t="s">
        <v>57</v>
      </c>
      <c r="GN57" t="s">
        <v>57</v>
      </c>
      <c r="GO57" t="s">
        <v>57</v>
      </c>
      <c r="GP57" t="s">
        <v>148</v>
      </c>
      <c r="GQ57" t="s">
        <v>148</v>
      </c>
      <c r="GR57" t="s">
        <v>57</v>
      </c>
      <c r="GS57" t="s">
        <v>57</v>
      </c>
      <c r="GT57" t="s">
        <v>57</v>
      </c>
      <c r="GU57" t="s">
        <v>57</v>
      </c>
      <c r="GV57" t="s">
        <v>57</v>
      </c>
      <c r="GW57" t="s">
        <v>57</v>
      </c>
      <c r="GX57" t="s">
        <v>57</v>
      </c>
      <c r="GY57" t="s">
        <v>57</v>
      </c>
      <c r="GZ57" t="s">
        <v>57</v>
      </c>
      <c r="HA57" t="s">
        <v>57</v>
      </c>
      <c r="HB57" t="s">
        <v>148</v>
      </c>
      <c r="HC57" t="s">
        <v>57</v>
      </c>
      <c r="HD57" t="s">
        <v>57</v>
      </c>
      <c r="HE57" t="s">
        <v>57</v>
      </c>
      <c r="HF57" t="s">
        <v>57</v>
      </c>
      <c r="HG57" t="s">
        <v>57</v>
      </c>
      <c r="HH57" t="s">
        <v>57</v>
      </c>
      <c r="HI57" t="s">
        <v>148</v>
      </c>
      <c r="HJ57" t="s">
        <v>148</v>
      </c>
      <c r="HK57" t="s">
        <v>148</v>
      </c>
      <c r="HL57" t="s">
        <v>57</v>
      </c>
      <c r="HM57" t="s">
        <v>57</v>
      </c>
      <c r="HN57" t="s">
        <v>57</v>
      </c>
      <c r="HO57" t="s">
        <v>57</v>
      </c>
      <c r="HP57" t="s">
        <v>57</v>
      </c>
      <c r="HQ57" t="s">
        <v>57</v>
      </c>
      <c r="HR57" t="s">
        <v>57</v>
      </c>
      <c r="HS57" t="s">
        <v>57</v>
      </c>
      <c r="HT57" t="s">
        <v>57</v>
      </c>
      <c r="HU57" t="s">
        <v>57</v>
      </c>
      <c r="HV57" t="s">
        <v>57</v>
      </c>
      <c r="HW57" t="s">
        <v>57</v>
      </c>
      <c r="HX57" t="s">
        <v>57</v>
      </c>
      <c r="HY57" t="s">
        <v>57</v>
      </c>
      <c r="HZ57" t="s">
        <v>57</v>
      </c>
      <c r="IA57" t="s">
        <v>57</v>
      </c>
      <c r="IB57" t="s">
        <v>57</v>
      </c>
      <c r="IC57" t="s">
        <v>57</v>
      </c>
      <c r="ID57" t="s">
        <v>57</v>
      </c>
      <c r="IE57" t="s">
        <v>57</v>
      </c>
      <c r="IF57" t="s">
        <v>123</v>
      </c>
      <c r="IG57" t="s">
        <v>124</v>
      </c>
      <c r="IH57" t="s">
        <v>123</v>
      </c>
      <c r="II57" t="s">
        <v>156</v>
      </c>
    </row>
    <row r="58" spans="1:243" x14ac:dyDescent="0.25">
      <c r="A58" s="111" t="str">
        <f>HYPERLINK("http://www.ofsted.gov.uk/inspection-reports/find-inspection-report/provider/ELS/113952 ","Ofsted School Webpage")</f>
        <v>Ofsted School Webpage</v>
      </c>
      <c r="B58">
        <v>113952</v>
      </c>
      <c r="C58">
        <v>8356004</v>
      </c>
      <c r="D58" t="s">
        <v>563</v>
      </c>
      <c r="E58" t="s">
        <v>37</v>
      </c>
      <c r="F58" t="s">
        <v>138</v>
      </c>
      <c r="G58" t="s">
        <v>182</v>
      </c>
      <c r="H58" t="s">
        <v>182</v>
      </c>
      <c r="I58" t="s">
        <v>564</v>
      </c>
      <c r="J58" t="s">
        <v>565</v>
      </c>
      <c r="K58" t="s">
        <v>142</v>
      </c>
      <c r="L58" t="s">
        <v>142</v>
      </c>
      <c r="M58" t="s">
        <v>2596</v>
      </c>
      <c r="N58" t="s">
        <v>143</v>
      </c>
      <c r="O58">
        <v>10035560</v>
      </c>
      <c r="P58" s="108">
        <v>43067</v>
      </c>
      <c r="Q58" s="108">
        <v>43069</v>
      </c>
      <c r="R58" s="108">
        <v>43117</v>
      </c>
      <c r="S58" t="s">
        <v>3005</v>
      </c>
      <c r="T58" t="s">
        <v>154</v>
      </c>
      <c r="U58">
        <v>2</v>
      </c>
      <c r="V58">
        <v>2</v>
      </c>
      <c r="W58">
        <v>2</v>
      </c>
      <c r="X58">
        <v>2</v>
      </c>
      <c r="Y58">
        <v>2</v>
      </c>
      <c r="Z58" t="s">
        <v>2596</v>
      </c>
      <c r="AA58">
        <v>2</v>
      </c>
      <c r="AB58" t="s">
        <v>123</v>
      </c>
      <c r="AC58" t="s">
        <v>2596</v>
      </c>
      <c r="AD58" t="s">
        <v>2598</v>
      </c>
      <c r="AE58" t="s">
        <v>57</v>
      </c>
      <c r="AF58" t="s">
        <v>57</v>
      </c>
      <c r="AG58" t="s">
        <v>57</v>
      </c>
      <c r="AH58" t="s">
        <v>57</v>
      </c>
      <c r="AI58" t="s">
        <v>57</v>
      </c>
      <c r="AJ58" t="s">
        <v>57</v>
      </c>
      <c r="AK58" t="s">
        <v>57</v>
      </c>
      <c r="AL58" t="s">
        <v>57</v>
      </c>
      <c r="AM58" t="s">
        <v>57</v>
      </c>
      <c r="AN58" t="s">
        <v>57</v>
      </c>
      <c r="AO58" t="s">
        <v>57</v>
      </c>
      <c r="AP58" t="s">
        <v>57</v>
      </c>
      <c r="AQ58" t="s">
        <v>57</v>
      </c>
      <c r="AR58" t="s">
        <v>57</v>
      </c>
      <c r="AS58" t="s">
        <v>57</v>
      </c>
      <c r="AT58" t="s">
        <v>57</v>
      </c>
      <c r="AU58" t="s">
        <v>148</v>
      </c>
      <c r="AV58" t="s">
        <v>57</v>
      </c>
      <c r="AW58" t="s">
        <v>57</v>
      </c>
      <c r="AX58" t="s">
        <v>57</v>
      </c>
      <c r="AY58" t="s">
        <v>57</v>
      </c>
      <c r="AZ58" t="s">
        <v>57</v>
      </c>
      <c r="BA58" t="s">
        <v>57</v>
      </c>
      <c r="BB58" t="s">
        <v>57</v>
      </c>
      <c r="BC58" t="s">
        <v>148</v>
      </c>
      <c r="BD58" t="s">
        <v>57</v>
      </c>
      <c r="BE58" t="s">
        <v>57</v>
      </c>
      <c r="BF58" t="s">
        <v>57</v>
      </c>
      <c r="BG58" t="s">
        <v>57</v>
      </c>
      <c r="BH58" t="s">
        <v>57</v>
      </c>
      <c r="BI58" t="s">
        <v>57</v>
      </c>
      <c r="BJ58" t="s">
        <v>57</v>
      </c>
      <c r="BK58" t="s">
        <v>57</v>
      </c>
      <c r="BL58" t="s">
        <v>57</v>
      </c>
      <c r="BM58" t="s">
        <v>57</v>
      </c>
      <c r="BN58" t="s">
        <v>57</v>
      </c>
      <c r="BO58" t="s">
        <v>57</v>
      </c>
      <c r="BP58" t="s">
        <v>57</v>
      </c>
      <c r="BQ58" t="s">
        <v>57</v>
      </c>
      <c r="BR58" t="s">
        <v>57</v>
      </c>
      <c r="BS58" t="s">
        <v>57</v>
      </c>
      <c r="BT58" t="s">
        <v>57</v>
      </c>
      <c r="BU58" t="s">
        <v>57</v>
      </c>
      <c r="BV58" t="s">
        <v>57</v>
      </c>
      <c r="BW58" t="s">
        <v>57</v>
      </c>
      <c r="BX58" t="s">
        <v>57</v>
      </c>
      <c r="BY58" t="s">
        <v>57</v>
      </c>
      <c r="BZ58" t="s">
        <v>57</v>
      </c>
      <c r="CA58" t="s">
        <v>57</v>
      </c>
      <c r="CB58" t="s">
        <v>57</v>
      </c>
      <c r="CC58" t="s">
        <v>57</v>
      </c>
      <c r="CD58" t="s">
        <v>57</v>
      </c>
      <c r="CE58" t="s">
        <v>57</v>
      </c>
      <c r="CF58" t="s">
        <v>57</v>
      </c>
      <c r="CG58" t="s">
        <v>57</v>
      </c>
      <c r="CH58" t="s">
        <v>57</v>
      </c>
      <c r="CI58" t="s">
        <v>57</v>
      </c>
      <c r="CJ58" t="s">
        <v>57</v>
      </c>
      <c r="CK58" t="s">
        <v>57</v>
      </c>
      <c r="CL58" t="s">
        <v>57</v>
      </c>
      <c r="CM58" t="s">
        <v>57</v>
      </c>
      <c r="CN58" t="s">
        <v>57</v>
      </c>
      <c r="CO58" t="s">
        <v>57</v>
      </c>
      <c r="CP58" t="s">
        <v>57</v>
      </c>
      <c r="CQ58" t="s">
        <v>57</v>
      </c>
      <c r="CR58" t="s">
        <v>57</v>
      </c>
      <c r="CS58" t="s">
        <v>57</v>
      </c>
      <c r="CT58" t="s">
        <v>57</v>
      </c>
      <c r="CU58" t="s">
        <v>57</v>
      </c>
      <c r="CV58" t="s">
        <v>57</v>
      </c>
      <c r="CW58" t="s">
        <v>57</v>
      </c>
      <c r="CX58" t="s">
        <v>57</v>
      </c>
      <c r="CY58" t="s">
        <v>57</v>
      </c>
      <c r="CZ58" t="s">
        <v>57</v>
      </c>
      <c r="DA58" t="s">
        <v>57</v>
      </c>
      <c r="DB58" t="s">
        <v>57</v>
      </c>
      <c r="DC58" t="s">
        <v>57</v>
      </c>
      <c r="DD58" t="s">
        <v>57</v>
      </c>
      <c r="DE58" t="s">
        <v>57</v>
      </c>
      <c r="DF58" t="s">
        <v>57</v>
      </c>
      <c r="DG58" t="s">
        <v>57</v>
      </c>
      <c r="DH58" t="s">
        <v>57</v>
      </c>
      <c r="DI58" t="s">
        <v>57</v>
      </c>
      <c r="DJ58" t="s">
        <v>57</v>
      </c>
      <c r="DK58" t="s">
        <v>57</v>
      </c>
      <c r="DL58" t="s">
        <v>57</v>
      </c>
      <c r="DM58" t="s">
        <v>57</v>
      </c>
      <c r="DN58" t="s">
        <v>57</v>
      </c>
      <c r="DO58" t="s">
        <v>57</v>
      </c>
      <c r="DP58" t="s">
        <v>57</v>
      </c>
      <c r="DQ58" t="s">
        <v>57</v>
      </c>
      <c r="DR58" t="s">
        <v>57</v>
      </c>
      <c r="DS58" t="s">
        <v>57</v>
      </c>
      <c r="DT58" t="s">
        <v>57</v>
      </c>
      <c r="DU58" t="s">
        <v>57</v>
      </c>
      <c r="DV58" t="s">
        <v>57</v>
      </c>
      <c r="DW58" t="s">
        <v>57</v>
      </c>
      <c r="DX58" t="s">
        <v>57</v>
      </c>
      <c r="DY58" t="s">
        <v>57</v>
      </c>
      <c r="DZ58" t="s">
        <v>57</v>
      </c>
      <c r="EA58" t="s">
        <v>57</v>
      </c>
      <c r="EB58" t="s">
        <v>57</v>
      </c>
      <c r="EC58" t="s">
        <v>57</v>
      </c>
      <c r="ED58" t="s">
        <v>57</v>
      </c>
      <c r="EE58" t="s">
        <v>57</v>
      </c>
      <c r="EF58" t="s">
        <v>57</v>
      </c>
      <c r="EG58" t="s">
        <v>57</v>
      </c>
      <c r="EH58" t="s">
        <v>57</v>
      </c>
      <c r="EI58" t="s">
        <v>57</v>
      </c>
      <c r="EJ58" t="s">
        <v>57</v>
      </c>
      <c r="EK58" t="s">
        <v>57</v>
      </c>
      <c r="EL58" t="s">
        <v>57</v>
      </c>
      <c r="EM58" t="s">
        <v>57</v>
      </c>
      <c r="EN58" t="s">
        <v>57</v>
      </c>
      <c r="EO58" t="s">
        <v>57</v>
      </c>
      <c r="EP58" t="s">
        <v>57</v>
      </c>
      <c r="EQ58" t="s">
        <v>57</v>
      </c>
      <c r="ER58" t="s">
        <v>57</v>
      </c>
      <c r="ES58" t="s">
        <v>57</v>
      </c>
      <c r="ET58" t="s">
        <v>57</v>
      </c>
      <c r="EU58" t="s">
        <v>57</v>
      </c>
      <c r="EV58" t="s">
        <v>57</v>
      </c>
      <c r="EW58" t="s">
        <v>57</v>
      </c>
      <c r="EX58" t="s">
        <v>57</v>
      </c>
      <c r="EY58" t="s">
        <v>57</v>
      </c>
      <c r="EZ58" t="s">
        <v>57</v>
      </c>
      <c r="FA58" t="s">
        <v>57</v>
      </c>
      <c r="FB58" t="s">
        <v>57</v>
      </c>
      <c r="FC58" t="s">
        <v>57</v>
      </c>
      <c r="FD58" t="s">
        <v>57</v>
      </c>
      <c r="FE58" t="s">
        <v>57</v>
      </c>
      <c r="FF58" t="s">
        <v>57</v>
      </c>
      <c r="FG58" t="s">
        <v>57</v>
      </c>
      <c r="FH58" t="s">
        <v>57</v>
      </c>
      <c r="FI58" t="s">
        <v>57</v>
      </c>
      <c r="FJ58" t="s">
        <v>57</v>
      </c>
      <c r="FK58" t="s">
        <v>57</v>
      </c>
      <c r="FL58" t="s">
        <v>57</v>
      </c>
      <c r="FM58" t="s">
        <v>57</v>
      </c>
      <c r="FN58" t="s">
        <v>57</v>
      </c>
      <c r="FO58" t="s">
        <v>57</v>
      </c>
      <c r="FP58" t="s">
        <v>57</v>
      </c>
      <c r="FQ58" t="s">
        <v>57</v>
      </c>
      <c r="FR58" t="s">
        <v>57</v>
      </c>
      <c r="FS58" t="s">
        <v>57</v>
      </c>
      <c r="FT58" t="s">
        <v>57</v>
      </c>
      <c r="FU58" t="s">
        <v>57</v>
      </c>
      <c r="FV58" t="s">
        <v>57</v>
      </c>
      <c r="FW58" t="s">
        <v>57</v>
      </c>
      <c r="FX58" t="s">
        <v>57</v>
      </c>
      <c r="FY58" t="s">
        <v>57</v>
      </c>
      <c r="FZ58" t="s">
        <v>57</v>
      </c>
      <c r="GA58" t="s">
        <v>57</v>
      </c>
      <c r="GB58" t="s">
        <v>57</v>
      </c>
      <c r="GC58" t="s">
        <v>57</v>
      </c>
      <c r="GD58" t="s">
        <v>57</v>
      </c>
      <c r="GE58" t="s">
        <v>57</v>
      </c>
      <c r="GF58" t="s">
        <v>57</v>
      </c>
      <c r="GG58" t="s">
        <v>57</v>
      </c>
      <c r="GH58" t="s">
        <v>57</v>
      </c>
      <c r="GI58" t="s">
        <v>57</v>
      </c>
      <c r="GJ58" t="s">
        <v>57</v>
      </c>
      <c r="GK58" t="s">
        <v>57</v>
      </c>
      <c r="GL58" t="s">
        <v>57</v>
      </c>
      <c r="GM58" t="s">
        <v>57</v>
      </c>
      <c r="GN58" t="s">
        <v>57</v>
      </c>
      <c r="GO58" t="s">
        <v>57</v>
      </c>
      <c r="GP58" t="s">
        <v>57</v>
      </c>
      <c r="GQ58" t="s">
        <v>57</v>
      </c>
      <c r="GR58" t="s">
        <v>57</v>
      </c>
      <c r="GS58" t="s">
        <v>57</v>
      </c>
      <c r="GT58" t="s">
        <v>57</v>
      </c>
      <c r="GU58" t="s">
        <v>57</v>
      </c>
      <c r="GV58" t="s">
        <v>148</v>
      </c>
      <c r="GW58" t="s">
        <v>57</v>
      </c>
      <c r="GX58" t="s">
        <v>57</v>
      </c>
      <c r="GY58" t="s">
        <v>57</v>
      </c>
      <c r="GZ58" t="s">
        <v>57</v>
      </c>
      <c r="HA58" t="s">
        <v>57</v>
      </c>
      <c r="HB58" t="s">
        <v>57</v>
      </c>
      <c r="HC58" t="s">
        <v>57</v>
      </c>
      <c r="HD58" t="s">
        <v>57</v>
      </c>
      <c r="HE58" t="s">
        <v>57</v>
      </c>
      <c r="HF58" t="s">
        <v>57</v>
      </c>
      <c r="HG58" t="s">
        <v>57</v>
      </c>
      <c r="HH58" t="s">
        <v>148</v>
      </c>
      <c r="HI58" t="s">
        <v>148</v>
      </c>
      <c r="HJ58" t="s">
        <v>148</v>
      </c>
      <c r="HK58" t="s">
        <v>148</v>
      </c>
      <c r="HL58" t="s">
        <v>57</v>
      </c>
      <c r="HM58" t="s">
        <v>57</v>
      </c>
      <c r="HN58" t="s">
        <v>57</v>
      </c>
      <c r="HO58" t="s">
        <v>57</v>
      </c>
      <c r="HP58" t="s">
        <v>57</v>
      </c>
      <c r="HQ58" t="s">
        <v>148</v>
      </c>
      <c r="HR58" t="s">
        <v>57</v>
      </c>
      <c r="HS58" t="s">
        <v>57</v>
      </c>
      <c r="HT58" t="s">
        <v>57</v>
      </c>
      <c r="HU58" t="s">
        <v>57</v>
      </c>
      <c r="HV58" t="s">
        <v>57</v>
      </c>
      <c r="HW58" t="s">
        <v>57</v>
      </c>
      <c r="HX58" t="s">
        <v>57</v>
      </c>
      <c r="HY58" t="s">
        <v>57</v>
      </c>
      <c r="HZ58" t="s">
        <v>57</v>
      </c>
      <c r="IA58" t="s">
        <v>57</v>
      </c>
      <c r="IB58" t="s">
        <v>57</v>
      </c>
      <c r="IC58" t="s">
        <v>57</v>
      </c>
      <c r="ID58" t="s">
        <v>57</v>
      </c>
      <c r="IE58" t="s">
        <v>57</v>
      </c>
      <c r="IF58" t="s">
        <v>124</v>
      </c>
      <c r="IG58" t="s">
        <v>155</v>
      </c>
      <c r="IH58" t="s">
        <v>123</v>
      </c>
      <c r="II58" t="s">
        <v>156</v>
      </c>
    </row>
    <row r="59" spans="1:243" x14ac:dyDescent="0.25">
      <c r="A59" s="111" t="str">
        <f>HYPERLINK("http://www.ofsted.gov.uk/inspection-reports/find-inspection-report/provider/ELS/115436 ","Ofsted School Webpage")</f>
        <v>Ofsted School Webpage</v>
      </c>
      <c r="B59">
        <v>115436</v>
      </c>
      <c r="C59">
        <v>8816041</v>
      </c>
      <c r="D59" t="s">
        <v>1876</v>
      </c>
      <c r="E59" t="s">
        <v>36</v>
      </c>
      <c r="F59" t="s">
        <v>166</v>
      </c>
      <c r="G59" t="s">
        <v>177</v>
      </c>
      <c r="H59" t="s">
        <v>177</v>
      </c>
      <c r="I59" t="s">
        <v>280</v>
      </c>
      <c r="J59" t="s">
        <v>1877</v>
      </c>
      <c r="K59" t="s">
        <v>169</v>
      </c>
      <c r="L59" t="s">
        <v>169</v>
      </c>
      <c r="M59" t="s">
        <v>2596</v>
      </c>
      <c r="N59" t="s">
        <v>143</v>
      </c>
      <c r="O59">
        <v>10040367</v>
      </c>
      <c r="P59" s="108">
        <v>43074</v>
      </c>
      <c r="Q59" s="108">
        <v>43076</v>
      </c>
      <c r="R59" s="108">
        <v>43124</v>
      </c>
      <c r="S59" t="s">
        <v>153</v>
      </c>
      <c r="T59" t="s">
        <v>154</v>
      </c>
      <c r="U59">
        <v>3</v>
      </c>
      <c r="V59">
        <v>3</v>
      </c>
      <c r="W59">
        <v>2</v>
      </c>
      <c r="X59">
        <v>2</v>
      </c>
      <c r="Y59">
        <v>2</v>
      </c>
      <c r="Z59">
        <v>2</v>
      </c>
      <c r="AA59" t="s">
        <v>2596</v>
      </c>
      <c r="AB59" t="s">
        <v>123</v>
      </c>
      <c r="AC59" t="s">
        <v>2596</v>
      </c>
      <c r="AD59" t="s">
        <v>2599</v>
      </c>
      <c r="AE59" t="s">
        <v>57</v>
      </c>
      <c r="AF59" t="s">
        <v>57</v>
      </c>
      <c r="AG59" t="s">
        <v>57</v>
      </c>
      <c r="AH59" t="s">
        <v>57</v>
      </c>
      <c r="AI59" t="s">
        <v>57</v>
      </c>
      <c r="AJ59" t="s">
        <v>57</v>
      </c>
      <c r="AK59" t="s">
        <v>57</v>
      </c>
      <c r="AL59" t="s">
        <v>58</v>
      </c>
      <c r="AM59" t="s">
        <v>57</v>
      </c>
      <c r="AN59" t="s">
        <v>57</v>
      </c>
      <c r="AO59" t="s">
        <v>57</v>
      </c>
      <c r="AP59" t="s">
        <v>57</v>
      </c>
      <c r="AQ59" t="s">
        <v>57</v>
      </c>
      <c r="AR59" t="s">
        <v>57</v>
      </c>
      <c r="AS59" t="s">
        <v>57</v>
      </c>
      <c r="AT59" t="s">
        <v>57</v>
      </c>
      <c r="AU59" t="s">
        <v>175</v>
      </c>
      <c r="AV59" t="s">
        <v>57</v>
      </c>
      <c r="AW59" t="s">
        <v>57</v>
      </c>
      <c r="AX59" t="s">
        <v>57</v>
      </c>
      <c r="AY59" t="s">
        <v>57</v>
      </c>
      <c r="AZ59" t="s">
        <v>57</v>
      </c>
      <c r="BA59" t="s">
        <v>57</v>
      </c>
      <c r="BB59" t="s">
        <v>57</v>
      </c>
      <c r="BC59" t="s">
        <v>57</v>
      </c>
      <c r="BD59" t="s">
        <v>175</v>
      </c>
      <c r="BE59" t="s">
        <v>57</v>
      </c>
      <c r="BF59" t="s">
        <v>57</v>
      </c>
      <c r="BG59" t="s">
        <v>57</v>
      </c>
      <c r="BH59" t="s">
        <v>57</v>
      </c>
      <c r="BI59" t="s">
        <v>57</v>
      </c>
      <c r="BJ59" t="s">
        <v>57</v>
      </c>
      <c r="BK59" t="s">
        <v>57</v>
      </c>
      <c r="BL59" t="s">
        <v>57</v>
      </c>
      <c r="BM59" t="s">
        <v>57</v>
      </c>
      <c r="BN59" t="s">
        <v>57</v>
      </c>
      <c r="BO59" t="s">
        <v>57</v>
      </c>
      <c r="BP59" t="s">
        <v>57</v>
      </c>
      <c r="BQ59" t="s">
        <v>57</v>
      </c>
      <c r="BR59" t="s">
        <v>57</v>
      </c>
      <c r="BS59" t="s">
        <v>57</v>
      </c>
      <c r="BT59" t="s">
        <v>57</v>
      </c>
      <c r="BU59" t="s">
        <v>57</v>
      </c>
      <c r="BV59" t="s">
        <v>57</v>
      </c>
      <c r="BW59" t="s">
        <v>57</v>
      </c>
      <c r="BX59" t="s">
        <v>57</v>
      </c>
      <c r="BY59" t="s">
        <v>57</v>
      </c>
      <c r="BZ59" t="s">
        <v>57</v>
      </c>
      <c r="CA59" t="s">
        <v>57</v>
      </c>
      <c r="CB59" t="s">
        <v>57</v>
      </c>
      <c r="CC59" t="s">
        <v>57</v>
      </c>
      <c r="CD59" t="s">
        <v>57</v>
      </c>
      <c r="CE59" t="s">
        <v>57</v>
      </c>
      <c r="CF59" t="s">
        <v>57</v>
      </c>
      <c r="CG59" t="s">
        <v>57</v>
      </c>
      <c r="CH59" t="s">
        <v>57</v>
      </c>
      <c r="CI59" t="s">
        <v>57</v>
      </c>
      <c r="CJ59" t="s">
        <v>57</v>
      </c>
      <c r="CK59" t="s">
        <v>175</v>
      </c>
      <c r="CL59" t="s">
        <v>175</v>
      </c>
      <c r="CM59" t="s">
        <v>175</v>
      </c>
      <c r="CN59" t="s">
        <v>57</v>
      </c>
      <c r="CO59" t="s">
        <v>57</v>
      </c>
      <c r="CP59" t="s">
        <v>57</v>
      </c>
      <c r="CQ59" t="s">
        <v>57</v>
      </c>
      <c r="CR59" t="s">
        <v>57</v>
      </c>
      <c r="CS59" t="s">
        <v>57</v>
      </c>
      <c r="CT59" t="s">
        <v>58</v>
      </c>
      <c r="CU59" t="s">
        <v>57</v>
      </c>
      <c r="CV59" t="s">
        <v>57</v>
      </c>
      <c r="CW59" t="s">
        <v>57</v>
      </c>
      <c r="CX59" t="s">
        <v>57</v>
      </c>
      <c r="CY59" t="s">
        <v>57</v>
      </c>
      <c r="CZ59" t="s">
        <v>57</v>
      </c>
      <c r="DA59" t="s">
        <v>57</v>
      </c>
      <c r="DB59" t="s">
        <v>57</v>
      </c>
      <c r="DC59" t="s">
        <v>57</v>
      </c>
      <c r="DD59" t="s">
        <v>57</v>
      </c>
      <c r="DE59" t="s">
        <v>57</v>
      </c>
      <c r="DF59" t="s">
        <v>57</v>
      </c>
      <c r="DG59" t="s">
        <v>57</v>
      </c>
      <c r="DH59" t="s">
        <v>57</v>
      </c>
      <c r="DI59" t="s">
        <v>57</v>
      </c>
      <c r="DJ59" t="s">
        <v>57</v>
      </c>
      <c r="DK59" t="s">
        <v>175</v>
      </c>
      <c r="DL59" t="s">
        <v>57</v>
      </c>
      <c r="DM59" t="s">
        <v>175</v>
      </c>
      <c r="DN59" t="s">
        <v>175</v>
      </c>
      <c r="DO59" t="s">
        <v>175</v>
      </c>
      <c r="DP59" t="s">
        <v>175</v>
      </c>
      <c r="DQ59" t="s">
        <v>175</v>
      </c>
      <c r="DR59" t="s">
        <v>175</v>
      </c>
      <c r="DS59" t="s">
        <v>175</v>
      </c>
      <c r="DT59" t="s">
        <v>175</v>
      </c>
      <c r="DU59" t="s">
        <v>175</v>
      </c>
      <c r="DV59" t="s">
        <v>175</v>
      </c>
      <c r="DW59" t="s">
        <v>175</v>
      </c>
      <c r="DX59" t="s">
        <v>175</v>
      </c>
      <c r="DY59" t="s">
        <v>175</v>
      </c>
      <c r="DZ59" t="s">
        <v>175</v>
      </c>
      <c r="EA59" t="s">
        <v>57</v>
      </c>
      <c r="EB59" t="s">
        <v>57</v>
      </c>
      <c r="EC59" t="s">
        <v>57</v>
      </c>
      <c r="ED59" t="s">
        <v>57</v>
      </c>
      <c r="EE59" t="s">
        <v>57</v>
      </c>
      <c r="EF59" t="s">
        <v>57</v>
      </c>
      <c r="EG59" t="s">
        <v>57</v>
      </c>
      <c r="EH59" t="s">
        <v>57</v>
      </c>
      <c r="EI59" t="s">
        <v>57</v>
      </c>
      <c r="EJ59" t="s">
        <v>57</v>
      </c>
      <c r="EK59" t="s">
        <v>57</v>
      </c>
      <c r="EL59" t="s">
        <v>57</v>
      </c>
      <c r="EM59" t="s">
        <v>57</v>
      </c>
      <c r="EN59" t="s">
        <v>57</v>
      </c>
      <c r="EO59" t="s">
        <v>57</v>
      </c>
      <c r="EP59" t="s">
        <v>57</v>
      </c>
      <c r="EQ59" t="s">
        <v>57</v>
      </c>
      <c r="ER59" t="s">
        <v>57</v>
      </c>
      <c r="ES59" t="s">
        <v>57</v>
      </c>
      <c r="ET59" t="s">
        <v>57</v>
      </c>
      <c r="EU59" t="s">
        <v>57</v>
      </c>
      <c r="EV59" t="s">
        <v>57</v>
      </c>
      <c r="EW59" t="s">
        <v>57</v>
      </c>
      <c r="EX59" t="s">
        <v>175</v>
      </c>
      <c r="EY59" t="s">
        <v>175</v>
      </c>
      <c r="EZ59" t="s">
        <v>175</v>
      </c>
      <c r="FA59" t="s">
        <v>175</v>
      </c>
      <c r="FB59" t="s">
        <v>175</v>
      </c>
      <c r="FC59" t="s">
        <v>175</v>
      </c>
      <c r="FD59" t="s">
        <v>57</v>
      </c>
      <c r="FE59" t="s">
        <v>57</v>
      </c>
      <c r="FF59" t="s">
        <v>57</v>
      </c>
      <c r="FG59" t="s">
        <v>57</v>
      </c>
      <c r="FH59" t="s">
        <v>57</v>
      </c>
      <c r="FI59" t="s">
        <v>57</v>
      </c>
      <c r="FJ59" t="s">
        <v>57</v>
      </c>
      <c r="FK59" t="s">
        <v>57</v>
      </c>
      <c r="FL59" t="s">
        <v>57</v>
      </c>
      <c r="FM59" t="s">
        <v>57</v>
      </c>
      <c r="FN59" t="s">
        <v>57</v>
      </c>
      <c r="FO59" t="s">
        <v>175</v>
      </c>
      <c r="FP59" t="s">
        <v>57</v>
      </c>
      <c r="FQ59" t="s">
        <v>58</v>
      </c>
      <c r="FR59" t="s">
        <v>57</v>
      </c>
      <c r="FS59" t="s">
        <v>57</v>
      </c>
      <c r="FT59" t="s">
        <v>57</v>
      </c>
      <c r="FU59" t="s">
        <v>57</v>
      </c>
      <c r="FV59" t="s">
        <v>57</v>
      </c>
      <c r="FW59" t="s">
        <v>57</v>
      </c>
      <c r="FX59" t="s">
        <v>57</v>
      </c>
      <c r="FY59" t="s">
        <v>57</v>
      </c>
      <c r="FZ59" t="s">
        <v>57</v>
      </c>
      <c r="GA59" t="s">
        <v>57</v>
      </c>
      <c r="GB59" t="s">
        <v>57</v>
      </c>
      <c r="GC59" t="s">
        <v>57</v>
      </c>
      <c r="GD59" t="s">
        <v>57</v>
      </c>
      <c r="GE59" t="s">
        <v>57</v>
      </c>
      <c r="GF59" t="s">
        <v>57</v>
      </c>
      <c r="GG59" t="s">
        <v>175</v>
      </c>
      <c r="GH59" t="s">
        <v>57</v>
      </c>
      <c r="GI59" t="s">
        <v>57</v>
      </c>
      <c r="GJ59" t="s">
        <v>57</v>
      </c>
      <c r="GK59" t="s">
        <v>57</v>
      </c>
      <c r="GL59" t="s">
        <v>57</v>
      </c>
      <c r="GM59" t="s">
        <v>175</v>
      </c>
      <c r="GN59" t="s">
        <v>57</v>
      </c>
      <c r="GO59" t="s">
        <v>57</v>
      </c>
      <c r="GP59" t="s">
        <v>175</v>
      </c>
      <c r="GQ59" t="s">
        <v>175</v>
      </c>
      <c r="GR59" t="s">
        <v>57</v>
      </c>
      <c r="GS59" t="s">
        <v>57</v>
      </c>
      <c r="GT59" t="s">
        <v>57</v>
      </c>
      <c r="GU59" t="s">
        <v>57</v>
      </c>
      <c r="GV59" t="s">
        <v>175</v>
      </c>
      <c r="GW59" t="s">
        <v>57</v>
      </c>
      <c r="GX59" t="s">
        <v>57</v>
      </c>
      <c r="GY59" t="s">
        <v>57</v>
      </c>
      <c r="GZ59" t="s">
        <v>57</v>
      </c>
      <c r="HA59" t="s">
        <v>57</v>
      </c>
      <c r="HB59" t="s">
        <v>57</v>
      </c>
      <c r="HC59" t="s">
        <v>57</v>
      </c>
      <c r="HD59" t="s">
        <v>57</v>
      </c>
      <c r="HE59" t="s">
        <v>57</v>
      </c>
      <c r="HF59" t="s">
        <v>57</v>
      </c>
      <c r="HG59" t="s">
        <v>57</v>
      </c>
      <c r="HH59" t="s">
        <v>57</v>
      </c>
      <c r="HI59" t="s">
        <v>57</v>
      </c>
      <c r="HJ59" t="s">
        <v>57</v>
      </c>
      <c r="HK59" t="s">
        <v>57</v>
      </c>
      <c r="HL59" t="s">
        <v>57</v>
      </c>
      <c r="HM59" t="s">
        <v>57</v>
      </c>
      <c r="HN59" t="s">
        <v>57</v>
      </c>
      <c r="HO59" t="s">
        <v>57</v>
      </c>
      <c r="HP59" t="s">
        <v>57</v>
      </c>
      <c r="HQ59" t="s">
        <v>57</v>
      </c>
      <c r="HR59" t="s">
        <v>57</v>
      </c>
      <c r="HS59" t="s">
        <v>57</v>
      </c>
      <c r="HT59" t="s">
        <v>57</v>
      </c>
      <c r="HU59" t="s">
        <v>57</v>
      </c>
      <c r="HV59" t="s">
        <v>57</v>
      </c>
      <c r="HW59" t="s">
        <v>57</v>
      </c>
      <c r="HX59" t="s">
        <v>57</v>
      </c>
      <c r="HY59" t="s">
        <v>57</v>
      </c>
      <c r="HZ59" t="s">
        <v>57</v>
      </c>
      <c r="IA59" t="s">
        <v>57</v>
      </c>
      <c r="IB59" t="s">
        <v>58</v>
      </c>
      <c r="IC59" t="s">
        <v>58</v>
      </c>
      <c r="ID59" t="s">
        <v>58</v>
      </c>
      <c r="IE59" t="s">
        <v>58</v>
      </c>
      <c r="IF59" t="s">
        <v>124</v>
      </c>
      <c r="IG59" t="s">
        <v>148</v>
      </c>
      <c r="IH59" t="s">
        <v>123</v>
      </c>
      <c r="II59" t="s">
        <v>156</v>
      </c>
    </row>
    <row r="60" spans="1:243" x14ac:dyDescent="0.25">
      <c r="A60" s="111" t="str">
        <f>HYPERLINK("http://www.ofsted.gov.uk/inspection-reports/find-inspection-report/provider/ELS/115437 ","Ofsted School Webpage")</f>
        <v>Ofsted School Webpage</v>
      </c>
      <c r="B60">
        <v>115437</v>
      </c>
      <c r="C60">
        <v>8816042</v>
      </c>
      <c r="D60" t="s">
        <v>1635</v>
      </c>
      <c r="E60" t="s">
        <v>36</v>
      </c>
      <c r="F60" t="s">
        <v>166</v>
      </c>
      <c r="G60" t="s">
        <v>177</v>
      </c>
      <c r="H60" t="s">
        <v>177</v>
      </c>
      <c r="I60" t="s">
        <v>280</v>
      </c>
      <c r="J60" t="s">
        <v>1637</v>
      </c>
      <c r="K60" t="s">
        <v>142</v>
      </c>
      <c r="L60" t="s">
        <v>1636</v>
      </c>
      <c r="M60" t="s">
        <v>2596</v>
      </c>
      <c r="N60" t="s">
        <v>143</v>
      </c>
      <c r="O60">
        <v>10033601</v>
      </c>
      <c r="P60" s="108">
        <v>43004</v>
      </c>
      <c r="Q60" s="108">
        <v>43006</v>
      </c>
      <c r="R60" s="108">
        <v>43109</v>
      </c>
      <c r="S60" t="s">
        <v>153</v>
      </c>
      <c r="T60" t="s">
        <v>154</v>
      </c>
      <c r="U60">
        <v>4</v>
      </c>
      <c r="V60">
        <v>4</v>
      </c>
      <c r="W60">
        <v>4</v>
      </c>
      <c r="X60">
        <v>2</v>
      </c>
      <c r="Y60">
        <v>2</v>
      </c>
      <c r="Z60">
        <v>4</v>
      </c>
      <c r="AA60">
        <v>4</v>
      </c>
      <c r="AB60" t="s">
        <v>124</v>
      </c>
      <c r="AC60" t="s">
        <v>2596</v>
      </c>
      <c r="AD60" t="s">
        <v>2599</v>
      </c>
      <c r="AE60" t="s">
        <v>57</v>
      </c>
      <c r="AF60" t="s">
        <v>57</v>
      </c>
      <c r="AG60" t="s">
        <v>58</v>
      </c>
      <c r="AH60" t="s">
        <v>58</v>
      </c>
      <c r="AI60" t="s">
        <v>58</v>
      </c>
      <c r="AJ60" t="s">
        <v>58</v>
      </c>
      <c r="AK60" t="s">
        <v>58</v>
      </c>
      <c r="AL60" t="s">
        <v>58</v>
      </c>
      <c r="AM60" t="s">
        <v>57</v>
      </c>
      <c r="AN60" t="s">
        <v>57</v>
      </c>
      <c r="AO60" t="s">
        <v>57</v>
      </c>
      <c r="AP60" t="s">
        <v>57</v>
      </c>
      <c r="AQ60" t="s">
        <v>57</v>
      </c>
      <c r="AR60" t="s">
        <v>57</v>
      </c>
      <c r="AS60" t="s">
        <v>57</v>
      </c>
      <c r="AT60" t="s">
        <v>57</v>
      </c>
      <c r="AU60" t="s">
        <v>148</v>
      </c>
      <c r="AV60" t="s">
        <v>57</v>
      </c>
      <c r="AW60" t="s">
        <v>57</v>
      </c>
      <c r="AX60" t="s">
        <v>57</v>
      </c>
      <c r="AY60" t="s">
        <v>57</v>
      </c>
      <c r="AZ60" t="s">
        <v>57</v>
      </c>
      <c r="BA60" t="s">
        <v>57</v>
      </c>
      <c r="BB60" t="s">
        <v>57</v>
      </c>
      <c r="BC60" t="s">
        <v>57</v>
      </c>
      <c r="BD60" t="s">
        <v>57</v>
      </c>
      <c r="BE60" t="s">
        <v>57</v>
      </c>
      <c r="BF60" t="s">
        <v>57</v>
      </c>
      <c r="BG60" t="s">
        <v>57</v>
      </c>
      <c r="BH60" t="s">
        <v>57</v>
      </c>
      <c r="BI60" t="s">
        <v>57</v>
      </c>
      <c r="BJ60" t="s">
        <v>57</v>
      </c>
      <c r="BK60" t="s">
        <v>57</v>
      </c>
      <c r="BL60" t="s">
        <v>57</v>
      </c>
      <c r="BM60" t="s">
        <v>57</v>
      </c>
      <c r="BN60" t="s">
        <v>57</v>
      </c>
      <c r="BO60" t="s">
        <v>57</v>
      </c>
      <c r="BP60" t="s">
        <v>57</v>
      </c>
      <c r="BQ60" t="s">
        <v>57</v>
      </c>
      <c r="BR60" t="s">
        <v>57</v>
      </c>
      <c r="BS60" t="s">
        <v>57</v>
      </c>
      <c r="BT60" t="s">
        <v>57</v>
      </c>
      <c r="BU60" t="s">
        <v>57</v>
      </c>
      <c r="BV60" t="s">
        <v>57</v>
      </c>
      <c r="BW60" t="s">
        <v>57</v>
      </c>
      <c r="BX60" t="s">
        <v>57</v>
      </c>
      <c r="BY60" t="s">
        <v>57</v>
      </c>
      <c r="BZ60" t="s">
        <v>57</v>
      </c>
      <c r="CA60" t="s">
        <v>57</v>
      </c>
      <c r="CB60" t="s">
        <v>57</v>
      </c>
      <c r="CC60" t="s">
        <v>57</v>
      </c>
      <c r="CD60" t="s">
        <v>57</v>
      </c>
      <c r="CE60" t="s">
        <v>57</v>
      </c>
      <c r="CF60" t="s">
        <v>57</v>
      </c>
      <c r="CG60" t="s">
        <v>57</v>
      </c>
      <c r="CH60" t="s">
        <v>58</v>
      </c>
      <c r="CI60" t="s">
        <v>58</v>
      </c>
      <c r="CJ60" t="s">
        <v>58</v>
      </c>
      <c r="CK60" t="s">
        <v>148</v>
      </c>
      <c r="CL60" t="s">
        <v>148</v>
      </c>
      <c r="CM60" t="s">
        <v>148</v>
      </c>
      <c r="CN60" t="s">
        <v>58</v>
      </c>
      <c r="CO60" t="s">
        <v>57</v>
      </c>
      <c r="CP60" t="s">
        <v>58</v>
      </c>
      <c r="CQ60" t="s">
        <v>58</v>
      </c>
      <c r="CR60" t="s">
        <v>58</v>
      </c>
      <c r="CS60" t="s">
        <v>58</v>
      </c>
      <c r="CT60" t="s">
        <v>58</v>
      </c>
      <c r="CU60" t="s">
        <v>58</v>
      </c>
      <c r="CV60" t="s">
        <v>57</v>
      </c>
      <c r="CW60" t="s">
        <v>58</v>
      </c>
      <c r="CX60" t="s">
        <v>58</v>
      </c>
      <c r="CY60" t="s">
        <v>58</v>
      </c>
      <c r="CZ60" t="s">
        <v>58</v>
      </c>
      <c r="DA60" t="s">
        <v>58</v>
      </c>
      <c r="DB60" t="s">
        <v>58</v>
      </c>
      <c r="DC60" t="s">
        <v>58</v>
      </c>
      <c r="DD60" t="s">
        <v>58</v>
      </c>
      <c r="DE60" t="s">
        <v>58</v>
      </c>
      <c r="DF60" t="s">
        <v>58</v>
      </c>
      <c r="DG60" t="s">
        <v>58</v>
      </c>
      <c r="DH60" t="s">
        <v>58</v>
      </c>
      <c r="DI60" t="s">
        <v>58</v>
      </c>
      <c r="DJ60" t="s">
        <v>58</v>
      </c>
      <c r="DK60" t="s">
        <v>148</v>
      </c>
      <c r="DL60" t="s">
        <v>58</v>
      </c>
      <c r="DM60" t="s">
        <v>148</v>
      </c>
      <c r="DN60" t="s">
        <v>148</v>
      </c>
      <c r="DO60" t="s">
        <v>148</v>
      </c>
      <c r="DP60" t="s">
        <v>148</v>
      </c>
      <c r="DQ60" t="s">
        <v>148</v>
      </c>
      <c r="DR60" t="s">
        <v>148</v>
      </c>
      <c r="DS60" t="s">
        <v>148</v>
      </c>
      <c r="DT60" t="s">
        <v>148</v>
      </c>
      <c r="DU60" t="s">
        <v>148</v>
      </c>
      <c r="DV60" t="s">
        <v>148</v>
      </c>
      <c r="DW60" t="s">
        <v>148</v>
      </c>
      <c r="DX60" t="s">
        <v>148</v>
      </c>
      <c r="DY60" t="s">
        <v>148</v>
      </c>
      <c r="DZ60" t="s">
        <v>148</v>
      </c>
      <c r="EA60" t="s">
        <v>58</v>
      </c>
      <c r="EB60" t="s">
        <v>58</v>
      </c>
      <c r="EC60" t="s">
        <v>58</v>
      </c>
      <c r="ED60" t="s">
        <v>58</v>
      </c>
      <c r="EE60" t="s">
        <v>58</v>
      </c>
      <c r="EF60" t="s">
        <v>58</v>
      </c>
      <c r="EG60" t="s">
        <v>58</v>
      </c>
      <c r="EH60" t="s">
        <v>58</v>
      </c>
      <c r="EI60" t="s">
        <v>58</v>
      </c>
      <c r="EJ60" t="s">
        <v>58</v>
      </c>
      <c r="EK60" t="s">
        <v>58</v>
      </c>
      <c r="EL60" t="s">
        <v>58</v>
      </c>
      <c r="EM60" t="s">
        <v>58</v>
      </c>
      <c r="EN60" t="s">
        <v>58</v>
      </c>
      <c r="EO60" t="s">
        <v>58</v>
      </c>
      <c r="EP60" t="s">
        <v>58</v>
      </c>
      <c r="EQ60" t="s">
        <v>58</v>
      </c>
      <c r="ER60" t="s">
        <v>58</v>
      </c>
      <c r="ES60" t="s">
        <v>58</v>
      </c>
      <c r="ET60" t="s">
        <v>58</v>
      </c>
      <c r="EU60" t="s">
        <v>58</v>
      </c>
      <c r="EV60" t="s">
        <v>58</v>
      </c>
      <c r="EW60" t="s">
        <v>58</v>
      </c>
      <c r="EX60" t="s">
        <v>148</v>
      </c>
      <c r="EY60" t="s">
        <v>148</v>
      </c>
      <c r="EZ60" t="s">
        <v>148</v>
      </c>
      <c r="FA60" t="s">
        <v>148</v>
      </c>
      <c r="FB60" t="s">
        <v>148</v>
      </c>
      <c r="FC60" t="s">
        <v>148</v>
      </c>
      <c r="FD60" t="s">
        <v>58</v>
      </c>
      <c r="FE60" t="s">
        <v>58</v>
      </c>
      <c r="FF60" t="s">
        <v>58</v>
      </c>
      <c r="FG60" t="s">
        <v>58</v>
      </c>
      <c r="FH60" t="s">
        <v>58</v>
      </c>
      <c r="FI60" t="s">
        <v>57</v>
      </c>
      <c r="FJ60" t="s">
        <v>57</v>
      </c>
      <c r="FK60" t="s">
        <v>58</v>
      </c>
      <c r="FL60" t="s">
        <v>57</v>
      </c>
      <c r="FM60" t="s">
        <v>57</v>
      </c>
      <c r="FN60" t="s">
        <v>57</v>
      </c>
      <c r="FO60" t="s">
        <v>148</v>
      </c>
      <c r="FP60" t="s">
        <v>57</v>
      </c>
      <c r="FQ60" t="s">
        <v>58</v>
      </c>
      <c r="FR60" t="s">
        <v>57</v>
      </c>
      <c r="FS60" t="s">
        <v>57</v>
      </c>
      <c r="FT60" t="s">
        <v>57</v>
      </c>
      <c r="FU60" t="s">
        <v>57</v>
      </c>
      <c r="FV60" t="s">
        <v>58</v>
      </c>
      <c r="FW60" t="s">
        <v>57</v>
      </c>
      <c r="FX60" t="s">
        <v>57</v>
      </c>
      <c r="FY60" t="s">
        <v>58</v>
      </c>
      <c r="FZ60" t="s">
        <v>57</v>
      </c>
      <c r="GA60" t="s">
        <v>57</v>
      </c>
      <c r="GB60" t="s">
        <v>57</v>
      </c>
      <c r="GC60" t="s">
        <v>57</v>
      </c>
      <c r="GD60" t="s">
        <v>57</v>
      </c>
      <c r="GE60" t="s">
        <v>57</v>
      </c>
      <c r="GF60" t="s">
        <v>57</v>
      </c>
      <c r="GG60" t="s">
        <v>148</v>
      </c>
      <c r="GH60" t="s">
        <v>58</v>
      </c>
      <c r="GI60" t="s">
        <v>58</v>
      </c>
      <c r="GJ60" t="s">
        <v>58</v>
      </c>
      <c r="GK60" t="s">
        <v>58</v>
      </c>
      <c r="GL60" t="s">
        <v>57</v>
      </c>
      <c r="GM60" t="s">
        <v>148</v>
      </c>
      <c r="GN60" t="s">
        <v>57</v>
      </c>
      <c r="GO60" t="s">
        <v>57</v>
      </c>
      <c r="GP60" t="s">
        <v>148</v>
      </c>
      <c r="GQ60" t="s">
        <v>57</v>
      </c>
      <c r="GR60" t="s">
        <v>148</v>
      </c>
      <c r="GS60" t="s">
        <v>57</v>
      </c>
      <c r="GT60" t="s">
        <v>57</v>
      </c>
      <c r="GU60" t="s">
        <v>57</v>
      </c>
      <c r="GV60" t="s">
        <v>148</v>
      </c>
      <c r="GW60" t="s">
        <v>57</v>
      </c>
      <c r="GX60" t="s">
        <v>148</v>
      </c>
      <c r="GY60" t="s">
        <v>57</v>
      </c>
      <c r="GZ60" t="s">
        <v>58</v>
      </c>
      <c r="HA60" t="s">
        <v>58</v>
      </c>
      <c r="HB60" t="s">
        <v>58</v>
      </c>
      <c r="HC60" t="s">
        <v>57</v>
      </c>
      <c r="HD60" t="s">
        <v>58</v>
      </c>
      <c r="HE60" t="s">
        <v>57</v>
      </c>
      <c r="HF60" t="s">
        <v>58</v>
      </c>
      <c r="HG60" t="s">
        <v>57</v>
      </c>
      <c r="HH60" t="s">
        <v>148</v>
      </c>
      <c r="HI60" t="s">
        <v>148</v>
      </c>
      <c r="HJ60" t="s">
        <v>148</v>
      </c>
      <c r="HK60" t="s">
        <v>148</v>
      </c>
      <c r="HL60" t="s">
        <v>58</v>
      </c>
      <c r="HM60" t="s">
        <v>57</v>
      </c>
      <c r="HN60" t="s">
        <v>57</v>
      </c>
      <c r="HO60" t="s">
        <v>57</v>
      </c>
      <c r="HP60" t="s">
        <v>57</v>
      </c>
      <c r="HQ60" t="s">
        <v>57</v>
      </c>
      <c r="HR60" t="s">
        <v>57</v>
      </c>
      <c r="HS60" t="s">
        <v>57</v>
      </c>
      <c r="HT60" t="s">
        <v>57</v>
      </c>
      <c r="HU60" t="s">
        <v>58</v>
      </c>
      <c r="HV60" t="s">
        <v>58</v>
      </c>
      <c r="HW60" t="s">
        <v>58</v>
      </c>
      <c r="HX60" t="s">
        <v>57</v>
      </c>
      <c r="HY60" t="s">
        <v>57</v>
      </c>
      <c r="HZ60" t="s">
        <v>57</v>
      </c>
      <c r="IA60" t="s">
        <v>58</v>
      </c>
      <c r="IB60" t="s">
        <v>58</v>
      </c>
      <c r="IC60" t="s">
        <v>58</v>
      </c>
      <c r="ID60" t="s">
        <v>58</v>
      </c>
      <c r="IE60" t="s">
        <v>58</v>
      </c>
      <c r="IF60" t="s">
        <v>124</v>
      </c>
      <c r="IG60" t="s">
        <v>155</v>
      </c>
      <c r="IH60" t="s">
        <v>123</v>
      </c>
      <c r="II60" t="s">
        <v>363</v>
      </c>
    </row>
    <row r="61" spans="1:243" x14ac:dyDescent="0.25">
      <c r="A61" s="111" t="str">
        <f>HYPERLINK("http://www.ofsted.gov.uk/inspection-reports/find-inspection-report/provider/ELS/115802 ","Ofsted School Webpage")</f>
        <v>Ofsted School Webpage</v>
      </c>
      <c r="B61">
        <v>115802</v>
      </c>
      <c r="C61">
        <v>9166040</v>
      </c>
      <c r="D61" t="s">
        <v>221</v>
      </c>
      <c r="E61" t="s">
        <v>37</v>
      </c>
      <c r="F61" t="s">
        <v>138</v>
      </c>
      <c r="G61" t="s">
        <v>182</v>
      </c>
      <c r="H61" t="s">
        <v>182</v>
      </c>
      <c r="I61" t="s">
        <v>222</v>
      </c>
      <c r="J61" t="s">
        <v>223</v>
      </c>
      <c r="K61" t="s">
        <v>142</v>
      </c>
      <c r="L61" t="s">
        <v>169</v>
      </c>
      <c r="M61" t="s">
        <v>2596</v>
      </c>
      <c r="N61" t="s">
        <v>143</v>
      </c>
      <c r="O61">
        <v>10035561</v>
      </c>
      <c r="P61" s="108">
        <v>43004</v>
      </c>
      <c r="Q61" s="108">
        <v>43006</v>
      </c>
      <c r="R61" s="108">
        <v>43045</v>
      </c>
      <c r="S61" t="s">
        <v>224</v>
      </c>
      <c r="T61" t="s">
        <v>154</v>
      </c>
      <c r="U61">
        <v>2</v>
      </c>
      <c r="V61">
        <v>2</v>
      </c>
      <c r="W61">
        <v>2</v>
      </c>
      <c r="X61">
        <v>2</v>
      </c>
      <c r="Y61">
        <v>2</v>
      </c>
      <c r="Z61" t="s">
        <v>2596</v>
      </c>
      <c r="AA61">
        <v>2</v>
      </c>
      <c r="AB61" t="s">
        <v>123</v>
      </c>
      <c r="AC61" t="s">
        <v>2596</v>
      </c>
      <c r="AD61" t="s">
        <v>2598</v>
      </c>
      <c r="AE61" t="s">
        <v>57</v>
      </c>
      <c r="AF61" t="s">
        <v>57</v>
      </c>
      <c r="AG61" t="s">
        <v>57</v>
      </c>
      <c r="AH61" t="s">
        <v>57</v>
      </c>
      <c r="AI61" t="s">
        <v>57</v>
      </c>
      <c r="AJ61" t="s">
        <v>57</v>
      </c>
      <c r="AK61" t="s">
        <v>57</v>
      </c>
      <c r="AL61" t="s">
        <v>57</v>
      </c>
      <c r="AM61" t="s">
        <v>57</v>
      </c>
      <c r="AN61" t="s">
        <v>57</v>
      </c>
      <c r="AO61" t="s">
        <v>57</v>
      </c>
      <c r="AP61" t="s">
        <v>57</v>
      </c>
      <c r="AQ61" t="s">
        <v>57</v>
      </c>
      <c r="AR61" t="s">
        <v>57</v>
      </c>
      <c r="AS61" t="s">
        <v>57</v>
      </c>
      <c r="AT61" t="s">
        <v>57</v>
      </c>
      <c r="AU61" t="s">
        <v>175</v>
      </c>
      <c r="AV61" t="s">
        <v>57</v>
      </c>
      <c r="AW61" t="s">
        <v>57</v>
      </c>
      <c r="AX61" t="s">
        <v>57</v>
      </c>
      <c r="AY61" t="s">
        <v>57</v>
      </c>
      <c r="AZ61" t="s">
        <v>57</v>
      </c>
      <c r="BA61" t="s">
        <v>57</v>
      </c>
      <c r="BB61" t="s">
        <v>57</v>
      </c>
      <c r="BC61" t="s">
        <v>175</v>
      </c>
      <c r="BD61" t="s">
        <v>57</v>
      </c>
      <c r="BE61" t="s">
        <v>57</v>
      </c>
      <c r="BF61" t="s">
        <v>57</v>
      </c>
      <c r="BG61" t="s">
        <v>57</v>
      </c>
      <c r="BH61" t="s">
        <v>57</v>
      </c>
      <c r="BI61" t="s">
        <v>57</v>
      </c>
      <c r="BJ61" t="s">
        <v>57</v>
      </c>
      <c r="BK61" t="s">
        <v>57</v>
      </c>
      <c r="BL61" t="s">
        <v>57</v>
      </c>
      <c r="BM61" t="s">
        <v>57</v>
      </c>
      <c r="BN61" t="s">
        <v>57</v>
      </c>
      <c r="BO61" t="s">
        <v>57</v>
      </c>
      <c r="BP61" t="s">
        <v>57</v>
      </c>
      <c r="BQ61" t="s">
        <v>57</v>
      </c>
      <c r="BR61" t="s">
        <v>57</v>
      </c>
      <c r="BS61" t="s">
        <v>57</v>
      </c>
      <c r="BT61" t="s">
        <v>57</v>
      </c>
      <c r="BU61" t="s">
        <v>57</v>
      </c>
      <c r="BV61" t="s">
        <v>57</v>
      </c>
      <c r="BW61" t="s">
        <v>57</v>
      </c>
      <c r="BX61" t="s">
        <v>57</v>
      </c>
      <c r="BY61" t="s">
        <v>57</v>
      </c>
      <c r="BZ61" t="s">
        <v>57</v>
      </c>
      <c r="CA61" t="s">
        <v>57</v>
      </c>
      <c r="CB61" t="s">
        <v>57</v>
      </c>
      <c r="CC61" t="s">
        <v>57</v>
      </c>
      <c r="CD61" t="s">
        <v>57</v>
      </c>
      <c r="CE61" t="s">
        <v>57</v>
      </c>
      <c r="CF61" t="s">
        <v>57</v>
      </c>
      <c r="CG61" t="s">
        <v>57</v>
      </c>
      <c r="CH61" t="s">
        <v>57</v>
      </c>
      <c r="CI61" t="s">
        <v>57</v>
      </c>
      <c r="CJ61" t="s">
        <v>57</v>
      </c>
      <c r="CK61" t="s">
        <v>175</v>
      </c>
      <c r="CL61" t="s">
        <v>175</v>
      </c>
      <c r="CM61" t="s">
        <v>175</v>
      </c>
      <c r="CN61" t="s">
        <v>57</v>
      </c>
      <c r="CO61" t="s">
        <v>57</v>
      </c>
      <c r="CP61" t="s">
        <v>57</v>
      </c>
      <c r="CQ61" t="s">
        <v>57</v>
      </c>
      <c r="CR61" t="s">
        <v>57</v>
      </c>
      <c r="CS61" t="s">
        <v>57</v>
      </c>
      <c r="CT61" t="s">
        <v>57</v>
      </c>
      <c r="CU61" t="s">
        <v>57</v>
      </c>
      <c r="CV61" t="s">
        <v>57</v>
      </c>
      <c r="CW61" t="s">
        <v>57</v>
      </c>
      <c r="CX61" t="s">
        <v>57</v>
      </c>
      <c r="CY61" t="s">
        <v>57</v>
      </c>
      <c r="CZ61" t="s">
        <v>57</v>
      </c>
      <c r="DA61" t="s">
        <v>57</v>
      </c>
      <c r="DB61" t="s">
        <v>57</v>
      </c>
      <c r="DC61" t="s">
        <v>57</v>
      </c>
      <c r="DD61" t="s">
        <v>57</v>
      </c>
      <c r="DE61" t="s">
        <v>57</v>
      </c>
      <c r="DF61" t="s">
        <v>57</v>
      </c>
      <c r="DG61" t="s">
        <v>57</v>
      </c>
      <c r="DH61" t="s">
        <v>57</v>
      </c>
      <c r="DI61" t="s">
        <v>57</v>
      </c>
      <c r="DJ61" t="s">
        <v>57</v>
      </c>
      <c r="DK61" t="s">
        <v>175</v>
      </c>
      <c r="DL61" t="s">
        <v>175</v>
      </c>
      <c r="DM61" t="s">
        <v>57</v>
      </c>
      <c r="DN61" t="s">
        <v>57</v>
      </c>
      <c r="DO61" t="s">
        <v>57</v>
      </c>
      <c r="DP61" t="s">
        <v>57</v>
      </c>
      <c r="DQ61" t="s">
        <v>57</v>
      </c>
      <c r="DR61" t="s">
        <v>57</v>
      </c>
      <c r="DS61" t="s">
        <v>57</v>
      </c>
      <c r="DT61" t="s">
        <v>175</v>
      </c>
      <c r="DU61" t="s">
        <v>175</v>
      </c>
      <c r="DV61" t="s">
        <v>175</v>
      </c>
      <c r="DW61" t="s">
        <v>175</v>
      </c>
      <c r="DX61" t="s">
        <v>175</v>
      </c>
      <c r="DY61" t="s">
        <v>175</v>
      </c>
      <c r="DZ61" t="s">
        <v>175</v>
      </c>
      <c r="EA61" t="s">
        <v>57</v>
      </c>
      <c r="EB61" t="s">
        <v>57</v>
      </c>
      <c r="EC61" t="s">
        <v>57</v>
      </c>
      <c r="ED61" t="s">
        <v>57</v>
      </c>
      <c r="EE61" t="s">
        <v>57</v>
      </c>
      <c r="EF61" t="s">
        <v>57</v>
      </c>
      <c r="EG61" t="s">
        <v>57</v>
      </c>
      <c r="EH61" t="s">
        <v>57</v>
      </c>
      <c r="EI61" t="s">
        <v>57</v>
      </c>
      <c r="EJ61" t="s">
        <v>57</v>
      </c>
      <c r="EK61" t="s">
        <v>57</v>
      </c>
      <c r="EL61" t="s">
        <v>57</v>
      </c>
      <c r="EM61" t="s">
        <v>57</v>
      </c>
      <c r="EN61" t="s">
        <v>57</v>
      </c>
      <c r="EO61" t="s">
        <v>57</v>
      </c>
      <c r="EP61" t="s">
        <v>57</v>
      </c>
      <c r="EQ61" t="s">
        <v>57</v>
      </c>
      <c r="ER61" t="s">
        <v>57</v>
      </c>
      <c r="ES61" t="s">
        <v>57</v>
      </c>
      <c r="ET61" t="s">
        <v>57</v>
      </c>
      <c r="EU61" t="s">
        <v>57</v>
      </c>
      <c r="EV61" t="s">
        <v>57</v>
      </c>
      <c r="EW61" t="s">
        <v>57</v>
      </c>
      <c r="EX61" t="s">
        <v>175</v>
      </c>
      <c r="EY61" t="s">
        <v>175</v>
      </c>
      <c r="EZ61" t="s">
        <v>175</v>
      </c>
      <c r="FA61" t="s">
        <v>175</v>
      </c>
      <c r="FB61" t="s">
        <v>175</v>
      </c>
      <c r="FC61" t="s">
        <v>175</v>
      </c>
      <c r="FD61" t="s">
        <v>175</v>
      </c>
      <c r="FE61" t="s">
        <v>57</v>
      </c>
      <c r="FF61" t="s">
        <v>57</v>
      </c>
      <c r="FG61" t="s">
        <v>57</v>
      </c>
      <c r="FH61" t="s">
        <v>57</v>
      </c>
      <c r="FI61" t="s">
        <v>57</v>
      </c>
      <c r="FJ61" t="s">
        <v>57</v>
      </c>
      <c r="FK61" t="s">
        <v>57</v>
      </c>
      <c r="FL61" t="s">
        <v>57</v>
      </c>
      <c r="FM61" t="s">
        <v>57</v>
      </c>
      <c r="FN61" t="s">
        <v>57</v>
      </c>
      <c r="FO61" t="s">
        <v>57</v>
      </c>
      <c r="FP61" t="s">
        <v>57</v>
      </c>
      <c r="FQ61" t="s">
        <v>57</v>
      </c>
      <c r="FR61" t="s">
        <v>57</v>
      </c>
      <c r="FS61" t="s">
        <v>57</v>
      </c>
      <c r="FT61" t="s">
        <v>57</v>
      </c>
      <c r="FU61" t="s">
        <v>57</v>
      </c>
      <c r="FV61" t="s">
        <v>57</v>
      </c>
      <c r="FW61" t="s">
        <v>57</v>
      </c>
      <c r="FX61" t="s">
        <v>57</v>
      </c>
      <c r="FY61" t="s">
        <v>57</v>
      </c>
      <c r="FZ61" t="s">
        <v>57</v>
      </c>
      <c r="GA61" t="s">
        <v>57</v>
      </c>
      <c r="GB61" t="s">
        <v>57</v>
      </c>
      <c r="GC61" t="s">
        <v>57</v>
      </c>
      <c r="GD61" t="s">
        <v>57</v>
      </c>
      <c r="GE61" t="s">
        <v>57</v>
      </c>
      <c r="GF61" t="s">
        <v>57</v>
      </c>
      <c r="GG61" t="s">
        <v>57</v>
      </c>
      <c r="GH61" t="s">
        <v>57</v>
      </c>
      <c r="GI61" t="s">
        <v>57</v>
      </c>
      <c r="GJ61" t="s">
        <v>57</v>
      </c>
      <c r="GK61" t="s">
        <v>57</v>
      </c>
      <c r="GL61" t="s">
        <v>57</v>
      </c>
      <c r="GM61" t="s">
        <v>57</v>
      </c>
      <c r="GN61" t="s">
        <v>57</v>
      </c>
      <c r="GO61" t="s">
        <v>57</v>
      </c>
      <c r="GP61" t="s">
        <v>57</v>
      </c>
      <c r="GQ61" t="s">
        <v>57</v>
      </c>
      <c r="GR61" t="s">
        <v>57</v>
      </c>
      <c r="GS61" t="s">
        <v>57</v>
      </c>
      <c r="GT61" t="s">
        <v>57</v>
      </c>
      <c r="GU61" t="s">
        <v>57</v>
      </c>
      <c r="GV61" t="s">
        <v>57</v>
      </c>
      <c r="GW61" t="s">
        <v>57</v>
      </c>
      <c r="GX61" t="s">
        <v>57</v>
      </c>
      <c r="GY61" t="s">
        <v>57</v>
      </c>
      <c r="GZ61" t="s">
        <v>57</v>
      </c>
      <c r="HA61" t="s">
        <v>57</v>
      </c>
      <c r="HB61" t="s">
        <v>57</v>
      </c>
      <c r="HC61" t="s">
        <v>57</v>
      </c>
      <c r="HD61" t="s">
        <v>57</v>
      </c>
      <c r="HE61" t="s">
        <v>57</v>
      </c>
      <c r="HF61" t="s">
        <v>57</v>
      </c>
      <c r="HG61" t="s">
        <v>57</v>
      </c>
      <c r="HH61" t="s">
        <v>57</v>
      </c>
      <c r="HI61" t="s">
        <v>175</v>
      </c>
      <c r="HJ61" t="s">
        <v>175</v>
      </c>
      <c r="HK61" t="s">
        <v>175</v>
      </c>
      <c r="HL61" t="s">
        <v>57</v>
      </c>
      <c r="HM61" t="s">
        <v>57</v>
      </c>
      <c r="HN61" t="s">
        <v>57</v>
      </c>
      <c r="HO61" t="s">
        <v>57</v>
      </c>
      <c r="HP61" t="s">
        <v>57</v>
      </c>
      <c r="HQ61" t="s">
        <v>57</v>
      </c>
      <c r="HR61" t="s">
        <v>57</v>
      </c>
      <c r="HS61" t="s">
        <v>57</v>
      </c>
      <c r="HT61" t="s">
        <v>57</v>
      </c>
      <c r="HU61" t="s">
        <v>57</v>
      </c>
      <c r="HV61" t="s">
        <v>57</v>
      </c>
      <c r="HW61" t="s">
        <v>57</v>
      </c>
      <c r="HX61" t="s">
        <v>57</v>
      </c>
      <c r="HY61" t="s">
        <v>57</v>
      </c>
      <c r="HZ61" t="s">
        <v>57</v>
      </c>
      <c r="IA61" t="s">
        <v>57</v>
      </c>
      <c r="IB61" t="s">
        <v>57</v>
      </c>
      <c r="IC61" t="s">
        <v>57</v>
      </c>
      <c r="ID61" t="s">
        <v>57</v>
      </c>
      <c r="IE61" t="s">
        <v>57</v>
      </c>
      <c r="IF61" t="s">
        <v>123</v>
      </c>
      <c r="IG61" t="s">
        <v>123</v>
      </c>
      <c r="IH61" t="s">
        <v>123</v>
      </c>
      <c r="II61" t="s">
        <v>156</v>
      </c>
    </row>
    <row r="62" spans="1:243" x14ac:dyDescent="0.25">
      <c r="A62" s="111" t="str">
        <f>HYPERLINK("http://www.ofsted.gov.uk/inspection-reports/find-inspection-report/provider/ELS/115810 ","Ofsted School Webpage")</f>
        <v>Ofsted School Webpage</v>
      </c>
      <c r="B62">
        <v>115810</v>
      </c>
      <c r="C62">
        <v>9166073</v>
      </c>
      <c r="D62" t="s">
        <v>601</v>
      </c>
      <c r="E62" t="s">
        <v>36</v>
      </c>
      <c r="F62" t="s">
        <v>166</v>
      </c>
      <c r="G62" t="s">
        <v>182</v>
      </c>
      <c r="H62" t="s">
        <v>182</v>
      </c>
      <c r="I62" t="s">
        <v>222</v>
      </c>
      <c r="J62" t="s">
        <v>602</v>
      </c>
      <c r="K62" t="s">
        <v>142</v>
      </c>
      <c r="L62" t="s">
        <v>180</v>
      </c>
      <c r="M62" t="s">
        <v>2596</v>
      </c>
      <c r="N62" t="s">
        <v>143</v>
      </c>
      <c r="O62">
        <v>10033886</v>
      </c>
      <c r="P62" s="108">
        <v>43053</v>
      </c>
      <c r="Q62" s="108">
        <v>43055</v>
      </c>
      <c r="R62" s="108">
        <v>43109</v>
      </c>
      <c r="S62" t="s">
        <v>153</v>
      </c>
      <c r="T62" t="s">
        <v>154</v>
      </c>
      <c r="U62">
        <v>3</v>
      </c>
      <c r="V62">
        <v>3</v>
      </c>
      <c r="W62">
        <v>2</v>
      </c>
      <c r="X62">
        <v>3</v>
      </c>
      <c r="Y62">
        <v>3</v>
      </c>
      <c r="Z62" t="s">
        <v>2596</v>
      </c>
      <c r="AA62" t="s">
        <v>2596</v>
      </c>
      <c r="AB62" t="s">
        <v>123</v>
      </c>
      <c r="AC62" t="s">
        <v>2596</v>
      </c>
      <c r="AD62" t="s">
        <v>2598</v>
      </c>
      <c r="AE62" t="s">
        <v>57</v>
      </c>
      <c r="AF62" t="s">
        <v>57</v>
      </c>
      <c r="AG62" t="s">
        <v>57</v>
      </c>
      <c r="AH62" t="s">
        <v>57</v>
      </c>
      <c r="AI62" t="s">
        <v>57</v>
      </c>
      <c r="AJ62" t="s">
        <v>57</v>
      </c>
      <c r="AK62" t="s">
        <v>57</v>
      </c>
      <c r="AL62" t="s">
        <v>57</v>
      </c>
      <c r="AM62" t="s">
        <v>57</v>
      </c>
      <c r="AN62" t="s">
        <v>57</v>
      </c>
      <c r="AO62" t="s">
        <v>57</v>
      </c>
      <c r="AP62" t="s">
        <v>57</v>
      </c>
      <c r="AQ62" t="s">
        <v>57</v>
      </c>
      <c r="AR62" t="s">
        <v>57</v>
      </c>
      <c r="AS62" t="s">
        <v>57</v>
      </c>
      <c r="AT62" t="s">
        <v>57</v>
      </c>
      <c r="AU62" t="s">
        <v>148</v>
      </c>
      <c r="AV62" t="s">
        <v>57</v>
      </c>
      <c r="AW62" t="s">
        <v>57</v>
      </c>
      <c r="AX62" t="s">
        <v>57</v>
      </c>
      <c r="AY62" t="s">
        <v>57</v>
      </c>
      <c r="AZ62" t="s">
        <v>57</v>
      </c>
      <c r="BA62" t="s">
        <v>57</v>
      </c>
      <c r="BB62" t="s">
        <v>57</v>
      </c>
      <c r="BC62" t="s">
        <v>148</v>
      </c>
      <c r="BD62" t="s">
        <v>148</v>
      </c>
      <c r="BE62" t="s">
        <v>57</v>
      </c>
      <c r="BF62" t="s">
        <v>57</v>
      </c>
      <c r="BG62" t="s">
        <v>57</v>
      </c>
      <c r="BH62" t="s">
        <v>57</v>
      </c>
      <c r="BI62" t="s">
        <v>57</v>
      </c>
      <c r="BJ62" t="s">
        <v>57</v>
      </c>
      <c r="BK62" t="s">
        <v>57</v>
      </c>
      <c r="BL62" t="s">
        <v>57</v>
      </c>
      <c r="BM62" t="s">
        <v>57</v>
      </c>
      <c r="BN62" t="s">
        <v>57</v>
      </c>
      <c r="BO62" t="s">
        <v>57</v>
      </c>
      <c r="BP62" t="s">
        <v>57</v>
      </c>
      <c r="BQ62" t="s">
        <v>57</v>
      </c>
      <c r="BR62" t="s">
        <v>57</v>
      </c>
      <c r="BS62" t="s">
        <v>57</v>
      </c>
      <c r="BT62" t="s">
        <v>57</v>
      </c>
      <c r="BU62" t="s">
        <v>57</v>
      </c>
      <c r="BV62" t="s">
        <v>57</v>
      </c>
      <c r="BW62" t="s">
        <v>57</v>
      </c>
      <c r="BX62" t="s">
        <v>57</v>
      </c>
      <c r="BY62" t="s">
        <v>57</v>
      </c>
      <c r="BZ62" t="s">
        <v>57</v>
      </c>
      <c r="CA62" t="s">
        <v>57</v>
      </c>
      <c r="CB62" t="s">
        <v>57</v>
      </c>
      <c r="CC62" t="s">
        <v>57</v>
      </c>
      <c r="CD62" t="s">
        <v>57</v>
      </c>
      <c r="CE62" t="s">
        <v>57</v>
      </c>
      <c r="CF62" t="s">
        <v>57</v>
      </c>
      <c r="CG62" t="s">
        <v>57</v>
      </c>
      <c r="CH62" t="s">
        <v>57</v>
      </c>
      <c r="CI62" t="s">
        <v>57</v>
      </c>
      <c r="CJ62" t="s">
        <v>57</v>
      </c>
      <c r="CK62" t="s">
        <v>148</v>
      </c>
      <c r="CL62" t="s">
        <v>148</v>
      </c>
      <c r="CM62" t="s">
        <v>148</v>
      </c>
      <c r="CN62" t="s">
        <v>57</v>
      </c>
      <c r="CO62" t="s">
        <v>57</v>
      </c>
      <c r="CP62" t="s">
        <v>57</v>
      </c>
      <c r="CQ62" t="s">
        <v>57</v>
      </c>
      <c r="CR62" t="s">
        <v>57</v>
      </c>
      <c r="CS62" t="s">
        <v>57</v>
      </c>
      <c r="CT62" t="s">
        <v>57</v>
      </c>
      <c r="CU62" t="s">
        <v>57</v>
      </c>
      <c r="CV62" t="s">
        <v>57</v>
      </c>
      <c r="CW62" t="s">
        <v>57</v>
      </c>
      <c r="CX62" t="s">
        <v>57</v>
      </c>
      <c r="CY62" t="s">
        <v>57</v>
      </c>
      <c r="CZ62" t="s">
        <v>57</v>
      </c>
      <c r="DA62" t="s">
        <v>57</v>
      </c>
      <c r="DB62" t="s">
        <v>57</v>
      </c>
      <c r="DC62" t="s">
        <v>57</v>
      </c>
      <c r="DD62" t="s">
        <v>57</v>
      </c>
      <c r="DE62" t="s">
        <v>57</v>
      </c>
      <c r="DF62" t="s">
        <v>57</v>
      </c>
      <c r="DG62" t="s">
        <v>57</v>
      </c>
      <c r="DH62" t="s">
        <v>57</v>
      </c>
      <c r="DI62" t="s">
        <v>57</v>
      </c>
      <c r="DJ62" t="s">
        <v>57</v>
      </c>
      <c r="DK62" t="s">
        <v>148</v>
      </c>
      <c r="DL62" t="s">
        <v>57</v>
      </c>
      <c r="DM62" t="s">
        <v>148</v>
      </c>
      <c r="DN62" t="s">
        <v>148</v>
      </c>
      <c r="DO62" t="s">
        <v>148</v>
      </c>
      <c r="DP62" t="s">
        <v>148</v>
      </c>
      <c r="DQ62" t="s">
        <v>148</v>
      </c>
      <c r="DR62" t="s">
        <v>148</v>
      </c>
      <c r="DS62" t="s">
        <v>148</v>
      </c>
      <c r="DT62" t="s">
        <v>148</v>
      </c>
      <c r="DU62" t="s">
        <v>148</v>
      </c>
      <c r="DV62" t="s">
        <v>148</v>
      </c>
      <c r="DW62" t="s">
        <v>148</v>
      </c>
      <c r="DX62" t="s">
        <v>148</v>
      </c>
      <c r="DY62" t="s">
        <v>148</v>
      </c>
      <c r="DZ62" t="s">
        <v>57</v>
      </c>
      <c r="EA62" t="s">
        <v>57</v>
      </c>
      <c r="EB62" t="s">
        <v>57</v>
      </c>
      <c r="EC62" t="s">
        <v>57</v>
      </c>
      <c r="ED62" t="s">
        <v>57</v>
      </c>
      <c r="EE62" t="s">
        <v>57</v>
      </c>
      <c r="EF62" t="s">
        <v>57</v>
      </c>
      <c r="EG62" t="s">
        <v>57</v>
      </c>
      <c r="EH62" t="s">
        <v>57</v>
      </c>
      <c r="EI62" t="s">
        <v>57</v>
      </c>
      <c r="EJ62" t="s">
        <v>57</v>
      </c>
      <c r="EK62" t="s">
        <v>57</v>
      </c>
      <c r="EL62" t="s">
        <v>57</v>
      </c>
      <c r="EM62" t="s">
        <v>57</v>
      </c>
      <c r="EN62" t="s">
        <v>57</v>
      </c>
      <c r="EO62" t="s">
        <v>57</v>
      </c>
      <c r="EP62" t="s">
        <v>57</v>
      </c>
      <c r="EQ62" t="s">
        <v>57</v>
      </c>
      <c r="ER62" t="s">
        <v>57</v>
      </c>
      <c r="ES62" t="s">
        <v>57</v>
      </c>
      <c r="ET62" t="s">
        <v>57</v>
      </c>
      <c r="EU62" t="s">
        <v>57</v>
      </c>
      <c r="EV62" t="s">
        <v>57</v>
      </c>
      <c r="EW62" t="s">
        <v>57</v>
      </c>
      <c r="EX62" t="s">
        <v>148</v>
      </c>
      <c r="EY62" t="s">
        <v>148</v>
      </c>
      <c r="EZ62" t="s">
        <v>148</v>
      </c>
      <c r="FA62" t="s">
        <v>148</v>
      </c>
      <c r="FB62" t="s">
        <v>148</v>
      </c>
      <c r="FC62" t="s">
        <v>148</v>
      </c>
      <c r="FD62" t="s">
        <v>57</v>
      </c>
      <c r="FE62" t="s">
        <v>57</v>
      </c>
      <c r="FF62" t="s">
        <v>57</v>
      </c>
      <c r="FG62" t="s">
        <v>57</v>
      </c>
      <c r="FH62" t="s">
        <v>57</v>
      </c>
      <c r="FI62" t="s">
        <v>57</v>
      </c>
      <c r="FJ62" t="s">
        <v>57</v>
      </c>
      <c r="FK62" t="s">
        <v>57</v>
      </c>
      <c r="FL62" t="s">
        <v>57</v>
      </c>
      <c r="FM62" t="s">
        <v>57</v>
      </c>
      <c r="FN62" t="s">
        <v>57</v>
      </c>
      <c r="FO62" t="s">
        <v>148</v>
      </c>
      <c r="FP62" t="s">
        <v>57</v>
      </c>
      <c r="FQ62" t="s">
        <v>57</v>
      </c>
      <c r="FR62" t="s">
        <v>57</v>
      </c>
      <c r="FS62" t="s">
        <v>57</v>
      </c>
      <c r="FT62" t="s">
        <v>57</v>
      </c>
      <c r="FU62" t="s">
        <v>57</v>
      </c>
      <c r="FV62" t="s">
        <v>57</v>
      </c>
      <c r="FW62" t="s">
        <v>57</v>
      </c>
      <c r="FX62" t="s">
        <v>57</v>
      </c>
      <c r="FY62" t="s">
        <v>57</v>
      </c>
      <c r="FZ62" t="s">
        <v>57</v>
      </c>
      <c r="GA62" t="s">
        <v>57</v>
      </c>
      <c r="GB62" t="s">
        <v>57</v>
      </c>
      <c r="GC62" t="s">
        <v>57</v>
      </c>
      <c r="GD62" t="s">
        <v>57</v>
      </c>
      <c r="GE62" t="s">
        <v>57</v>
      </c>
      <c r="GF62" t="s">
        <v>57</v>
      </c>
      <c r="GG62" t="s">
        <v>148</v>
      </c>
      <c r="GH62" t="s">
        <v>57</v>
      </c>
      <c r="GI62" t="s">
        <v>57</v>
      </c>
      <c r="GJ62" t="s">
        <v>57</v>
      </c>
      <c r="GK62" t="s">
        <v>57</v>
      </c>
      <c r="GL62" t="s">
        <v>57</v>
      </c>
      <c r="GM62" t="s">
        <v>57</v>
      </c>
      <c r="GN62" t="s">
        <v>57</v>
      </c>
      <c r="GO62" t="s">
        <v>57</v>
      </c>
      <c r="GP62" t="s">
        <v>57</v>
      </c>
      <c r="GQ62" t="s">
        <v>57</v>
      </c>
      <c r="GR62" t="s">
        <v>57</v>
      </c>
      <c r="GS62" t="s">
        <v>57</v>
      </c>
      <c r="GT62" t="s">
        <v>57</v>
      </c>
      <c r="GU62" t="s">
        <v>57</v>
      </c>
      <c r="GV62" t="s">
        <v>148</v>
      </c>
      <c r="GW62" t="s">
        <v>57</v>
      </c>
      <c r="GX62" t="s">
        <v>57</v>
      </c>
      <c r="GY62" t="s">
        <v>57</v>
      </c>
      <c r="GZ62" t="s">
        <v>57</v>
      </c>
      <c r="HA62" t="s">
        <v>57</v>
      </c>
      <c r="HB62" t="s">
        <v>57</v>
      </c>
      <c r="HC62" t="s">
        <v>57</v>
      </c>
      <c r="HD62" t="s">
        <v>57</v>
      </c>
      <c r="HE62" t="s">
        <v>57</v>
      </c>
      <c r="HF62" t="s">
        <v>57</v>
      </c>
      <c r="HG62" t="s">
        <v>57</v>
      </c>
      <c r="HH62" t="s">
        <v>57</v>
      </c>
      <c r="HI62" t="s">
        <v>57</v>
      </c>
      <c r="HJ62" t="s">
        <v>57</v>
      </c>
      <c r="HK62" t="s">
        <v>57</v>
      </c>
      <c r="HL62" t="s">
        <v>57</v>
      </c>
      <c r="HM62" t="s">
        <v>57</v>
      </c>
      <c r="HN62" t="s">
        <v>57</v>
      </c>
      <c r="HO62" t="s">
        <v>57</v>
      </c>
      <c r="HP62" t="s">
        <v>57</v>
      </c>
      <c r="HQ62" t="s">
        <v>57</v>
      </c>
      <c r="HR62" t="s">
        <v>57</v>
      </c>
      <c r="HS62" t="s">
        <v>57</v>
      </c>
      <c r="HT62" t="s">
        <v>57</v>
      </c>
      <c r="HU62" t="s">
        <v>57</v>
      </c>
      <c r="HV62" t="s">
        <v>57</v>
      </c>
      <c r="HW62" t="s">
        <v>57</v>
      </c>
      <c r="HX62" t="s">
        <v>57</v>
      </c>
      <c r="HY62" t="s">
        <v>57</v>
      </c>
      <c r="HZ62" t="s">
        <v>57</v>
      </c>
      <c r="IA62" t="s">
        <v>57</v>
      </c>
      <c r="IB62" t="s">
        <v>57</v>
      </c>
      <c r="IC62" t="s">
        <v>57</v>
      </c>
      <c r="ID62" t="s">
        <v>57</v>
      </c>
      <c r="IE62" t="s">
        <v>57</v>
      </c>
      <c r="IF62" t="s">
        <v>124</v>
      </c>
      <c r="IG62" t="s">
        <v>155</v>
      </c>
      <c r="IH62" t="s">
        <v>123</v>
      </c>
      <c r="II62" t="s">
        <v>156</v>
      </c>
    </row>
    <row r="63" spans="1:243" x14ac:dyDescent="0.25">
      <c r="A63" s="111" t="str">
        <f>HYPERLINK("http://www.ofsted.gov.uk/inspection-reports/find-inspection-report/provider/ELS/116546 ","Ofsted School Webpage")</f>
        <v>Ofsted School Webpage</v>
      </c>
      <c r="B63">
        <v>116546</v>
      </c>
      <c r="C63">
        <v>8506029</v>
      </c>
      <c r="D63" t="s">
        <v>339</v>
      </c>
      <c r="E63" t="s">
        <v>36</v>
      </c>
      <c r="F63" t="s">
        <v>166</v>
      </c>
      <c r="G63" t="s">
        <v>139</v>
      </c>
      <c r="H63" t="s">
        <v>139</v>
      </c>
      <c r="I63" t="s">
        <v>158</v>
      </c>
      <c r="J63" t="s">
        <v>340</v>
      </c>
      <c r="K63" t="s">
        <v>142</v>
      </c>
      <c r="L63" t="s">
        <v>142</v>
      </c>
      <c r="M63" t="s">
        <v>2596</v>
      </c>
      <c r="N63" t="s">
        <v>143</v>
      </c>
      <c r="O63">
        <v>10025976</v>
      </c>
      <c r="P63" s="108">
        <v>43039</v>
      </c>
      <c r="Q63" s="108">
        <v>43041</v>
      </c>
      <c r="R63" s="108">
        <v>43061</v>
      </c>
      <c r="S63" t="s">
        <v>153</v>
      </c>
      <c r="T63" t="s">
        <v>154</v>
      </c>
      <c r="U63">
        <v>2</v>
      </c>
      <c r="V63">
        <v>2</v>
      </c>
      <c r="W63">
        <v>2</v>
      </c>
      <c r="X63">
        <v>2</v>
      </c>
      <c r="Y63">
        <v>2</v>
      </c>
      <c r="Z63">
        <v>2</v>
      </c>
      <c r="AA63" t="s">
        <v>2596</v>
      </c>
      <c r="AB63" t="s">
        <v>123</v>
      </c>
      <c r="AC63" t="s">
        <v>2596</v>
      </c>
      <c r="AD63" t="s">
        <v>2598</v>
      </c>
      <c r="AE63" t="s">
        <v>57</v>
      </c>
      <c r="AF63" t="s">
        <v>57</v>
      </c>
      <c r="AG63" t="s">
        <v>57</v>
      </c>
      <c r="AH63" t="s">
        <v>57</v>
      </c>
      <c r="AI63" t="s">
        <v>57</v>
      </c>
      <c r="AJ63" t="s">
        <v>57</v>
      </c>
      <c r="AK63" t="s">
        <v>57</v>
      </c>
      <c r="AL63" t="s">
        <v>57</v>
      </c>
      <c r="AM63" t="s">
        <v>57</v>
      </c>
      <c r="AN63" t="s">
        <v>57</v>
      </c>
      <c r="AO63" t="s">
        <v>57</v>
      </c>
      <c r="AP63" t="s">
        <v>57</v>
      </c>
      <c r="AQ63" t="s">
        <v>57</v>
      </c>
      <c r="AR63" t="s">
        <v>57</v>
      </c>
      <c r="AS63" t="s">
        <v>57</v>
      </c>
      <c r="AT63" t="s">
        <v>57</v>
      </c>
      <c r="AU63" t="s">
        <v>175</v>
      </c>
      <c r="AV63" t="s">
        <v>57</v>
      </c>
      <c r="AW63" t="s">
        <v>57</v>
      </c>
      <c r="AX63" t="s">
        <v>57</v>
      </c>
      <c r="AY63" t="s">
        <v>175</v>
      </c>
      <c r="AZ63" t="s">
        <v>175</v>
      </c>
      <c r="BA63" t="s">
        <v>175</v>
      </c>
      <c r="BB63" t="s">
        <v>175</v>
      </c>
      <c r="BC63" t="s">
        <v>57</v>
      </c>
      <c r="BD63" t="s">
        <v>175</v>
      </c>
      <c r="BE63" t="s">
        <v>57</v>
      </c>
      <c r="BF63" t="s">
        <v>57</v>
      </c>
      <c r="BG63" t="s">
        <v>57</v>
      </c>
      <c r="BH63" t="s">
        <v>57</v>
      </c>
      <c r="BI63" t="s">
        <v>57</v>
      </c>
      <c r="BJ63" t="s">
        <v>57</v>
      </c>
      <c r="BK63" t="s">
        <v>57</v>
      </c>
      <c r="BL63" t="s">
        <v>57</v>
      </c>
      <c r="BM63" t="s">
        <v>57</v>
      </c>
      <c r="BN63" t="s">
        <v>57</v>
      </c>
      <c r="BO63" t="s">
        <v>57</v>
      </c>
      <c r="BP63" t="s">
        <v>57</v>
      </c>
      <c r="BQ63" t="s">
        <v>57</v>
      </c>
      <c r="BR63" t="s">
        <v>57</v>
      </c>
      <c r="BS63" t="s">
        <v>57</v>
      </c>
      <c r="BT63" t="s">
        <v>57</v>
      </c>
      <c r="BU63" t="s">
        <v>57</v>
      </c>
      <c r="BV63" t="s">
        <v>57</v>
      </c>
      <c r="BW63" t="s">
        <v>57</v>
      </c>
      <c r="BX63" t="s">
        <v>57</v>
      </c>
      <c r="BY63" t="s">
        <v>57</v>
      </c>
      <c r="BZ63" t="s">
        <v>57</v>
      </c>
      <c r="CA63" t="s">
        <v>57</v>
      </c>
      <c r="CB63" t="s">
        <v>57</v>
      </c>
      <c r="CC63" t="s">
        <v>57</v>
      </c>
      <c r="CD63" t="s">
        <v>57</v>
      </c>
      <c r="CE63" t="s">
        <v>57</v>
      </c>
      <c r="CF63" t="s">
        <v>57</v>
      </c>
      <c r="CG63" t="s">
        <v>57</v>
      </c>
      <c r="CH63" t="s">
        <v>57</v>
      </c>
      <c r="CI63" t="s">
        <v>57</v>
      </c>
      <c r="CJ63" t="s">
        <v>57</v>
      </c>
      <c r="CK63" t="s">
        <v>175</v>
      </c>
      <c r="CL63" t="s">
        <v>175</v>
      </c>
      <c r="CM63" t="s">
        <v>175</v>
      </c>
      <c r="CN63" t="s">
        <v>57</v>
      </c>
      <c r="CO63" t="s">
        <v>57</v>
      </c>
      <c r="CP63" t="s">
        <v>57</v>
      </c>
      <c r="CQ63" t="s">
        <v>57</v>
      </c>
      <c r="CR63" t="s">
        <v>57</v>
      </c>
      <c r="CS63" t="s">
        <v>57</v>
      </c>
      <c r="CT63" t="s">
        <v>57</v>
      </c>
      <c r="CU63" t="s">
        <v>57</v>
      </c>
      <c r="CV63" t="s">
        <v>57</v>
      </c>
      <c r="CW63" t="s">
        <v>57</v>
      </c>
      <c r="CX63" t="s">
        <v>57</v>
      </c>
      <c r="CY63" t="s">
        <v>57</v>
      </c>
      <c r="CZ63" t="s">
        <v>57</v>
      </c>
      <c r="DA63" t="s">
        <v>57</v>
      </c>
      <c r="DB63" t="s">
        <v>57</v>
      </c>
      <c r="DC63" t="s">
        <v>57</v>
      </c>
      <c r="DD63" t="s">
        <v>57</v>
      </c>
      <c r="DE63" t="s">
        <v>57</v>
      </c>
      <c r="DF63" t="s">
        <v>57</v>
      </c>
      <c r="DG63" t="s">
        <v>57</v>
      </c>
      <c r="DH63" t="s">
        <v>57</v>
      </c>
      <c r="DI63" t="s">
        <v>57</v>
      </c>
      <c r="DJ63" t="s">
        <v>57</v>
      </c>
      <c r="DK63" t="s">
        <v>175</v>
      </c>
      <c r="DL63" t="s">
        <v>57</v>
      </c>
      <c r="DM63" t="s">
        <v>175</v>
      </c>
      <c r="DN63" t="s">
        <v>175</v>
      </c>
      <c r="DO63" t="s">
        <v>175</v>
      </c>
      <c r="DP63" t="s">
        <v>175</v>
      </c>
      <c r="DQ63" t="s">
        <v>175</v>
      </c>
      <c r="DR63" t="s">
        <v>175</v>
      </c>
      <c r="DS63" t="s">
        <v>175</v>
      </c>
      <c r="DT63" t="s">
        <v>175</v>
      </c>
      <c r="DU63" t="s">
        <v>175</v>
      </c>
      <c r="DV63" t="s">
        <v>175</v>
      </c>
      <c r="DW63" t="s">
        <v>175</v>
      </c>
      <c r="DX63" t="s">
        <v>175</v>
      </c>
      <c r="DY63" t="s">
        <v>175</v>
      </c>
      <c r="DZ63" t="s">
        <v>175</v>
      </c>
      <c r="EA63" t="s">
        <v>57</v>
      </c>
      <c r="EB63" t="s">
        <v>57</v>
      </c>
      <c r="EC63" t="s">
        <v>57</v>
      </c>
      <c r="ED63" t="s">
        <v>57</v>
      </c>
      <c r="EE63" t="s">
        <v>57</v>
      </c>
      <c r="EF63" t="s">
        <v>57</v>
      </c>
      <c r="EG63" t="s">
        <v>57</v>
      </c>
      <c r="EH63" t="s">
        <v>57</v>
      </c>
      <c r="EI63" t="s">
        <v>57</v>
      </c>
      <c r="EJ63" t="s">
        <v>57</v>
      </c>
      <c r="EK63" t="s">
        <v>57</v>
      </c>
      <c r="EL63" t="s">
        <v>57</v>
      </c>
      <c r="EM63" t="s">
        <v>57</v>
      </c>
      <c r="EN63" t="s">
        <v>57</v>
      </c>
      <c r="EO63" t="s">
        <v>57</v>
      </c>
      <c r="EP63" t="s">
        <v>57</v>
      </c>
      <c r="EQ63" t="s">
        <v>57</v>
      </c>
      <c r="ER63" t="s">
        <v>57</v>
      </c>
      <c r="ES63" t="s">
        <v>57</v>
      </c>
      <c r="ET63" t="s">
        <v>57</v>
      </c>
      <c r="EU63" t="s">
        <v>57</v>
      </c>
      <c r="EV63" t="s">
        <v>57</v>
      </c>
      <c r="EW63" t="s">
        <v>57</v>
      </c>
      <c r="EX63" t="s">
        <v>175</v>
      </c>
      <c r="EY63" t="s">
        <v>175</v>
      </c>
      <c r="EZ63" t="s">
        <v>175</v>
      </c>
      <c r="FA63" t="s">
        <v>175</v>
      </c>
      <c r="FB63" t="s">
        <v>175</v>
      </c>
      <c r="FC63" t="s">
        <v>175</v>
      </c>
      <c r="FD63" t="s">
        <v>175</v>
      </c>
      <c r="FE63" t="s">
        <v>57</v>
      </c>
      <c r="FF63" t="s">
        <v>57</v>
      </c>
      <c r="FG63" t="s">
        <v>57</v>
      </c>
      <c r="FH63" t="s">
        <v>57</v>
      </c>
      <c r="FI63" t="s">
        <v>57</v>
      </c>
      <c r="FJ63" t="s">
        <v>57</v>
      </c>
      <c r="FK63" t="s">
        <v>175</v>
      </c>
      <c r="FL63" t="s">
        <v>57</v>
      </c>
      <c r="FM63" t="s">
        <v>57</v>
      </c>
      <c r="FN63" t="s">
        <v>57</v>
      </c>
      <c r="FO63" t="s">
        <v>57</v>
      </c>
      <c r="FP63" t="s">
        <v>57</v>
      </c>
      <c r="FQ63" t="s">
        <v>57</v>
      </c>
      <c r="FR63" t="s">
        <v>57</v>
      </c>
      <c r="FS63" t="s">
        <v>57</v>
      </c>
      <c r="FT63" t="s">
        <v>57</v>
      </c>
      <c r="FU63" t="s">
        <v>57</v>
      </c>
      <c r="FV63" t="s">
        <v>57</v>
      </c>
      <c r="FW63" t="s">
        <v>57</v>
      </c>
      <c r="FX63" t="s">
        <v>57</v>
      </c>
      <c r="FY63" t="s">
        <v>57</v>
      </c>
      <c r="FZ63" t="s">
        <v>57</v>
      </c>
      <c r="GA63" t="s">
        <v>57</v>
      </c>
      <c r="GB63" t="s">
        <v>57</v>
      </c>
      <c r="GC63" t="s">
        <v>57</v>
      </c>
      <c r="GD63" t="s">
        <v>57</v>
      </c>
      <c r="GE63" t="s">
        <v>57</v>
      </c>
      <c r="GF63" t="s">
        <v>57</v>
      </c>
      <c r="GG63" t="s">
        <v>175</v>
      </c>
      <c r="GH63" t="s">
        <v>57</v>
      </c>
      <c r="GI63" t="s">
        <v>57</v>
      </c>
      <c r="GJ63" t="s">
        <v>57</v>
      </c>
      <c r="GK63" t="s">
        <v>57</v>
      </c>
      <c r="GL63" t="s">
        <v>57</v>
      </c>
      <c r="GM63" t="s">
        <v>57</v>
      </c>
      <c r="GN63" t="s">
        <v>57</v>
      </c>
      <c r="GO63" t="s">
        <v>57</v>
      </c>
      <c r="GP63" t="s">
        <v>175</v>
      </c>
      <c r="GQ63" t="s">
        <v>57</v>
      </c>
      <c r="GR63" t="s">
        <v>57</v>
      </c>
      <c r="GS63" t="s">
        <v>57</v>
      </c>
      <c r="GT63" t="s">
        <v>57</v>
      </c>
      <c r="GU63" t="s">
        <v>57</v>
      </c>
      <c r="GV63" t="s">
        <v>175</v>
      </c>
      <c r="GW63" t="s">
        <v>57</v>
      </c>
      <c r="GX63" t="s">
        <v>175</v>
      </c>
      <c r="GY63" t="s">
        <v>57</v>
      </c>
      <c r="GZ63" t="s">
        <v>57</v>
      </c>
      <c r="HA63" t="s">
        <v>57</v>
      </c>
      <c r="HB63" t="s">
        <v>57</v>
      </c>
      <c r="HC63" t="s">
        <v>57</v>
      </c>
      <c r="HD63" t="s">
        <v>57</v>
      </c>
      <c r="HE63" t="s">
        <v>57</v>
      </c>
      <c r="HF63" t="s">
        <v>57</v>
      </c>
      <c r="HG63" t="s">
        <v>57</v>
      </c>
      <c r="HH63" t="s">
        <v>175</v>
      </c>
      <c r="HI63" t="s">
        <v>175</v>
      </c>
      <c r="HJ63" t="s">
        <v>175</v>
      </c>
      <c r="HK63" t="s">
        <v>175</v>
      </c>
      <c r="HL63" t="s">
        <v>57</v>
      </c>
      <c r="HM63" t="s">
        <v>57</v>
      </c>
      <c r="HN63" t="s">
        <v>57</v>
      </c>
      <c r="HO63" t="s">
        <v>57</v>
      </c>
      <c r="HP63" t="s">
        <v>57</v>
      </c>
      <c r="HQ63" t="s">
        <v>57</v>
      </c>
      <c r="HR63" t="s">
        <v>57</v>
      </c>
      <c r="HS63" t="s">
        <v>57</v>
      </c>
      <c r="HT63" t="s">
        <v>57</v>
      </c>
      <c r="HU63" t="s">
        <v>57</v>
      </c>
      <c r="HV63" t="s">
        <v>57</v>
      </c>
      <c r="HW63" t="s">
        <v>57</v>
      </c>
      <c r="HX63" t="s">
        <v>57</v>
      </c>
      <c r="HY63" t="s">
        <v>57</v>
      </c>
      <c r="HZ63" t="s">
        <v>57</v>
      </c>
      <c r="IA63" t="s">
        <v>57</v>
      </c>
      <c r="IB63" t="s">
        <v>57</v>
      </c>
      <c r="IC63" t="s">
        <v>57</v>
      </c>
      <c r="ID63" t="s">
        <v>57</v>
      </c>
      <c r="IE63" t="s">
        <v>57</v>
      </c>
      <c r="IF63" t="s">
        <v>124</v>
      </c>
      <c r="IG63" t="s">
        <v>148</v>
      </c>
      <c r="IH63" t="s">
        <v>123</v>
      </c>
      <c r="II63" t="s">
        <v>156</v>
      </c>
    </row>
    <row r="64" spans="1:243" x14ac:dyDescent="0.25">
      <c r="A64" s="111" t="str">
        <f>HYPERLINK("http://www.ofsted.gov.uk/inspection-reports/find-inspection-report/provider/ELS/116564 ","Ofsted School Webpage")</f>
        <v>Ofsted School Webpage</v>
      </c>
      <c r="B64">
        <v>116564</v>
      </c>
      <c r="C64">
        <v>8506030</v>
      </c>
      <c r="D64" t="s">
        <v>337</v>
      </c>
      <c r="E64" t="s">
        <v>37</v>
      </c>
      <c r="F64" t="s">
        <v>138</v>
      </c>
      <c r="G64" t="s">
        <v>139</v>
      </c>
      <c r="H64" t="s">
        <v>139</v>
      </c>
      <c r="I64" t="s">
        <v>158</v>
      </c>
      <c r="J64" t="s">
        <v>338</v>
      </c>
      <c r="K64" t="s">
        <v>142</v>
      </c>
      <c r="L64" t="s">
        <v>142</v>
      </c>
      <c r="M64" t="s">
        <v>2596</v>
      </c>
      <c r="N64" t="s">
        <v>143</v>
      </c>
      <c r="O64">
        <v>10035876</v>
      </c>
      <c r="P64" s="108">
        <v>43011</v>
      </c>
      <c r="Q64" s="108">
        <v>43013</v>
      </c>
      <c r="R64" s="108">
        <v>43053</v>
      </c>
      <c r="S64" t="s">
        <v>3005</v>
      </c>
      <c r="T64" t="s">
        <v>154</v>
      </c>
      <c r="U64">
        <v>2</v>
      </c>
      <c r="V64">
        <v>2</v>
      </c>
      <c r="W64">
        <v>2</v>
      </c>
      <c r="X64">
        <v>2</v>
      </c>
      <c r="Y64">
        <v>2</v>
      </c>
      <c r="Z64" t="s">
        <v>2596</v>
      </c>
      <c r="AA64" t="s">
        <v>2596</v>
      </c>
      <c r="AB64" t="s">
        <v>123</v>
      </c>
      <c r="AC64" t="s">
        <v>2596</v>
      </c>
      <c r="AD64" t="s">
        <v>2598</v>
      </c>
      <c r="AE64" t="s">
        <v>57</v>
      </c>
      <c r="AF64" t="s">
        <v>57</v>
      </c>
      <c r="AG64" t="s">
        <v>57</v>
      </c>
      <c r="AH64" t="s">
        <v>57</v>
      </c>
      <c r="AI64" t="s">
        <v>57</v>
      </c>
      <c r="AJ64" t="s">
        <v>57</v>
      </c>
      <c r="AK64" t="s">
        <v>57</v>
      </c>
      <c r="AL64" t="s">
        <v>57</v>
      </c>
      <c r="AM64" t="s">
        <v>57</v>
      </c>
      <c r="AN64" t="s">
        <v>57</v>
      </c>
      <c r="AO64" t="s">
        <v>57</v>
      </c>
      <c r="AP64" t="s">
        <v>57</v>
      </c>
      <c r="AQ64" t="s">
        <v>57</v>
      </c>
      <c r="AR64" t="s">
        <v>57</v>
      </c>
      <c r="AS64" t="s">
        <v>57</v>
      </c>
      <c r="AT64" t="s">
        <v>57</v>
      </c>
      <c r="AU64" t="s">
        <v>175</v>
      </c>
      <c r="AV64" t="s">
        <v>57</v>
      </c>
      <c r="AW64" t="s">
        <v>57</v>
      </c>
      <c r="AX64" t="s">
        <v>57</v>
      </c>
      <c r="AY64" t="s">
        <v>57</v>
      </c>
      <c r="AZ64" t="s">
        <v>57</v>
      </c>
      <c r="BA64" t="s">
        <v>57</v>
      </c>
      <c r="BB64" t="s">
        <v>57</v>
      </c>
      <c r="BC64" t="s">
        <v>175</v>
      </c>
      <c r="BD64" t="s">
        <v>57</v>
      </c>
      <c r="BE64" t="s">
        <v>57</v>
      </c>
      <c r="BF64" t="s">
        <v>57</v>
      </c>
      <c r="BG64" t="s">
        <v>57</v>
      </c>
      <c r="BH64" t="s">
        <v>57</v>
      </c>
      <c r="BI64" t="s">
        <v>57</v>
      </c>
      <c r="BJ64" t="s">
        <v>57</v>
      </c>
      <c r="BK64" t="s">
        <v>57</v>
      </c>
      <c r="BL64" t="s">
        <v>57</v>
      </c>
      <c r="BM64" t="s">
        <v>57</v>
      </c>
      <c r="BN64" t="s">
        <v>57</v>
      </c>
      <c r="BO64" t="s">
        <v>57</v>
      </c>
      <c r="BP64" t="s">
        <v>57</v>
      </c>
      <c r="BQ64" t="s">
        <v>57</v>
      </c>
      <c r="BR64" t="s">
        <v>57</v>
      </c>
      <c r="BS64" t="s">
        <v>57</v>
      </c>
      <c r="BT64" t="s">
        <v>57</v>
      </c>
      <c r="BU64" t="s">
        <v>57</v>
      </c>
      <c r="BV64" t="s">
        <v>57</v>
      </c>
      <c r="BW64" t="s">
        <v>57</v>
      </c>
      <c r="BX64" t="s">
        <v>57</v>
      </c>
      <c r="BY64" t="s">
        <v>57</v>
      </c>
      <c r="BZ64" t="s">
        <v>57</v>
      </c>
      <c r="CA64" t="s">
        <v>57</v>
      </c>
      <c r="CB64" t="s">
        <v>57</v>
      </c>
      <c r="CC64" t="s">
        <v>57</v>
      </c>
      <c r="CD64" t="s">
        <v>57</v>
      </c>
      <c r="CE64" t="s">
        <v>57</v>
      </c>
      <c r="CF64" t="s">
        <v>57</v>
      </c>
      <c r="CG64" t="s">
        <v>57</v>
      </c>
      <c r="CH64" t="s">
        <v>57</v>
      </c>
      <c r="CI64" t="s">
        <v>57</v>
      </c>
      <c r="CJ64" t="s">
        <v>57</v>
      </c>
      <c r="CK64" t="s">
        <v>57</v>
      </c>
      <c r="CL64" t="s">
        <v>175</v>
      </c>
      <c r="CM64" t="s">
        <v>175</v>
      </c>
      <c r="CN64" t="s">
        <v>57</v>
      </c>
      <c r="CO64" t="s">
        <v>57</v>
      </c>
      <c r="CP64" t="s">
        <v>57</v>
      </c>
      <c r="CQ64" t="s">
        <v>57</v>
      </c>
      <c r="CR64" t="s">
        <v>57</v>
      </c>
      <c r="CS64" t="s">
        <v>57</v>
      </c>
      <c r="CT64" t="s">
        <v>57</v>
      </c>
      <c r="CU64" t="s">
        <v>57</v>
      </c>
      <c r="CV64" t="s">
        <v>57</v>
      </c>
      <c r="CW64" t="s">
        <v>57</v>
      </c>
      <c r="CX64" t="s">
        <v>57</v>
      </c>
      <c r="CY64" t="s">
        <v>57</v>
      </c>
      <c r="CZ64" t="s">
        <v>57</v>
      </c>
      <c r="DA64" t="s">
        <v>57</v>
      </c>
      <c r="DB64" t="s">
        <v>57</v>
      </c>
      <c r="DC64" t="s">
        <v>57</v>
      </c>
      <c r="DD64" t="s">
        <v>57</v>
      </c>
      <c r="DE64" t="s">
        <v>57</v>
      </c>
      <c r="DF64" t="s">
        <v>57</v>
      </c>
      <c r="DG64" t="s">
        <v>57</v>
      </c>
      <c r="DH64" t="s">
        <v>57</v>
      </c>
      <c r="DI64" t="s">
        <v>57</v>
      </c>
      <c r="DJ64" t="s">
        <v>57</v>
      </c>
      <c r="DK64" t="s">
        <v>175</v>
      </c>
      <c r="DL64" t="s">
        <v>57</v>
      </c>
      <c r="DM64" t="s">
        <v>57</v>
      </c>
      <c r="DN64" t="s">
        <v>57</v>
      </c>
      <c r="DO64" t="s">
        <v>57</v>
      </c>
      <c r="DP64" t="s">
        <v>57</v>
      </c>
      <c r="DQ64" t="s">
        <v>57</v>
      </c>
      <c r="DR64" t="s">
        <v>57</v>
      </c>
      <c r="DS64" t="s">
        <v>57</v>
      </c>
      <c r="DT64" t="s">
        <v>57</v>
      </c>
      <c r="DU64" t="s">
        <v>57</v>
      </c>
      <c r="DV64" t="s">
        <v>57</v>
      </c>
      <c r="DW64" t="s">
        <v>57</v>
      </c>
      <c r="DX64" t="s">
        <v>57</v>
      </c>
      <c r="DY64" t="s">
        <v>175</v>
      </c>
      <c r="DZ64" t="s">
        <v>57</v>
      </c>
      <c r="EA64" t="s">
        <v>57</v>
      </c>
      <c r="EB64" t="s">
        <v>57</v>
      </c>
      <c r="EC64" t="s">
        <v>57</v>
      </c>
      <c r="ED64" t="s">
        <v>57</v>
      </c>
      <c r="EE64" t="s">
        <v>57</v>
      </c>
      <c r="EF64" t="s">
        <v>57</v>
      </c>
      <c r="EG64" t="s">
        <v>57</v>
      </c>
      <c r="EH64" t="s">
        <v>57</v>
      </c>
      <c r="EI64" t="s">
        <v>57</v>
      </c>
      <c r="EJ64" t="s">
        <v>57</v>
      </c>
      <c r="EK64" t="s">
        <v>57</v>
      </c>
      <c r="EL64" t="s">
        <v>57</v>
      </c>
      <c r="EM64" t="s">
        <v>57</v>
      </c>
      <c r="EN64" t="s">
        <v>57</v>
      </c>
      <c r="EO64" t="s">
        <v>57</v>
      </c>
      <c r="EP64" t="s">
        <v>57</v>
      </c>
      <c r="EQ64" t="s">
        <v>57</v>
      </c>
      <c r="ER64" t="s">
        <v>57</v>
      </c>
      <c r="ES64" t="s">
        <v>57</v>
      </c>
      <c r="ET64" t="s">
        <v>57</v>
      </c>
      <c r="EU64" t="s">
        <v>57</v>
      </c>
      <c r="EV64" t="s">
        <v>57</v>
      </c>
      <c r="EW64" t="s">
        <v>57</v>
      </c>
      <c r="EX64" t="s">
        <v>57</v>
      </c>
      <c r="EY64" t="s">
        <v>57</v>
      </c>
      <c r="EZ64" t="s">
        <v>57</v>
      </c>
      <c r="FA64" t="s">
        <v>57</v>
      </c>
      <c r="FB64" t="s">
        <v>57</v>
      </c>
      <c r="FC64" t="s">
        <v>57</v>
      </c>
      <c r="FD64" t="s">
        <v>57</v>
      </c>
      <c r="FE64" t="s">
        <v>57</v>
      </c>
      <c r="FF64" t="s">
        <v>57</v>
      </c>
      <c r="FG64" t="s">
        <v>57</v>
      </c>
      <c r="FH64" t="s">
        <v>57</v>
      </c>
      <c r="FI64" t="s">
        <v>57</v>
      </c>
      <c r="FJ64" t="s">
        <v>57</v>
      </c>
      <c r="FK64" t="s">
        <v>57</v>
      </c>
      <c r="FL64" t="s">
        <v>57</v>
      </c>
      <c r="FM64" t="s">
        <v>57</v>
      </c>
      <c r="FN64" t="s">
        <v>57</v>
      </c>
      <c r="FO64" t="s">
        <v>57</v>
      </c>
      <c r="FP64" t="s">
        <v>57</v>
      </c>
      <c r="FQ64" t="s">
        <v>57</v>
      </c>
      <c r="FR64" t="s">
        <v>57</v>
      </c>
      <c r="FS64" t="s">
        <v>57</v>
      </c>
      <c r="FT64" t="s">
        <v>57</v>
      </c>
      <c r="FU64" t="s">
        <v>57</v>
      </c>
      <c r="FV64" t="s">
        <v>57</v>
      </c>
      <c r="FW64" t="s">
        <v>57</v>
      </c>
      <c r="FX64" t="s">
        <v>57</v>
      </c>
      <c r="FY64" t="s">
        <v>57</v>
      </c>
      <c r="FZ64" t="s">
        <v>57</v>
      </c>
      <c r="GA64" t="s">
        <v>57</v>
      </c>
      <c r="GB64" t="s">
        <v>57</v>
      </c>
      <c r="GC64" t="s">
        <v>57</v>
      </c>
      <c r="GD64" t="s">
        <v>57</v>
      </c>
      <c r="GE64" t="s">
        <v>57</v>
      </c>
      <c r="GF64" t="s">
        <v>57</v>
      </c>
      <c r="GG64" t="s">
        <v>175</v>
      </c>
      <c r="GH64" t="s">
        <v>57</v>
      </c>
      <c r="GI64" t="s">
        <v>57</v>
      </c>
      <c r="GJ64" t="s">
        <v>57</v>
      </c>
      <c r="GK64" t="s">
        <v>57</v>
      </c>
      <c r="GL64" t="s">
        <v>57</v>
      </c>
      <c r="GM64" t="s">
        <v>57</v>
      </c>
      <c r="GN64" t="s">
        <v>57</v>
      </c>
      <c r="GO64" t="s">
        <v>57</v>
      </c>
      <c r="GP64" t="s">
        <v>57</v>
      </c>
      <c r="GQ64" t="s">
        <v>57</v>
      </c>
      <c r="GR64" t="s">
        <v>57</v>
      </c>
      <c r="GS64" t="s">
        <v>57</v>
      </c>
      <c r="GT64" t="s">
        <v>57</v>
      </c>
      <c r="GU64" t="s">
        <v>57</v>
      </c>
      <c r="GV64" t="s">
        <v>175</v>
      </c>
      <c r="GW64" t="s">
        <v>57</v>
      </c>
      <c r="GX64" t="s">
        <v>57</v>
      </c>
      <c r="GY64" t="s">
        <v>57</v>
      </c>
      <c r="GZ64" t="s">
        <v>57</v>
      </c>
      <c r="HA64" t="s">
        <v>57</v>
      </c>
      <c r="HB64" t="s">
        <v>57</v>
      </c>
      <c r="HC64" t="s">
        <v>57</v>
      </c>
      <c r="HD64" t="s">
        <v>57</v>
      </c>
      <c r="HE64" t="s">
        <v>57</v>
      </c>
      <c r="HF64" t="s">
        <v>57</v>
      </c>
      <c r="HG64" t="s">
        <v>57</v>
      </c>
      <c r="HH64" t="s">
        <v>57</v>
      </c>
      <c r="HI64" t="s">
        <v>175</v>
      </c>
      <c r="HJ64" t="s">
        <v>175</v>
      </c>
      <c r="HK64" t="s">
        <v>175</v>
      </c>
      <c r="HL64" t="s">
        <v>57</v>
      </c>
      <c r="HM64" t="s">
        <v>57</v>
      </c>
      <c r="HN64" t="s">
        <v>57</v>
      </c>
      <c r="HO64" t="s">
        <v>57</v>
      </c>
      <c r="HP64" t="s">
        <v>57</v>
      </c>
      <c r="HQ64" t="s">
        <v>57</v>
      </c>
      <c r="HR64" t="s">
        <v>57</v>
      </c>
      <c r="HS64" t="s">
        <v>57</v>
      </c>
      <c r="HT64" t="s">
        <v>57</v>
      </c>
      <c r="HU64" t="s">
        <v>57</v>
      </c>
      <c r="HV64" t="s">
        <v>57</v>
      </c>
      <c r="HW64" t="s">
        <v>57</v>
      </c>
      <c r="HX64" t="s">
        <v>57</v>
      </c>
      <c r="HY64" t="s">
        <v>57</v>
      </c>
      <c r="HZ64" t="s">
        <v>57</v>
      </c>
      <c r="IA64" t="s">
        <v>57</v>
      </c>
      <c r="IB64" t="s">
        <v>57</v>
      </c>
      <c r="IC64" t="s">
        <v>57</v>
      </c>
      <c r="ID64" t="s">
        <v>57</v>
      </c>
      <c r="IE64" t="s">
        <v>57</v>
      </c>
      <c r="IF64" t="s">
        <v>123</v>
      </c>
      <c r="IG64" t="s">
        <v>123</v>
      </c>
      <c r="IH64" t="s">
        <v>123</v>
      </c>
      <c r="II64" t="s">
        <v>156</v>
      </c>
    </row>
    <row r="65" spans="1:243" x14ac:dyDescent="0.25">
      <c r="A65" s="111" t="str">
        <f>HYPERLINK("http://www.ofsted.gov.uk/inspection-reports/find-inspection-report/provider/ELS/116594 ","Ofsted School Webpage")</f>
        <v>Ofsted School Webpage</v>
      </c>
      <c r="B65">
        <v>116594</v>
      </c>
      <c r="C65">
        <v>8506062</v>
      </c>
      <c r="D65" t="s">
        <v>373</v>
      </c>
      <c r="E65" t="s">
        <v>36</v>
      </c>
      <c r="F65" t="s">
        <v>166</v>
      </c>
      <c r="G65" t="s">
        <v>139</v>
      </c>
      <c r="H65" t="s">
        <v>139</v>
      </c>
      <c r="I65" t="s">
        <v>158</v>
      </c>
      <c r="J65" t="s">
        <v>374</v>
      </c>
      <c r="K65" t="s">
        <v>369</v>
      </c>
      <c r="L65" t="s">
        <v>369</v>
      </c>
      <c r="M65" t="s">
        <v>2596</v>
      </c>
      <c r="N65" t="s">
        <v>143</v>
      </c>
      <c r="O65">
        <v>10006334</v>
      </c>
      <c r="P65" s="108">
        <v>43018</v>
      </c>
      <c r="Q65" s="108">
        <v>43020</v>
      </c>
      <c r="R65" s="108">
        <v>43060</v>
      </c>
      <c r="S65" t="s">
        <v>224</v>
      </c>
      <c r="T65" t="s">
        <v>154</v>
      </c>
      <c r="U65">
        <v>4</v>
      </c>
      <c r="V65">
        <v>4</v>
      </c>
      <c r="W65">
        <v>4</v>
      </c>
      <c r="X65">
        <v>2</v>
      </c>
      <c r="Y65">
        <v>2</v>
      </c>
      <c r="Z65" t="s">
        <v>2596</v>
      </c>
      <c r="AA65">
        <v>4</v>
      </c>
      <c r="AB65" t="s">
        <v>124</v>
      </c>
      <c r="AC65" t="s">
        <v>2596</v>
      </c>
      <c r="AD65" t="s">
        <v>2599</v>
      </c>
      <c r="AE65" t="s">
        <v>58</v>
      </c>
      <c r="AF65" t="s">
        <v>57</v>
      </c>
      <c r="AG65" t="s">
        <v>58</v>
      </c>
      <c r="AH65" t="s">
        <v>58</v>
      </c>
      <c r="AI65" t="s">
        <v>57</v>
      </c>
      <c r="AJ65" t="s">
        <v>58</v>
      </c>
      <c r="AK65" t="s">
        <v>57</v>
      </c>
      <c r="AL65" t="s">
        <v>58</v>
      </c>
      <c r="AM65" t="s">
        <v>58</v>
      </c>
      <c r="AN65" t="s">
        <v>58</v>
      </c>
      <c r="AO65" t="s">
        <v>58</v>
      </c>
      <c r="AP65" t="s">
        <v>58</v>
      </c>
      <c r="AQ65" t="s">
        <v>58</v>
      </c>
      <c r="AR65" t="s">
        <v>57</v>
      </c>
      <c r="AS65" t="s">
        <v>57</v>
      </c>
      <c r="AT65" t="s">
        <v>57</v>
      </c>
      <c r="AU65" t="s">
        <v>148</v>
      </c>
      <c r="AV65" t="s">
        <v>57</v>
      </c>
      <c r="AW65" t="s">
        <v>57</v>
      </c>
      <c r="AX65" t="s">
        <v>57</v>
      </c>
      <c r="AY65" t="s">
        <v>57</v>
      </c>
      <c r="AZ65" t="s">
        <v>57</v>
      </c>
      <c r="BA65" t="s">
        <v>57</v>
      </c>
      <c r="BB65" t="s">
        <v>57</v>
      </c>
      <c r="BC65" t="s">
        <v>148</v>
      </c>
      <c r="BD65" t="s">
        <v>57</v>
      </c>
      <c r="BE65" t="s">
        <v>57</v>
      </c>
      <c r="BF65" t="s">
        <v>57</v>
      </c>
      <c r="BG65" t="s">
        <v>57</v>
      </c>
      <c r="BH65" t="s">
        <v>57</v>
      </c>
      <c r="BI65" t="s">
        <v>57</v>
      </c>
      <c r="BJ65" t="s">
        <v>57</v>
      </c>
      <c r="BK65" t="s">
        <v>57</v>
      </c>
      <c r="BL65" t="s">
        <v>57</v>
      </c>
      <c r="BM65" t="s">
        <v>57</v>
      </c>
      <c r="BN65" t="s">
        <v>57</v>
      </c>
      <c r="BO65" t="s">
        <v>57</v>
      </c>
      <c r="BP65" t="s">
        <v>57</v>
      </c>
      <c r="BQ65" t="s">
        <v>57</v>
      </c>
      <c r="BR65" t="s">
        <v>57</v>
      </c>
      <c r="BS65" t="s">
        <v>57</v>
      </c>
      <c r="BT65" t="s">
        <v>57</v>
      </c>
      <c r="BU65" t="s">
        <v>57</v>
      </c>
      <c r="BV65" t="s">
        <v>57</v>
      </c>
      <c r="BW65" t="s">
        <v>57</v>
      </c>
      <c r="BX65" t="s">
        <v>57</v>
      </c>
      <c r="BY65" t="s">
        <v>57</v>
      </c>
      <c r="BZ65" t="s">
        <v>57</v>
      </c>
      <c r="CA65" t="s">
        <v>57</v>
      </c>
      <c r="CB65" t="s">
        <v>57</v>
      </c>
      <c r="CC65" t="s">
        <v>57</v>
      </c>
      <c r="CD65" t="s">
        <v>57</v>
      </c>
      <c r="CE65" t="s">
        <v>57</v>
      </c>
      <c r="CF65" t="s">
        <v>57</v>
      </c>
      <c r="CG65" t="s">
        <v>57</v>
      </c>
      <c r="CH65" t="s">
        <v>58</v>
      </c>
      <c r="CI65" t="s">
        <v>58</v>
      </c>
      <c r="CJ65" t="s">
        <v>58</v>
      </c>
      <c r="CK65" t="s">
        <v>58</v>
      </c>
      <c r="CL65" t="s">
        <v>58</v>
      </c>
      <c r="CM65" t="s">
        <v>58</v>
      </c>
      <c r="CN65" t="s">
        <v>58</v>
      </c>
      <c r="CO65" t="s">
        <v>58</v>
      </c>
      <c r="CP65" t="s">
        <v>58</v>
      </c>
      <c r="CQ65" t="s">
        <v>57</v>
      </c>
      <c r="CR65" t="s">
        <v>57</v>
      </c>
      <c r="CS65" t="s">
        <v>57</v>
      </c>
      <c r="CT65" t="s">
        <v>58</v>
      </c>
      <c r="CU65" t="s">
        <v>57</v>
      </c>
      <c r="CV65" t="s">
        <v>57</v>
      </c>
      <c r="CW65" t="s">
        <v>57</v>
      </c>
      <c r="CX65" t="s">
        <v>58</v>
      </c>
      <c r="CY65" t="s">
        <v>58</v>
      </c>
      <c r="CZ65" t="s">
        <v>58</v>
      </c>
      <c r="DA65" t="s">
        <v>58</v>
      </c>
      <c r="DB65" t="s">
        <v>58</v>
      </c>
      <c r="DC65" t="s">
        <v>58</v>
      </c>
      <c r="DD65" t="s">
        <v>58</v>
      </c>
      <c r="DE65" t="s">
        <v>58</v>
      </c>
      <c r="DF65" t="s">
        <v>58</v>
      </c>
      <c r="DG65" t="s">
        <v>58</v>
      </c>
      <c r="DH65" t="s">
        <v>58</v>
      </c>
      <c r="DI65" t="s">
        <v>58</v>
      </c>
      <c r="DJ65" t="s">
        <v>58</v>
      </c>
      <c r="DK65" t="s">
        <v>58</v>
      </c>
      <c r="DL65" t="s">
        <v>58</v>
      </c>
      <c r="DM65" t="s">
        <v>148</v>
      </c>
      <c r="DN65" t="s">
        <v>148</v>
      </c>
      <c r="DO65" t="s">
        <v>148</v>
      </c>
      <c r="DP65" t="s">
        <v>148</v>
      </c>
      <c r="DQ65" t="s">
        <v>148</v>
      </c>
      <c r="DR65" t="s">
        <v>148</v>
      </c>
      <c r="DS65" t="s">
        <v>148</v>
      </c>
      <c r="DT65" t="s">
        <v>148</v>
      </c>
      <c r="DU65" t="s">
        <v>148</v>
      </c>
      <c r="DV65" t="s">
        <v>148</v>
      </c>
      <c r="DW65" t="s">
        <v>148</v>
      </c>
      <c r="DX65" t="s">
        <v>148</v>
      </c>
      <c r="DY65" t="s">
        <v>148</v>
      </c>
      <c r="DZ65" t="s">
        <v>148</v>
      </c>
      <c r="EA65" t="s">
        <v>57</v>
      </c>
      <c r="EB65" t="s">
        <v>57</v>
      </c>
      <c r="EC65" t="s">
        <v>57</v>
      </c>
      <c r="ED65" t="s">
        <v>57</v>
      </c>
      <c r="EE65" t="s">
        <v>57</v>
      </c>
      <c r="EF65" t="s">
        <v>57</v>
      </c>
      <c r="EG65" t="s">
        <v>57</v>
      </c>
      <c r="EH65" t="s">
        <v>57</v>
      </c>
      <c r="EI65" t="s">
        <v>57</v>
      </c>
      <c r="EJ65" t="s">
        <v>58</v>
      </c>
      <c r="EK65" t="s">
        <v>57</v>
      </c>
      <c r="EL65" t="s">
        <v>58</v>
      </c>
      <c r="EM65" t="s">
        <v>58</v>
      </c>
      <c r="EN65" t="s">
        <v>58</v>
      </c>
      <c r="EO65" t="s">
        <v>58</v>
      </c>
      <c r="EP65" t="s">
        <v>58</v>
      </c>
      <c r="EQ65" t="s">
        <v>58</v>
      </c>
      <c r="ER65" t="s">
        <v>58</v>
      </c>
      <c r="ES65" t="s">
        <v>58</v>
      </c>
      <c r="ET65" t="s">
        <v>58</v>
      </c>
      <c r="EU65" t="s">
        <v>58</v>
      </c>
      <c r="EV65" t="s">
        <v>58</v>
      </c>
      <c r="EW65" t="s">
        <v>58</v>
      </c>
      <c r="EX65" t="s">
        <v>148</v>
      </c>
      <c r="EY65" t="s">
        <v>148</v>
      </c>
      <c r="EZ65" t="s">
        <v>148</v>
      </c>
      <c r="FA65" t="s">
        <v>148</v>
      </c>
      <c r="FB65" t="s">
        <v>148</v>
      </c>
      <c r="FC65" t="s">
        <v>148</v>
      </c>
      <c r="FD65" t="s">
        <v>57</v>
      </c>
      <c r="FE65" t="s">
        <v>57</v>
      </c>
      <c r="FF65" t="s">
        <v>57</v>
      </c>
      <c r="FG65" t="s">
        <v>57</v>
      </c>
      <c r="FH65" t="s">
        <v>57</v>
      </c>
      <c r="FI65" t="s">
        <v>57</v>
      </c>
      <c r="FJ65" t="s">
        <v>57</v>
      </c>
      <c r="FK65" t="s">
        <v>57</v>
      </c>
      <c r="FL65" t="s">
        <v>57</v>
      </c>
      <c r="FM65" t="s">
        <v>57</v>
      </c>
      <c r="FN65" t="s">
        <v>57</v>
      </c>
      <c r="FO65" t="s">
        <v>148</v>
      </c>
      <c r="FP65" t="s">
        <v>57</v>
      </c>
      <c r="FQ65" t="s">
        <v>57</v>
      </c>
      <c r="FR65" t="s">
        <v>57</v>
      </c>
      <c r="FS65" t="s">
        <v>57</v>
      </c>
      <c r="FT65" t="s">
        <v>57</v>
      </c>
      <c r="FU65" t="s">
        <v>57</v>
      </c>
      <c r="FV65" t="s">
        <v>57</v>
      </c>
      <c r="FW65" t="s">
        <v>57</v>
      </c>
      <c r="FX65" t="s">
        <v>57</v>
      </c>
      <c r="FY65" t="s">
        <v>57</v>
      </c>
      <c r="FZ65" t="s">
        <v>57</v>
      </c>
      <c r="GA65" t="s">
        <v>57</v>
      </c>
      <c r="GB65" t="s">
        <v>57</v>
      </c>
      <c r="GC65" t="s">
        <v>57</v>
      </c>
      <c r="GD65" t="s">
        <v>57</v>
      </c>
      <c r="GE65" t="s">
        <v>57</v>
      </c>
      <c r="GF65" t="s">
        <v>57</v>
      </c>
      <c r="GG65" t="s">
        <v>57</v>
      </c>
      <c r="GH65" t="s">
        <v>58</v>
      </c>
      <c r="GI65" t="s">
        <v>58</v>
      </c>
      <c r="GJ65" t="s">
        <v>57</v>
      </c>
      <c r="GK65" t="s">
        <v>57</v>
      </c>
      <c r="GL65" t="s">
        <v>57</v>
      </c>
      <c r="GM65" t="s">
        <v>57</v>
      </c>
      <c r="GN65" t="s">
        <v>57</v>
      </c>
      <c r="GO65" t="s">
        <v>57</v>
      </c>
      <c r="GP65" t="s">
        <v>148</v>
      </c>
      <c r="GQ65" t="s">
        <v>148</v>
      </c>
      <c r="GR65" t="s">
        <v>57</v>
      </c>
      <c r="GS65" t="s">
        <v>57</v>
      </c>
      <c r="GT65" t="s">
        <v>57</v>
      </c>
      <c r="GU65" t="s">
        <v>57</v>
      </c>
      <c r="GV65" t="s">
        <v>148</v>
      </c>
      <c r="GW65" t="s">
        <v>57</v>
      </c>
      <c r="GX65" t="s">
        <v>148</v>
      </c>
      <c r="GY65" t="s">
        <v>57</v>
      </c>
      <c r="GZ65" t="s">
        <v>58</v>
      </c>
      <c r="HA65" t="s">
        <v>58</v>
      </c>
      <c r="HB65" t="s">
        <v>148</v>
      </c>
      <c r="HC65" t="s">
        <v>58</v>
      </c>
      <c r="HD65" t="s">
        <v>58</v>
      </c>
      <c r="HE65" t="s">
        <v>57</v>
      </c>
      <c r="HF65" t="s">
        <v>57</v>
      </c>
      <c r="HG65" t="s">
        <v>57</v>
      </c>
      <c r="HH65" t="s">
        <v>57</v>
      </c>
      <c r="HI65" t="s">
        <v>57</v>
      </c>
      <c r="HJ65" t="s">
        <v>57</v>
      </c>
      <c r="HK65" t="s">
        <v>57</v>
      </c>
      <c r="HL65" t="s">
        <v>57</v>
      </c>
      <c r="HM65" t="s">
        <v>57</v>
      </c>
      <c r="HN65" t="s">
        <v>57</v>
      </c>
      <c r="HO65" t="s">
        <v>57</v>
      </c>
      <c r="HP65" t="s">
        <v>57</v>
      </c>
      <c r="HQ65" t="s">
        <v>57</v>
      </c>
      <c r="HR65" t="s">
        <v>57</v>
      </c>
      <c r="HS65" t="s">
        <v>57</v>
      </c>
      <c r="HT65" t="s">
        <v>57</v>
      </c>
      <c r="HU65" t="s">
        <v>57</v>
      </c>
      <c r="HV65" t="s">
        <v>57</v>
      </c>
      <c r="HW65" t="s">
        <v>57</v>
      </c>
      <c r="HX65" t="s">
        <v>57</v>
      </c>
      <c r="HY65" t="s">
        <v>57</v>
      </c>
      <c r="HZ65" t="s">
        <v>57</v>
      </c>
      <c r="IA65" t="s">
        <v>57</v>
      </c>
      <c r="IB65" t="s">
        <v>58</v>
      </c>
      <c r="IC65" t="s">
        <v>58</v>
      </c>
      <c r="ID65" t="s">
        <v>58</v>
      </c>
      <c r="IE65" t="s">
        <v>58</v>
      </c>
      <c r="IF65" t="s">
        <v>124</v>
      </c>
      <c r="IG65" t="s">
        <v>155</v>
      </c>
      <c r="IH65" t="s">
        <v>123</v>
      </c>
      <c r="II65" t="s">
        <v>156</v>
      </c>
    </row>
    <row r="66" spans="1:243" x14ac:dyDescent="0.25">
      <c r="A66" s="111" t="str">
        <f>HYPERLINK("http://www.ofsted.gov.uk/inspection-reports/find-inspection-report/provider/ELS/117030 ","Ofsted School Webpage")</f>
        <v>Ofsted School Webpage</v>
      </c>
      <c r="B66">
        <v>117030</v>
      </c>
      <c r="C66">
        <v>8856021</v>
      </c>
      <c r="D66" t="s">
        <v>946</v>
      </c>
      <c r="E66" t="s">
        <v>37</v>
      </c>
      <c r="F66" t="s">
        <v>138</v>
      </c>
      <c r="G66" t="s">
        <v>150</v>
      </c>
      <c r="H66" t="s">
        <v>150</v>
      </c>
      <c r="I66" t="s">
        <v>842</v>
      </c>
      <c r="J66" t="s">
        <v>947</v>
      </c>
      <c r="K66" t="s">
        <v>142</v>
      </c>
      <c r="L66" t="s">
        <v>142</v>
      </c>
      <c r="M66" t="s">
        <v>2596</v>
      </c>
      <c r="N66" t="s">
        <v>143</v>
      </c>
      <c r="O66">
        <v>10020929</v>
      </c>
      <c r="P66" s="108">
        <v>43046</v>
      </c>
      <c r="Q66" s="108">
        <v>43048</v>
      </c>
      <c r="R66" s="108">
        <v>43123</v>
      </c>
      <c r="S66" t="s">
        <v>153</v>
      </c>
      <c r="T66" t="s">
        <v>154</v>
      </c>
      <c r="U66">
        <v>2</v>
      </c>
      <c r="V66">
        <v>2</v>
      </c>
      <c r="W66">
        <v>2</v>
      </c>
      <c r="X66">
        <v>2</v>
      </c>
      <c r="Y66">
        <v>2</v>
      </c>
      <c r="Z66" t="s">
        <v>2596</v>
      </c>
      <c r="AA66">
        <v>2</v>
      </c>
      <c r="AB66" t="s">
        <v>123</v>
      </c>
      <c r="AC66" t="s">
        <v>2596</v>
      </c>
      <c r="AD66" t="s">
        <v>2598</v>
      </c>
      <c r="AE66" t="s">
        <v>57</v>
      </c>
      <c r="AF66" t="s">
        <v>57</v>
      </c>
      <c r="AG66" t="s">
        <v>57</v>
      </c>
      <c r="AH66" t="s">
        <v>57</v>
      </c>
      <c r="AI66" t="s">
        <v>57</v>
      </c>
      <c r="AJ66" t="s">
        <v>57</v>
      </c>
      <c r="AK66" t="s">
        <v>57</v>
      </c>
      <c r="AL66" t="s">
        <v>57</v>
      </c>
      <c r="AM66" t="s">
        <v>57</v>
      </c>
      <c r="AN66" t="s">
        <v>57</v>
      </c>
      <c r="AO66" t="s">
        <v>57</v>
      </c>
      <c r="AP66" t="s">
        <v>57</v>
      </c>
      <c r="AQ66" t="s">
        <v>57</v>
      </c>
      <c r="AR66" t="s">
        <v>57</v>
      </c>
      <c r="AS66" t="s">
        <v>57</v>
      </c>
      <c r="AT66" t="s">
        <v>57</v>
      </c>
      <c r="AU66" t="s">
        <v>148</v>
      </c>
      <c r="AV66" t="s">
        <v>57</v>
      </c>
      <c r="AW66" t="s">
        <v>57</v>
      </c>
      <c r="AX66" t="s">
        <v>57</v>
      </c>
      <c r="AY66" t="s">
        <v>57</v>
      </c>
      <c r="AZ66" t="s">
        <v>57</v>
      </c>
      <c r="BA66" t="s">
        <v>57</v>
      </c>
      <c r="BB66" t="s">
        <v>57</v>
      </c>
      <c r="BC66" t="s">
        <v>148</v>
      </c>
      <c r="BD66" t="s">
        <v>57</v>
      </c>
      <c r="BE66" t="s">
        <v>57</v>
      </c>
      <c r="BF66" t="s">
        <v>57</v>
      </c>
      <c r="BG66" t="s">
        <v>57</v>
      </c>
      <c r="BH66" t="s">
        <v>57</v>
      </c>
      <c r="BI66" t="s">
        <v>57</v>
      </c>
      <c r="BJ66" t="s">
        <v>57</v>
      </c>
      <c r="BK66" t="s">
        <v>57</v>
      </c>
      <c r="BL66" t="s">
        <v>57</v>
      </c>
      <c r="BM66" t="s">
        <v>57</v>
      </c>
      <c r="BN66" t="s">
        <v>57</v>
      </c>
      <c r="BO66" t="s">
        <v>57</v>
      </c>
      <c r="BP66" t="s">
        <v>57</v>
      </c>
      <c r="BQ66" t="s">
        <v>57</v>
      </c>
      <c r="BR66" t="s">
        <v>57</v>
      </c>
      <c r="BS66" t="s">
        <v>57</v>
      </c>
      <c r="BT66" t="s">
        <v>57</v>
      </c>
      <c r="BU66" t="s">
        <v>57</v>
      </c>
      <c r="BV66" t="s">
        <v>57</v>
      </c>
      <c r="BW66" t="s">
        <v>57</v>
      </c>
      <c r="BX66" t="s">
        <v>57</v>
      </c>
      <c r="BY66" t="s">
        <v>57</v>
      </c>
      <c r="BZ66" t="s">
        <v>57</v>
      </c>
      <c r="CA66" t="s">
        <v>57</v>
      </c>
      <c r="CB66" t="s">
        <v>57</v>
      </c>
      <c r="CC66" t="s">
        <v>57</v>
      </c>
      <c r="CD66" t="s">
        <v>57</v>
      </c>
      <c r="CE66" t="s">
        <v>57</v>
      </c>
      <c r="CF66" t="s">
        <v>57</v>
      </c>
      <c r="CG66" t="s">
        <v>57</v>
      </c>
      <c r="CH66" t="s">
        <v>57</v>
      </c>
      <c r="CI66" t="s">
        <v>57</v>
      </c>
      <c r="CJ66" t="s">
        <v>57</v>
      </c>
      <c r="CK66" t="s">
        <v>57</v>
      </c>
      <c r="CL66" t="s">
        <v>57</v>
      </c>
      <c r="CM66" t="s">
        <v>57</v>
      </c>
      <c r="CN66" t="s">
        <v>57</v>
      </c>
      <c r="CO66" t="s">
        <v>57</v>
      </c>
      <c r="CP66" t="s">
        <v>57</v>
      </c>
      <c r="CQ66" t="s">
        <v>57</v>
      </c>
      <c r="CR66" t="s">
        <v>57</v>
      </c>
      <c r="CS66" t="s">
        <v>57</v>
      </c>
      <c r="CT66" t="s">
        <v>57</v>
      </c>
      <c r="CU66" t="s">
        <v>57</v>
      </c>
      <c r="CV66" t="s">
        <v>57</v>
      </c>
      <c r="CW66" t="s">
        <v>57</v>
      </c>
      <c r="CX66" t="s">
        <v>57</v>
      </c>
      <c r="CY66" t="s">
        <v>57</v>
      </c>
      <c r="CZ66" t="s">
        <v>57</v>
      </c>
      <c r="DA66" t="s">
        <v>57</v>
      </c>
      <c r="DB66" t="s">
        <v>57</v>
      </c>
      <c r="DC66" t="s">
        <v>57</v>
      </c>
      <c r="DD66" t="s">
        <v>57</v>
      </c>
      <c r="DE66" t="s">
        <v>57</v>
      </c>
      <c r="DF66" t="s">
        <v>57</v>
      </c>
      <c r="DG66" t="s">
        <v>57</v>
      </c>
      <c r="DH66" t="s">
        <v>57</v>
      </c>
      <c r="DI66" t="s">
        <v>57</v>
      </c>
      <c r="DJ66" t="s">
        <v>57</v>
      </c>
      <c r="DK66" t="s">
        <v>148</v>
      </c>
      <c r="DL66" t="s">
        <v>57</v>
      </c>
      <c r="DM66" t="s">
        <v>57</v>
      </c>
      <c r="DN66" t="s">
        <v>57</v>
      </c>
      <c r="DO66" t="s">
        <v>57</v>
      </c>
      <c r="DP66" t="s">
        <v>57</v>
      </c>
      <c r="DQ66" t="s">
        <v>57</v>
      </c>
      <c r="DR66" t="s">
        <v>57</v>
      </c>
      <c r="DS66" t="s">
        <v>57</v>
      </c>
      <c r="DT66" t="s">
        <v>57</v>
      </c>
      <c r="DU66" t="s">
        <v>57</v>
      </c>
      <c r="DV66" t="s">
        <v>57</v>
      </c>
      <c r="DW66" t="s">
        <v>57</v>
      </c>
      <c r="DX66" t="s">
        <v>57</v>
      </c>
      <c r="DY66" t="s">
        <v>148</v>
      </c>
      <c r="DZ66" t="s">
        <v>57</v>
      </c>
      <c r="EA66" t="s">
        <v>57</v>
      </c>
      <c r="EB66" t="s">
        <v>57</v>
      </c>
      <c r="EC66" t="s">
        <v>57</v>
      </c>
      <c r="ED66" t="s">
        <v>57</v>
      </c>
      <c r="EE66" t="s">
        <v>57</v>
      </c>
      <c r="EF66" t="s">
        <v>57</v>
      </c>
      <c r="EG66" t="s">
        <v>57</v>
      </c>
      <c r="EH66" t="s">
        <v>57</v>
      </c>
      <c r="EI66" t="s">
        <v>57</v>
      </c>
      <c r="EJ66" t="s">
        <v>57</v>
      </c>
      <c r="EK66" t="s">
        <v>57</v>
      </c>
      <c r="EL66" t="s">
        <v>57</v>
      </c>
      <c r="EM66" t="s">
        <v>57</v>
      </c>
      <c r="EN66" t="s">
        <v>57</v>
      </c>
      <c r="EO66" t="s">
        <v>57</v>
      </c>
      <c r="EP66" t="s">
        <v>57</v>
      </c>
      <c r="EQ66" t="s">
        <v>57</v>
      </c>
      <c r="ER66" t="s">
        <v>57</v>
      </c>
      <c r="ES66" t="s">
        <v>57</v>
      </c>
      <c r="ET66" t="s">
        <v>57</v>
      </c>
      <c r="EU66" t="s">
        <v>57</v>
      </c>
      <c r="EV66" t="s">
        <v>57</v>
      </c>
      <c r="EW66" t="s">
        <v>57</v>
      </c>
      <c r="EX66" t="s">
        <v>57</v>
      </c>
      <c r="EY66" t="s">
        <v>57</v>
      </c>
      <c r="EZ66" t="s">
        <v>57</v>
      </c>
      <c r="FA66" t="s">
        <v>57</v>
      </c>
      <c r="FB66" t="s">
        <v>57</v>
      </c>
      <c r="FC66" t="s">
        <v>57</v>
      </c>
      <c r="FD66" t="s">
        <v>57</v>
      </c>
      <c r="FE66" t="s">
        <v>57</v>
      </c>
      <c r="FF66" t="s">
        <v>57</v>
      </c>
      <c r="FG66" t="s">
        <v>57</v>
      </c>
      <c r="FH66" t="s">
        <v>57</v>
      </c>
      <c r="FI66" t="s">
        <v>57</v>
      </c>
      <c r="FJ66" t="s">
        <v>57</v>
      </c>
      <c r="FK66" t="s">
        <v>57</v>
      </c>
      <c r="FL66" t="s">
        <v>57</v>
      </c>
      <c r="FM66" t="s">
        <v>57</v>
      </c>
      <c r="FN66" t="s">
        <v>57</v>
      </c>
      <c r="FO66" t="s">
        <v>148</v>
      </c>
      <c r="FP66" t="s">
        <v>57</v>
      </c>
      <c r="FQ66" t="s">
        <v>57</v>
      </c>
      <c r="FR66" t="s">
        <v>57</v>
      </c>
      <c r="FS66" t="s">
        <v>57</v>
      </c>
      <c r="FT66" t="s">
        <v>57</v>
      </c>
      <c r="FU66" t="s">
        <v>57</v>
      </c>
      <c r="FV66" t="s">
        <v>57</v>
      </c>
      <c r="FW66" t="s">
        <v>57</v>
      </c>
      <c r="FX66" t="s">
        <v>57</v>
      </c>
      <c r="FY66" t="s">
        <v>57</v>
      </c>
      <c r="FZ66" t="s">
        <v>57</v>
      </c>
      <c r="GA66" t="s">
        <v>57</v>
      </c>
      <c r="GB66" t="s">
        <v>57</v>
      </c>
      <c r="GC66" t="s">
        <v>57</v>
      </c>
      <c r="GD66" t="s">
        <v>57</v>
      </c>
      <c r="GE66" t="s">
        <v>57</v>
      </c>
      <c r="GF66" t="s">
        <v>57</v>
      </c>
      <c r="GG66" t="s">
        <v>148</v>
      </c>
      <c r="GH66" t="s">
        <v>57</v>
      </c>
      <c r="GI66" t="s">
        <v>57</v>
      </c>
      <c r="GJ66" t="s">
        <v>57</v>
      </c>
      <c r="GK66" t="s">
        <v>57</v>
      </c>
      <c r="GL66" t="s">
        <v>57</v>
      </c>
      <c r="GM66" t="s">
        <v>57</v>
      </c>
      <c r="GN66" t="s">
        <v>57</v>
      </c>
      <c r="GO66" t="s">
        <v>57</v>
      </c>
      <c r="GP66" t="s">
        <v>57</v>
      </c>
      <c r="GQ66" t="s">
        <v>57</v>
      </c>
      <c r="GR66" t="s">
        <v>57</v>
      </c>
      <c r="GS66" t="s">
        <v>57</v>
      </c>
      <c r="GT66" t="s">
        <v>57</v>
      </c>
      <c r="GU66" t="s">
        <v>57</v>
      </c>
      <c r="GV66" t="s">
        <v>57</v>
      </c>
      <c r="GW66" t="s">
        <v>57</v>
      </c>
      <c r="GX66" t="s">
        <v>57</v>
      </c>
      <c r="GY66" t="s">
        <v>57</v>
      </c>
      <c r="GZ66" t="s">
        <v>57</v>
      </c>
      <c r="HA66" t="s">
        <v>57</v>
      </c>
      <c r="HB66" t="s">
        <v>57</v>
      </c>
      <c r="HC66" t="s">
        <v>57</v>
      </c>
      <c r="HD66" t="s">
        <v>57</v>
      </c>
      <c r="HE66" t="s">
        <v>57</v>
      </c>
      <c r="HF66" t="s">
        <v>57</v>
      </c>
      <c r="HG66" t="s">
        <v>57</v>
      </c>
      <c r="HH66" t="s">
        <v>57</v>
      </c>
      <c r="HI66" t="s">
        <v>57</v>
      </c>
      <c r="HJ66" t="s">
        <v>57</v>
      </c>
      <c r="HK66" t="s">
        <v>57</v>
      </c>
      <c r="HL66" t="s">
        <v>57</v>
      </c>
      <c r="HM66" t="s">
        <v>57</v>
      </c>
      <c r="HN66" t="s">
        <v>57</v>
      </c>
      <c r="HO66" t="s">
        <v>57</v>
      </c>
      <c r="HP66" t="s">
        <v>57</v>
      </c>
      <c r="HQ66" t="s">
        <v>57</v>
      </c>
      <c r="HR66" t="s">
        <v>57</v>
      </c>
      <c r="HS66" t="s">
        <v>57</v>
      </c>
      <c r="HT66" t="s">
        <v>57</v>
      </c>
      <c r="HU66" t="s">
        <v>57</v>
      </c>
      <c r="HV66" t="s">
        <v>57</v>
      </c>
      <c r="HW66" t="s">
        <v>57</v>
      </c>
      <c r="HX66" t="s">
        <v>57</v>
      </c>
      <c r="HY66" t="s">
        <v>57</v>
      </c>
      <c r="HZ66" t="s">
        <v>57</v>
      </c>
      <c r="IA66" t="s">
        <v>57</v>
      </c>
      <c r="IB66" t="s">
        <v>57</v>
      </c>
      <c r="IC66" t="s">
        <v>57</v>
      </c>
      <c r="ID66" t="s">
        <v>57</v>
      </c>
      <c r="IE66" t="s">
        <v>57</v>
      </c>
      <c r="IF66" t="s">
        <v>123</v>
      </c>
      <c r="IG66" t="s">
        <v>123</v>
      </c>
      <c r="IH66" t="s">
        <v>123</v>
      </c>
      <c r="II66" t="s">
        <v>156</v>
      </c>
    </row>
    <row r="67" spans="1:243" x14ac:dyDescent="0.25">
      <c r="A67" s="111" t="str">
        <f>HYPERLINK("http://www.ofsted.gov.uk/inspection-reports/find-inspection-report/provider/ELS/117035 ","Ofsted School Webpage")</f>
        <v>Ofsted School Webpage</v>
      </c>
      <c r="B67">
        <v>117035</v>
      </c>
      <c r="C67">
        <v>8856026</v>
      </c>
      <c r="D67" t="s">
        <v>1512</v>
      </c>
      <c r="E67" t="s">
        <v>36</v>
      </c>
      <c r="F67" t="s">
        <v>166</v>
      </c>
      <c r="G67" t="s">
        <v>150</v>
      </c>
      <c r="H67" t="s">
        <v>150</v>
      </c>
      <c r="I67" t="s">
        <v>842</v>
      </c>
      <c r="J67" t="s">
        <v>1513</v>
      </c>
      <c r="K67" t="s">
        <v>142</v>
      </c>
      <c r="L67" t="s">
        <v>142</v>
      </c>
      <c r="M67" t="s">
        <v>2596</v>
      </c>
      <c r="N67" t="s">
        <v>143</v>
      </c>
      <c r="O67">
        <v>10012929</v>
      </c>
      <c r="P67" s="108">
        <v>43053</v>
      </c>
      <c r="Q67" s="108">
        <v>43055</v>
      </c>
      <c r="R67" s="108">
        <v>43143</v>
      </c>
      <c r="S67" t="s">
        <v>224</v>
      </c>
      <c r="T67" t="s">
        <v>154</v>
      </c>
      <c r="U67">
        <v>4</v>
      </c>
      <c r="V67">
        <v>4</v>
      </c>
      <c r="W67">
        <v>4</v>
      </c>
      <c r="X67">
        <v>2</v>
      </c>
      <c r="Y67">
        <v>2</v>
      </c>
      <c r="Z67" t="s">
        <v>2596</v>
      </c>
      <c r="AA67">
        <v>2</v>
      </c>
      <c r="AB67" t="s">
        <v>124</v>
      </c>
      <c r="AC67" t="s">
        <v>2596</v>
      </c>
      <c r="AD67" t="s">
        <v>2599</v>
      </c>
      <c r="AE67" t="s">
        <v>57</v>
      </c>
      <c r="AF67" t="s">
        <v>57</v>
      </c>
      <c r="AG67" t="s">
        <v>58</v>
      </c>
      <c r="AH67" t="s">
        <v>58</v>
      </c>
      <c r="AI67" t="s">
        <v>57</v>
      </c>
      <c r="AJ67" t="s">
        <v>57</v>
      </c>
      <c r="AK67" t="s">
        <v>57</v>
      </c>
      <c r="AL67" t="s">
        <v>58</v>
      </c>
      <c r="AM67" t="s">
        <v>57</v>
      </c>
      <c r="AN67" t="s">
        <v>57</v>
      </c>
      <c r="AO67" t="s">
        <v>57</v>
      </c>
      <c r="AP67" t="s">
        <v>57</v>
      </c>
      <c r="AQ67" t="s">
        <v>57</v>
      </c>
      <c r="AR67" t="s">
        <v>57</v>
      </c>
      <c r="AS67" t="s">
        <v>57</v>
      </c>
      <c r="AT67" t="s">
        <v>57</v>
      </c>
      <c r="AU67" t="s">
        <v>148</v>
      </c>
      <c r="AV67" t="s">
        <v>57</v>
      </c>
      <c r="AW67" t="s">
        <v>57</v>
      </c>
      <c r="AX67" t="s">
        <v>57</v>
      </c>
      <c r="AY67" t="s">
        <v>57</v>
      </c>
      <c r="AZ67" t="s">
        <v>57</v>
      </c>
      <c r="BA67" t="s">
        <v>57</v>
      </c>
      <c r="BB67" t="s">
        <v>57</v>
      </c>
      <c r="BC67" t="s">
        <v>148</v>
      </c>
      <c r="BD67" t="s">
        <v>57</v>
      </c>
      <c r="BE67" t="s">
        <v>57</v>
      </c>
      <c r="BF67" t="s">
        <v>57</v>
      </c>
      <c r="BG67" t="s">
        <v>57</v>
      </c>
      <c r="BH67" t="s">
        <v>57</v>
      </c>
      <c r="BI67" t="s">
        <v>57</v>
      </c>
      <c r="BJ67" t="s">
        <v>57</v>
      </c>
      <c r="BK67" t="s">
        <v>57</v>
      </c>
      <c r="BL67" t="s">
        <v>57</v>
      </c>
      <c r="BM67" t="s">
        <v>57</v>
      </c>
      <c r="BN67" t="s">
        <v>57</v>
      </c>
      <c r="BO67" t="s">
        <v>57</v>
      </c>
      <c r="BP67" t="s">
        <v>57</v>
      </c>
      <c r="BQ67" t="s">
        <v>57</v>
      </c>
      <c r="BR67" t="s">
        <v>57</v>
      </c>
      <c r="BS67" t="s">
        <v>57</v>
      </c>
      <c r="BT67" t="s">
        <v>57</v>
      </c>
      <c r="BU67" t="s">
        <v>57</v>
      </c>
      <c r="BV67" t="s">
        <v>57</v>
      </c>
      <c r="BW67" t="s">
        <v>57</v>
      </c>
      <c r="BX67" t="s">
        <v>57</v>
      </c>
      <c r="BY67" t="s">
        <v>57</v>
      </c>
      <c r="BZ67" t="s">
        <v>57</v>
      </c>
      <c r="CA67" t="s">
        <v>57</v>
      </c>
      <c r="CB67" t="s">
        <v>57</v>
      </c>
      <c r="CC67" t="s">
        <v>57</v>
      </c>
      <c r="CD67" t="s">
        <v>57</v>
      </c>
      <c r="CE67" t="s">
        <v>57</v>
      </c>
      <c r="CF67" t="s">
        <v>57</v>
      </c>
      <c r="CG67" t="s">
        <v>57</v>
      </c>
      <c r="CH67" t="s">
        <v>58</v>
      </c>
      <c r="CI67" t="s">
        <v>58</v>
      </c>
      <c r="CJ67" t="s">
        <v>58</v>
      </c>
      <c r="CK67" t="s">
        <v>58</v>
      </c>
      <c r="CL67" t="s">
        <v>58</v>
      </c>
      <c r="CM67" t="s">
        <v>58</v>
      </c>
      <c r="CN67" t="s">
        <v>57</v>
      </c>
      <c r="CO67" t="s">
        <v>57</v>
      </c>
      <c r="CP67" t="s">
        <v>57</v>
      </c>
      <c r="CQ67" t="s">
        <v>57</v>
      </c>
      <c r="CR67" t="s">
        <v>57</v>
      </c>
      <c r="CS67" t="s">
        <v>57</v>
      </c>
      <c r="CT67" t="s">
        <v>57</v>
      </c>
      <c r="CU67" t="s">
        <v>57</v>
      </c>
      <c r="CV67" t="s">
        <v>57</v>
      </c>
      <c r="CW67" t="s">
        <v>57</v>
      </c>
      <c r="CX67" t="s">
        <v>57</v>
      </c>
      <c r="CY67" t="s">
        <v>57</v>
      </c>
      <c r="CZ67" t="s">
        <v>57</v>
      </c>
      <c r="DA67" t="s">
        <v>58</v>
      </c>
      <c r="DB67" t="s">
        <v>57</v>
      </c>
      <c r="DC67" t="s">
        <v>57</v>
      </c>
      <c r="DD67" t="s">
        <v>58</v>
      </c>
      <c r="DE67" t="s">
        <v>58</v>
      </c>
      <c r="DF67" t="s">
        <v>58</v>
      </c>
      <c r="DG67" t="s">
        <v>58</v>
      </c>
      <c r="DH67" t="s">
        <v>58</v>
      </c>
      <c r="DI67" t="s">
        <v>57</v>
      </c>
      <c r="DJ67" t="s">
        <v>58</v>
      </c>
      <c r="DK67" t="s">
        <v>58</v>
      </c>
      <c r="DL67" t="s">
        <v>58</v>
      </c>
      <c r="DM67" t="s">
        <v>57</v>
      </c>
      <c r="DN67" t="s">
        <v>57</v>
      </c>
      <c r="DO67" t="s">
        <v>57</v>
      </c>
      <c r="DP67" t="s">
        <v>57</v>
      </c>
      <c r="DQ67" t="s">
        <v>57</v>
      </c>
      <c r="DR67" t="s">
        <v>57</v>
      </c>
      <c r="DS67" t="s">
        <v>57</v>
      </c>
      <c r="DT67" t="s">
        <v>57</v>
      </c>
      <c r="DU67" t="s">
        <v>57</v>
      </c>
      <c r="DV67" t="s">
        <v>57</v>
      </c>
      <c r="DW67" t="s">
        <v>57</v>
      </c>
      <c r="DX67" t="s">
        <v>57</v>
      </c>
      <c r="DY67" t="s">
        <v>57</v>
      </c>
      <c r="DZ67" t="s">
        <v>57</v>
      </c>
      <c r="EA67" t="s">
        <v>57</v>
      </c>
      <c r="EB67" t="s">
        <v>57</v>
      </c>
      <c r="EC67" t="s">
        <v>57</v>
      </c>
      <c r="ED67" t="s">
        <v>57</v>
      </c>
      <c r="EE67" t="s">
        <v>57</v>
      </c>
      <c r="EF67" t="s">
        <v>57</v>
      </c>
      <c r="EG67" t="s">
        <v>57</v>
      </c>
      <c r="EH67" t="s">
        <v>57</v>
      </c>
      <c r="EI67" t="s">
        <v>57</v>
      </c>
      <c r="EJ67" t="s">
        <v>57</v>
      </c>
      <c r="EK67" t="s">
        <v>57</v>
      </c>
      <c r="EL67" t="s">
        <v>58</v>
      </c>
      <c r="EM67" t="s">
        <v>57</v>
      </c>
      <c r="EN67" t="s">
        <v>57</v>
      </c>
      <c r="EO67" t="s">
        <v>57</v>
      </c>
      <c r="EP67" t="s">
        <v>57</v>
      </c>
      <c r="EQ67" t="s">
        <v>57</v>
      </c>
      <c r="ER67" t="s">
        <v>57</v>
      </c>
      <c r="ES67" t="s">
        <v>57</v>
      </c>
      <c r="ET67" t="s">
        <v>57</v>
      </c>
      <c r="EU67" t="s">
        <v>57</v>
      </c>
      <c r="EV67" t="s">
        <v>58</v>
      </c>
      <c r="EW67" t="s">
        <v>57</v>
      </c>
      <c r="EX67" t="s">
        <v>57</v>
      </c>
      <c r="EY67" t="s">
        <v>57</v>
      </c>
      <c r="EZ67" t="s">
        <v>57</v>
      </c>
      <c r="FA67" t="s">
        <v>57</v>
      </c>
      <c r="FB67" t="s">
        <v>57</v>
      </c>
      <c r="FC67" t="s">
        <v>57</v>
      </c>
      <c r="FD67" t="s">
        <v>57</v>
      </c>
      <c r="FE67" t="s">
        <v>57</v>
      </c>
      <c r="FF67" t="s">
        <v>57</v>
      </c>
      <c r="FG67" t="s">
        <v>57</v>
      </c>
      <c r="FH67" t="s">
        <v>57</v>
      </c>
      <c r="FI67" t="s">
        <v>57</v>
      </c>
      <c r="FJ67" t="s">
        <v>57</v>
      </c>
      <c r="FK67" t="s">
        <v>57</v>
      </c>
      <c r="FL67" t="s">
        <v>57</v>
      </c>
      <c r="FM67" t="s">
        <v>57</v>
      </c>
      <c r="FN67" t="s">
        <v>57</v>
      </c>
      <c r="FO67" t="s">
        <v>57</v>
      </c>
      <c r="FP67" t="s">
        <v>57</v>
      </c>
      <c r="FQ67" t="s">
        <v>58</v>
      </c>
      <c r="FR67" t="s">
        <v>57</v>
      </c>
      <c r="FS67" t="s">
        <v>58</v>
      </c>
      <c r="FT67" t="s">
        <v>57</v>
      </c>
      <c r="FU67" t="s">
        <v>58</v>
      </c>
      <c r="FV67" t="s">
        <v>57</v>
      </c>
      <c r="FW67" t="s">
        <v>57</v>
      </c>
      <c r="FX67" t="s">
        <v>57</v>
      </c>
      <c r="FY67" t="s">
        <v>57</v>
      </c>
      <c r="FZ67" t="s">
        <v>57</v>
      </c>
      <c r="GA67" t="s">
        <v>57</v>
      </c>
      <c r="GB67" t="s">
        <v>57</v>
      </c>
      <c r="GC67" t="s">
        <v>57</v>
      </c>
      <c r="GD67" t="s">
        <v>57</v>
      </c>
      <c r="GE67" t="s">
        <v>57</v>
      </c>
      <c r="GF67" t="s">
        <v>57</v>
      </c>
      <c r="GG67" t="s">
        <v>57</v>
      </c>
      <c r="GH67" t="s">
        <v>57</v>
      </c>
      <c r="GI67" t="s">
        <v>57</v>
      </c>
      <c r="GJ67" t="s">
        <v>57</v>
      </c>
      <c r="GK67" t="s">
        <v>57</v>
      </c>
      <c r="GL67" t="s">
        <v>57</v>
      </c>
      <c r="GM67" t="s">
        <v>57</v>
      </c>
      <c r="GN67" t="s">
        <v>57</v>
      </c>
      <c r="GO67" t="s">
        <v>57</v>
      </c>
      <c r="GP67" t="s">
        <v>57</v>
      </c>
      <c r="GQ67" t="s">
        <v>57</v>
      </c>
      <c r="GR67" t="s">
        <v>57</v>
      </c>
      <c r="GS67" t="s">
        <v>57</v>
      </c>
      <c r="GT67" t="s">
        <v>57</v>
      </c>
      <c r="GU67" t="s">
        <v>57</v>
      </c>
      <c r="GV67" t="s">
        <v>57</v>
      </c>
      <c r="GW67" t="s">
        <v>57</v>
      </c>
      <c r="GX67" t="s">
        <v>57</v>
      </c>
      <c r="GY67" t="s">
        <v>57</v>
      </c>
      <c r="GZ67" t="s">
        <v>57</v>
      </c>
      <c r="HA67" t="s">
        <v>57</v>
      </c>
      <c r="HB67" t="s">
        <v>57</v>
      </c>
      <c r="HC67" t="s">
        <v>57</v>
      </c>
      <c r="HD67" t="s">
        <v>57</v>
      </c>
      <c r="HE67" t="s">
        <v>57</v>
      </c>
      <c r="HF67" t="s">
        <v>57</v>
      </c>
      <c r="HG67" t="s">
        <v>57</v>
      </c>
      <c r="HH67" t="s">
        <v>57</v>
      </c>
      <c r="HI67" t="s">
        <v>57</v>
      </c>
      <c r="HJ67" t="s">
        <v>57</v>
      </c>
      <c r="HK67" t="s">
        <v>57</v>
      </c>
      <c r="HL67" t="s">
        <v>57</v>
      </c>
      <c r="HM67" t="s">
        <v>57</v>
      </c>
      <c r="HN67" t="s">
        <v>57</v>
      </c>
      <c r="HO67" t="s">
        <v>57</v>
      </c>
      <c r="HP67" t="s">
        <v>57</v>
      </c>
      <c r="HQ67" t="s">
        <v>57</v>
      </c>
      <c r="HR67" t="s">
        <v>57</v>
      </c>
      <c r="HS67" t="s">
        <v>57</v>
      </c>
      <c r="HT67" t="s">
        <v>57</v>
      </c>
      <c r="HU67" t="s">
        <v>57</v>
      </c>
      <c r="HV67" t="s">
        <v>57</v>
      </c>
      <c r="HW67" t="s">
        <v>57</v>
      </c>
      <c r="HX67" t="s">
        <v>57</v>
      </c>
      <c r="HY67" t="s">
        <v>57</v>
      </c>
      <c r="HZ67" t="s">
        <v>57</v>
      </c>
      <c r="IA67" t="s">
        <v>57</v>
      </c>
      <c r="IB67" t="s">
        <v>58</v>
      </c>
      <c r="IC67" t="s">
        <v>58</v>
      </c>
      <c r="ID67" t="s">
        <v>58</v>
      </c>
      <c r="IE67" t="s">
        <v>58</v>
      </c>
      <c r="IF67" t="s">
        <v>124</v>
      </c>
      <c r="IG67" t="s">
        <v>155</v>
      </c>
      <c r="IH67" t="s">
        <v>123</v>
      </c>
      <c r="II67" t="s">
        <v>156</v>
      </c>
    </row>
    <row r="68" spans="1:243" x14ac:dyDescent="0.25">
      <c r="A68" s="111" t="str">
        <f>HYPERLINK("http://www.ofsted.gov.uk/inspection-reports/find-inspection-report/provider/ELS/117042 ","Ofsted School Webpage")</f>
        <v>Ofsted School Webpage</v>
      </c>
      <c r="B68">
        <v>117042</v>
      </c>
      <c r="C68">
        <v>8846006</v>
      </c>
      <c r="D68" t="s">
        <v>1485</v>
      </c>
      <c r="E68" t="s">
        <v>37</v>
      </c>
      <c r="F68" t="s">
        <v>138</v>
      </c>
      <c r="G68" t="s">
        <v>150</v>
      </c>
      <c r="H68" t="s">
        <v>150</v>
      </c>
      <c r="I68" t="s">
        <v>1021</v>
      </c>
      <c r="J68" t="s">
        <v>1486</v>
      </c>
      <c r="K68" t="s">
        <v>142</v>
      </c>
      <c r="L68" t="s">
        <v>142</v>
      </c>
      <c r="M68" t="s">
        <v>2596</v>
      </c>
      <c r="N68" t="s">
        <v>143</v>
      </c>
      <c r="O68">
        <v>10038828</v>
      </c>
      <c r="P68" s="108">
        <v>43067</v>
      </c>
      <c r="Q68" s="108">
        <v>43069</v>
      </c>
      <c r="R68" s="108">
        <v>43103</v>
      </c>
      <c r="S68" t="s">
        <v>153</v>
      </c>
      <c r="T68" t="s">
        <v>154</v>
      </c>
      <c r="U68">
        <v>2</v>
      </c>
      <c r="V68">
        <v>2</v>
      </c>
      <c r="W68">
        <v>2</v>
      </c>
      <c r="X68">
        <v>2</v>
      </c>
      <c r="Y68">
        <v>2</v>
      </c>
      <c r="Z68" t="s">
        <v>2596</v>
      </c>
      <c r="AA68">
        <v>2</v>
      </c>
      <c r="AB68" t="s">
        <v>123</v>
      </c>
      <c r="AC68" t="s">
        <v>2596</v>
      </c>
      <c r="AD68" t="s">
        <v>2598</v>
      </c>
      <c r="AE68" t="s">
        <v>57</v>
      </c>
      <c r="AF68" t="s">
        <v>57</v>
      </c>
      <c r="AG68" t="s">
        <v>57</v>
      </c>
      <c r="AH68" t="s">
        <v>57</v>
      </c>
      <c r="AI68" t="s">
        <v>57</v>
      </c>
      <c r="AJ68" t="s">
        <v>57</v>
      </c>
      <c r="AK68" t="s">
        <v>57</v>
      </c>
      <c r="AL68" t="s">
        <v>57</v>
      </c>
      <c r="AM68" t="s">
        <v>57</v>
      </c>
      <c r="AN68" t="s">
        <v>57</v>
      </c>
      <c r="AO68" t="s">
        <v>57</v>
      </c>
      <c r="AP68" t="s">
        <v>57</v>
      </c>
      <c r="AQ68" t="s">
        <v>57</v>
      </c>
      <c r="AR68" t="s">
        <v>57</v>
      </c>
      <c r="AS68" t="s">
        <v>57</v>
      </c>
      <c r="AT68" t="s">
        <v>57</v>
      </c>
      <c r="AU68" t="s">
        <v>175</v>
      </c>
      <c r="AV68" t="s">
        <v>57</v>
      </c>
      <c r="AW68" t="s">
        <v>57</v>
      </c>
      <c r="AX68" t="s">
        <v>57</v>
      </c>
      <c r="AY68" t="s">
        <v>57</v>
      </c>
      <c r="AZ68" t="s">
        <v>57</v>
      </c>
      <c r="BA68" t="s">
        <v>57</v>
      </c>
      <c r="BB68" t="s">
        <v>57</v>
      </c>
      <c r="BC68" t="s">
        <v>57</v>
      </c>
      <c r="BD68" t="s">
        <v>57</v>
      </c>
      <c r="BE68" t="s">
        <v>57</v>
      </c>
      <c r="BF68" t="s">
        <v>57</v>
      </c>
      <c r="BG68" t="s">
        <v>57</v>
      </c>
      <c r="BH68" t="s">
        <v>57</v>
      </c>
      <c r="BI68" t="s">
        <v>57</v>
      </c>
      <c r="BJ68" t="s">
        <v>57</v>
      </c>
      <c r="BK68" t="s">
        <v>57</v>
      </c>
      <c r="BL68" t="s">
        <v>57</v>
      </c>
      <c r="BM68" t="s">
        <v>57</v>
      </c>
      <c r="BN68" t="s">
        <v>57</v>
      </c>
      <c r="BO68" t="s">
        <v>57</v>
      </c>
      <c r="BP68" t="s">
        <v>57</v>
      </c>
      <c r="BQ68" t="s">
        <v>57</v>
      </c>
      <c r="BR68" t="s">
        <v>57</v>
      </c>
      <c r="BS68" t="s">
        <v>57</v>
      </c>
      <c r="BT68" t="s">
        <v>57</v>
      </c>
      <c r="BU68" t="s">
        <v>57</v>
      </c>
      <c r="BV68" t="s">
        <v>57</v>
      </c>
      <c r="BW68" t="s">
        <v>57</v>
      </c>
      <c r="BX68" t="s">
        <v>57</v>
      </c>
      <c r="BY68" t="s">
        <v>57</v>
      </c>
      <c r="BZ68" t="s">
        <v>57</v>
      </c>
      <c r="CA68" t="s">
        <v>57</v>
      </c>
      <c r="CB68" t="s">
        <v>57</v>
      </c>
      <c r="CC68" t="s">
        <v>57</v>
      </c>
      <c r="CD68" t="s">
        <v>57</v>
      </c>
      <c r="CE68" t="s">
        <v>57</v>
      </c>
      <c r="CF68" t="s">
        <v>57</v>
      </c>
      <c r="CG68" t="s">
        <v>57</v>
      </c>
      <c r="CH68" t="s">
        <v>57</v>
      </c>
      <c r="CI68" t="s">
        <v>57</v>
      </c>
      <c r="CJ68" t="s">
        <v>57</v>
      </c>
      <c r="CK68" t="s">
        <v>57</v>
      </c>
      <c r="CL68" t="s">
        <v>57</v>
      </c>
      <c r="CM68" t="s">
        <v>175</v>
      </c>
      <c r="CN68" t="s">
        <v>57</v>
      </c>
      <c r="CO68" t="s">
        <v>57</v>
      </c>
      <c r="CP68" t="s">
        <v>57</v>
      </c>
      <c r="CQ68" t="s">
        <v>57</v>
      </c>
      <c r="CR68" t="s">
        <v>57</v>
      </c>
      <c r="CS68" t="s">
        <v>57</v>
      </c>
      <c r="CT68" t="s">
        <v>57</v>
      </c>
      <c r="CU68" t="s">
        <v>57</v>
      </c>
      <c r="CV68" t="s">
        <v>57</v>
      </c>
      <c r="CW68" t="s">
        <v>57</v>
      </c>
      <c r="CX68" t="s">
        <v>57</v>
      </c>
      <c r="CY68" t="s">
        <v>57</v>
      </c>
      <c r="CZ68" t="s">
        <v>57</v>
      </c>
      <c r="DA68" t="s">
        <v>57</v>
      </c>
      <c r="DB68" t="s">
        <v>57</v>
      </c>
      <c r="DC68" t="s">
        <v>57</v>
      </c>
      <c r="DD68" t="s">
        <v>57</v>
      </c>
      <c r="DE68" t="s">
        <v>57</v>
      </c>
      <c r="DF68" t="s">
        <v>57</v>
      </c>
      <c r="DG68" t="s">
        <v>57</v>
      </c>
      <c r="DH68" t="s">
        <v>57</v>
      </c>
      <c r="DI68" t="s">
        <v>57</v>
      </c>
      <c r="DJ68" t="s">
        <v>57</v>
      </c>
      <c r="DK68" t="s">
        <v>175</v>
      </c>
      <c r="DL68" t="s">
        <v>57</v>
      </c>
      <c r="DM68" t="s">
        <v>57</v>
      </c>
      <c r="DN68" t="s">
        <v>57</v>
      </c>
      <c r="DO68" t="s">
        <v>57</v>
      </c>
      <c r="DP68" t="s">
        <v>57</v>
      </c>
      <c r="DQ68" t="s">
        <v>57</v>
      </c>
      <c r="DR68" t="s">
        <v>57</v>
      </c>
      <c r="DS68" t="s">
        <v>57</v>
      </c>
      <c r="DT68" t="s">
        <v>57</v>
      </c>
      <c r="DU68" t="s">
        <v>57</v>
      </c>
      <c r="DV68" t="s">
        <v>57</v>
      </c>
      <c r="DW68" t="s">
        <v>57</v>
      </c>
      <c r="DX68" t="s">
        <v>57</v>
      </c>
      <c r="DY68" t="s">
        <v>175</v>
      </c>
      <c r="DZ68" t="s">
        <v>57</v>
      </c>
      <c r="EA68" t="s">
        <v>57</v>
      </c>
      <c r="EB68" t="s">
        <v>57</v>
      </c>
      <c r="EC68" t="s">
        <v>57</v>
      </c>
      <c r="ED68" t="s">
        <v>57</v>
      </c>
      <c r="EE68" t="s">
        <v>57</v>
      </c>
      <c r="EF68" t="s">
        <v>57</v>
      </c>
      <c r="EG68" t="s">
        <v>57</v>
      </c>
      <c r="EH68" t="s">
        <v>57</v>
      </c>
      <c r="EI68" t="s">
        <v>57</v>
      </c>
      <c r="EJ68" t="s">
        <v>57</v>
      </c>
      <c r="EK68" t="s">
        <v>57</v>
      </c>
      <c r="EL68" t="s">
        <v>57</v>
      </c>
      <c r="EM68" t="s">
        <v>57</v>
      </c>
      <c r="EN68" t="s">
        <v>57</v>
      </c>
      <c r="EO68" t="s">
        <v>57</v>
      </c>
      <c r="EP68" t="s">
        <v>57</v>
      </c>
      <c r="EQ68" t="s">
        <v>57</v>
      </c>
      <c r="ER68" t="s">
        <v>57</v>
      </c>
      <c r="ES68" t="s">
        <v>57</v>
      </c>
      <c r="ET68" t="s">
        <v>57</v>
      </c>
      <c r="EU68" t="s">
        <v>57</v>
      </c>
      <c r="EV68" t="s">
        <v>57</v>
      </c>
      <c r="EW68" t="s">
        <v>57</v>
      </c>
      <c r="EX68" t="s">
        <v>57</v>
      </c>
      <c r="EY68" t="s">
        <v>2596</v>
      </c>
      <c r="EZ68" t="s">
        <v>57</v>
      </c>
      <c r="FA68" t="s">
        <v>57</v>
      </c>
      <c r="FB68" t="s">
        <v>57</v>
      </c>
      <c r="FC68" t="s">
        <v>57</v>
      </c>
      <c r="FD68" t="s">
        <v>57</v>
      </c>
      <c r="FE68" t="s">
        <v>57</v>
      </c>
      <c r="FF68" t="s">
        <v>57</v>
      </c>
      <c r="FG68" t="s">
        <v>57</v>
      </c>
      <c r="FH68" t="s">
        <v>57</v>
      </c>
      <c r="FI68" t="s">
        <v>57</v>
      </c>
      <c r="FJ68" t="s">
        <v>57</v>
      </c>
      <c r="FK68" t="s">
        <v>57</v>
      </c>
      <c r="FL68" t="s">
        <v>57</v>
      </c>
      <c r="FM68" t="s">
        <v>57</v>
      </c>
      <c r="FN68" t="s">
        <v>57</v>
      </c>
      <c r="FO68" t="s">
        <v>57</v>
      </c>
      <c r="FP68" t="s">
        <v>57</v>
      </c>
      <c r="FQ68" t="s">
        <v>57</v>
      </c>
      <c r="FR68" t="s">
        <v>57</v>
      </c>
      <c r="FS68" t="s">
        <v>57</v>
      </c>
      <c r="FT68" t="s">
        <v>57</v>
      </c>
      <c r="FU68" t="s">
        <v>57</v>
      </c>
      <c r="FV68" t="s">
        <v>57</v>
      </c>
      <c r="FW68" t="s">
        <v>57</v>
      </c>
      <c r="FX68" t="s">
        <v>57</v>
      </c>
      <c r="FY68" t="s">
        <v>57</v>
      </c>
      <c r="FZ68" t="s">
        <v>57</v>
      </c>
      <c r="GA68" t="s">
        <v>57</v>
      </c>
      <c r="GB68" t="s">
        <v>57</v>
      </c>
      <c r="GC68" t="s">
        <v>57</v>
      </c>
      <c r="GD68" t="s">
        <v>57</v>
      </c>
      <c r="GE68" t="s">
        <v>57</v>
      </c>
      <c r="GF68" t="s">
        <v>57</v>
      </c>
      <c r="GG68" t="s">
        <v>175</v>
      </c>
      <c r="GH68" t="s">
        <v>57</v>
      </c>
      <c r="GI68" t="s">
        <v>57</v>
      </c>
      <c r="GJ68" t="s">
        <v>57</v>
      </c>
      <c r="GK68" t="s">
        <v>57</v>
      </c>
      <c r="GL68" t="s">
        <v>57</v>
      </c>
      <c r="GM68" t="s">
        <v>57</v>
      </c>
      <c r="GN68" t="s">
        <v>57</v>
      </c>
      <c r="GO68" t="s">
        <v>57</v>
      </c>
      <c r="GP68" t="s">
        <v>57</v>
      </c>
      <c r="GQ68" t="s">
        <v>57</v>
      </c>
      <c r="GR68" t="s">
        <v>57</v>
      </c>
      <c r="GS68" t="s">
        <v>57</v>
      </c>
      <c r="GT68" t="s">
        <v>57</v>
      </c>
      <c r="GU68" t="s">
        <v>57</v>
      </c>
      <c r="GV68" t="s">
        <v>57</v>
      </c>
      <c r="GW68" t="s">
        <v>57</v>
      </c>
      <c r="GX68" t="s">
        <v>175</v>
      </c>
      <c r="GY68" t="s">
        <v>57</v>
      </c>
      <c r="GZ68" t="s">
        <v>57</v>
      </c>
      <c r="HA68" t="s">
        <v>57</v>
      </c>
      <c r="HB68" t="s">
        <v>57</v>
      </c>
      <c r="HC68" t="s">
        <v>57</v>
      </c>
      <c r="HD68" t="s">
        <v>57</v>
      </c>
      <c r="HE68" t="s">
        <v>57</v>
      </c>
      <c r="HF68" t="s">
        <v>57</v>
      </c>
      <c r="HG68" t="s">
        <v>57</v>
      </c>
      <c r="HH68" t="s">
        <v>57</v>
      </c>
      <c r="HI68" t="s">
        <v>57</v>
      </c>
      <c r="HJ68" t="s">
        <v>57</v>
      </c>
      <c r="HK68" t="s">
        <v>57</v>
      </c>
      <c r="HL68" t="s">
        <v>57</v>
      </c>
      <c r="HM68" t="s">
        <v>57</v>
      </c>
      <c r="HN68" t="s">
        <v>57</v>
      </c>
      <c r="HO68" t="s">
        <v>57</v>
      </c>
      <c r="HP68" t="s">
        <v>57</v>
      </c>
      <c r="HQ68" t="s">
        <v>57</v>
      </c>
      <c r="HR68" t="s">
        <v>57</v>
      </c>
      <c r="HS68" t="s">
        <v>57</v>
      </c>
      <c r="HT68" t="s">
        <v>57</v>
      </c>
      <c r="HU68" t="s">
        <v>57</v>
      </c>
      <c r="HV68" t="s">
        <v>57</v>
      </c>
      <c r="HW68" t="s">
        <v>57</v>
      </c>
      <c r="HX68" t="s">
        <v>57</v>
      </c>
      <c r="HY68" t="s">
        <v>57</v>
      </c>
      <c r="HZ68" t="s">
        <v>57</v>
      </c>
      <c r="IA68" t="s">
        <v>57</v>
      </c>
      <c r="IB68" t="s">
        <v>57</v>
      </c>
      <c r="IC68" t="s">
        <v>57</v>
      </c>
      <c r="ID68" t="s">
        <v>57</v>
      </c>
      <c r="IE68" t="s">
        <v>57</v>
      </c>
      <c r="IF68" t="s">
        <v>124</v>
      </c>
      <c r="IG68" t="s">
        <v>148</v>
      </c>
      <c r="IH68" t="s">
        <v>123</v>
      </c>
      <c r="II68" t="s">
        <v>156</v>
      </c>
    </row>
    <row r="69" spans="1:243" x14ac:dyDescent="0.25">
      <c r="A69" s="111" t="str">
        <f>HYPERLINK("http://www.ofsted.gov.uk/inspection-reports/find-inspection-report/provider/ELS/117048 ","Ofsted School Webpage")</f>
        <v>Ofsted School Webpage</v>
      </c>
      <c r="B69">
        <v>117048</v>
      </c>
      <c r="C69">
        <v>8846010</v>
      </c>
      <c r="D69" t="s">
        <v>1020</v>
      </c>
      <c r="E69" t="s">
        <v>37</v>
      </c>
      <c r="F69" t="s">
        <v>138</v>
      </c>
      <c r="G69" t="s">
        <v>150</v>
      </c>
      <c r="H69" t="s">
        <v>150</v>
      </c>
      <c r="I69" t="s">
        <v>1021</v>
      </c>
      <c r="J69" t="s">
        <v>1022</v>
      </c>
      <c r="K69" t="s">
        <v>142</v>
      </c>
      <c r="L69" t="s">
        <v>142</v>
      </c>
      <c r="M69" t="s">
        <v>2596</v>
      </c>
      <c r="N69" t="s">
        <v>143</v>
      </c>
      <c r="O69">
        <v>10006074</v>
      </c>
      <c r="P69" s="108">
        <v>43144</v>
      </c>
      <c r="Q69" s="108">
        <v>43146</v>
      </c>
      <c r="R69" s="108">
        <v>43186</v>
      </c>
      <c r="S69" t="s">
        <v>153</v>
      </c>
      <c r="T69" t="s">
        <v>154</v>
      </c>
      <c r="U69">
        <v>1</v>
      </c>
      <c r="V69">
        <v>1</v>
      </c>
      <c r="W69">
        <v>1</v>
      </c>
      <c r="X69">
        <v>1</v>
      </c>
      <c r="Y69">
        <v>1</v>
      </c>
      <c r="Z69" t="s">
        <v>2596</v>
      </c>
      <c r="AA69" t="s">
        <v>2596</v>
      </c>
      <c r="AB69" t="s">
        <v>123</v>
      </c>
      <c r="AC69" t="s">
        <v>2596</v>
      </c>
      <c r="AD69" t="s">
        <v>2598</v>
      </c>
      <c r="AE69" t="s">
        <v>57</v>
      </c>
      <c r="AF69" t="s">
        <v>57</v>
      </c>
      <c r="AG69" t="s">
        <v>57</v>
      </c>
      <c r="AH69" t="s">
        <v>57</v>
      </c>
      <c r="AI69" t="s">
        <v>57</v>
      </c>
      <c r="AJ69" t="s">
        <v>57</v>
      </c>
      <c r="AK69" t="s">
        <v>57</v>
      </c>
      <c r="AL69" t="s">
        <v>57</v>
      </c>
      <c r="AM69" t="s">
        <v>57</v>
      </c>
      <c r="AN69" t="s">
        <v>57</v>
      </c>
      <c r="AO69" t="s">
        <v>57</v>
      </c>
      <c r="AP69" t="s">
        <v>57</v>
      </c>
      <c r="AQ69" t="s">
        <v>57</v>
      </c>
      <c r="AR69" t="s">
        <v>57</v>
      </c>
      <c r="AS69" t="s">
        <v>57</v>
      </c>
      <c r="AT69" t="s">
        <v>57</v>
      </c>
      <c r="AU69" t="s">
        <v>175</v>
      </c>
      <c r="AV69" t="s">
        <v>57</v>
      </c>
      <c r="AW69" t="s">
        <v>57</v>
      </c>
      <c r="AX69" t="s">
        <v>57</v>
      </c>
      <c r="AY69" t="s">
        <v>57</v>
      </c>
      <c r="AZ69" t="s">
        <v>57</v>
      </c>
      <c r="BA69" t="s">
        <v>57</v>
      </c>
      <c r="BB69" t="s">
        <v>57</v>
      </c>
      <c r="BC69" t="s">
        <v>175</v>
      </c>
      <c r="BD69" t="s">
        <v>175</v>
      </c>
      <c r="BE69" t="s">
        <v>57</v>
      </c>
      <c r="BF69" t="s">
        <v>57</v>
      </c>
      <c r="BG69" t="s">
        <v>57</v>
      </c>
      <c r="BH69" t="s">
        <v>57</v>
      </c>
      <c r="BI69" t="s">
        <v>57</v>
      </c>
      <c r="BJ69" t="s">
        <v>57</v>
      </c>
      <c r="BK69" t="s">
        <v>57</v>
      </c>
      <c r="BL69" t="s">
        <v>57</v>
      </c>
      <c r="BM69" t="s">
        <v>57</v>
      </c>
      <c r="BN69" t="s">
        <v>57</v>
      </c>
      <c r="BO69" t="s">
        <v>57</v>
      </c>
      <c r="BP69" t="s">
        <v>57</v>
      </c>
      <c r="BQ69" t="s">
        <v>57</v>
      </c>
      <c r="BR69" t="s">
        <v>57</v>
      </c>
      <c r="BS69" t="s">
        <v>57</v>
      </c>
      <c r="BT69" t="s">
        <v>57</v>
      </c>
      <c r="BU69" t="s">
        <v>57</v>
      </c>
      <c r="BV69" t="s">
        <v>57</v>
      </c>
      <c r="BW69" t="s">
        <v>57</v>
      </c>
      <c r="BX69" t="s">
        <v>57</v>
      </c>
      <c r="BY69" t="s">
        <v>57</v>
      </c>
      <c r="BZ69" t="s">
        <v>57</v>
      </c>
      <c r="CA69" t="s">
        <v>57</v>
      </c>
      <c r="CB69" t="s">
        <v>57</v>
      </c>
      <c r="CC69" t="s">
        <v>57</v>
      </c>
      <c r="CD69" t="s">
        <v>57</v>
      </c>
      <c r="CE69" t="s">
        <v>57</v>
      </c>
      <c r="CF69" t="s">
        <v>57</v>
      </c>
      <c r="CG69" t="s">
        <v>57</v>
      </c>
      <c r="CH69" t="s">
        <v>57</v>
      </c>
      <c r="CI69" t="s">
        <v>57</v>
      </c>
      <c r="CJ69" t="s">
        <v>57</v>
      </c>
      <c r="CK69" t="s">
        <v>57</v>
      </c>
      <c r="CL69" t="s">
        <v>57</v>
      </c>
      <c r="CM69" t="s">
        <v>57</v>
      </c>
      <c r="CN69" t="s">
        <v>57</v>
      </c>
      <c r="CO69" t="s">
        <v>57</v>
      </c>
      <c r="CP69" t="s">
        <v>57</v>
      </c>
      <c r="CQ69" t="s">
        <v>57</v>
      </c>
      <c r="CR69" t="s">
        <v>57</v>
      </c>
      <c r="CS69" t="s">
        <v>57</v>
      </c>
      <c r="CT69" t="s">
        <v>57</v>
      </c>
      <c r="CU69" t="s">
        <v>57</v>
      </c>
      <c r="CV69" t="s">
        <v>57</v>
      </c>
      <c r="CW69" t="s">
        <v>57</v>
      </c>
      <c r="CX69" t="s">
        <v>57</v>
      </c>
      <c r="CY69" t="s">
        <v>57</v>
      </c>
      <c r="CZ69" t="s">
        <v>57</v>
      </c>
      <c r="DA69" t="s">
        <v>57</v>
      </c>
      <c r="DB69" t="s">
        <v>57</v>
      </c>
      <c r="DC69" t="s">
        <v>57</v>
      </c>
      <c r="DD69" t="s">
        <v>57</v>
      </c>
      <c r="DE69" t="s">
        <v>57</v>
      </c>
      <c r="DF69" t="s">
        <v>57</v>
      </c>
      <c r="DG69" t="s">
        <v>57</v>
      </c>
      <c r="DH69" t="s">
        <v>57</v>
      </c>
      <c r="DI69" t="s">
        <v>57</v>
      </c>
      <c r="DJ69" t="s">
        <v>57</v>
      </c>
      <c r="DK69" t="s">
        <v>57</v>
      </c>
      <c r="DL69" t="s">
        <v>57</v>
      </c>
      <c r="DM69" t="s">
        <v>57</v>
      </c>
      <c r="DN69" t="s">
        <v>57</v>
      </c>
      <c r="DO69" t="s">
        <v>57</v>
      </c>
      <c r="DP69" t="s">
        <v>57</v>
      </c>
      <c r="DQ69" t="s">
        <v>57</v>
      </c>
      <c r="DR69" t="s">
        <v>57</v>
      </c>
      <c r="DS69" t="s">
        <v>57</v>
      </c>
      <c r="DT69" t="s">
        <v>57</v>
      </c>
      <c r="DU69" t="s">
        <v>57</v>
      </c>
      <c r="DV69" t="s">
        <v>57</v>
      </c>
      <c r="DW69" t="s">
        <v>57</v>
      </c>
      <c r="DX69" t="s">
        <v>57</v>
      </c>
      <c r="DY69" t="s">
        <v>175</v>
      </c>
      <c r="DZ69" t="s">
        <v>57</v>
      </c>
      <c r="EA69" t="s">
        <v>57</v>
      </c>
      <c r="EB69" t="s">
        <v>57</v>
      </c>
      <c r="EC69" t="s">
        <v>57</v>
      </c>
      <c r="ED69" t="s">
        <v>57</v>
      </c>
      <c r="EE69" t="s">
        <v>57</v>
      </c>
      <c r="EF69" t="s">
        <v>57</v>
      </c>
      <c r="EG69" t="s">
        <v>57</v>
      </c>
      <c r="EH69" t="s">
        <v>57</v>
      </c>
      <c r="EI69" t="s">
        <v>57</v>
      </c>
      <c r="EJ69" t="s">
        <v>57</v>
      </c>
      <c r="EK69" t="s">
        <v>57</v>
      </c>
      <c r="EL69" t="s">
        <v>57</v>
      </c>
      <c r="EM69" t="s">
        <v>57</v>
      </c>
      <c r="EN69" t="s">
        <v>57</v>
      </c>
      <c r="EO69" t="s">
        <v>57</v>
      </c>
      <c r="EP69" t="s">
        <v>57</v>
      </c>
      <c r="EQ69" t="s">
        <v>57</v>
      </c>
      <c r="ER69" t="s">
        <v>57</v>
      </c>
      <c r="ES69" t="s">
        <v>57</v>
      </c>
      <c r="ET69" t="s">
        <v>57</v>
      </c>
      <c r="EU69" t="s">
        <v>57</v>
      </c>
      <c r="EV69" t="s">
        <v>57</v>
      </c>
      <c r="EW69" t="s">
        <v>57</v>
      </c>
      <c r="EX69" t="s">
        <v>57</v>
      </c>
      <c r="EY69" t="s">
        <v>57</v>
      </c>
      <c r="EZ69" t="s">
        <v>57</v>
      </c>
      <c r="FA69" t="s">
        <v>57</v>
      </c>
      <c r="FB69" t="s">
        <v>57</v>
      </c>
      <c r="FC69" t="s">
        <v>57</v>
      </c>
      <c r="FD69" t="s">
        <v>57</v>
      </c>
      <c r="FE69" t="s">
        <v>57</v>
      </c>
      <c r="FF69" t="s">
        <v>57</v>
      </c>
      <c r="FG69" t="s">
        <v>57</v>
      </c>
      <c r="FH69" t="s">
        <v>57</v>
      </c>
      <c r="FI69" t="s">
        <v>57</v>
      </c>
      <c r="FJ69" t="s">
        <v>57</v>
      </c>
      <c r="FK69" t="s">
        <v>57</v>
      </c>
      <c r="FL69" t="s">
        <v>57</v>
      </c>
      <c r="FM69" t="s">
        <v>57</v>
      </c>
      <c r="FN69" t="s">
        <v>57</v>
      </c>
      <c r="FO69" t="s">
        <v>57</v>
      </c>
      <c r="FP69" t="s">
        <v>57</v>
      </c>
      <c r="FQ69" t="s">
        <v>57</v>
      </c>
      <c r="FR69" t="s">
        <v>57</v>
      </c>
      <c r="FS69" t="s">
        <v>57</v>
      </c>
      <c r="FT69" t="s">
        <v>57</v>
      </c>
      <c r="FU69" t="s">
        <v>57</v>
      </c>
      <c r="FV69" t="s">
        <v>57</v>
      </c>
      <c r="FW69" t="s">
        <v>57</v>
      </c>
      <c r="FX69" t="s">
        <v>57</v>
      </c>
      <c r="FY69" t="s">
        <v>57</v>
      </c>
      <c r="FZ69" t="s">
        <v>57</v>
      </c>
      <c r="GA69" t="s">
        <v>57</v>
      </c>
      <c r="GB69" t="s">
        <v>57</v>
      </c>
      <c r="GC69" t="s">
        <v>57</v>
      </c>
      <c r="GD69" t="s">
        <v>57</v>
      </c>
      <c r="GE69" t="s">
        <v>57</v>
      </c>
      <c r="GF69" t="s">
        <v>57</v>
      </c>
      <c r="GG69" t="s">
        <v>57</v>
      </c>
      <c r="GH69" t="s">
        <v>57</v>
      </c>
      <c r="GI69" t="s">
        <v>57</v>
      </c>
      <c r="GJ69" t="s">
        <v>57</v>
      </c>
      <c r="GK69" t="s">
        <v>57</v>
      </c>
      <c r="GL69" t="s">
        <v>57</v>
      </c>
      <c r="GM69" t="s">
        <v>57</v>
      </c>
      <c r="GN69" t="s">
        <v>57</v>
      </c>
      <c r="GO69" t="s">
        <v>57</v>
      </c>
      <c r="GP69" t="s">
        <v>57</v>
      </c>
      <c r="GQ69" t="s">
        <v>57</v>
      </c>
      <c r="GR69" t="s">
        <v>57</v>
      </c>
      <c r="GS69" t="s">
        <v>57</v>
      </c>
      <c r="GT69" t="s">
        <v>57</v>
      </c>
      <c r="GU69" t="s">
        <v>57</v>
      </c>
      <c r="GV69" t="s">
        <v>57</v>
      </c>
      <c r="GW69" t="s">
        <v>57</v>
      </c>
      <c r="GX69" t="s">
        <v>57</v>
      </c>
      <c r="GY69" t="s">
        <v>57</v>
      </c>
      <c r="GZ69" t="s">
        <v>57</v>
      </c>
      <c r="HA69" t="s">
        <v>57</v>
      </c>
      <c r="HB69" t="s">
        <v>57</v>
      </c>
      <c r="HC69" t="s">
        <v>57</v>
      </c>
      <c r="HD69" t="s">
        <v>57</v>
      </c>
      <c r="HE69" t="s">
        <v>57</v>
      </c>
      <c r="HF69" t="s">
        <v>57</v>
      </c>
      <c r="HG69" t="s">
        <v>57</v>
      </c>
      <c r="HH69" t="s">
        <v>175</v>
      </c>
      <c r="HI69" t="s">
        <v>175</v>
      </c>
      <c r="HJ69" t="s">
        <v>175</v>
      </c>
      <c r="HK69" t="s">
        <v>175</v>
      </c>
      <c r="HL69" t="s">
        <v>57</v>
      </c>
      <c r="HM69" t="s">
        <v>57</v>
      </c>
      <c r="HN69" t="s">
        <v>57</v>
      </c>
      <c r="HO69" t="s">
        <v>57</v>
      </c>
      <c r="HP69" t="s">
        <v>57</v>
      </c>
      <c r="HQ69" t="s">
        <v>57</v>
      </c>
      <c r="HR69" t="s">
        <v>57</v>
      </c>
      <c r="HS69" t="s">
        <v>57</v>
      </c>
      <c r="HT69" t="s">
        <v>57</v>
      </c>
      <c r="HU69" t="s">
        <v>57</v>
      </c>
      <c r="HV69" t="s">
        <v>57</v>
      </c>
      <c r="HW69" t="s">
        <v>57</v>
      </c>
      <c r="HX69" t="s">
        <v>57</v>
      </c>
      <c r="HY69" t="s">
        <v>57</v>
      </c>
      <c r="HZ69" t="s">
        <v>57</v>
      </c>
      <c r="IA69" t="s">
        <v>57</v>
      </c>
      <c r="IB69" t="s">
        <v>57</v>
      </c>
      <c r="IC69" t="s">
        <v>57</v>
      </c>
      <c r="ID69" t="s">
        <v>57</v>
      </c>
      <c r="IE69" t="s">
        <v>57</v>
      </c>
      <c r="IF69" t="s">
        <v>123</v>
      </c>
      <c r="IG69" t="s">
        <v>123</v>
      </c>
      <c r="IH69" t="s">
        <v>123</v>
      </c>
      <c r="II69" t="s">
        <v>156</v>
      </c>
    </row>
    <row r="70" spans="1:243" x14ac:dyDescent="0.25">
      <c r="A70" s="111" t="str">
        <f>HYPERLINK("http://www.ofsted.gov.uk/inspection-reports/find-inspection-report/provider/ELS/117662 ","Ofsted School Webpage")</f>
        <v>Ofsted School Webpage</v>
      </c>
      <c r="B70">
        <v>117662</v>
      </c>
      <c r="C70">
        <v>9196236</v>
      </c>
      <c r="D70" t="s">
        <v>1662</v>
      </c>
      <c r="E70" t="s">
        <v>36</v>
      </c>
      <c r="F70" t="s">
        <v>166</v>
      </c>
      <c r="G70" t="s">
        <v>177</v>
      </c>
      <c r="H70" t="s">
        <v>177</v>
      </c>
      <c r="I70" t="s">
        <v>773</v>
      </c>
      <c r="J70" t="s">
        <v>1663</v>
      </c>
      <c r="K70" t="s">
        <v>142</v>
      </c>
      <c r="L70" t="s">
        <v>397</v>
      </c>
      <c r="M70" t="s">
        <v>2596</v>
      </c>
      <c r="N70" t="s">
        <v>143</v>
      </c>
      <c r="O70">
        <v>10038902</v>
      </c>
      <c r="P70" s="108">
        <v>43074</v>
      </c>
      <c r="Q70" s="108">
        <v>43076</v>
      </c>
      <c r="R70" s="108">
        <v>43129</v>
      </c>
      <c r="S70" t="s">
        <v>153</v>
      </c>
      <c r="T70" t="s">
        <v>154</v>
      </c>
      <c r="U70">
        <v>4</v>
      </c>
      <c r="V70">
        <v>4</v>
      </c>
      <c r="W70">
        <v>4</v>
      </c>
      <c r="X70">
        <v>2</v>
      </c>
      <c r="Y70">
        <v>2</v>
      </c>
      <c r="Z70">
        <v>4</v>
      </c>
      <c r="AA70" t="s">
        <v>2596</v>
      </c>
      <c r="AB70" t="s">
        <v>124</v>
      </c>
      <c r="AC70" t="s">
        <v>2596</v>
      </c>
      <c r="AD70" t="s">
        <v>2599</v>
      </c>
      <c r="AE70" t="s">
        <v>57</v>
      </c>
      <c r="AF70" t="s">
        <v>57</v>
      </c>
      <c r="AG70" t="s">
        <v>58</v>
      </c>
      <c r="AH70" t="s">
        <v>57</v>
      </c>
      <c r="AI70" t="s">
        <v>57</v>
      </c>
      <c r="AJ70" t="s">
        <v>57</v>
      </c>
      <c r="AK70" t="s">
        <v>57</v>
      </c>
      <c r="AL70" t="s">
        <v>58</v>
      </c>
      <c r="AM70" t="s">
        <v>57</v>
      </c>
      <c r="AN70" t="s">
        <v>57</v>
      </c>
      <c r="AO70" t="s">
        <v>57</v>
      </c>
      <c r="AP70" t="s">
        <v>57</v>
      </c>
      <c r="AQ70" t="s">
        <v>57</v>
      </c>
      <c r="AR70" t="s">
        <v>57</v>
      </c>
      <c r="AS70" t="s">
        <v>57</v>
      </c>
      <c r="AT70" t="s">
        <v>57</v>
      </c>
      <c r="AU70" t="s">
        <v>175</v>
      </c>
      <c r="AV70" t="s">
        <v>57</v>
      </c>
      <c r="AW70" t="s">
        <v>57</v>
      </c>
      <c r="AX70" t="s">
        <v>57</v>
      </c>
      <c r="AY70" t="s">
        <v>175</v>
      </c>
      <c r="AZ70" t="s">
        <v>175</v>
      </c>
      <c r="BA70" t="s">
        <v>175</v>
      </c>
      <c r="BB70" t="s">
        <v>175</v>
      </c>
      <c r="BC70" t="s">
        <v>57</v>
      </c>
      <c r="BD70" t="s">
        <v>175</v>
      </c>
      <c r="BE70" t="s">
        <v>57</v>
      </c>
      <c r="BF70" t="s">
        <v>57</v>
      </c>
      <c r="BG70" t="s">
        <v>57</v>
      </c>
      <c r="BH70" t="s">
        <v>57</v>
      </c>
      <c r="BI70" t="s">
        <v>57</v>
      </c>
      <c r="BJ70" t="s">
        <v>57</v>
      </c>
      <c r="BK70" t="s">
        <v>57</v>
      </c>
      <c r="BL70" t="s">
        <v>57</v>
      </c>
      <c r="BM70" t="s">
        <v>57</v>
      </c>
      <c r="BN70" t="s">
        <v>57</v>
      </c>
      <c r="BO70" t="s">
        <v>57</v>
      </c>
      <c r="BP70" t="s">
        <v>57</v>
      </c>
      <c r="BQ70" t="s">
        <v>57</v>
      </c>
      <c r="BR70" t="s">
        <v>57</v>
      </c>
      <c r="BS70" t="s">
        <v>57</v>
      </c>
      <c r="BT70" t="s">
        <v>57</v>
      </c>
      <c r="BU70" t="s">
        <v>57</v>
      </c>
      <c r="BV70" t="s">
        <v>57</v>
      </c>
      <c r="BW70" t="s">
        <v>57</v>
      </c>
      <c r="BX70" t="s">
        <v>57</v>
      </c>
      <c r="BY70" t="s">
        <v>57</v>
      </c>
      <c r="BZ70" t="s">
        <v>57</v>
      </c>
      <c r="CA70" t="s">
        <v>57</v>
      </c>
      <c r="CB70" t="s">
        <v>57</v>
      </c>
      <c r="CC70" t="s">
        <v>57</v>
      </c>
      <c r="CD70" t="s">
        <v>57</v>
      </c>
      <c r="CE70" t="s">
        <v>57</v>
      </c>
      <c r="CF70" t="s">
        <v>57</v>
      </c>
      <c r="CG70" t="s">
        <v>57</v>
      </c>
      <c r="CH70" t="s">
        <v>58</v>
      </c>
      <c r="CI70" t="s">
        <v>58</v>
      </c>
      <c r="CJ70" t="s">
        <v>58</v>
      </c>
      <c r="CK70" t="s">
        <v>175</v>
      </c>
      <c r="CL70" t="s">
        <v>175</v>
      </c>
      <c r="CM70" t="s">
        <v>175</v>
      </c>
      <c r="CN70" t="s">
        <v>57</v>
      </c>
      <c r="CO70" t="s">
        <v>57</v>
      </c>
      <c r="CP70" t="s">
        <v>57</v>
      </c>
      <c r="CQ70" t="s">
        <v>57</v>
      </c>
      <c r="CR70" t="s">
        <v>57</v>
      </c>
      <c r="CS70" t="s">
        <v>58</v>
      </c>
      <c r="CT70" t="s">
        <v>58</v>
      </c>
      <c r="CU70" t="s">
        <v>57</v>
      </c>
      <c r="CV70" t="s">
        <v>57</v>
      </c>
      <c r="CW70" t="s">
        <v>57</v>
      </c>
      <c r="CX70" t="s">
        <v>58</v>
      </c>
      <c r="CY70" t="s">
        <v>58</v>
      </c>
      <c r="CZ70" t="s">
        <v>58</v>
      </c>
      <c r="DA70" t="s">
        <v>57</v>
      </c>
      <c r="DB70" t="s">
        <v>57</v>
      </c>
      <c r="DC70" t="s">
        <v>57</v>
      </c>
      <c r="DD70" t="s">
        <v>57</v>
      </c>
      <c r="DE70" t="s">
        <v>57</v>
      </c>
      <c r="DF70" t="s">
        <v>57</v>
      </c>
      <c r="DG70" t="s">
        <v>57</v>
      </c>
      <c r="DH70" t="s">
        <v>57</v>
      </c>
      <c r="DI70" t="s">
        <v>57</v>
      </c>
      <c r="DJ70" t="s">
        <v>57</v>
      </c>
      <c r="DK70" t="s">
        <v>175</v>
      </c>
      <c r="DL70" t="s">
        <v>57</v>
      </c>
      <c r="DM70" t="s">
        <v>57</v>
      </c>
      <c r="DN70" t="s">
        <v>57</v>
      </c>
      <c r="DO70" t="s">
        <v>57</v>
      </c>
      <c r="DP70" t="s">
        <v>57</v>
      </c>
      <c r="DQ70" t="s">
        <v>57</v>
      </c>
      <c r="DR70" t="s">
        <v>57</v>
      </c>
      <c r="DS70" t="s">
        <v>57</v>
      </c>
      <c r="DT70" t="s">
        <v>57</v>
      </c>
      <c r="DU70" t="s">
        <v>57</v>
      </c>
      <c r="DV70" t="s">
        <v>57</v>
      </c>
      <c r="DW70" t="s">
        <v>57</v>
      </c>
      <c r="DX70" t="s">
        <v>57</v>
      </c>
      <c r="DY70" t="s">
        <v>175</v>
      </c>
      <c r="DZ70" t="s">
        <v>57</v>
      </c>
      <c r="EA70" t="s">
        <v>57</v>
      </c>
      <c r="EB70" t="s">
        <v>57</v>
      </c>
      <c r="EC70" t="s">
        <v>57</v>
      </c>
      <c r="ED70" t="s">
        <v>57</v>
      </c>
      <c r="EE70" t="s">
        <v>57</v>
      </c>
      <c r="EF70" t="s">
        <v>57</v>
      </c>
      <c r="EG70" t="s">
        <v>57</v>
      </c>
      <c r="EH70" t="s">
        <v>57</v>
      </c>
      <c r="EI70" t="s">
        <v>57</v>
      </c>
      <c r="EJ70" t="s">
        <v>57</v>
      </c>
      <c r="EK70" t="s">
        <v>57</v>
      </c>
      <c r="EL70" t="s">
        <v>57</v>
      </c>
      <c r="EM70" t="s">
        <v>57</v>
      </c>
      <c r="EN70" t="s">
        <v>57</v>
      </c>
      <c r="EO70" t="s">
        <v>57</v>
      </c>
      <c r="EP70" t="s">
        <v>57</v>
      </c>
      <c r="EQ70" t="s">
        <v>57</v>
      </c>
      <c r="ER70" t="s">
        <v>57</v>
      </c>
      <c r="ES70" t="s">
        <v>57</v>
      </c>
      <c r="ET70" t="s">
        <v>57</v>
      </c>
      <c r="EU70" t="s">
        <v>57</v>
      </c>
      <c r="EV70" t="s">
        <v>57</v>
      </c>
      <c r="EW70" t="s">
        <v>57</v>
      </c>
      <c r="EX70" t="s">
        <v>57</v>
      </c>
      <c r="EY70" t="s">
        <v>57</v>
      </c>
      <c r="EZ70" t="s">
        <v>57</v>
      </c>
      <c r="FA70" t="s">
        <v>57</v>
      </c>
      <c r="FB70" t="s">
        <v>57</v>
      </c>
      <c r="FC70" t="s">
        <v>57</v>
      </c>
      <c r="FD70" t="s">
        <v>57</v>
      </c>
      <c r="FE70" t="s">
        <v>57</v>
      </c>
      <c r="FF70" t="s">
        <v>57</v>
      </c>
      <c r="FG70" t="s">
        <v>57</v>
      </c>
      <c r="FH70" t="s">
        <v>57</v>
      </c>
      <c r="FI70" t="s">
        <v>57</v>
      </c>
      <c r="FJ70" t="s">
        <v>57</v>
      </c>
      <c r="FK70" t="s">
        <v>175</v>
      </c>
      <c r="FL70" t="s">
        <v>57</v>
      </c>
      <c r="FM70" t="s">
        <v>57</v>
      </c>
      <c r="FN70" t="s">
        <v>57</v>
      </c>
      <c r="FO70" t="s">
        <v>175</v>
      </c>
      <c r="FP70" t="s">
        <v>57</v>
      </c>
      <c r="FQ70" t="s">
        <v>57</v>
      </c>
      <c r="FR70" t="s">
        <v>57</v>
      </c>
      <c r="FS70" t="s">
        <v>57</v>
      </c>
      <c r="FT70" t="s">
        <v>57</v>
      </c>
      <c r="FU70" t="s">
        <v>57</v>
      </c>
      <c r="FV70" t="s">
        <v>57</v>
      </c>
      <c r="FW70" t="s">
        <v>57</v>
      </c>
      <c r="FX70" t="s">
        <v>57</v>
      </c>
      <c r="FY70" t="s">
        <v>57</v>
      </c>
      <c r="FZ70" t="s">
        <v>57</v>
      </c>
      <c r="GA70" t="s">
        <v>57</v>
      </c>
      <c r="GB70" t="s">
        <v>57</v>
      </c>
      <c r="GC70" t="s">
        <v>57</v>
      </c>
      <c r="GD70" t="s">
        <v>57</v>
      </c>
      <c r="GE70" t="s">
        <v>57</v>
      </c>
      <c r="GF70" t="s">
        <v>57</v>
      </c>
      <c r="GG70" t="s">
        <v>175</v>
      </c>
      <c r="GH70" t="s">
        <v>57</v>
      </c>
      <c r="GI70" t="s">
        <v>57</v>
      </c>
      <c r="GJ70" t="s">
        <v>57</v>
      </c>
      <c r="GK70" t="s">
        <v>57</v>
      </c>
      <c r="GL70" t="s">
        <v>57</v>
      </c>
      <c r="GM70" t="s">
        <v>175</v>
      </c>
      <c r="GN70" t="s">
        <v>57</v>
      </c>
      <c r="GO70" t="s">
        <v>57</v>
      </c>
      <c r="GP70" t="s">
        <v>175</v>
      </c>
      <c r="GQ70" t="s">
        <v>175</v>
      </c>
      <c r="GR70" t="s">
        <v>57</v>
      </c>
      <c r="GS70" t="s">
        <v>57</v>
      </c>
      <c r="GT70" t="s">
        <v>57</v>
      </c>
      <c r="GU70" t="s">
        <v>57</v>
      </c>
      <c r="GV70" t="s">
        <v>175</v>
      </c>
      <c r="GW70" t="s">
        <v>57</v>
      </c>
      <c r="GX70" t="s">
        <v>57</v>
      </c>
      <c r="GY70" t="s">
        <v>57</v>
      </c>
      <c r="GZ70" t="s">
        <v>57</v>
      </c>
      <c r="HA70" t="s">
        <v>57</v>
      </c>
      <c r="HB70" t="s">
        <v>57</v>
      </c>
      <c r="HC70" t="s">
        <v>57</v>
      </c>
      <c r="HD70" t="s">
        <v>57</v>
      </c>
      <c r="HE70" t="s">
        <v>57</v>
      </c>
      <c r="HF70" t="s">
        <v>57</v>
      </c>
      <c r="HG70" t="s">
        <v>57</v>
      </c>
      <c r="HH70" t="s">
        <v>175</v>
      </c>
      <c r="HI70" t="s">
        <v>175</v>
      </c>
      <c r="HJ70" t="s">
        <v>175</v>
      </c>
      <c r="HK70" t="s">
        <v>175</v>
      </c>
      <c r="HL70" t="s">
        <v>57</v>
      </c>
      <c r="HM70" t="s">
        <v>57</v>
      </c>
      <c r="HN70" t="s">
        <v>57</v>
      </c>
      <c r="HO70" t="s">
        <v>57</v>
      </c>
      <c r="HP70" t="s">
        <v>57</v>
      </c>
      <c r="HQ70" t="s">
        <v>57</v>
      </c>
      <c r="HR70" t="s">
        <v>57</v>
      </c>
      <c r="HS70" t="s">
        <v>57</v>
      </c>
      <c r="HT70" t="s">
        <v>57</v>
      </c>
      <c r="HU70" t="s">
        <v>57</v>
      </c>
      <c r="HV70" t="s">
        <v>57</v>
      </c>
      <c r="HW70" t="s">
        <v>57</v>
      </c>
      <c r="HX70" t="s">
        <v>57</v>
      </c>
      <c r="HY70" t="s">
        <v>57</v>
      </c>
      <c r="HZ70" t="s">
        <v>57</v>
      </c>
      <c r="IA70" t="s">
        <v>57</v>
      </c>
      <c r="IB70" t="s">
        <v>58</v>
      </c>
      <c r="IC70" t="s">
        <v>58</v>
      </c>
      <c r="ID70" t="s">
        <v>58</v>
      </c>
      <c r="IE70" t="s">
        <v>58</v>
      </c>
      <c r="IF70" t="s">
        <v>124</v>
      </c>
      <c r="IG70" t="s">
        <v>148</v>
      </c>
      <c r="IH70" t="s">
        <v>123</v>
      </c>
      <c r="II70" t="s">
        <v>156</v>
      </c>
    </row>
    <row r="71" spans="1:243" x14ac:dyDescent="0.25">
      <c r="A71" s="111" t="str">
        <f>HYPERLINK("http://www.ofsted.gov.uk/inspection-reports/find-inspection-report/provider/ELS/118123 ","Ofsted School Webpage")</f>
        <v>Ofsted School Webpage</v>
      </c>
      <c r="B71">
        <v>118123</v>
      </c>
      <c r="C71">
        <v>8106000</v>
      </c>
      <c r="D71" t="s">
        <v>210</v>
      </c>
      <c r="E71" t="s">
        <v>36</v>
      </c>
      <c r="F71" t="s">
        <v>166</v>
      </c>
      <c r="G71" t="s">
        <v>202</v>
      </c>
      <c r="H71" t="s">
        <v>203</v>
      </c>
      <c r="I71" t="s">
        <v>211</v>
      </c>
      <c r="J71" t="s">
        <v>212</v>
      </c>
      <c r="K71" t="s">
        <v>142</v>
      </c>
      <c r="L71" t="s">
        <v>142</v>
      </c>
      <c r="M71" t="s">
        <v>2596</v>
      </c>
      <c r="N71" t="s">
        <v>143</v>
      </c>
      <c r="O71">
        <v>10040141</v>
      </c>
      <c r="P71" s="108">
        <v>43025</v>
      </c>
      <c r="Q71" s="108">
        <v>43027</v>
      </c>
      <c r="R71" s="108">
        <v>43066</v>
      </c>
      <c r="S71" t="s">
        <v>153</v>
      </c>
      <c r="T71" t="s">
        <v>154</v>
      </c>
      <c r="U71">
        <v>3</v>
      </c>
      <c r="V71">
        <v>3</v>
      </c>
      <c r="W71">
        <v>2</v>
      </c>
      <c r="X71">
        <v>2</v>
      </c>
      <c r="Y71">
        <v>2</v>
      </c>
      <c r="Z71">
        <v>3</v>
      </c>
      <c r="AA71" t="s">
        <v>2596</v>
      </c>
      <c r="AB71" t="s">
        <v>123</v>
      </c>
      <c r="AC71" t="s">
        <v>2596</v>
      </c>
      <c r="AD71" t="s">
        <v>2599</v>
      </c>
      <c r="AE71" t="s">
        <v>57</v>
      </c>
      <c r="AF71" t="s">
        <v>57</v>
      </c>
      <c r="AG71" t="s">
        <v>57</v>
      </c>
      <c r="AH71" t="s">
        <v>57</v>
      </c>
      <c r="AI71" t="s">
        <v>58</v>
      </c>
      <c r="AJ71" t="s">
        <v>58</v>
      </c>
      <c r="AK71" t="s">
        <v>57</v>
      </c>
      <c r="AL71" t="s">
        <v>58</v>
      </c>
      <c r="AM71" t="s">
        <v>57</v>
      </c>
      <c r="AN71" t="s">
        <v>57</v>
      </c>
      <c r="AO71" t="s">
        <v>57</v>
      </c>
      <c r="AP71" t="s">
        <v>57</v>
      </c>
      <c r="AQ71" t="s">
        <v>57</v>
      </c>
      <c r="AR71" t="s">
        <v>57</v>
      </c>
      <c r="AS71" t="s">
        <v>57</v>
      </c>
      <c r="AT71" t="s">
        <v>57</v>
      </c>
      <c r="AU71" t="s">
        <v>175</v>
      </c>
      <c r="AV71" t="s">
        <v>57</v>
      </c>
      <c r="AW71" t="s">
        <v>57</v>
      </c>
      <c r="AX71" t="s">
        <v>57</v>
      </c>
      <c r="AY71" t="s">
        <v>175</v>
      </c>
      <c r="AZ71" t="s">
        <v>175</v>
      </c>
      <c r="BA71" t="s">
        <v>175</v>
      </c>
      <c r="BB71" t="s">
        <v>175</v>
      </c>
      <c r="BC71" t="s">
        <v>175</v>
      </c>
      <c r="BD71" t="s">
        <v>175</v>
      </c>
      <c r="BE71" t="s">
        <v>57</v>
      </c>
      <c r="BF71" t="s">
        <v>57</v>
      </c>
      <c r="BG71" t="s">
        <v>57</v>
      </c>
      <c r="BH71" t="s">
        <v>57</v>
      </c>
      <c r="BI71" t="s">
        <v>57</v>
      </c>
      <c r="BJ71" t="s">
        <v>57</v>
      </c>
      <c r="BK71" t="s">
        <v>57</v>
      </c>
      <c r="BL71" t="s">
        <v>57</v>
      </c>
      <c r="BM71" t="s">
        <v>57</v>
      </c>
      <c r="BN71" t="s">
        <v>57</v>
      </c>
      <c r="BO71" t="s">
        <v>57</v>
      </c>
      <c r="BP71" t="s">
        <v>57</v>
      </c>
      <c r="BQ71" t="s">
        <v>57</v>
      </c>
      <c r="BR71" t="s">
        <v>57</v>
      </c>
      <c r="BS71" t="s">
        <v>57</v>
      </c>
      <c r="BT71" t="s">
        <v>57</v>
      </c>
      <c r="BU71" t="s">
        <v>57</v>
      </c>
      <c r="BV71" t="s">
        <v>57</v>
      </c>
      <c r="BW71" t="s">
        <v>57</v>
      </c>
      <c r="BX71" t="s">
        <v>57</v>
      </c>
      <c r="BY71" t="s">
        <v>57</v>
      </c>
      <c r="BZ71" t="s">
        <v>57</v>
      </c>
      <c r="CA71" t="s">
        <v>57</v>
      </c>
      <c r="CB71" t="s">
        <v>57</v>
      </c>
      <c r="CC71" t="s">
        <v>57</v>
      </c>
      <c r="CD71" t="s">
        <v>57</v>
      </c>
      <c r="CE71" t="s">
        <v>57</v>
      </c>
      <c r="CF71" t="s">
        <v>57</v>
      </c>
      <c r="CG71" t="s">
        <v>57</v>
      </c>
      <c r="CH71" t="s">
        <v>57</v>
      </c>
      <c r="CI71" t="s">
        <v>57</v>
      </c>
      <c r="CJ71" t="s">
        <v>57</v>
      </c>
      <c r="CK71" t="s">
        <v>175</v>
      </c>
      <c r="CL71" t="s">
        <v>175</v>
      </c>
      <c r="CM71" t="s">
        <v>175</v>
      </c>
      <c r="CN71" t="s">
        <v>58</v>
      </c>
      <c r="CO71" t="s">
        <v>58</v>
      </c>
      <c r="CP71" t="s">
        <v>58</v>
      </c>
      <c r="CQ71" t="s">
        <v>58</v>
      </c>
      <c r="CR71" t="s">
        <v>58</v>
      </c>
      <c r="CS71" t="s">
        <v>57</v>
      </c>
      <c r="CT71" t="s">
        <v>57</v>
      </c>
      <c r="CU71" t="s">
        <v>58</v>
      </c>
      <c r="CV71" t="s">
        <v>57</v>
      </c>
      <c r="CW71" t="s">
        <v>57</v>
      </c>
      <c r="CX71" t="s">
        <v>57</v>
      </c>
      <c r="CY71" t="s">
        <v>57</v>
      </c>
      <c r="CZ71" t="s">
        <v>57</v>
      </c>
      <c r="DA71" t="s">
        <v>57</v>
      </c>
      <c r="DB71" t="s">
        <v>57</v>
      </c>
      <c r="DC71" t="s">
        <v>57</v>
      </c>
      <c r="DD71" t="s">
        <v>57</v>
      </c>
      <c r="DE71" t="s">
        <v>57</v>
      </c>
      <c r="DF71" t="s">
        <v>57</v>
      </c>
      <c r="DG71" t="s">
        <v>57</v>
      </c>
      <c r="DH71" t="s">
        <v>57</v>
      </c>
      <c r="DI71" t="s">
        <v>57</v>
      </c>
      <c r="DJ71" t="s">
        <v>57</v>
      </c>
      <c r="DK71" t="s">
        <v>175</v>
      </c>
      <c r="DL71" t="s">
        <v>57</v>
      </c>
      <c r="DM71" t="s">
        <v>57</v>
      </c>
      <c r="DN71" t="s">
        <v>57</v>
      </c>
      <c r="DO71" t="s">
        <v>57</v>
      </c>
      <c r="DP71" t="s">
        <v>57</v>
      </c>
      <c r="DQ71" t="s">
        <v>57</v>
      </c>
      <c r="DR71" t="s">
        <v>57</v>
      </c>
      <c r="DS71" t="s">
        <v>57</v>
      </c>
      <c r="DT71" t="s">
        <v>57</v>
      </c>
      <c r="DU71" t="s">
        <v>57</v>
      </c>
      <c r="DV71" t="s">
        <v>57</v>
      </c>
      <c r="DW71" t="s">
        <v>57</v>
      </c>
      <c r="DX71" t="s">
        <v>57</v>
      </c>
      <c r="DY71" t="s">
        <v>175</v>
      </c>
      <c r="DZ71" t="s">
        <v>57</v>
      </c>
      <c r="EA71" t="s">
        <v>175</v>
      </c>
      <c r="EB71" t="s">
        <v>175</v>
      </c>
      <c r="EC71" t="s">
        <v>175</v>
      </c>
      <c r="ED71" t="s">
        <v>175</v>
      </c>
      <c r="EE71" t="s">
        <v>175</v>
      </c>
      <c r="EF71" t="s">
        <v>175</v>
      </c>
      <c r="EG71" t="s">
        <v>175</v>
      </c>
      <c r="EH71" t="s">
        <v>175</v>
      </c>
      <c r="EI71" t="s">
        <v>175</v>
      </c>
      <c r="EJ71" t="s">
        <v>57</v>
      </c>
      <c r="EK71" t="s">
        <v>57</v>
      </c>
      <c r="EL71" t="s">
        <v>57</v>
      </c>
      <c r="EM71" t="s">
        <v>57</v>
      </c>
      <c r="EN71" t="s">
        <v>57</v>
      </c>
      <c r="EO71" t="s">
        <v>57</v>
      </c>
      <c r="EP71" t="s">
        <v>57</v>
      </c>
      <c r="EQ71" t="s">
        <v>57</v>
      </c>
      <c r="ER71" t="s">
        <v>57</v>
      </c>
      <c r="ES71" t="s">
        <v>57</v>
      </c>
      <c r="ET71" t="s">
        <v>57</v>
      </c>
      <c r="EU71" t="s">
        <v>57</v>
      </c>
      <c r="EV71" t="s">
        <v>57</v>
      </c>
      <c r="EW71" t="s">
        <v>57</v>
      </c>
      <c r="EX71" t="s">
        <v>57</v>
      </c>
      <c r="EY71" t="s">
        <v>57</v>
      </c>
      <c r="EZ71" t="s">
        <v>57</v>
      </c>
      <c r="FA71" t="s">
        <v>57</v>
      </c>
      <c r="FB71" t="s">
        <v>57</v>
      </c>
      <c r="FC71" t="s">
        <v>57</v>
      </c>
      <c r="FD71" t="s">
        <v>175</v>
      </c>
      <c r="FE71" t="s">
        <v>175</v>
      </c>
      <c r="FF71" t="s">
        <v>148</v>
      </c>
      <c r="FG71" t="s">
        <v>175</v>
      </c>
      <c r="FH71" t="s">
        <v>58</v>
      </c>
      <c r="FI71" t="s">
        <v>58</v>
      </c>
      <c r="FJ71" t="s">
        <v>57</v>
      </c>
      <c r="FK71" t="s">
        <v>175</v>
      </c>
      <c r="FL71" t="s">
        <v>57</v>
      </c>
      <c r="FM71" t="s">
        <v>57</v>
      </c>
      <c r="FN71" t="s">
        <v>57</v>
      </c>
      <c r="FO71" t="s">
        <v>175</v>
      </c>
      <c r="FP71" t="s">
        <v>57</v>
      </c>
      <c r="FQ71" t="s">
        <v>57</v>
      </c>
      <c r="FR71" t="s">
        <v>57</v>
      </c>
      <c r="FS71" t="s">
        <v>58</v>
      </c>
      <c r="FT71" t="s">
        <v>57</v>
      </c>
      <c r="FU71" t="s">
        <v>58</v>
      </c>
      <c r="FV71" t="s">
        <v>58</v>
      </c>
      <c r="FW71" t="s">
        <v>57</v>
      </c>
      <c r="FX71" t="s">
        <v>58</v>
      </c>
      <c r="FY71" t="s">
        <v>57</v>
      </c>
      <c r="FZ71" t="s">
        <v>57</v>
      </c>
      <c r="GA71" t="s">
        <v>57</v>
      </c>
      <c r="GB71" t="s">
        <v>57</v>
      </c>
      <c r="GC71" t="s">
        <v>57</v>
      </c>
      <c r="GD71" t="s">
        <v>57</v>
      </c>
      <c r="GE71" t="s">
        <v>57</v>
      </c>
      <c r="GF71" t="s">
        <v>57</v>
      </c>
      <c r="GG71" t="s">
        <v>175</v>
      </c>
      <c r="GH71" t="s">
        <v>58</v>
      </c>
      <c r="GI71" t="s">
        <v>57</v>
      </c>
      <c r="GJ71" t="s">
        <v>58</v>
      </c>
      <c r="GK71" t="s">
        <v>58</v>
      </c>
      <c r="GL71" t="s">
        <v>58</v>
      </c>
      <c r="GM71" t="s">
        <v>175</v>
      </c>
      <c r="GN71" t="s">
        <v>57</v>
      </c>
      <c r="GO71" t="s">
        <v>57</v>
      </c>
      <c r="GP71" t="s">
        <v>175</v>
      </c>
      <c r="GQ71" t="s">
        <v>175</v>
      </c>
      <c r="GR71" t="s">
        <v>175</v>
      </c>
      <c r="GS71" t="s">
        <v>57</v>
      </c>
      <c r="GT71" t="s">
        <v>57</v>
      </c>
      <c r="GU71" t="s">
        <v>57</v>
      </c>
      <c r="GV71" t="s">
        <v>57</v>
      </c>
      <c r="GW71" t="s">
        <v>175</v>
      </c>
      <c r="GX71" t="s">
        <v>175</v>
      </c>
      <c r="GY71" t="s">
        <v>57</v>
      </c>
      <c r="GZ71" t="s">
        <v>57</v>
      </c>
      <c r="HA71" t="s">
        <v>58</v>
      </c>
      <c r="HB71" t="s">
        <v>58</v>
      </c>
      <c r="HC71" t="s">
        <v>57</v>
      </c>
      <c r="HD71" t="s">
        <v>58</v>
      </c>
      <c r="HE71" t="s">
        <v>58</v>
      </c>
      <c r="HF71" t="s">
        <v>57</v>
      </c>
      <c r="HG71" t="s">
        <v>58</v>
      </c>
      <c r="HH71" t="s">
        <v>175</v>
      </c>
      <c r="HI71" t="s">
        <v>175</v>
      </c>
      <c r="HJ71" t="s">
        <v>175</v>
      </c>
      <c r="HK71" t="s">
        <v>175</v>
      </c>
      <c r="HL71" t="s">
        <v>57</v>
      </c>
      <c r="HM71" t="s">
        <v>57</v>
      </c>
      <c r="HN71" t="s">
        <v>57</v>
      </c>
      <c r="HO71" t="s">
        <v>57</v>
      </c>
      <c r="HP71" t="s">
        <v>57</v>
      </c>
      <c r="HQ71" t="s">
        <v>57</v>
      </c>
      <c r="HR71" t="s">
        <v>57</v>
      </c>
      <c r="HS71" t="s">
        <v>57</v>
      </c>
      <c r="HT71" t="s">
        <v>57</v>
      </c>
      <c r="HU71" t="s">
        <v>57</v>
      </c>
      <c r="HV71" t="s">
        <v>57</v>
      </c>
      <c r="HW71" t="s">
        <v>57</v>
      </c>
      <c r="HX71" t="s">
        <v>57</v>
      </c>
      <c r="HY71" t="s">
        <v>57</v>
      </c>
      <c r="HZ71" t="s">
        <v>57</v>
      </c>
      <c r="IA71" t="s">
        <v>57</v>
      </c>
      <c r="IB71" t="s">
        <v>58</v>
      </c>
      <c r="IC71" t="s">
        <v>58</v>
      </c>
      <c r="ID71" t="s">
        <v>58</v>
      </c>
      <c r="IE71" t="s">
        <v>58</v>
      </c>
      <c r="IF71" t="s">
        <v>123</v>
      </c>
      <c r="IG71" t="s">
        <v>124</v>
      </c>
      <c r="IH71" t="s">
        <v>123</v>
      </c>
      <c r="II71" t="s">
        <v>156</v>
      </c>
    </row>
    <row r="72" spans="1:243" x14ac:dyDescent="0.25">
      <c r="A72" s="111" t="str">
        <f>HYPERLINK("http://www.ofsted.gov.uk/inspection-reports/find-inspection-report/provider/ELS/118962 ","Ofsted School Webpage")</f>
        <v>Ofsted School Webpage</v>
      </c>
      <c r="B72">
        <v>118962</v>
      </c>
      <c r="C72">
        <v>8866022</v>
      </c>
      <c r="D72" t="s">
        <v>2224</v>
      </c>
      <c r="E72" t="s">
        <v>36</v>
      </c>
      <c r="F72" t="s">
        <v>166</v>
      </c>
      <c r="G72" t="s">
        <v>139</v>
      </c>
      <c r="H72" t="s">
        <v>139</v>
      </c>
      <c r="I72" t="s">
        <v>140</v>
      </c>
      <c r="J72" t="s">
        <v>2225</v>
      </c>
      <c r="K72" t="s">
        <v>142</v>
      </c>
      <c r="L72" t="s">
        <v>142</v>
      </c>
      <c r="M72" t="s">
        <v>2596</v>
      </c>
      <c r="N72" t="s">
        <v>143</v>
      </c>
      <c r="O72">
        <v>10041265</v>
      </c>
      <c r="P72" s="108">
        <v>43060</v>
      </c>
      <c r="Q72" s="108">
        <v>43062</v>
      </c>
      <c r="R72" s="108">
        <v>43081</v>
      </c>
      <c r="S72" t="s">
        <v>153</v>
      </c>
      <c r="T72" t="s">
        <v>154</v>
      </c>
      <c r="U72">
        <v>2</v>
      </c>
      <c r="V72">
        <v>2</v>
      </c>
      <c r="W72">
        <v>2</v>
      </c>
      <c r="X72">
        <v>2</v>
      </c>
      <c r="Y72">
        <v>2</v>
      </c>
      <c r="Z72">
        <v>2</v>
      </c>
      <c r="AA72" t="s">
        <v>2596</v>
      </c>
      <c r="AB72" t="s">
        <v>123</v>
      </c>
      <c r="AC72" t="s">
        <v>2596</v>
      </c>
      <c r="AD72" t="s">
        <v>2598</v>
      </c>
      <c r="AE72" t="s">
        <v>57</v>
      </c>
      <c r="AF72" t="s">
        <v>57</v>
      </c>
      <c r="AG72" t="s">
        <v>57</v>
      </c>
      <c r="AH72" t="s">
        <v>57</v>
      </c>
      <c r="AI72" t="s">
        <v>57</v>
      </c>
      <c r="AJ72" t="s">
        <v>57</v>
      </c>
      <c r="AK72" t="s">
        <v>57</v>
      </c>
      <c r="AL72" t="s">
        <v>57</v>
      </c>
      <c r="AM72" t="s">
        <v>57</v>
      </c>
      <c r="AN72" t="s">
        <v>57</v>
      </c>
      <c r="AO72" t="s">
        <v>57</v>
      </c>
      <c r="AP72" t="s">
        <v>57</v>
      </c>
      <c r="AQ72" t="s">
        <v>57</v>
      </c>
      <c r="AR72" t="s">
        <v>57</v>
      </c>
      <c r="AS72" t="s">
        <v>57</v>
      </c>
      <c r="AT72" t="s">
        <v>57</v>
      </c>
      <c r="AU72" t="s">
        <v>175</v>
      </c>
      <c r="AV72" t="s">
        <v>57</v>
      </c>
      <c r="AW72" t="s">
        <v>57</v>
      </c>
      <c r="AX72" t="s">
        <v>57</v>
      </c>
      <c r="AY72" t="s">
        <v>175</v>
      </c>
      <c r="AZ72" t="s">
        <v>175</v>
      </c>
      <c r="BA72" t="s">
        <v>175</v>
      </c>
      <c r="BB72" t="s">
        <v>175</v>
      </c>
      <c r="BC72" t="s">
        <v>57</v>
      </c>
      <c r="BD72" t="s">
        <v>175</v>
      </c>
      <c r="BE72" t="s">
        <v>175</v>
      </c>
      <c r="BF72" t="s">
        <v>175</v>
      </c>
      <c r="BG72" t="s">
        <v>57</v>
      </c>
      <c r="BH72" t="s">
        <v>57</v>
      </c>
      <c r="BI72" t="s">
        <v>57</v>
      </c>
      <c r="BJ72" t="s">
        <v>57</v>
      </c>
      <c r="BK72" t="s">
        <v>57</v>
      </c>
      <c r="BL72" t="s">
        <v>57</v>
      </c>
      <c r="BM72" t="s">
        <v>57</v>
      </c>
      <c r="BN72" t="s">
        <v>57</v>
      </c>
      <c r="BO72" t="s">
        <v>57</v>
      </c>
      <c r="BP72" t="s">
        <v>57</v>
      </c>
      <c r="BQ72" t="s">
        <v>57</v>
      </c>
      <c r="BR72" t="s">
        <v>57</v>
      </c>
      <c r="BS72" t="s">
        <v>57</v>
      </c>
      <c r="BT72" t="s">
        <v>57</v>
      </c>
      <c r="BU72" t="s">
        <v>57</v>
      </c>
      <c r="BV72" t="s">
        <v>57</v>
      </c>
      <c r="BW72" t="s">
        <v>57</v>
      </c>
      <c r="BX72" t="s">
        <v>57</v>
      </c>
      <c r="BY72" t="s">
        <v>57</v>
      </c>
      <c r="BZ72" t="s">
        <v>57</v>
      </c>
      <c r="CA72" t="s">
        <v>57</v>
      </c>
      <c r="CB72" t="s">
        <v>57</v>
      </c>
      <c r="CC72" t="s">
        <v>57</v>
      </c>
      <c r="CD72" t="s">
        <v>57</v>
      </c>
      <c r="CE72" t="s">
        <v>57</v>
      </c>
      <c r="CF72" t="s">
        <v>57</v>
      </c>
      <c r="CG72" t="s">
        <v>57</v>
      </c>
      <c r="CH72" t="s">
        <v>57</v>
      </c>
      <c r="CI72" t="s">
        <v>57</v>
      </c>
      <c r="CJ72" t="s">
        <v>57</v>
      </c>
      <c r="CK72" t="s">
        <v>175</v>
      </c>
      <c r="CL72" t="s">
        <v>175</v>
      </c>
      <c r="CM72" t="s">
        <v>175</v>
      </c>
      <c r="CN72" t="s">
        <v>57</v>
      </c>
      <c r="CO72" t="s">
        <v>57</v>
      </c>
      <c r="CP72" t="s">
        <v>57</v>
      </c>
      <c r="CQ72" t="s">
        <v>57</v>
      </c>
      <c r="CR72" t="s">
        <v>57</v>
      </c>
      <c r="CS72" t="s">
        <v>57</v>
      </c>
      <c r="CT72" t="s">
        <v>57</v>
      </c>
      <c r="CU72" t="s">
        <v>57</v>
      </c>
      <c r="CV72" t="s">
        <v>57</v>
      </c>
      <c r="CW72" t="s">
        <v>57</v>
      </c>
      <c r="CX72" t="s">
        <v>57</v>
      </c>
      <c r="CY72" t="s">
        <v>57</v>
      </c>
      <c r="CZ72" t="s">
        <v>57</v>
      </c>
      <c r="DA72" t="s">
        <v>57</v>
      </c>
      <c r="DB72" t="s">
        <v>57</v>
      </c>
      <c r="DC72" t="s">
        <v>57</v>
      </c>
      <c r="DD72" t="s">
        <v>57</v>
      </c>
      <c r="DE72" t="s">
        <v>57</v>
      </c>
      <c r="DF72" t="s">
        <v>57</v>
      </c>
      <c r="DG72" t="s">
        <v>57</v>
      </c>
      <c r="DH72" t="s">
        <v>57</v>
      </c>
      <c r="DI72" t="s">
        <v>57</v>
      </c>
      <c r="DJ72" t="s">
        <v>57</v>
      </c>
      <c r="DK72" t="s">
        <v>175</v>
      </c>
      <c r="DL72" t="s">
        <v>57</v>
      </c>
      <c r="DM72" t="s">
        <v>57</v>
      </c>
      <c r="DN72" t="s">
        <v>57</v>
      </c>
      <c r="DO72" t="s">
        <v>57</v>
      </c>
      <c r="DP72" t="s">
        <v>57</v>
      </c>
      <c r="DQ72" t="s">
        <v>57</v>
      </c>
      <c r="DR72" t="s">
        <v>57</v>
      </c>
      <c r="DS72" t="s">
        <v>57</v>
      </c>
      <c r="DT72" t="s">
        <v>57</v>
      </c>
      <c r="DU72" t="s">
        <v>57</v>
      </c>
      <c r="DV72" t="s">
        <v>57</v>
      </c>
      <c r="DW72" t="s">
        <v>57</v>
      </c>
      <c r="DX72" t="s">
        <v>57</v>
      </c>
      <c r="DY72" t="s">
        <v>175</v>
      </c>
      <c r="DZ72" t="s">
        <v>57</v>
      </c>
      <c r="EA72" t="s">
        <v>57</v>
      </c>
      <c r="EB72" t="s">
        <v>57</v>
      </c>
      <c r="EC72" t="s">
        <v>57</v>
      </c>
      <c r="ED72" t="s">
        <v>57</v>
      </c>
      <c r="EE72" t="s">
        <v>57</v>
      </c>
      <c r="EF72" t="s">
        <v>57</v>
      </c>
      <c r="EG72" t="s">
        <v>57</v>
      </c>
      <c r="EH72" t="s">
        <v>57</v>
      </c>
      <c r="EI72" t="s">
        <v>57</v>
      </c>
      <c r="EJ72" t="s">
        <v>57</v>
      </c>
      <c r="EK72" t="s">
        <v>57</v>
      </c>
      <c r="EL72" t="s">
        <v>57</v>
      </c>
      <c r="EM72" t="s">
        <v>57</v>
      </c>
      <c r="EN72" t="s">
        <v>57</v>
      </c>
      <c r="EO72" t="s">
        <v>57</v>
      </c>
      <c r="EP72" t="s">
        <v>57</v>
      </c>
      <c r="EQ72" t="s">
        <v>57</v>
      </c>
      <c r="ER72" t="s">
        <v>57</v>
      </c>
      <c r="ES72" t="s">
        <v>57</v>
      </c>
      <c r="ET72" t="s">
        <v>57</v>
      </c>
      <c r="EU72" t="s">
        <v>57</v>
      </c>
      <c r="EV72" t="s">
        <v>57</v>
      </c>
      <c r="EW72" t="s">
        <v>57</v>
      </c>
      <c r="EX72" t="s">
        <v>57</v>
      </c>
      <c r="EY72" t="s">
        <v>57</v>
      </c>
      <c r="EZ72" t="s">
        <v>57</v>
      </c>
      <c r="FA72" t="s">
        <v>57</v>
      </c>
      <c r="FB72" t="s">
        <v>57</v>
      </c>
      <c r="FC72" t="s">
        <v>57</v>
      </c>
      <c r="FD72" t="s">
        <v>57</v>
      </c>
      <c r="FE72" t="s">
        <v>57</v>
      </c>
      <c r="FF72" t="s">
        <v>57</v>
      </c>
      <c r="FG72" t="s">
        <v>57</v>
      </c>
      <c r="FH72" t="s">
        <v>57</v>
      </c>
      <c r="FI72" t="s">
        <v>57</v>
      </c>
      <c r="FJ72" t="s">
        <v>57</v>
      </c>
      <c r="FK72" t="s">
        <v>175</v>
      </c>
      <c r="FL72" t="s">
        <v>57</v>
      </c>
      <c r="FM72" t="s">
        <v>57</v>
      </c>
      <c r="FN72" t="s">
        <v>57</v>
      </c>
      <c r="FO72" t="s">
        <v>175</v>
      </c>
      <c r="FP72" t="s">
        <v>57</v>
      </c>
      <c r="FQ72" t="s">
        <v>57</v>
      </c>
      <c r="FR72" t="s">
        <v>57</v>
      </c>
      <c r="FS72" t="s">
        <v>57</v>
      </c>
      <c r="FT72" t="s">
        <v>57</v>
      </c>
      <c r="FU72" t="s">
        <v>57</v>
      </c>
      <c r="FV72" t="s">
        <v>57</v>
      </c>
      <c r="FW72" t="s">
        <v>57</v>
      </c>
      <c r="FX72" t="s">
        <v>57</v>
      </c>
      <c r="FY72" t="s">
        <v>57</v>
      </c>
      <c r="FZ72" t="s">
        <v>57</v>
      </c>
      <c r="GA72" t="s">
        <v>57</v>
      </c>
      <c r="GB72" t="s">
        <v>57</v>
      </c>
      <c r="GC72" t="s">
        <v>57</v>
      </c>
      <c r="GD72" t="s">
        <v>57</v>
      </c>
      <c r="GE72" t="s">
        <v>57</v>
      </c>
      <c r="GF72" t="s">
        <v>57</v>
      </c>
      <c r="GG72" t="s">
        <v>175</v>
      </c>
      <c r="GH72" t="s">
        <v>57</v>
      </c>
      <c r="GI72" t="s">
        <v>57</v>
      </c>
      <c r="GJ72" t="s">
        <v>57</v>
      </c>
      <c r="GK72" t="s">
        <v>57</v>
      </c>
      <c r="GL72" t="s">
        <v>57</v>
      </c>
      <c r="GM72" t="s">
        <v>57</v>
      </c>
      <c r="GN72" t="s">
        <v>57</v>
      </c>
      <c r="GO72" t="s">
        <v>57</v>
      </c>
      <c r="GP72" t="s">
        <v>175</v>
      </c>
      <c r="GQ72" t="s">
        <v>175</v>
      </c>
      <c r="GR72" t="s">
        <v>57</v>
      </c>
      <c r="GS72" t="s">
        <v>57</v>
      </c>
      <c r="GT72" t="s">
        <v>57</v>
      </c>
      <c r="GU72" t="s">
        <v>57</v>
      </c>
      <c r="GV72" t="s">
        <v>57</v>
      </c>
      <c r="GW72" t="s">
        <v>175</v>
      </c>
      <c r="GX72" t="s">
        <v>175</v>
      </c>
      <c r="GY72" t="s">
        <v>57</v>
      </c>
      <c r="GZ72" t="s">
        <v>57</v>
      </c>
      <c r="HA72" t="s">
        <v>57</v>
      </c>
      <c r="HB72" t="s">
        <v>57</v>
      </c>
      <c r="HC72" t="s">
        <v>57</v>
      </c>
      <c r="HD72" t="s">
        <v>57</v>
      </c>
      <c r="HE72" t="s">
        <v>57</v>
      </c>
      <c r="HF72" t="s">
        <v>57</v>
      </c>
      <c r="HG72" t="s">
        <v>57</v>
      </c>
      <c r="HH72" t="s">
        <v>57</v>
      </c>
      <c r="HI72" t="s">
        <v>57</v>
      </c>
      <c r="HJ72" t="s">
        <v>57</v>
      </c>
      <c r="HK72" t="s">
        <v>57</v>
      </c>
      <c r="HL72" t="s">
        <v>57</v>
      </c>
      <c r="HM72" t="s">
        <v>57</v>
      </c>
      <c r="HN72" t="s">
        <v>57</v>
      </c>
      <c r="HO72" t="s">
        <v>57</v>
      </c>
      <c r="HP72" t="s">
        <v>57</v>
      </c>
      <c r="HQ72" t="s">
        <v>57</v>
      </c>
      <c r="HR72" t="s">
        <v>57</v>
      </c>
      <c r="HS72" t="s">
        <v>57</v>
      </c>
      <c r="HT72" t="s">
        <v>57</v>
      </c>
      <c r="HU72" t="s">
        <v>57</v>
      </c>
      <c r="HV72" t="s">
        <v>57</v>
      </c>
      <c r="HW72" t="s">
        <v>57</v>
      </c>
      <c r="HX72" t="s">
        <v>57</v>
      </c>
      <c r="HY72" t="s">
        <v>57</v>
      </c>
      <c r="HZ72" t="s">
        <v>57</v>
      </c>
      <c r="IA72" t="s">
        <v>57</v>
      </c>
      <c r="IB72" t="s">
        <v>57</v>
      </c>
      <c r="IC72" t="s">
        <v>57</v>
      </c>
      <c r="ID72" t="s">
        <v>57</v>
      </c>
      <c r="IE72" t="s">
        <v>57</v>
      </c>
      <c r="IF72" t="s">
        <v>124</v>
      </c>
      <c r="IG72" t="s">
        <v>148</v>
      </c>
      <c r="IH72" t="s">
        <v>123</v>
      </c>
      <c r="II72" t="s">
        <v>156</v>
      </c>
    </row>
    <row r="73" spans="1:243" x14ac:dyDescent="0.25">
      <c r="A73" s="111" t="str">
        <f>HYPERLINK("http://www.ofsted.gov.uk/inspection-reports/find-inspection-report/provider/ELS/119005 ","Ofsted School Webpage")</f>
        <v>Ofsted School Webpage</v>
      </c>
      <c r="B73">
        <v>119005</v>
      </c>
      <c r="C73">
        <v>8866057</v>
      </c>
      <c r="D73" t="s">
        <v>299</v>
      </c>
      <c r="E73" t="s">
        <v>36</v>
      </c>
      <c r="F73" t="s">
        <v>166</v>
      </c>
      <c r="G73" t="s">
        <v>139</v>
      </c>
      <c r="H73" t="s">
        <v>139</v>
      </c>
      <c r="I73" t="s">
        <v>140</v>
      </c>
      <c r="J73" t="s">
        <v>300</v>
      </c>
      <c r="K73" t="s">
        <v>142</v>
      </c>
      <c r="L73" t="s">
        <v>169</v>
      </c>
      <c r="M73" t="s">
        <v>2596</v>
      </c>
      <c r="N73" t="s">
        <v>143</v>
      </c>
      <c r="O73">
        <v>10020908</v>
      </c>
      <c r="P73" s="108">
        <v>43046</v>
      </c>
      <c r="Q73" s="108">
        <v>43048</v>
      </c>
      <c r="R73" s="108">
        <v>43069</v>
      </c>
      <c r="S73" t="s">
        <v>153</v>
      </c>
      <c r="T73" t="s">
        <v>154</v>
      </c>
      <c r="U73">
        <v>3</v>
      </c>
      <c r="V73">
        <v>3</v>
      </c>
      <c r="W73">
        <v>2</v>
      </c>
      <c r="X73">
        <v>3</v>
      </c>
      <c r="Y73">
        <v>3</v>
      </c>
      <c r="Z73">
        <v>3</v>
      </c>
      <c r="AA73" t="s">
        <v>2596</v>
      </c>
      <c r="AB73" t="s">
        <v>123</v>
      </c>
      <c r="AC73" t="s">
        <v>2596</v>
      </c>
      <c r="AD73" t="s">
        <v>2598</v>
      </c>
      <c r="AE73" t="s">
        <v>57</v>
      </c>
      <c r="AF73" t="s">
        <v>57</v>
      </c>
      <c r="AG73" t="s">
        <v>57</v>
      </c>
      <c r="AH73" t="s">
        <v>57</v>
      </c>
      <c r="AI73" t="s">
        <v>57</v>
      </c>
      <c r="AJ73" t="s">
        <v>57</v>
      </c>
      <c r="AK73" t="s">
        <v>57</v>
      </c>
      <c r="AL73" t="s">
        <v>57</v>
      </c>
      <c r="AM73" t="s">
        <v>57</v>
      </c>
      <c r="AN73" t="s">
        <v>57</v>
      </c>
      <c r="AO73" t="s">
        <v>57</v>
      </c>
      <c r="AP73" t="s">
        <v>57</v>
      </c>
      <c r="AQ73" t="s">
        <v>57</v>
      </c>
      <c r="AR73" t="s">
        <v>57</v>
      </c>
      <c r="AS73" t="s">
        <v>57</v>
      </c>
      <c r="AT73" t="s">
        <v>57</v>
      </c>
      <c r="AU73" t="s">
        <v>148</v>
      </c>
      <c r="AV73" t="s">
        <v>57</v>
      </c>
      <c r="AW73" t="s">
        <v>57</v>
      </c>
      <c r="AX73" t="s">
        <v>57</v>
      </c>
      <c r="AY73" t="s">
        <v>148</v>
      </c>
      <c r="AZ73" t="s">
        <v>148</v>
      </c>
      <c r="BA73" t="s">
        <v>148</v>
      </c>
      <c r="BB73" t="s">
        <v>148</v>
      </c>
      <c r="BC73" t="s">
        <v>57</v>
      </c>
      <c r="BD73" t="s">
        <v>148</v>
      </c>
      <c r="BE73" t="s">
        <v>57</v>
      </c>
      <c r="BF73" t="s">
        <v>57</v>
      </c>
      <c r="BG73" t="s">
        <v>57</v>
      </c>
      <c r="BH73" t="s">
        <v>57</v>
      </c>
      <c r="BI73" t="s">
        <v>57</v>
      </c>
      <c r="BJ73" t="s">
        <v>57</v>
      </c>
      <c r="BK73" t="s">
        <v>57</v>
      </c>
      <c r="BL73" t="s">
        <v>57</v>
      </c>
      <c r="BM73" t="s">
        <v>57</v>
      </c>
      <c r="BN73" t="s">
        <v>57</v>
      </c>
      <c r="BO73" t="s">
        <v>57</v>
      </c>
      <c r="BP73" t="s">
        <v>57</v>
      </c>
      <c r="BQ73" t="s">
        <v>57</v>
      </c>
      <c r="BR73" t="s">
        <v>57</v>
      </c>
      <c r="BS73" t="s">
        <v>57</v>
      </c>
      <c r="BT73" t="s">
        <v>57</v>
      </c>
      <c r="BU73" t="s">
        <v>57</v>
      </c>
      <c r="BV73" t="s">
        <v>57</v>
      </c>
      <c r="BW73" t="s">
        <v>57</v>
      </c>
      <c r="BX73" t="s">
        <v>57</v>
      </c>
      <c r="BY73" t="s">
        <v>57</v>
      </c>
      <c r="BZ73" t="s">
        <v>57</v>
      </c>
      <c r="CA73" t="s">
        <v>57</v>
      </c>
      <c r="CB73" t="s">
        <v>57</v>
      </c>
      <c r="CC73" t="s">
        <v>57</v>
      </c>
      <c r="CD73" t="s">
        <v>57</v>
      </c>
      <c r="CE73" t="s">
        <v>57</v>
      </c>
      <c r="CF73" t="s">
        <v>57</v>
      </c>
      <c r="CG73" t="s">
        <v>57</v>
      </c>
      <c r="CH73" t="s">
        <v>57</v>
      </c>
      <c r="CI73" t="s">
        <v>57</v>
      </c>
      <c r="CJ73" t="s">
        <v>57</v>
      </c>
      <c r="CK73" t="s">
        <v>148</v>
      </c>
      <c r="CL73" t="s">
        <v>148</v>
      </c>
      <c r="CM73" t="s">
        <v>148</v>
      </c>
      <c r="CN73" t="s">
        <v>57</v>
      </c>
      <c r="CO73" t="s">
        <v>57</v>
      </c>
      <c r="CP73" t="s">
        <v>57</v>
      </c>
      <c r="CQ73" t="s">
        <v>57</v>
      </c>
      <c r="CR73" t="s">
        <v>57</v>
      </c>
      <c r="CS73" t="s">
        <v>57</v>
      </c>
      <c r="CT73" t="s">
        <v>57</v>
      </c>
      <c r="CU73" t="s">
        <v>57</v>
      </c>
      <c r="CV73" t="s">
        <v>57</v>
      </c>
      <c r="CW73" t="s">
        <v>57</v>
      </c>
      <c r="CX73" t="s">
        <v>57</v>
      </c>
      <c r="CY73" t="s">
        <v>57</v>
      </c>
      <c r="CZ73" t="s">
        <v>57</v>
      </c>
      <c r="DA73" t="s">
        <v>57</v>
      </c>
      <c r="DB73" t="s">
        <v>57</v>
      </c>
      <c r="DC73" t="s">
        <v>57</v>
      </c>
      <c r="DD73" t="s">
        <v>57</v>
      </c>
      <c r="DE73" t="s">
        <v>57</v>
      </c>
      <c r="DF73" t="s">
        <v>57</v>
      </c>
      <c r="DG73" t="s">
        <v>57</v>
      </c>
      <c r="DH73" t="s">
        <v>57</v>
      </c>
      <c r="DI73" t="s">
        <v>57</v>
      </c>
      <c r="DJ73" t="s">
        <v>57</v>
      </c>
      <c r="DK73" t="s">
        <v>148</v>
      </c>
      <c r="DL73" t="s">
        <v>57</v>
      </c>
      <c r="DM73" t="s">
        <v>148</v>
      </c>
      <c r="DN73" t="s">
        <v>148</v>
      </c>
      <c r="DO73" t="s">
        <v>148</v>
      </c>
      <c r="DP73" t="s">
        <v>148</v>
      </c>
      <c r="DQ73" t="s">
        <v>148</v>
      </c>
      <c r="DR73" t="s">
        <v>148</v>
      </c>
      <c r="DS73" t="s">
        <v>148</v>
      </c>
      <c r="DT73" t="s">
        <v>148</v>
      </c>
      <c r="DU73" t="s">
        <v>148</v>
      </c>
      <c r="DV73" t="s">
        <v>148</v>
      </c>
      <c r="DW73" t="s">
        <v>148</v>
      </c>
      <c r="DX73" t="s">
        <v>148</v>
      </c>
      <c r="DY73" t="s">
        <v>148</v>
      </c>
      <c r="DZ73" t="s">
        <v>148</v>
      </c>
      <c r="EA73" t="s">
        <v>57</v>
      </c>
      <c r="EB73" t="s">
        <v>57</v>
      </c>
      <c r="EC73" t="s">
        <v>57</v>
      </c>
      <c r="ED73" t="s">
        <v>57</v>
      </c>
      <c r="EE73" t="s">
        <v>57</v>
      </c>
      <c r="EF73" t="s">
        <v>57</v>
      </c>
      <c r="EG73" t="s">
        <v>57</v>
      </c>
      <c r="EH73" t="s">
        <v>57</v>
      </c>
      <c r="EI73" t="s">
        <v>57</v>
      </c>
      <c r="EJ73" t="s">
        <v>57</v>
      </c>
      <c r="EK73" t="s">
        <v>57</v>
      </c>
      <c r="EL73" t="s">
        <v>57</v>
      </c>
      <c r="EM73" t="s">
        <v>57</v>
      </c>
      <c r="EN73" t="s">
        <v>57</v>
      </c>
      <c r="EO73" t="s">
        <v>57</v>
      </c>
      <c r="EP73" t="s">
        <v>57</v>
      </c>
      <c r="EQ73" t="s">
        <v>57</v>
      </c>
      <c r="ER73" t="s">
        <v>57</v>
      </c>
      <c r="ES73" t="s">
        <v>57</v>
      </c>
      <c r="ET73" t="s">
        <v>57</v>
      </c>
      <c r="EU73" t="s">
        <v>57</v>
      </c>
      <c r="EV73" t="s">
        <v>57</v>
      </c>
      <c r="EW73" t="s">
        <v>57</v>
      </c>
      <c r="EX73" t="s">
        <v>148</v>
      </c>
      <c r="EY73" t="s">
        <v>148</v>
      </c>
      <c r="EZ73" t="s">
        <v>148</v>
      </c>
      <c r="FA73" t="s">
        <v>148</v>
      </c>
      <c r="FB73" t="s">
        <v>148</v>
      </c>
      <c r="FC73" t="s">
        <v>148</v>
      </c>
      <c r="FD73" t="s">
        <v>57</v>
      </c>
      <c r="FE73" t="s">
        <v>57</v>
      </c>
      <c r="FF73" t="s">
        <v>57</v>
      </c>
      <c r="FG73" t="s">
        <v>57</v>
      </c>
      <c r="FH73" t="s">
        <v>57</v>
      </c>
      <c r="FI73" t="s">
        <v>57</v>
      </c>
      <c r="FJ73" t="s">
        <v>57</v>
      </c>
      <c r="FK73" t="s">
        <v>148</v>
      </c>
      <c r="FL73" t="s">
        <v>57</v>
      </c>
      <c r="FM73" t="s">
        <v>57</v>
      </c>
      <c r="FN73" t="s">
        <v>57</v>
      </c>
      <c r="FO73" t="s">
        <v>57</v>
      </c>
      <c r="FP73" t="s">
        <v>57</v>
      </c>
      <c r="FQ73" t="s">
        <v>57</v>
      </c>
      <c r="FR73" t="s">
        <v>57</v>
      </c>
      <c r="FS73" t="s">
        <v>57</v>
      </c>
      <c r="FT73" t="s">
        <v>57</v>
      </c>
      <c r="FU73" t="s">
        <v>57</v>
      </c>
      <c r="FV73" t="s">
        <v>57</v>
      </c>
      <c r="FW73" t="s">
        <v>57</v>
      </c>
      <c r="FX73" t="s">
        <v>57</v>
      </c>
      <c r="FY73" t="s">
        <v>57</v>
      </c>
      <c r="FZ73" t="s">
        <v>57</v>
      </c>
      <c r="GA73" t="s">
        <v>57</v>
      </c>
      <c r="GB73" t="s">
        <v>57</v>
      </c>
      <c r="GC73" t="s">
        <v>57</v>
      </c>
      <c r="GD73" t="s">
        <v>57</v>
      </c>
      <c r="GE73" t="s">
        <v>57</v>
      </c>
      <c r="GF73" t="s">
        <v>57</v>
      </c>
      <c r="GG73" t="s">
        <v>148</v>
      </c>
      <c r="GH73" t="s">
        <v>57</v>
      </c>
      <c r="GI73" t="s">
        <v>57</v>
      </c>
      <c r="GJ73" t="s">
        <v>57</v>
      </c>
      <c r="GK73" t="s">
        <v>57</v>
      </c>
      <c r="GL73" t="s">
        <v>57</v>
      </c>
      <c r="GM73" t="s">
        <v>148</v>
      </c>
      <c r="GN73" t="s">
        <v>57</v>
      </c>
      <c r="GO73" t="s">
        <v>57</v>
      </c>
      <c r="GP73" t="s">
        <v>148</v>
      </c>
      <c r="GQ73" t="s">
        <v>148</v>
      </c>
      <c r="GR73" t="s">
        <v>57</v>
      </c>
      <c r="GS73" t="s">
        <v>57</v>
      </c>
      <c r="GT73" t="s">
        <v>57</v>
      </c>
      <c r="GU73" t="s">
        <v>57</v>
      </c>
      <c r="GV73" t="s">
        <v>57</v>
      </c>
      <c r="GW73" t="s">
        <v>148</v>
      </c>
      <c r="GX73" t="s">
        <v>148</v>
      </c>
      <c r="GY73" t="s">
        <v>57</v>
      </c>
      <c r="GZ73" t="s">
        <v>57</v>
      </c>
      <c r="HA73" t="s">
        <v>57</v>
      </c>
      <c r="HB73" t="s">
        <v>57</v>
      </c>
      <c r="HC73" t="s">
        <v>57</v>
      </c>
      <c r="HD73" t="s">
        <v>57</v>
      </c>
      <c r="HE73" t="s">
        <v>57</v>
      </c>
      <c r="HF73" t="s">
        <v>57</v>
      </c>
      <c r="HG73" t="s">
        <v>57</v>
      </c>
      <c r="HH73" t="s">
        <v>148</v>
      </c>
      <c r="HI73" t="s">
        <v>148</v>
      </c>
      <c r="HJ73" t="s">
        <v>148</v>
      </c>
      <c r="HK73" t="s">
        <v>148</v>
      </c>
      <c r="HL73" t="s">
        <v>57</v>
      </c>
      <c r="HM73" t="s">
        <v>57</v>
      </c>
      <c r="HN73" t="s">
        <v>57</v>
      </c>
      <c r="HO73" t="s">
        <v>57</v>
      </c>
      <c r="HP73" t="s">
        <v>57</v>
      </c>
      <c r="HQ73" t="s">
        <v>57</v>
      </c>
      <c r="HR73" t="s">
        <v>57</v>
      </c>
      <c r="HS73" t="s">
        <v>57</v>
      </c>
      <c r="HT73" t="s">
        <v>57</v>
      </c>
      <c r="HU73" t="s">
        <v>57</v>
      </c>
      <c r="HV73" t="s">
        <v>57</v>
      </c>
      <c r="HW73" t="s">
        <v>57</v>
      </c>
      <c r="HX73" t="s">
        <v>57</v>
      </c>
      <c r="HY73" t="s">
        <v>57</v>
      </c>
      <c r="HZ73" t="s">
        <v>57</v>
      </c>
      <c r="IA73" t="s">
        <v>57</v>
      </c>
      <c r="IB73" t="s">
        <v>57</v>
      </c>
      <c r="IC73" t="s">
        <v>57</v>
      </c>
      <c r="ID73" t="s">
        <v>57</v>
      </c>
      <c r="IE73" t="s">
        <v>57</v>
      </c>
      <c r="IF73" t="s">
        <v>124</v>
      </c>
      <c r="IG73" t="s">
        <v>155</v>
      </c>
      <c r="IH73" t="s">
        <v>123</v>
      </c>
      <c r="II73" t="s">
        <v>156</v>
      </c>
    </row>
    <row r="74" spans="1:243" x14ac:dyDescent="0.25">
      <c r="A74" s="111" t="str">
        <f>HYPERLINK("http://www.ofsted.gov.uk/inspection-reports/find-inspection-report/provider/ELS/119845 ","Ofsted School Webpage")</f>
        <v>Ofsted School Webpage</v>
      </c>
      <c r="B74">
        <v>119845</v>
      </c>
      <c r="C74">
        <v>8886020</v>
      </c>
      <c r="D74" t="s">
        <v>231</v>
      </c>
      <c r="E74" t="s">
        <v>37</v>
      </c>
      <c r="F74" t="s">
        <v>138</v>
      </c>
      <c r="G74" t="s">
        <v>162</v>
      </c>
      <c r="H74" t="s">
        <v>162</v>
      </c>
      <c r="I74" t="s">
        <v>163</v>
      </c>
      <c r="J74" t="s">
        <v>232</v>
      </c>
      <c r="K74" t="s">
        <v>142</v>
      </c>
      <c r="L74" t="s">
        <v>142</v>
      </c>
      <c r="M74" t="s">
        <v>2596</v>
      </c>
      <c r="N74" t="s">
        <v>143</v>
      </c>
      <c r="O74">
        <v>10038838</v>
      </c>
      <c r="P74" s="108">
        <v>43018</v>
      </c>
      <c r="Q74" s="108">
        <v>43020</v>
      </c>
      <c r="R74" s="108">
        <v>43068</v>
      </c>
      <c r="S74" t="s">
        <v>224</v>
      </c>
      <c r="T74" t="s">
        <v>154</v>
      </c>
      <c r="U74">
        <v>1</v>
      </c>
      <c r="V74">
        <v>1</v>
      </c>
      <c r="W74">
        <v>1</v>
      </c>
      <c r="X74">
        <v>1</v>
      </c>
      <c r="Y74">
        <v>1</v>
      </c>
      <c r="Z74" t="s">
        <v>2596</v>
      </c>
      <c r="AA74">
        <v>1</v>
      </c>
      <c r="AB74" t="s">
        <v>123</v>
      </c>
      <c r="AC74" t="s">
        <v>2596</v>
      </c>
      <c r="AD74" t="s">
        <v>2598</v>
      </c>
      <c r="AE74" t="s">
        <v>57</v>
      </c>
      <c r="AF74" t="s">
        <v>57</v>
      </c>
      <c r="AG74" t="s">
        <v>57</v>
      </c>
      <c r="AH74" t="s">
        <v>57</v>
      </c>
      <c r="AI74" t="s">
        <v>57</v>
      </c>
      <c r="AJ74" t="s">
        <v>57</v>
      </c>
      <c r="AK74" t="s">
        <v>57</v>
      </c>
      <c r="AL74" t="s">
        <v>57</v>
      </c>
      <c r="AM74" t="s">
        <v>57</v>
      </c>
      <c r="AN74" t="s">
        <v>57</v>
      </c>
      <c r="AO74" t="s">
        <v>57</v>
      </c>
      <c r="AP74" t="s">
        <v>57</v>
      </c>
      <c r="AQ74" t="s">
        <v>57</v>
      </c>
      <c r="AR74" t="s">
        <v>57</v>
      </c>
      <c r="AS74" t="s">
        <v>57</v>
      </c>
      <c r="AT74" t="s">
        <v>57</v>
      </c>
      <c r="AU74" t="s">
        <v>57</v>
      </c>
      <c r="AV74" t="s">
        <v>57</v>
      </c>
      <c r="AW74" t="s">
        <v>57</v>
      </c>
      <c r="AX74" t="s">
        <v>57</v>
      </c>
      <c r="AY74" t="s">
        <v>57</v>
      </c>
      <c r="AZ74" t="s">
        <v>57</v>
      </c>
      <c r="BA74" t="s">
        <v>57</v>
      </c>
      <c r="BB74" t="s">
        <v>57</v>
      </c>
      <c r="BC74" t="s">
        <v>57</v>
      </c>
      <c r="BD74" t="s">
        <v>57</v>
      </c>
      <c r="BE74" t="s">
        <v>57</v>
      </c>
      <c r="BF74" t="s">
        <v>57</v>
      </c>
      <c r="BG74" t="s">
        <v>57</v>
      </c>
      <c r="BH74" t="s">
        <v>57</v>
      </c>
      <c r="BI74" t="s">
        <v>57</v>
      </c>
      <c r="BJ74" t="s">
        <v>57</v>
      </c>
      <c r="BK74" t="s">
        <v>57</v>
      </c>
      <c r="BL74" t="s">
        <v>57</v>
      </c>
      <c r="BM74" t="s">
        <v>57</v>
      </c>
      <c r="BN74" t="s">
        <v>57</v>
      </c>
      <c r="BO74" t="s">
        <v>57</v>
      </c>
      <c r="BP74" t="s">
        <v>57</v>
      </c>
      <c r="BQ74" t="s">
        <v>57</v>
      </c>
      <c r="BR74" t="s">
        <v>57</v>
      </c>
      <c r="BS74" t="s">
        <v>57</v>
      </c>
      <c r="BT74" t="s">
        <v>57</v>
      </c>
      <c r="BU74" t="s">
        <v>57</v>
      </c>
      <c r="BV74" t="s">
        <v>57</v>
      </c>
      <c r="BW74" t="s">
        <v>57</v>
      </c>
      <c r="BX74" t="s">
        <v>57</v>
      </c>
      <c r="BY74" t="s">
        <v>57</v>
      </c>
      <c r="BZ74" t="s">
        <v>57</v>
      </c>
      <c r="CA74" t="s">
        <v>57</v>
      </c>
      <c r="CB74" t="s">
        <v>57</v>
      </c>
      <c r="CC74" t="s">
        <v>57</v>
      </c>
      <c r="CD74" t="s">
        <v>57</v>
      </c>
      <c r="CE74" t="s">
        <v>57</v>
      </c>
      <c r="CF74" t="s">
        <v>57</v>
      </c>
      <c r="CG74" t="s">
        <v>57</v>
      </c>
      <c r="CH74" t="s">
        <v>57</v>
      </c>
      <c r="CI74" t="s">
        <v>57</v>
      </c>
      <c r="CJ74" t="s">
        <v>57</v>
      </c>
      <c r="CK74" t="s">
        <v>57</v>
      </c>
      <c r="CL74" t="s">
        <v>57</v>
      </c>
      <c r="CM74" t="s">
        <v>57</v>
      </c>
      <c r="CN74" t="s">
        <v>57</v>
      </c>
      <c r="CO74" t="s">
        <v>57</v>
      </c>
      <c r="CP74" t="s">
        <v>57</v>
      </c>
      <c r="CQ74" t="s">
        <v>57</v>
      </c>
      <c r="CR74" t="s">
        <v>57</v>
      </c>
      <c r="CS74" t="s">
        <v>57</v>
      </c>
      <c r="CT74" t="s">
        <v>57</v>
      </c>
      <c r="CU74" t="s">
        <v>57</v>
      </c>
      <c r="CV74" t="s">
        <v>57</v>
      </c>
      <c r="CW74" t="s">
        <v>57</v>
      </c>
      <c r="CX74" t="s">
        <v>57</v>
      </c>
      <c r="CY74" t="s">
        <v>57</v>
      </c>
      <c r="CZ74" t="s">
        <v>57</v>
      </c>
      <c r="DA74" t="s">
        <v>57</v>
      </c>
      <c r="DB74" t="s">
        <v>57</v>
      </c>
      <c r="DC74" t="s">
        <v>57</v>
      </c>
      <c r="DD74" t="s">
        <v>57</v>
      </c>
      <c r="DE74" t="s">
        <v>57</v>
      </c>
      <c r="DF74" t="s">
        <v>57</v>
      </c>
      <c r="DG74" t="s">
        <v>57</v>
      </c>
      <c r="DH74" t="s">
        <v>57</v>
      </c>
      <c r="DI74" t="s">
        <v>57</v>
      </c>
      <c r="DJ74" t="s">
        <v>57</v>
      </c>
      <c r="DK74" t="s">
        <v>57</v>
      </c>
      <c r="DL74" t="s">
        <v>57</v>
      </c>
      <c r="DM74" t="s">
        <v>57</v>
      </c>
      <c r="DN74" t="s">
        <v>57</v>
      </c>
      <c r="DO74" t="s">
        <v>57</v>
      </c>
      <c r="DP74" t="s">
        <v>57</v>
      </c>
      <c r="DQ74" t="s">
        <v>57</v>
      </c>
      <c r="DR74" t="s">
        <v>57</v>
      </c>
      <c r="DS74" t="s">
        <v>57</v>
      </c>
      <c r="DT74" t="s">
        <v>57</v>
      </c>
      <c r="DU74" t="s">
        <v>57</v>
      </c>
      <c r="DV74" t="s">
        <v>57</v>
      </c>
      <c r="DW74" t="s">
        <v>57</v>
      </c>
      <c r="DX74" t="s">
        <v>57</v>
      </c>
      <c r="DY74" t="s">
        <v>57</v>
      </c>
      <c r="DZ74" t="s">
        <v>57</v>
      </c>
      <c r="EA74" t="s">
        <v>57</v>
      </c>
      <c r="EB74" t="s">
        <v>57</v>
      </c>
      <c r="EC74" t="s">
        <v>57</v>
      </c>
      <c r="ED74" t="s">
        <v>57</v>
      </c>
      <c r="EE74" t="s">
        <v>57</v>
      </c>
      <c r="EF74" t="s">
        <v>57</v>
      </c>
      <c r="EG74" t="s">
        <v>57</v>
      </c>
      <c r="EH74" t="s">
        <v>57</v>
      </c>
      <c r="EI74" t="s">
        <v>57</v>
      </c>
      <c r="EJ74" t="s">
        <v>57</v>
      </c>
      <c r="EK74" t="s">
        <v>57</v>
      </c>
      <c r="EL74" t="s">
        <v>57</v>
      </c>
      <c r="EM74" t="s">
        <v>57</v>
      </c>
      <c r="EN74" t="s">
        <v>57</v>
      </c>
      <c r="EO74" t="s">
        <v>57</v>
      </c>
      <c r="EP74" t="s">
        <v>57</v>
      </c>
      <c r="EQ74" t="s">
        <v>57</v>
      </c>
      <c r="ER74" t="s">
        <v>57</v>
      </c>
      <c r="ES74" t="s">
        <v>57</v>
      </c>
      <c r="ET74" t="s">
        <v>57</v>
      </c>
      <c r="EU74" t="s">
        <v>57</v>
      </c>
      <c r="EV74" t="s">
        <v>57</v>
      </c>
      <c r="EW74" t="s">
        <v>57</v>
      </c>
      <c r="EX74" t="s">
        <v>57</v>
      </c>
      <c r="EY74" t="s">
        <v>57</v>
      </c>
      <c r="EZ74" t="s">
        <v>57</v>
      </c>
      <c r="FA74" t="s">
        <v>57</v>
      </c>
      <c r="FB74" t="s">
        <v>57</v>
      </c>
      <c r="FC74" t="s">
        <v>57</v>
      </c>
      <c r="FD74" t="s">
        <v>57</v>
      </c>
      <c r="FE74" t="s">
        <v>57</v>
      </c>
      <c r="FF74" t="s">
        <v>57</v>
      </c>
      <c r="FG74" t="s">
        <v>57</v>
      </c>
      <c r="FH74" t="s">
        <v>57</v>
      </c>
      <c r="FI74" t="s">
        <v>57</v>
      </c>
      <c r="FJ74" t="s">
        <v>57</v>
      </c>
      <c r="FK74" t="s">
        <v>57</v>
      </c>
      <c r="FL74" t="s">
        <v>57</v>
      </c>
      <c r="FM74" t="s">
        <v>57</v>
      </c>
      <c r="FN74" t="s">
        <v>57</v>
      </c>
      <c r="FO74" t="s">
        <v>57</v>
      </c>
      <c r="FP74" t="s">
        <v>57</v>
      </c>
      <c r="FQ74" t="s">
        <v>57</v>
      </c>
      <c r="FR74" t="s">
        <v>57</v>
      </c>
      <c r="FS74" t="s">
        <v>57</v>
      </c>
      <c r="FT74" t="s">
        <v>57</v>
      </c>
      <c r="FU74" t="s">
        <v>57</v>
      </c>
      <c r="FV74" t="s">
        <v>57</v>
      </c>
      <c r="FW74" t="s">
        <v>57</v>
      </c>
      <c r="FX74" t="s">
        <v>57</v>
      </c>
      <c r="FY74" t="s">
        <v>57</v>
      </c>
      <c r="FZ74" t="s">
        <v>57</v>
      </c>
      <c r="GA74" t="s">
        <v>57</v>
      </c>
      <c r="GB74" t="s">
        <v>57</v>
      </c>
      <c r="GC74" t="s">
        <v>57</v>
      </c>
      <c r="GD74" t="s">
        <v>57</v>
      </c>
      <c r="GE74" t="s">
        <v>57</v>
      </c>
      <c r="GF74" t="s">
        <v>57</v>
      </c>
      <c r="GG74" t="s">
        <v>57</v>
      </c>
      <c r="GH74" t="s">
        <v>57</v>
      </c>
      <c r="GI74" t="s">
        <v>57</v>
      </c>
      <c r="GJ74" t="s">
        <v>57</v>
      </c>
      <c r="GK74" t="s">
        <v>57</v>
      </c>
      <c r="GL74" t="s">
        <v>57</v>
      </c>
      <c r="GM74" t="s">
        <v>57</v>
      </c>
      <c r="GN74" t="s">
        <v>57</v>
      </c>
      <c r="GO74" t="s">
        <v>57</v>
      </c>
      <c r="GP74" t="s">
        <v>57</v>
      </c>
      <c r="GQ74" t="s">
        <v>57</v>
      </c>
      <c r="GR74" t="s">
        <v>57</v>
      </c>
      <c r="GS74" t="s">
        <v>57</v>
      </c>
      <c r="GT74" t="s">
        <v>57</v>
      </c>
      <c r="GU74" t="s">
        <v>57</v>
      </c>
      <c r="GV74" t="s">
        <v>57</v>
      </c>
      <c r="GW74" t="s">
        <v>57</v>
      </c>
      <c r="GX74" t="s">
        <v>57</v>
      </c>
      <c r="GY74" t="s">
        <v>57</v>
      </c>
      <c r="GZ74" t="s">
        <v>57</v>
      </c>
      <c r="HA74" t="s">
        <v>57</v>
      </c>
      <c r="HB74" t="s">
        <v>57</v>
      </c>
      <c r="HC74" t="s">
        <v>57</v>
      </c>
      <c r="HD74" t="s">
        <v>57</v>
      </c>
      <c r="HE74" t="s">
        <v>57</v>
      </c>
      <c r="HF74" t="s">
        <v>57</v>
      </c>
      <c r="HG74" t="s">
        <v>57</v>
      </c>
      <c r="HH74" t="s">
        <v>57</v>
      </c>
      <c r="HI74" t="s">
        <v>57</v>
      </c>
      <c r="HJ74" t="s">
        <v>57</v>
      </c>
      <c r="HK74" t="s">
        <v>57</v>
      </c>
      <c r="HL74" t="s">
        <v>57</v>
      </c>
      <c r="HM74" t="s">
        <v>57</v>
      </c>
      <c r="HN74" t="s">
        <v>57</v>
      </c>
      <c r="HO74" t="s">
        <v>57</v>
      </c>
      <c r="HP74" t="s">
        <v>57</v>
      </c>
      <c r="HQ74" t="s">
        <v>57</v>
      </c>
      <c r="HR74" t="s">
        <v>57</v>
      </c>
      <c r="HS74" t="s">
        <v>57</v>
      </c>
      <c r="HT74" t="s">
        <v>57</v>
      </c>
      <c r="HU74" t="s">
        <v>57</v>
      </c>
      <c r="HV74" t="s">
        <v>57</v>
      </c>
      <c r="HW74" t="s">
        <v>57</v>
      </c>
      <c r="HX74" t="s">
        <v>57</v>
      </c>
      <c r="HY74" t="s">
        <v>57</v>
      </c>
      <c r="HZ74" t="s">
        <v>57</v>
      </c>
      <c r="IA74" t="s">
        <v>57</v>
      </c>
      <c r="IB74" t="s">
        <v>57</v>
      </c>
      <c r="IC74" t="s">
        <v>57</v>
      </c>
      <c r="ID74" t="s">
        <v>57</v>
      </c>
      <c r="IE74" t="s">
        <v>57</v>
      </c>
      <c r="IF74" t="s">
        <v>124</v>
      </c>
      <c r="IG74" t="s">
        <v>2596</v>
      </c>
      <c r="IH74" t="s">
        <v>123</v>
      </c>
      <c r="II74" t="s">
        <v>156</v>
      </c>
    </row>
    <row r="75" spans="1:243" x14ac:dyDescent="0.25">
      <c r="A75" s="111" t="str">
        <f>HYPERLINK("http://www.ofsted.gov.uk/inspection-reports/find-inspection-report/provider/ELS/119849 ","Ofsted School Webpage")</f>
        <v>Ofsted School Webpage</v>
      </c>
      <c r="B75">
        <v>119849</v>
      </c>
      <c r="C75">
        <v>8886022</v>
      </c>
      <c r="D75" t="s">
        <v>1371</v>
      </c>
      <c r="E75" t="s">
        <v>37</v>
      </c>
      <c r="F75" t="s">
        <v>138</v>
      </c>
      <c r="G75" t="s">
        <v>162</v>
      </c>
      <c r="H75" t="s">
        <v>162</v>
      </c>
      <c r="I75" t="s">
        <v>163</v>
      </c>
      <c r="J75" t="s">
        <v>1372</v>
      </c>
      <c r="K75" t="s">
        <v>142</v>
      </c>
      <c r="L75" t="s">
        <v>142</v>
      </c>
      <c r="M75" t="s">
        <v>2596</v>
      </c>
      <c r="N75" t="s">
        <v>143</v>
      </c>
      <c r="O75">
        <v>10038839</v>
      </c>
      <c r="P75" s="108">
        <v>43123</v>
      </c>
      <c r="Q75" s="108">
        <v>43125</v>
      </c>
      <c r="R75" s="108">
        <v>43157</v>
      </c>
      <c r="S75" t="s">
        <v>153</v>
      </c>
      <c r="T75" t="s">
        <v>154</v>
      </c>
      <c r="U75">
        <v>2</v>
      </c>
      <c r="V75">
        <v>2</v>
      </c>
      <c r="W75">
        <v>2</v>
      </c>
      <c r="X75">
        <v>2</v>
      </c>
      <c r="Y75">
        <v>2</v>
      </c>
      <c r="Z75" t="s">
        <v>2596</v>
      </c>
      <c r="AA75">
        <v>2</v>
      </c>
      <c r="AB75" t="s">
        <v>123</v>
      </c>
      <c r="AC75" t="s">
        <v>2596</v>
      </c>
      <c r="AD75" t="s">
        <v>2598</v>
      </c>
      <c r="AE75" t="s">
        <v>57</v>
      </c>
      <c r="AF75" t="s">
        <v>57</v>
      </c>
      <c r="AG75" t="s">
        <v>57</v>
      </c>
      <c r="AH75" t="s">
        <v>57</v>
      </c>
      <c r="AI75" t="s">
        <v>57</v>
      </c>
      <c r="AJ75" t="s">
        <v>57</v>
      </c>
      <c r="AK75" t="s">
        <v>57</v>
      </c>
      <c r="AL75" t="s">
        <v>57</v>
      </c>
      <c r="AM75" t="s">
        <v>57</v>
      </c>
      <c r="AN75" t="s">
        <v>57</v>
      </c>
      <c r="AO75" t="s">
        <v>57</v>
      </c>
      <c r="AP75" t="s">
        <v>57</v>
      </c>
      <c r="AQ75" t="s">
        <v>57</v>
      </c>
      <c r="AR75" t="s">
        <v>57</v>
      </c>
      <c r="AS75" t="s">
        <v>57</v>
      </c>
      <c r="AT75" t="s">
        <v>57</v>
      </c>
      <c r="AU75" t="s">
        <v>175</v>
      </c>
      <c r="AV75" t="s">
        <v>57</v>
      </c>
      <c r="AW75" t="s">
        <v>57</v>
      </c>
      <c r="AX75" t="s">
        <v>57</v>
      </c>
      <c r="AY75" t="s">
        <v>57</v>
      </c>
      <c r="AZ75" t="s">
        <v>57</v>
      </c>
      <c r="BA75" t="s">
        <v>57</v>
      </c>
      <c r="BB75" t="s">
        <v>57</v>
      </c>
      <c r="BC75" t="s">
        <v>57</v>
      </c>
      <c r="BD75" t="s">
        <v>57</v>
      </c>
      <c r="BE75" t="s">
        <v>57</v>
      </c>
      <c r="BF75" t="s">
        <v>57</v>
      </c>
      <c r="BG75" t="s">
        <v>57</v>
      </c>
      <c r="BH75" t="s">
        <v>57</v>
      </c>
      <c r="BI75" t="s">
        <v>57</v>
      </c>
      <c r="BJ75" t="s">
        <v>57</v>
      </c>
      <c r="BK75" t="s">
        <v>57</v>
      </c>
      <c r="BL75" t="s">
        <v>57</v>
      </c>
      <c r="BM75" t="s">
        <v>57</v>
      </c>
      <c r="BN75" t="s">
        <v>57</v>
      </c>
      <c r="BO75" t="s">
        <v>57</v>
      </c>
      <c r="BP75" t="s">
        <v>57</v>
      </c>
      <c r="BQ75" t="s">
        <v>57</v>
      </c>
      <c r="BR75" t="s">
        <v>57</v>
      </c>
      <c r="BS75" t="s">
        <v>57</v>
      </c>
      <c r="BT75" t="s">
        <v>57</v>
      </c>
      <c r="BU75" t="s">
        <v>57</v>
      </c>
      <c r="BV75" t="s">
        <v>57</v>
      </c>
      <c r="BW75" t="s">
        <v>57</v>
      </c>
      <c r="BX75" t="s">
        <v>57</v>
      </c>
      <c r="BY75" t="s">
        <v>57</v>
      </c>
      <c r="BZ75" t="s">
        <v>57</v>
      </c>
      <c r="CA75" t="s">
        <v>57</v>
      </c>
      <c r="CB75" t="s">
        <v>57</v>
      </c>
      <c r="CC75" t="s">
        <v>57</v>
      </c>
      <c r="CD75" t="s">
        <v>57</v>
      </c>
      <c r="CE75" t="s">
        <v>57</v>
      </c>
      <c r="CF75" t="s">
        <v>57</v>
      </c>
      <c r="CG75" t="s">
        <v>57</v>
      </c>
      <c r="CH75" t="s">
        <v>57</v>
      </c>
      <c r="CI75" t="s">
        <v>57</v>
      </c>
      <c r="CJ75" t="s">
        <v>57</v>
      </c>
      <c r="CK75" t="s">
        <v>175</v>
      </c>
      <c r="CL75" t="s">
        <v>175</v>
      </c>
      <c r="CM75" t="s">
        <v>175</v>
      </c>
      <c r="CN75" t="s">
        <v>57</v>
      </c>
      <c r="CO75" t="s">
        <v>57</v>
      </c>
      <c r="CP75" t="s">
        <v>57</v>
      </c>
      <c r="CQ75" t="s">
        <v>57</v>
      </c>
      <c r="CR75" t="s">
        <v>57</v>
      </c>
      <c r="CS75" t="s">
        <v>57</v>
      </c>
      <c r="CT75" t="s">
        <v>57</v>
      </c>
      <c r="CU75" t="s">
        <v>57</v>
      </c>
      <c r="CV75" t="s">
        <v>57</v>
      </c>
      <c r="CW75" t="s">
        <v>57</v>
      </c>
      <c r="CX75" t="s">
        <v>57</v>
      </c>
      <c r="CY75" t="s">
        <v>57</v>
      </c>
      <c r="CZ75" t="s">
        <v>57</v>
      </c>
      <c r="DA75" t="s">
        <v>57</v>
      </c>
      <c r="DB75" t="s">
        <v>57</v>
      </c>
      <c r="DC75" t="s">
        <v>57</v>
      </c>
      <c r="DD75" t="s">
        <v>57</v>
      </c>
      <c r="DE75" t="s">
        <v>57</v>
      </c>
      <c r="DF75" t="s">
        <v>57</v>
      </c>
      <c r="DG75" t="s">
        <v>57</v>
      </c>
      <c r="DH75" t="s">
        <v>57</v>
      </c>
      <c r="DI75" t="s">
        <v>57</v>
      </c>
      <c r="DJ75" t="s">
        <v>57</v>
      </c>
      <c r="DK75" t="s">
        <v>175</v>
      </c>
      <c r="DL75" t="s">
        <v>57</v>
      </c>
      <c r="DM75" t="s">
        <v>57</v>
      </c>
      <c r="DN75" t="s">
        <v>57</v>
      </c>
      <c r="DO75" t="s">
        <v>57</v>
      </c>
      <c r="DP75" t="s">
        <v>57</v>
      </c>
      <c r="DQ75" t="s">
        <v>57</v>
      </c>
      <c r="DR75" t="s">
        <v>57</v>
      </c>
      <c r="DS75" t="s">
        <v>57</v>
      </c>
      <c r="DT75" t="s">
        <v>57</v>
      </c>
      <c r="DU75" t="s">
        <v>57</v>
      </c>
      <c r="DV75" t="s">
        <v>57</v>
      </c>
      <c r="DW75" t="s">
        <v>57</v>
      </c>
      <c r="DX75" t="s">
        <v>57</v>
      </c>
      <c r="DY75" t="s">
        <v>175</v>
      </c>
      <c r="DZ75" t="s">
        <v>57</v>
      </c>
      <c r="EA75" t="s">
        <v>57</v>
      </c>
      <c r="EB75" t="s">
        <v>57</v>
      </c>
      <c r="EC75" t="s">
        <v>57</v>
      </c>
      <c r="ED75" t="s">
        <v>57</v>
      </c>
      <c r="EE75" t="s">
        <v>57</v>
      </c>
      <c r="EF75" t="s">
        <v>57</v>
      </c>
      <c r="EG75" t="s">
        <v>57</v>
      </c>
      <c r="EH75" t="s">
        <v>57</v>
      </c>
      <c r="EI75" t="s">
        <v>57</v>
      </c>
      <c r="EJ75" t="s">
        <v>57</v>
      </c>
      <c r="EK75" t="s">
        <v>57</v>
      </c>
      <c r="EL75" t="s">
        <v>57</v>
      </c>
      <c r="EM75" t="s">
        <v>57</v>
      </c>
      <c r="EN75" t="s">
        <v>57</v>
      </c>
      <c r="EO75" t="s">
        <v>57</v>
      </c>
      <c r="EP75" t="s">
        <v>57</v>
      </c>
      <c r="EQ75" t="s">
        <v>57</v>
      </c>
      <c r="ER75" t="s">
        <v>57</v>
      </c>
      <c r="ES75" t="s">
        <v>57</v>
      </c>
      <c r="ET75" t="s">
        <v>57</v>
      </c>
      <c r="EU75" t="s">
        <v>57</v>
      </c>
      <c r="EV75" t="s">
        <v>57</v>
      </c>
      <c r="EW75" t="s">
        <v>57</v>
      </c>
      <c r="EX75" t="s">
        <v>57</v>
      </c>
      <c r="EY75" t="s">
        <v>57</v>
      </c>
      <c r="EZ75" t="s">
        <v>57</v>
      </c>
      <c r="FA75" t="s">
        <v>57</v>
      </c>
      <c r="FB75" t="s">
        <v>57</v>
      </c>
      <c r="FC75" t="s">
        <v>57</v>
      </c>
      <c r="FD75" t="s">
        <v>57</v>
      </c>
      <c r="FE75" t="s">
        <v>57</v>
      </c>
      <c r="FF75" t="s">
        <v>57</v>
      </c>
      <c r="FG75" t="s">
        <v>57</v>
      </c>
      <c r="FH75" t="s">
        <v>57</v>
      </c>
      <c r="FI75" t="s">
        <v>57</v>
      </c>
      <c r="FJ75" t="s">
        <v>57</v>
      </c>
      <c r="FK75" t="s">
        <v>57</v>
      </c>
      <c r="FL75" t="s">
        <v>57</v>
      </c>
      <c r="FM75" t="s">
        <v>57</v>
      </c>
      <c r="FN75" t="s">
        <v>57</v>
      </c>
      <c r="FO75" t="s">
        <v>175</v>
      </c>
      <c r="FP75" t="s">
        <v>57</v>
      </c>
      <c r="FQ75" t="s">
        <v>57</v>
      </c>
      <c r="FR75" t="s">
        <v>57</v>
      </c>
      <c r="FS75" t="s">
        <v>57</v>
      </c>
      <c r="FT75" t="s">
        <v>57</v>
      </c>
      <c r="FU75" t="s">
        <v>57</v>
      </c>
      <c r="FV75" t="s">
        <v>57</v>
      </c>
      <c r="FW75" t="s">
        <v>57</v>
      </c>
      <c r="FX75" t="s">
        <v>57</v>
      </c>
      <c r="FY75" t="s">
        <v>57</v>
      </c>
      <c r="FZ75" t="s">
        <v>57</v>
      </c>
      <c r="GA75" t="s">
        <v>57</v>
      </c>
      <c r="GB75" t="s">
        <v>57</v>
      </c>
      <c r="GC75" t="s">
        <v>57</v>
      </c>
      <c r="GD75" t="s">
        <v>57</v>
      </c>
      <c r="GE75" t="s">
        <v>57</v>
      </c>
      <c r="GF75" t="s">
        <v>57</v>
      </c>
      <c r="GG75" t="s">
        <v>175</v>
      </c>
      <c r="GH75" t="s">
        <v>57</v>
      </c>
      <c r="GI75" t="s">
        <v>57</v>
      </c>
      <c r="GJ75" t="s">
        <v>57</v>
      </c>
      <c r="GK75" t="s">
        <v>57</v>
      </c>
      <c r="GL75" t="s">
        <v>57</v>
      </c>
      <c r="GM75" t="s">
        <v>57</v>
      </c>
      <c r="GN75" t="s">
        <v>57</v>
      </c>
      <c r="GO75" t="s">
        <v>57</v>
      </c>
      <c r="GP75" t="s">
        <v>57</v>
      </c>
      <c r="GQ75" t="s">
        <v>57</v>
      </c>
      <c r="GR75" t="s">
        <v>57</v>
      </c>
      <c r="GS75" t="s">
        <v>57</v>
      </c>
      <c r="GT75" t="s">
        <v>57</v>
      </c>
      <c r="GU75" t="s">
        <v>57</v>
      </c>
      <c r="GV75" t="s">
        <v>57</v>
      </c>
      <c r="GW75" t="s">
        <v>57</v>
      </c>
      <c r="GX75" t="s">
        <v>57</v>
      </c>
      <c r="GY75" t="s">
        <v>57</v>
      </c>
      <c r="GZ75" t="s">
        <v>57</v>
      </c>
      <c r="HA75" t="s">
        <v>57</v>
      </c>
      <c r="HB75" t="s">
        <v>57</v>
      </c>
      <c r="HC75" t="s">
        <v>57</v>
      </c>
      <c r="HD75" t="s">
        <v>57</v>
      </c>
      <c r="HE75" t="s">
        <v>57</v>
      </c>
      <c r="HF75" t="s">
        <v>57</v>
      </c>
      <c r="HG75" t="s">
        <v>57</v>
      </c>
      <c r="HH75" t="s">
        <v>57</v>
      </c>
      <c r="HI75" t="s">
        <v>57</v>
      </c>
      <c r="HJ75" t="s">
        <v>57</v>
      </c>
      <c r="HK75" t="s">
        <v>57</v>
      </c>
      <c r="HL75" t="s">
        <v>57</v>
      </c>
      <c r="HM75" t="s">
        <v>57</v>
      </c>
      <c r="HN75" t="s">
        <v>57</v>
      </c>
      <c r="HO75" t="s">
        <v>57</v>
      </c>
      <c r="HP75" t="s">
        <v>57</v>
      </c>
      <c r="HQ75" t="s">
        <v>57</v>
      </c>
      <c r="HR75" t="s">
        <v>57</v>
      </c>
      <c r="HS75" t="s">
        <v>57</v>
      </c>
      <c r="HT75" t="s">
        <v>57</v>
      </c>
      <c r="HU75" t="s">
        <v>57</v>
      </c>
      <c r="HV75" t="s">
        <v>57</v>
      </c>
      <c r="HW75" t="s">
        <v>57</v>
      </c>
      <c r="HX75" t="s">
        <v>57</v>
      </c>
      <c r="HY75" t="s">
        <v>57</v>
      </c>
      <c r="HZ75" t="s">
        <v>57</v>
      </c>
      <c r="IA75" t="s">
        <v>57</v>
      </c>
      <c r="IB75" t="s">
        <v>57</v>
      </c>
      <c r="IC75" t="s">
        <v>57</v>
      </c>
      <c r="ID75" t="s">
        <v>57</v>
      </c>
      <c r="IE75" t="s">
        <v>57</v>
      </c>
      <c r="IF75" t="s">
        <v>124</v>
      </c>
      <c r="IG75" t="s">
        <v>148</v>
      </c>
      <c r="IH75" t="s">
        <v>123</v>
      </c>
      <c r="II75" t="s">
        <v>156</v>
      </c>
    </row>
    <row r="76" spans="1:243" x14ac:dyDescent="0.25">
      <c r="A76" s="111" t="str">
        <f>HYPERLINK("http://www.ofsted.gov.uk/inspection-reports/find-inspection-report/provider/ELS/120335 ","Ofsted School Webpage")</f>
        <v>Ofsted School Webpage</v>
      </c>
      <c r="B76">
        <v>120335</v>
      </c>
      <c r="C76">
        <v>8566007</v>
      </c>
      <c r="D76" t="s">
        <v>1956</v>
      </c>
      <c r="E76" t="s">
        <v>36</v>
      </c>
      <c r="F76" t="s">
        <v>166</v>
      </c>
      <c r="G76" t="s">
        <v>171</v>
      </c>
      <c r="H76" t="s">
        <v>171</v>
      </c>
      <c r="I76" t="s">
        <v>287</v>
      </c>
      <c r="J76" t="s">
        <v>1957</v>
      </c>
      <c r="K76" t="s">
        <v>261</v>
      </c>
      <c r="L76" t="s">
        <v>180</v>
      </c>
      <c r="M76" t="s">
        <v>2596</v>
      </c>
      <c r="N76" t="s">
        <v>143</v>
      </c>
      <c r="O76">
        <v>10039180</v>
      </c>
      <c r="P76" s="108">
        <v>43060</v>
      </c>
      <c r="Q76" s="108">
        <v>43062</v>
      </c>
      <c r="R76" s="108">
        <v>43081</v>
      </c>
      <c r="S76" t="s">
        <v>153</v>
      </c>
      <c r="T76" t="s">
        <v>154</v>
      </c>
      <c r="U76">
        <v>2</v>
      </c>
      <c r="V76">
        <v>2</v>
      </c>
      <c r="W76">
        <v>2</v>
      </c>
      <c r="X76">
        <v>2</v>
      </c>
      <c r="Y76">
        <v>2</v>
      </c>
      <c r="Z76">
        <v>2</v>
      </c>
      <c r="AA76" t="s">
        <v>2596</v>
      </c>
      <c r="AB76" t="s">
        <v>123</v>
      </c>
      <c r="AC76" t="s">
        <v>2596</v>
      </c>
      <c r="AD76" t="s">
        <v>2598</v>
      </c>
      <c r="AE76" t="s">
        <v>57</v>
      </c>
      <c r="AF76" t="s">
        <v>57</v>
      </c>
      <c r="AG76" t="s">
        <v>57</v>
      </c>
      <c r="AH76" t="s">
        <v>57</v>
      </c>
      <c r="AI76" t="s">
        <v>57</v>
      </c>
      <c r="AJ76" t="s">
        <v>57</v>
      </c>
      <c r="AK76" t="s">
        <v>57</v>
      </c>
      <c r="AL76" t="s">
        <v>57</v>
      </c>
      <c r="AM76" t="s">
        <v>57</v>
      </c>
      <c r="AN76" t="s">
        <v>57</v>
      </c>
      <c r="AO76" t="s">
        <v>57</v>
      </c>
      <c r="AP76" t="s">
        <v>57</v>
      </c>
      <c r="AQ76" t="s">
        <v>57</v>
      </c>
      <c r="AR76" t="s">
        <v>57</v>
      </c>
      <c r="AS76" t="s">
        <v>57</v>
      </c>
      <c r="AT76" t="s">
        <v>57</v>
      </c>
      <c r="AU76" t="s">
        <v>175</v>
      </c>
      <c r="AV76" t="s">
        <v>57</v>
      </c>
      <c r="AW76" t="s">
        <v>57</v>
      </c>
      <c r="AX76" t="s">
        <v>57</v>
      </c>
      <c r="AY76" t="s">
        <v>175</v>
      </c>
      <c r="AZ76" t="s">
        <v>175</v>
      </c>
      <c r="BA76" t="s">
        <v>175</v>
      </c>
      <c r="BB76" t="s">
        <v>175</v>
      </c>
      <c r="BC76" t="s">
        <v>57</v>
      </c>
      <c r="BD76" t="s">
        <v>175</v>
      </c>
      <c r="BE76" t="s">
        <v>57</v>
      </c>
      <c r="BF76" t="s">
        <v>57</v>
      </c>
      <c r="BG76" t="s">
        <v>57</v>
      </c>
      <c r="BH76" t="s">
        <v>57</v>
      </c>
      <c r="BI76" t="s">
        <v>57</v>
      </c>
      <c r="BJ76" t="s">
        <v>57</v>
      </c>
      <c r="BK76" t="s">
        <v>57</v>
      </c>
      <c r="BL76" t="s">
        <v>57</v>
      </c>
      <c r="BM76" t="s">
        <v>57</v>
      </c>
      <c r="BN76" t="s">
        <v>57</v>
      </c>
      <c r="BO76" t="s">
        <v>57</v>
      </c>
      <c r="BP76" t="s">
        <v>57</v>
      </c>
      <c r="BQ76" t="s">
        <v>57</v>
      </c>
      <c r="BR76" t="s">
        <v>57</v>
      </c>
      <c r="BS76" t="s">
        <v>57</v>
      </c>
      <c r="BT76" t="s">
        <v>57</v>
      </c>
      <c r="BU76" t="s">
        <v>57</v>
      </c>
      <c r="BV76" t="s">
        <v>57</v>
      </c>
      <c r="BW76" t="s">
        <v>57</v>
      </c>
      <c r="BX76" t="s">
        <v>57</v>
      </c>
      <c r="BY76" t="s">
        <v>57</v>
      </c>
      <c r="BZ76" t="s">
        <v>57</v>
      </c>
      <c r="CA76" t="s">
        <v>57</v>
      </c>
      <c r="CB76" t="s">
        <v>57</v>
      </c>
      <c r="CC76" t="s">
        <v>57</v>
      </c>
      <c r="CD76" t="s">
        <v>57</v>
      </c>
      <c r="CE76" t="s">
        <v>57</v>
      </c>
      <c r="CF76" t="s">
        <v>57</v>
      </c>
      <c r="CG76" t="s">
        <v>57</v>
      </c>
      <c r="CH76" t="s">
        <v>57</v>
      </c>
      <c r="CI76" t="s">
        <v>57</v>
      </c>
      <c r="CJ76" t="s">
        <v>57</v>
      </c>
      <c r="CK76" t="s">
        <v>175</v>
      </c>
      <c r="CL76" t="s">
        <v>175</v>
      </c>
      <c r="CM76" t="s">
        <v>175</v>
      </c>
      <c r="CN76" t="s">
        <v>57</v>
      </c>
      <c r="CO76" t="s">
        <v>57</v>
      </c>
      <c r="CP76" t="s">
        <v>57</v>
      </c>
      <c r="CQ76" t="s">
        <v>57</v>
      </c>
      <c r="CR76" t="s">
        <v>57</v>
      </c>
      <c r="CS76" t="s">
        <v>57</v>
      </c>
      <c r="CT76" t="s">
        <v>57</v>
      </c>
      <c r="CU76" t="s">
        <v>57</v>
      </c>
      <c r="CV76" t="s">
        <v>57</v>
      </c>
      <c r="CW76" t="s">
        <v>57</v>
      </c>
      <c r="CX76" t="s">
        <v>57</v>
      </c>
      <c r="CY76" t="s">
        <v>57</v>
      </c>
      <c r="CZ76" t="s">
        <v>57</v>
      </c>
      <c r="DA76" t="s">
        <v>57</v>
      </c>
      <c r="DB76" t="s">
        <v>57</v>
      </c>
      <c r="DC76" t="s">
        <v>57</v>
      </c>
      <c r="DD76" t="s">
        <v>57</v>
      </c>
      <c r="DE76" t="s">
        <v>57</v>
      </c>
      <c r="DF76" t="s">
        <v>57</v>
      </c>
      <c r="DG76" t="s">
        <v>57</v>
      </c>
      <c r="DH76" t="s">
        <v>57</v>
      </c>
      <c r="DI76" t="s">
        <v>57</v>
      </c>
      <c r="DJ76" t="s">
        <v>57</v>
      </c>
      <c r="DK76" t="s">
        <v>175</v>
      </c>
      <c r="DL76" t="s">
        <v>57</v>
      </c>
      <c r="DM76" t="s">
        <v>175</v>
      </c>
      <c r="DN76" t="s">
        <v>175</v>
      </c>
      <c r="DO76" t="s">
        <v>175</v>
      </c>
      <c r="DP76" t="s">
        <v>175</v>
      </c>
      <c r="DQ76" t="s">
        <v>175</v>
      </c>
      <c r="DR76" t="s">
        <v>175</v>
      </c>
      <c r="DS76" t="s">
        <v>175</v>
      </c>
      <c r="DT76" t="s">
        <v>175</v>
      </c>
      <c r="DU76" t="s">
        <v>175</v>
      </c>
      <c r="DV76" t="s">
        <v>175</v>
      </c>
      <c r="DW76" t="s">
        <v>175</v>
      </c>
      <c r="DX76" t="s">
        <v>175</v>
      </c>
      <c r="DY76" t="s">
        <v>175</v>
      </c>
      <c r="DZ76" t="s">
        <v>175</v>
      </c>
      <c r="EA76" t="s">
        <v>57</v>
      </c>
      <c r="EB76" t="s">
        <v>57</v>
      </c>
      <c r="EC76" t="s">
        <v>57</v>
      </c>
      <c r="ED76" t="s">
        <v>57</v>
      </c>
      <c r="EE76" t="s">
        <v>57</v>
      </c>
      <c r="EF76" t="s">
        <v>57</v>
      </c>
      <c r="EG76" t="s">
        <v>57</v>
      </c>
      <c r="EH76" t="s">
        <v>57</v>
      </c>
      <c r="EI76" t="s">
        <v>57</v>
      </c>
      <c r="EJ76" t="s">
        <v>57</v>
      </c>
      <c r="EK76" t="s">
        <v>57</v>
      </c>
      <c r="EL76" t="s">
        <v>57</v>
      </c>
      <c r="EM76" t="s">
        <v>57</v>
      </c>
      <c r="EN76" t="s">
        <v>57</v>
      </c>
      <c r="EO76" t="s">
        <v>57</v>
      </c>
      <c r="EP76" t="s">
        <v>57</v>
      </c>
      <c r="EQ76" t="s">
        <v>57</v>
      </c>
      <c r="ER76" t="s">
        <v>57</v>
      </c>
      <c r="ES76" t="s">
        <v>57</v>
      </c>
      <c r="ET76" t="s">
        <v>57</v>
      </c>
      <c r="EU76" t="s">
        <v>57</v>
      </c>
      <c r="EV76" t="s">
        <v>57</v>
      </c>
      <c r="EW76" t="s">
        <v>57</v>
      </c>
      <c r="EX76" t="s">
        <v>175</v>
      </c>
      <c r="EY76" t="s">
        <v>175</v>
      </c>
      <c r="EZ76" t="s">
        <v>175</v>
      </c>
      <c r="FA76" t="s">
        <v>175</v>
      </c>
      <c r="FB76" t="s">
        <v>175</v>
      </c>
      <c r="FC76" t="s">
        <v>175</v>
      </c>
      <c r="FD76" t="s">
        <v>57</v>
      </c>
      <c r="FE76" t="s">
        <v>57</v>
      </c>
      <c r="FF76" t="s">
        <v>57</v>
      </c>
      <c r="FG76" t="s">
        <v>57</v>
      </c>
      <c r="FH76" t="s">
        <v>57</v>
      </c>
      <c r="FI76" t="s">
        <v>57</v>
      </c>
      <c r="FJ76" t="s">
        <v>57</v>
      </c>
      <c r="FK76" t="s">
        <v>57</v>
      </c>
      <c r="FL76" t="s">
        <v>57</v>
      </c>
      <c r="FM76" t="s">
        <v>57</v>
      </c>
      <c r="FN76" t="s">
        <v>57</v>
      </c>
      <c r="FO76" t="s">
        <v>57</v>
      </c>
      <c r="FP76" t="s">
        <v>57</v>
      </c>
      <c r="FQ76" t="s">
        <v>57</v>
      </c>
      <c r="FR76" t="s">
        <v>57</v>
      </c>
      <c r="FS76" t="s">
        <v>57</v>
      </c>
      <c r="FT76" t="s">
        <v>57</v>
      </c>
      <c r="FU76" t="s">
        <v>57</v>
      </c>
      <c r="FV76" t="s">
        <v>57</v>
      </c>
      <c r="FW76" t="s">
        <v>57</v>
      </c>
      <c r="FX76" t="s">
        <v>57</v>
      </c>
      <c r="FY76" t="s">
        <v>57</v>
      </c>
      <c r="FZ76" t="s">
        <v>57</v>
      </c>
      <c r="GA76" t="s">
        <v>57</v>
      </c>
      <c r="GB76" t="s">
        <v>57</v>
      </c>
      <c r="GC76" t="s">
        <v>57</v>
      </c>
      <c r="GD76" t="s">
        <v>57</v>
      </c>
      <c r="GE76" t="s">
        <v>57</v>
      </c>
      <c r="GF76" t="s">
        <v>57</v>
      </c>
      <c r="GG76" t="s">
        <v>175</v>
      </c>
      <c r="GH76" t="s">
        <v>57</v>
      </c>
      <c r="GI76" t="s">
        <v>57</v>
      </c>
      <c r="GJ76" t="s">
        <v>57</v>
      </c>
      <c r="GK76" t="s">
        <v>57</v>
      </c>
      <c r="GL76" t="s">
        <v>57</v>
      </c>
      <c r="GM76" t="s">
        <v>175</v>
      </c>
      <c r="GN76" t="s">
        <v>57</v>
      </c>
      <c r="GO76" t="s">
        <v>57</v>
      </c>
      <c r="GP76" t="s">
        <v>175</v>
      </c>
      <c r="GQ76" t="s">
        <v>175</v>
      </c>
      <c r="GR76" t="s">
        <v>57</v>
      </c>
      <c r="GS76" t="s">
        <v>57</v>
      </c>
      <c r="GT76" t="s">
        <v>57</v>
      </c>
      <c r="GU76" t="s">
        <v>57</v>
      </c>
      <c r="GV76" t="s">
        <v>57</v>
      </c>
      <c r="GW76" t="s">
        <v>57</v>
      </c>
      <c r="GX76" t="s">
        <v>57</v>
      </c>
      <c r="GY76" t="s">
        <v>57</v>
      </c>
      <c r="GZ76" t="s">
        <v>57</v>
      </c>
      <c r="HA76" t="s">
        <v>57</v>
      </c>
      <c r="HB76" t="s">
        <v>57</v>
      </c>
      <c r="HC76" t="s">
        <v>57</v>
      </c>
      <c r="HD76" t="s">
        <v>57</v>
      </c>
      <c r="HE76" t="s">
        <v>57</v>
      </c>
      <c r="HF76" t="s">
        <v>57</v>
      </c>
      <c r="HG76" t="s">
        <v>175</v>
      </c>
      <c r="HH76" t="s">
        <v>175</v>
      </c>
      <c r="HI76" t="s">
        <v>175</v>
      </c>
      <c r="HJ76" t="s">
        <v>175</v>
      </c>
      <c r="HK76" t="s">
        <v>175</v>
      </c>
      <c r="HL76" t="s">
        <v>57</v>
      </c>
      <c r="HM76" t="s">
        <v>57</v>
      </c>
      <c r="HN76" t="s">
        <v>57</v>
      </c>
      <c r="HO76" t="s">
        <v>57</v>
      </c>
      <c r="HP76" t="s">
        <v>57</v>
      </c>
      <c r="HQ76" t="s">
        <v>57</v>
      </c>
      <c r="HR76" t="s">
        <v>57</v>
      </c>
      <c r="HS76" t="s">
        <v>57</v>
      </c>
      <c r="HT76" t="s">
        <v>57</v>
      </c>
      <c r="HU76" t="s">
        <v>57</v>
      </c>
      <c r="HV76" t="s">
        <v>57</v>
      </c>
      <c r="HW76" t="s">
        <v>57</v>
      </c>
      <c r="HX76" t="s">
        <v>57</v>
      </c>
      <c r="HY76" t="s">
        <v>57</v>
      </c>
      <c r="HZ76" t="s">
        <v>57</v>
      </c>
      <c r="IA76" t="s">
        <v>57</v>
      </c>
      <c r="IB76" t="s">
        <v>57</v>
      </c>
      <c r="IC76" t="s">
        <v>57</v>
      </c>
      <c r="ID76" t="s">
        <v>57</v>
      </c>
      <c r="IE76" t="s">
        <v>57</v>
      </c>
      <c r="IF76" t="s">
        <v>124</v>
      </c>
      <c r="IG76" t="s">
        <v>148</v>
      </c>
      <c r="IH76" t="s">
        <v>123</v>
      </c>
      <c r="II76" t="s">
        <v>156</v>
      </c>
    </row>
    <row r="77" spans="1:243" x14ac:dyDescent="0.25">
      <c r="A77" s="111" t="str">
        <f>HYPERLINK("http://www.ofsted.gov.uk/inspection-reports/find-inspection-report/provider/ELS/120345 ","Ofsted School Webpage")</f>
        <v>Ofsted School Webpage</v>
      </c>
      <c r="B77">
        <v>120345</v>
      </c>
      <c r="C77">
        <v>8566004</v>
      </c>
      <c r="D77" t="s">
        <v>1914</v>
      </c>
      <c r="E77" t="s">
        <v>36</v>
      </c>
      <c r="F77" t="s">
        <v>166</v>
      </c>
      <c r="G77" t="s">
        <v>171</v>
      </c>
      <c r="H77" t="s">
        <v>171</v>
      </c>
      <c r="I77" t="s">
        <v>287</v>
      </c>
      <c r="J77" t="s">
        <v>1915</v>
      </c>
      <c r="K77" t="s">
        <v>142</v>
      </c>
      <c r="L77" t="s">
        <v>180</v>
      </c>
      <c r="M77" t="s">
        <v>2596</v>
      </c>
      <c r="N77" t="s">
        <v>143</v>
      </c>
      <c r="O77">
        <v>10039181</v>
      </c>
      <c r="P77" s="108">
        <v>43130</v>
      </c>
      <c r="Q77" s="108">
        <v>43132</v>
      </c>
      <c r="R77" s="108">
        <v>43165</v>
      </c>
      <c r="S77" t="s">
        <v>224</v>
      </c>
      <c r="T77" t="s">
        <v>154</v>
      </c>
      <c r="U77">
        <v>3</v>
      </c>
      <c r="V77">
        <v>3</v>
      </c>
      <c r="W77">
        <v>3</v>
      </c>
      <c r="X77">
        <v>3</v>
      </c>
      <c r="Y77">
        <v>3</v>
      </c>
      <c r="Z77" t="s">
        <v>2596</v>
      </c>
      <c r="AA77">
        <v>3</v>
      </c>
      <c r="AB77" t="s">
        <v>123</v>
      </c>
      <c r="AC77" t="s">
        <v>2596</v>
      </c>
      <c r="AD77" t="s">
        <v>2599</v>
      </c>
      <c r="AE77" t="s">
        <v>57</v>
      </c>
      <c r="AF77" t="s">
        <v>57</v>
      </c>
      <c r="AG77" t="s">
        <v>57</v>
      </c>
      <c r="AH77" t="s">
        <v>57</v>
      </c>
      <c r="AI77" t="s">
        <v>57</v>
      </c>
      <c r="AJ77" t="s">
        <v>57</v>
      </c>
      <c r="AK77" t="s">
        <v>57</v>
      </c>
      <c r="AL77" t="s">
        <v>58</v>
      </c>
      <c r="AM77" t="s">
        <v>57</v>
      </c>
      <c r="AN77" t="s">
        <v>57</v>
      </c>
      <c r="AO77" t="s">
        <v>57</v>
      </c>
      <c r="AP77" t="s">
        <v>57</v>
      </c>
      <c r="AQ77" t="s">
        <v>57</v>
      </c>
      <c r="AR77" t="s">
        <v>57</v>
      </c>
      <c r="AS77" t="s">
        <v>57</v>
      </c>
      <c r="AT77" t="s">
        <v>57</v>
      </c>
      <c r="AU77" t="s">
        <v>175</v>
      </c>
      <c r="AV77" t="s">
        <v>57</v>
      </c>
      <c r="AW77" t="s">
        <v>57</v>
      </c>
      <c r="AX77" t="s">
        <v>57</v>
      </c>
      <c r="AY77" t="s">
        <v>57</v>
      </c>
      <c r="AZ77" t="s">
        <v>57</v>
      </c>
      <c r="BA77" t="s">
        <v>57</v>
      </c>
      <c r="BB77" t="s">
        <v>57</v>
      </c>
      <c r="BC77" t="s">
        <v>175</v>
      </c>
      <c r="BD77" t="s">
        <v>57</v>
      </c>
      <c r="BE77" t="s">
        <v>57</v>
      </c>
      <c r="BF77" t="s">
        <v>57</v>
      </c>
      <c r="BG77" t="s">
        <v>58</v>
      </c>
      <c r="BH77" t="s">
        <v>58</v>
      </c>
      <c r="BI77" t="s">
        <v>57</v>
      </c>
      <c r="BJ77" t="s">
        <v>58</v>
      </c>
      <c r="BK77" t="s">
        <v>58</v>
      </c>
      <c r="BL77" t="s">
        <v>57</v>
      </c>
      <c r="BM77" t="s">
        <v>57</v>
      </c>
      <c r="BN77" t="s">
        <v>57</v>
      </c>
      <c r="BO77" t="s">
        <v>57</v>
      </c>
      <c r="BP77" t="s">
        <v>57</v>
      </c>
      <c r="BQ77" t="s">
        <v>57</v>
      </c>
      <c r="BR77" t="s">
        <v>57</v>
      </c>
      <c r="BS77" t="s">
        <v>57</v>
      </c>
      <c r="BT77" t="s">
        <v>57</v>
      </c>
      <c r="BU77" t="s">
        <v>57</v>
      </c>
      <c r="BV77" t="s">
        <v>57</v>
      </c>
      <c r="BW77" t="s">
        <v>57</v>
      </c>
      <c r="BX77" t="s">
        <v>57</v>
      </c>
      <c r="BY77" t="s">
        <v>57</v>
      </c>
      <c r="BZ77" t="s">
        <v>57</v>
      </c>
      <c r="CA77" t="s">
        <v>57</v>
      </c>
      <c r="CB77" t="s">
        <v>57</v>
      </c>
      <c r="CC77" t="s">
        <v>57</v>
      </c>
      <c r="CD77" t="s">
        <v>57</v>
      </c>
      <c r="CE77" t="s">
        <v>57</v>
      </c>
      <c r="CF77" t="s">
        <v>57</v>
      </c>
      <c r="CG77" t="s">
        <v>57</v>
      </c>
      <c r="CH77" t="s">
        <v>57</v>
      </c>
      <c r="CI77" t="s">
        <v>57</v>
      </c>
      <c r="CJ77" t="s">
        <v>57</v>
      </c>
      <c r="CK77" t="s">
        <v>57</v>
      </c>
      <c r="CL77" t="s">
        <v>57</v>
      </c>
      <c r="CM77" t="s">
        <v>57</v>
      </c>
      <c r="CN77" t="s">
        <v>57</v>
      </c>
      <c r="CO77" t="s">
        <v>57</v>
      </c>
      <c r="CP77" t="s">
        <v>57</v>
      </c>
      <c r="CQ77" t="s">
        <v>57</v>
      </c>
      <c r="CR77" t="s">
        <v>57</v>
      </c>
      <c r="CS77" t="s">
        <v>57</v>
      </c>
      <c r="CT77" t="s">
        <v>57</v>
      </c>
      <c r="CU77" t="s">
        <v>57</v>
      </c>
      <c r="CV77" t="s">
        <v>57</v>
      </c>
      <c r="CW77" t="s">
        <v>58</v>
      </c>
      <c r="CX77" t="s">
        <v>57</v>
      </c>
      <c r="CY77" t="s">
        <v>57</v>
      </c>
      <c r="CZ77" t="s">
        <v>57</v>
      </c>
      <c r="DA77" t="s">
        <v>57</v>
      </c>
      <c r="DB77" t="s">
        <v>57</v>
      </c>
      <c r="DC77" t="s">
        <v>57</v>
      </c>
      <c r="DD77" t="s">
        <v>57</v>
      </c>
      <c r="DE77" t="s">
        <v>57</v>
      </c>
      <c r="DF77" t="s">
        <v>57</v>
      </c>
      <c r="DG77" t="s">
        <v>57</v>
      </c>
      <c r="DH77" t="s">
        <v>57</v>
      </c>
      <c r="DI77" t="s">
        <v>57</v>
      </c>
      <c r="DJ77" t="s">
        <v>57</v>
      </c>
      <c r="DK77" t="s">
        <v>57</v>
      </c>
      <c r="DL77" t="s">
        <v>57</v>
      </c>
      <c r="DM77" t="s">
        <v>175</v>
      </c>
      <c r="DN77" t="s">
        <v>175</v>
      </c>
      <c r="DO77" t="s">
        <v>175</v>
      </c>
      <c r="DP77" t="s">
        <v>175</v>
      </c>
      <c r="DQ77" t="s">
        <v>175</v>
      </c>
      <c r="DR77" t="s">
        <v>175</v>
      </c>
      <c r="DS77" t="s">
        <v>175</v>
      </c>
      <c r="DT77" t="s">
        <v>175</v>
      </c>
      <c r="DU77" t="s">
        <v>175</v>
      </c>
      <c r="DV77" t="s">
        <v>175</v>
      </c>
      <c r="DW77" t="s">
        <v>175</v>
      </c>
      <c r="DX77" t="s">
        <v>175</v>
      </c>
      <c r="DY77" t="s">
        <v>175</v>
      </c>
      <c r="DZ77" t="s">
        <v>175</v>
      </c>
      <c r="EA77" t="s">
        <v>57</v>
      </c>
      <c r="EB77" t="s">
        <v>57</v>
      </c>
      <c r="EC77" t="s">
        <v>57</v>
      </c>
      <c r="ED77" t="s">
        <v>57</v>
      </c>
      <c r="EE77" t="s">
        <v>57</v>
      </c>
      <c r="EF77" t="s">
        <v>57</v>
      </c>
      <c r="EG77" t="s">
        <v>57</v>
      </c>
      <c r="EH77" t="s">
        <v>57</v>
      </c>
      <c r="EI77" t="s">
        <v>57</v>
      </c>
      <c r="EJ77" t="s">
        <v>57</v>
      </c>
      <c r="EK77" t="s">
        <v>57</v>
      </c>
      <c r="EL77" t="s">
        <v>57</v>
      </c>
      <c r="EM77" t="s">
        <v>57</v>
      </c>
      <c r="EN77" t="s">
        <v>57</v>
      </c>
      <c r="EO77" t="s">
        <v>57</v>
      </c>
      <c r="EP77" t="s">
        <v>57</v>
      </c>
      <c r="EQ77" t="s">
        <v>57</v>
      </c>
      <c r="ER77" t="s">
        <v>57</v>
      </c>
      <c r="ES77" t="s">
        <v>57</v>
      </c>
      <c r="ET77" t="s">
        <v>57</v>
      </c>
      <c r="EU77" t="s">
        <v>57</v>
      </c>
      <c r="EV77" t="s">
        <v>57</v>
      </c>
      <c r="EW77" t="s">
        <v>57</v>
      </c>
      <c r="EX77" t="s">
        <v>175</v>
      </c>
      <c r="EY77" t="s">
        <v>175</v>
      </c>
      <c r="EZ77" t="s">
        <v>175</v>
      </c>
      <c r="FA77" t="s">
        <v>175</v>
      </c>
      <c r="FB77" t="s">
        <v>175</v>
      </c>
      <c r="FC77" t="s">
        <v>175</v>
      </c>
      <c r="FD77" t="s">
        <v>57</v>
      </c>
      <c r="FE77" t="s">
        <v>57</v>
      </c>
      <c r="FF77" t="s">
        <v>57</v>
      </c>
      <c r="FG77" t="s">
        <v>57</v>
      </c>
      <c r="FH77" t="s">
        <v>57</v>
      </c>
      <c r="FI77" t="s">
        <v>57</v>
      </c>
      <c r="FJ77" t="s">
        <v>175</v>
      </c>
      <c r="FK77" t="s">
        <v>57</v>
      </c>
      <c r="FL77" t="s">
        <v>57</v>
      </c>
      <c r="FM77" t="s">
        <v>57</v>
      </c>
      <c r="FN77" t="s">
        <v>57</v>
      </c>
      <c r="FO77" t="s">
        <v>175</v>
      </c>
      <c r="FP77" t="s">
        <v>57</v>
      </c>
      <c r="FQ77" t="s">
        <v>57</v>
      </c>
      <c r="FR77" t="s">
        <v>57</v>
      </c>
      <c r="FS77" t="s">
        <v>57</v>
      </c>
      <c r="FT77" t="s">
        <v>57</v>
      </c>
      <c r="FU77" t="s">
        <v>57</v>
      </c>
      <c r="FV77" t="s">
        <v>57</v>
      </c>
      <c r="FW77" t="s">
        <v>57</v>
      </c>
      <c r="FX77" t="s">
        <v>57</v>
      </c>
      <c r="FY77" t="s">
        <v>57</v>
      </c>
      <c r="FZ77" t="s">
        <v>57</v>
      </c>
      <c r="GA77" t="s">
        <v>57</v>
      </c>
      <c r="GB77" t="s">
        <v>57</v>
      </c>
      <c r="GC77" t="s">
        <v>57</v>
      </c>
      <c r="GD77" t="s">
        <v>57</v>
      </c>
      <c r="GE77" t="s">
        <v>57</v>
      </c>
      <c r="GF77" t="s">
        <v>57</v>
      </c>
      <c r="GG77" t="s">
        <v>57</v>
      </c>
      <c r="GH77" t="s">
        <v>57</v>
      </c>
      <c r="GI77" t="s">
        <v>57</v>
      </c>
      <c r="GJ77" t="s">
        <v>57</v>
      </c>
      <c r="GK77" t="s">
        <v>57</v>
      </c>
      <c r="GL77" t="s">
        <v>57</v>
      </c>
      <c r="GM77" t="s">
        <v>57</v>
      </c>
      <c r="GN77" t="s">
        <v>57</v>
      </c>
      <c r="GO77" t="s">
        <v>57</v>
      </c>
      <c r="GP77" t="s">
        <v>175</v>
      </c>
      <c r="GQ77" t="s">
        <v>175</v>
      </c>
      <c r="GR77" t="s">
        <v>175</v>
      </c>
      <c r="GS77" t="s">
        <v>57</v>
      </c>
      <c r="GT77" t="s">
        <v>57</v>
      </c>
      <c r="GU77" t="s">
        <v>57</v>
      </c>
      <c r="GV77" t="s">
        <v>175</v>
      </c>
      <c r="GW77" t="s">
        <v>57</v>
      </c>
      <c r="GX77" t="s">
        <v>57</v>
      </c>
      <c r="GY77" t="s">
        <v>57</v>
      </c>
      <c r="GZ77" t="s">
        <v>57</v>
      </c>
      <c r="HA77" t="s">
        <v>57</v>
      </c>
      <c r="HB77" t="s">
        <v>57</v>
      </c>
      <c r="HC77" t="s">
        <v>57</v>
      </c>
      <c r="HD77" t="s">
        <v>57</v>
      </c>
      <c r="HE77" t="s">
        <v>57</v>
      </c>
      <c r="HF77" t="s">
        <v>57</v>
      </c>
      <c r="HG77" t="s">
        <v>57</v>
      </c>
      <c r="HH77" t="s">
        <v>175</v>
      </c>
      <c r="HI77" t="s">
        <v>175</v>
      </c>
      <c r="HJ77" t="s">
        <v>175</v>
      </c>
      <c r="HK77" t="s">
        <v>175</v>
      </c>
      <c r="HL77" t="s">
        <v>57</v>
      </c>
      <c r="HM77" t="s">
        <v>57</v>
      </c>
      <c r="HN77" t="s">
        <v>57</v>
      </c>
      <c r="HO77" t="s">
        <v>57</v>
      </c>
      <c r="HP77" t="s">
        <v>57</v>
      </c>
      <c r="HQ77" t="s">
        <v>57</v>
      </c>
      <c r="HR77" t="s">
        <v>57</v>
      </c>
      <c r="HS77" t="s">
        <v>57</v>
      </c>
      <c r="HT77" t="s">
        <v>57</v>
      </c>
      <c r="HU77" t="s">
        <v>57</v>
      </c>
      <c r="HV77" t="s">
        <v>57</v>
      </c>
      <c r="HW77" t="s">
        <v>57</v>
      </c>
      <c r="HX77" t="s">
        <v>57</v>
      </c>
      <c r="HY77" t="s">
        <v>57</v>
      </c>
      <c r="HZ77" t="s">
        <v>57</v>
      </c>
      <c r="IA77" t="s">
        <v>57</v>
      </c>
      <c r="IB77" t="s">
        <v>58</v>
      </c>
      <c r="IC77" t="s">
        <v>58</v>
      </c>
      <c r="ID77" t="s">
        <v>58</v>
      </c>
      <c r="IE77" t="s">
        <v>57</v>
      </c>
      <c r="IF77" t="s">
        <v>124</v>
      </c>
      <c r="IG77" t="s">
        <v>148</v>
      </c>
      <c r="IH77" t="s">
        <v>123</v>
      </c>
      <c r="II77" t="s">
        <v>156</v>
      </c>
    </row>
    <row r="78" spans="1:243" x14ac:dyDescent="0.25">
      <c r="A78" s="111" t="str">
        <f>HYPERLINK("http://www.ofsted.gov.uk/inspection-reports/find-inspection-report/provider/ELS/120739 ","Ofsted School Webpage")</f>
        <v>Ofsted School Webpage</v>
      </c>
      <c r="B78">
        <v>120739</v>
      </c>
      <c r="C78">
        <v>9256033</v>
      </c>
      <c r="D78" t="s">
        <v>2495</v>
      </c>
      <c r="E78" t="s">
        <v>36</v>
      </c>
      <c r="F78" t="s">
        <v>166</v>
      </c>
      <c r="G78" t="s">
        <v>171</v>
      </c>
      <c r="H78" t="s">
        <v>171</v>
      </c>
      <c r="I78" t="s">
        <v>637</v>
      </c>
      <c r="J78" t="s">
        <v>2496</v>
      </c>
      <c r="K78" t="s">
        <v>142</v>
      </c>
      <c r="L78" t="s">
        <v>142</v>
      </c>
      <c r="M78" t="s">
        <v>2596</v>
      </c>
      <c r="N78" t="s">
        <v>143</v>
      </c>
      <c r="O78">
        <v>10033526</v>
      </c>
      <c r="P78" s="108">
        <v>43046</v>
      </c>
      <c r="Q78" s="108">
        <v>43048</v>
      </c>
      <c r="R78" s="108">
        <v>43136</v>
      </c>
      <c r="S78" t="s">
        <v>153</v>
      </c>
      <c r="T78" t="s">
        <v>154</v>
      </c>
      <c r="U78">
        <v>4</v>
      </c>
      <c r="V78">
        <v>4</v>
      </c>
      <c r="W78">
        <v>4</v>
      </c>
      <c r="X78">
        <v>4</v>
      </c>
      <c r="Y78">
        <v>4</v>
      </c>
      <c r="Z78">
        <v>4</v>
      </c>
      <c r="AA78" t="s">
        <v>2596</v>
      </c>
      <c r="AB78" t="s">
        <v>124</v>
      </c>
      <c r="AC78" t="s">
        <v>2596</v>
      </c>
      <c r="AD78" t="s">
        <v>2599</v>
      </c>
      <c r="AE78" t="s">
        <v>58</v>
      </c>
      <c r="AF78" t="s">
        <v>57</v>
      </c>
      <c r="AG78" t="s">
        <v>58</v>
      </c>
      <c r="AH78" t="s">
        <v>57</v>
      </c>
      <c r="AI78" t="s">
        <v>57</v>
      </c>
      <c r="AJ78" t="s">
        <v>57</v>
      </c>
      <c r="AK78" t="s">
        <v>57</v>
      </c>
      <c r="AL78" t="s">
        <v>58</v>
      </c>
      <c r="AM78" t="s">
        <v>58</v>
      </c>
      <c r="AN78" t="s">
        <v>58</v>
      </c>
      <c r="AO78" t="s">
        <v>58</v>
      </c>
      <c r="AP78" t="s">
        <v>58</v>
      </c>
      <c r="AQ78" t="s">
        <v>57</v>
      </c>
      <c r="AR78" t="s">
        <v>58</v>
      </c>
      <c r="AS78" t="s">
        <v>57</v>
      </c>
      <c r="AT78" t="s">
        <v>57</v>
      </c>
      <c r="AU78" t="s">
        <v>175</v>
      </c>
      <c r="AV78" t="s">
        <v>57</v>
      </c>
      <c r="AW78" t="s">
        <v>57</v>
      </c>
      <c r="AX78" t="s">
        <v>57</v>
      </c>
      <c r="AY78" t="s">
        <v>175</v>
      </c>
      <c r="AZ78" t="s">
        <v>175</v>
      </c>
      <c r="BA78" t="s">
        <v>175</v>
      </c>
      <c r="BB78" t="s">
        <v>175</v>
      </c>
      <c r="BC78" t="s">
        <v>57</v>
      </c>
      <c r="BD78" t="s">
        <v>175</v>
      </c>
      <c r="BE78" t="s">
        <v>58</v>
      </c>
      <c r="BF78" t="s">
        <v>57</v>
      </c>
      <c r="BG78" t="s">
        <v>58</v>
      </c>
      <c r="BH78" t="s">
        <v>58</v>
      </c>
      <c r="BI78" t="s">
        <v>58</v>
      </c>
      <c r="BJ78" t="s">
        <v>58</v>
      </c>
      <c r="BK78" t="s">
        <v>58</v>
      </c>
      <c r="BL78" t="s">
        <v>58</v>
      </c>
      <c r="BM78" t="s">
        <v>57</v>
      </c>
      <c r="BN78" t="s">
        <v>58</v>
      </c>
      <c r="BO78" t="s">
        <v>57</v>
      </c>
      <c r="BP78" t="s">
        <v>57</v>
      </c>
      <c r="BQ78" t="s">
        <v>57</v>
      </c>
      <c r="BR78" t="s">
        <v>57</v>
      </c>
      <c r="BS78" t="s">
        <v>57</v>
      </c>
      <c r="BT78" t="s">
        <v>57</v>
      </c>
      <c r="BU78" t="s">
        <v>57</v>
      </c>
      <c r="BV78" t="s">
        <v>57</v>
      </c>
      <c r="BW78" t="s">
        <v>57</v>
      </c>
      <c r="BX78" t="s">
        <v>57</v>
      </c>
      <c r="BY78" t="s">
        <v>57</v>
      </c>
      <c r="BZ78" t="s">
        <v>57</v>
      </c>
      <c r="CA78" t="s">
        <v>57</v>
      </c>
      <c r="CB78" t="s">
        <v>57</v>
      </c>
      <c r="CC78" t="s">
        <v>57</v>
      </c>
      <c r="CD78" t="s">
        <v>57</v>
      </c>
      <c r="CE78" t="s">
        <v>57</v>
      </c>
      <c r="CF78" t="s">
        <v>57</v>
      </c>
      <c r="CG78" t="s">
        <v>57</v>
      </c>
      <c r="CH78" t="s">
        <v>58</v>
      </c>
      <c r="CI78" t="s">
        <v>58</v>
      </c>
      <c r="CJ78" t="s">
        <v>57</v>
      </c>
      <c r="CK78" t="s">
        <v>175</v>
      </c>
      <c r="CL78" t="s">
        <v>175</v>
      </c>
      <c r="CM78" t="s">
        <v>175</v>
      </c>
      <c r="CN78" t="s">
        <v>57</v>
      </c>
      <c r="CO78" t="s">
        <v>57</v>
      </c>
      <c r="CP78" t="s">
        <v>57</v>
      </c>
      <c r="CQ78" t="s">
        <v>57</v>
      </c>
      <c r="CR78" t="s">
        <v>57</v>
      </c>
      <c r="CS78" t="s">
        <v>58</v>
      </c>
      <c r="CT78" t="s">
        <v>58</v>
      </c>
      <c r="CU78" t="s">
        <v>57</v>
      </c>
      <c r="CV78" t="s">
        <v>57</v>
      </c>
      <c r="CW78" t="s">
        <v>57</v>
      </c>
      <c r="CX78" t="s">
        <v>58</v>
      </c>
      <c r="CY78" t="s">
        <v>58</v>
      </c>
      <c r="CZ78" t="s">
        <v>58</v>
      </c>
      <c r="DA78" t="s">
        <v>57</v>
      </c>
      <c r="DB78" t="s">
        <v>57</v>
      </c>
      <c r="DC78" t="s">
        <v>57</v>
      </c>
      <c r="DD78" t="s">
        <v>57</v>
      </c>
      <c r="DE78" t="s">
        <v>57</v>
      </c>
      <c r="DF78" t="s">
        <v>57</v>
      </c>
      <c r="DG78" t="s">
        <v>57</v>
      </c>
      <c r="DH78" t="s">
        <v>57</v>
      </c>
      <c r="DI78" t="s">
        <v>57</v>
      </c>
      <c r="DJ78" t="s">
        <v>57</v>
      </c>
      <c r="DK78" t="s">
        <v>175</v>
      </c>
      <c r="DL78" t="s">
        <v>57</v>
      </c>
      <c r="DM78" t="s">
        <v>57</v>
      </c>
      <c r="DN78" t="s">
        <v>57</v>
      </c>
      <c r="DO78" t="s">
        <v>57</v>
      </c>
      <c r="DP78" t="s">
        <v>57</v>
      </c>
      <c r="DQ78" t="s">
        <v>57</v>
      </c>
      <c r="DR78" t="s">
        <v>57</v>
      </c>
      <c r="DS78" t="s">
        <v>57</v>
      </c>
      <c r="DT78" t="s">
        <v>57</v>
      </c>
      <c r="DU78" t="s">
        <v>57</v>
      </c>
      <c r="DV78" t="s">
        <v>57</v>
      </c>
      <c r="DW78" t="s">
        <v>57</v>
      </c>
      <c r="DX78" t="s">
        <v>57</v>
      </c>
      <c r="DY78" t="s">
        <v>175</v>
      </c>
      <c r="DZ78" t="s">
        <v>175</v>
      </c>
      <c r="EA78" t="s">
        <v>175</v>
      </c>
      <c r="EB78" t="s">
        <v>175</v>
      </c>
      <c r="EC78" t="s">
        <v>175</v>
      </c>
      <c r="ED78" t="s">
        <v>175</v>
      </c>
      <c r="EE78" t="s">
        <v>175</v>
      </c>
      <c r="EF78" t="s">
        <v>175</v>
      </c>
      <c r="EG78" t="s">
        <v>175</v>
      </c>
      <c r="EH78" t="s">
        <v>175</v>
      </c>
      <c r="EI78" t="s">
        <v>175</v>
      </c>
      <c r="EJ78" t="s">
        <v>57</v>
      </c>
      <c r="EK78" t="s">
        <v>57</v>
      </c>
      <c r="EL78" t="s">
        <v>57</v>
      </c>
      <c r="EM78" t="s">
        <v>57</v>
      </c>
      <c r="EN78" t="s">
        <v>57</v>
      </c>
      <c r="EO78" t="s">
        <v>57</v>
      </c>
      <c r="EP78" t="s">
        <v>57</v>
      </c>
      <c r="EQ78" t="s">
        <v>57</v>
      </c>
      <c r="ER78" t="s">
        <v>57</v>
      </c>
      <c r="ES78" t="s">
        <v>57</v>
      </c>
      <c r="ET78" t="s">
        <v>57</v>
      </c>
      <c r="EU78" t="s">
        <v>57</v>
      </c>
      <c r="EV78" t="s">
        <v>57</v>
      </c>
      <c r="EW78" t="s">
        <v>57</v>
      </c>
      <c r="EX78" t="s">
        <v>57</v>
      </c>
      <c r="EY78" t="s">
        <v>57</v>
      </c>
      <c r="EZ78" t="s">
        <v>57</v>
      </c>
      <c r="FA78" t="s">
        <v>57</v>
      </c>
      <c r="FB78" t="s">
        <v>175</v>
      </c>
      <c r="FC78" t="s">
        <v>175</v>
      </c>
      <c r="FD78" t="s">
        <v>175</v>
      </c>
      <c r="FE78" t="s">
        <v>175</v>
      </c>
      <c r="FF78" t="s">
        <v>148</v>
      </c>
      <c r="FG78" t="s">
        <v>175</v>
      </c>
      <c r="FH78" t="s">
        <v>57</v>
      </c>
      <c r="FI78" t="s">
        <v>57</v>
      </c>
      <c r="FJ78" t="s">
        <v>57</v>
      </c>
      <c r="FK78" t="s">
        <v>175</v>
      </c>
      <c r="FL78" t="s">
        <v>57</v>
      </c>
      <c r="FM78" t="s">
        <v>57</v>
      </c>
      <c r="FN78" t="s">
        <v>57</v>
      </c>
      <c r="FO78" t="s">
        <v>175</v>
      </c>
      <c r="FP78" t="s">
        <v>57</v>
      </c>
      <c r="FQ78" t="s">
        <v>58</v>
      </c>
      <c r="FR78" t="s">
        <v>57</v>
      </c>
      <c r="FS78" t="s">
        <v>57</v>
      </c>
      <c r="FT78" t="s">
        <v>57</v>
      </c>
      <c r="FU78" t="s">
        <v>57</v>
      </c>
      <c r="FV78" t="s">
        <v>57</v>
      </c>
      <c r="FW78" t="s">
        <v>57</v>
      </c>
      <c r="FX78" t="s">
        <v>57</v>
      </c>
      <c r="FY78" t="s">
        <v>57</v>
      </c>
      <c r="FZ78" t="s">
        <v>57</v>
      </c>
      <c r="GA78" t="s">
        <v>57</v>
      </c>
      <c r="GB78" t="s">
        <v>57</v>
      </c>
      <c r="GC78" t="s">
        <v>57</v>
      </c>
      <c r="GD78" t="s">
        <v>57</v>
      </c>
      <c r="GE78" t="s">
        <v>57</v>
      </c>
      <c r="GF78" t="s">
        <v>57</v>
      </c>
      <c r="GG78" t="s">
        <v>175</v>
      </c>
      <c r="GH78" t="s">
        <v>57</v>
      </c>
      <c r="GI78" t="s">
        <v>57</v>
      </c>
      <c r="GJ78" t="s">
        <v>57</v>
      </c>
      <c r="GK78" t="s">
        <v>57</v>
      </c>
      <c r="GL78" t="s">
        <v>57</v>
      </c>
      <c r="GM78" t="s">
        <v>175</v>
      </c>
      <c r="GN78" t="s">
        <v>57</v>
      </c>
      <c r="GO78" t="s">
        <v>57</v>
      </c>
      <c r="GP78" t="s">
        <v>175</v>
      </c>
      <c r="GQ78" t="s">
        <v>175</v>
      </c>
      <c r="GR78" t="s">
        <v>57</v>
      </c>
      <c r="GS78" t="s">
        <v>57</v>
      </c>
      <c r="GT78" t="s">
        <v>57</v>
      </c>
      <c r="GU78" t="s">
        <v>57</v>
      </c>
      <c r="GV78" t="s">
        <v>57</v>
      </c>
      <c r="GW78" t="s">
        <v>175</v>
      </c>
      <c r="GX78" t="s">
        <v>175</v>
      </c>
      <c r="GY78" t="s">
        <v>57</v>
      </c>
      <c r="GZ78" t="s">
        <v>57</v>
      </c>
      <c r="HA78" t="s">
        <v>57</v>
      </c>
      <c r="HB78" t="s">
        <v>57</v>
      </c>
      <c r="HC78" t="s">
        <v>57</v>
      </c>
      <c r="HD78" t="s">
        <v>57</v>
      </c>
      <c r="HE78" t="s">
        <v>57</v>
      </c>
      <c r="HF78" t="s">
        <v>57</v>
      </c>
      <c r="HG78" t="s">
        <v>57</v>
      </c>
      <c r="HH78" t="s">
        <v>175</v>
      </c>
      <c r="HI78" t="s">
        <v>175</v>
      </c>
      <c r="HJ78" t="s">
        <v>175</v>
      </c>
      <c r="HK78" t="s">
        <v>175</v>
      </c>
      <c r="HL78" t="s">
        <v>57</v>
      </c>
      <c r="HM78" t="s">
        <v>57</v>
      </c>
      <c r="HN78" t="s">
        <v>57</v>
      </c>
      <c r="HO78" t="s">
        <v>57</v>
      </c>
      <c r="HP78" t="s">
        <v>57</v>
      </c>
      <c r="HQ78" t="s">
        <v>57</v>
      </c>
      <c r="HR78" t="s">
        <v>57</v>
      </c>
      <c r="HS78" t="s">
        <v>57</v>
      </c>
      <c r="HT78" t="s">
        <v>57</v>
      </c>
      <c r="HU78" t="s">
        <v>57</v>
      </c>
      <c r="HV78" t="s">
        <v>57</v>
      </c>
      <c r="HW78" t="s">
        <v>57</v>
      </c>
      <c r="HX78" t="s">
        <v>57</v>
      </c>
      <c r="HY78" t="s">
        <v>57</v>
      </c>
      <c r="HZ78" t="s">
        <v>57</v>
      </c>
      <c r="IA78" t="s">
        <v>57</v>
      </c>
      <c r="IB78" t="s">
        <v>58</v>
      </c>
      <c r="IC78" t="s">
        <v>58</v>
      </c>
      <c r="ID78" t="s">
        <v>58</v>
      </c>
      <c r="IE78" t="s">
        <v>58</v>
      </c>
      <c r="IF78" t="s">
        <v>124</v>
      </c>
      <c r="IG78" t="s">
        <v>148</v>
      </c>
      <c r="IH78" t="s">
        <v>123</v>
      </c>
      <c r="II78" t="s">
        <v>156</v>
      </c>
    </row>
    <row r="79" spans="1:243" x14ac:dyDescent="0.25">
      <c r="A79" s="111" t="str">
        <f>HYPERLINK("http://www.ofsted.gov.uk/inspection-reports/find-inspection-report/provider/ELS/122918 ","Ofsted School Webpage")</f>
        <v>Ofsted School Webpage</v>
      </c>
      <c r="B79">
        <v>122918</v>
      </c>
      <c r="C79">
        <v>8916004</v>
      </c>
      <c r="D79" t="s">
        <v>276</v>
      </c>
      <c r="E79" t="s">
        <v>36</v>
      </c>
      <c r="F79" t="s">
        <v>166</v>
      </c>
      <c r="G79" t="s">
        <v>171</v>
      </c>
      <c r="H79" t="s">
        <v>171</v>
      </c>
      <c r="I79" t="s">
        <v>277</v>
      </c>
      <c r="J79" t="s">
        <v>278</v>
      </c>
      <c r="K79" t="s">
        <v>142</v>
      </c>
      <c r="L79" t="s">
        <v>142</v>
      </c>
      <c r="M79" t="s">
        <v>2596</v>
      </c>
      <c r="N79" t="s">
        <v>143</v>
      </c>
      <c r="O79">
        <v>10020943</v>
      </c>
      <c r="P79" s="108">
        <v>42997</v>
      </c>
      <c r="Q79" s="108">
        <v>42999</v>
      </c>
      <c r="R79" s="108">
        <v>43019</v>
      </c>
      <c r="S79" t="s">
        <v>153</v>
      </c>
      <c r="T79" t="s">
        <v>154</v>
      </c>
      <c r="U79">
        <v>3</v>
      </c>
      <c r="V79">
        <v>3</v>
      </c>
      <c r="W79">
        <v>2</v>
      </c>
      <c r="X79">
        <v>2</v>
      </c>
      <c r="Y79">
        <v>2</v>
      </c>
      <c r="Z79">
        <v>2</v>
      </c>
      <c r="AA79" t="s">
        <v>2596</v>
      </c>
      <c r="AB79" t="s">
        <v>123</v>
      </c>
      <c r="AC79" t="s">
        <v>2596</v>
      </c>
      <c r="AD79" t="s">
        <v>2599</v>
      </c>
      <c r="AE79" t="s">
        <v>57</v>
      </c>
      <c r="AF79" t="s">
        <v>57</v>
      </c>
      <c r="AG79" t="s">
        <v>57</v>
      </c>
      <c r="AH79" t="s">
        <v>57</v>
      </c>
      <c r="AI79" t="s">
        <v>57</v>
      </c>
      <c r="AJ79" t="s">
        <v>58</v>
      </c>
      <c r="AK79" t="s">
        <v>57</v>
      </c>
      <c r="AL79" t="s">
        <v>57</v>
      </c>
      <c r="AM79" t="s">
        <v>57</v>
      </c>
      <c r="AN79" t="s">
        <v>57</v>
      </c>
      <c r="AO79" t="s">
        <v>57</v>
      </c>
      <c r="AP79" t="s">
        <v>57</v>
      </c>
      <c r="AQ79" t="s">
        <v>57</v>
      </c>
      <c r="AR79" t="s">
        <v>57</v>
      </c>
      <c r="AS79" t="s">
        <v>57</v>
      </c>
      <c r="AT79" t="s">
        <v>57</v>
      </c>
      <c r="AU79" t="s">
        <v>57</v>
      </c>
      <c r="AV79" t="s">
        <v>57</v>
      </c>
      <c r="AW79" t="s">
        <v>57</v>
      </c>
      <c r="AX79" t="s">
        <v>57</v>
      </c>
      <c r="AY79" t="s">
        <v>148</v>
      </c>
      <c r="AZ79" t="s">
        <v>148</v>
      </c>
      <c r="BA79" t="s">
        <v>148</v>
      </c>
      <c r="BB79" t="s">
        <v>148</v>
      </c>
      <c r="BC79" t="s">
        <v>57</v>
      </c>
      <c r="BD79" t="s">
        <v>148</v>
      </c>
      <c r="BE79" t="s">
        <v>57</v>
      </c>
      <c r="BF79" t="s">
        <v>57</v>
      </c>
      <c r="BG79" t="s">
        <v>57</v>
      </c>
      <c r="BH79" t="s">
        <v>57</v>
      </c>
      <c r="BI79" t="s">
        <v>57</v>
      </c>
      <c r="BJ79" t="s">
        <v>57</v>
      </c>
      <c r="BK79" t="s">
        <v>57</v>
      </c>
      <c r="BL79" t="s">
        <v>57</v>
      </c>
      <c r="BM79" t="s">
        <v>57</v>
      </c>
      <c r="BN79" t="s">
        <v>57</v>
      </c>
      <c r="BO79" t="s">
        <v>57</v>
      </c>
      <c r="BP79" t="s">
        <v>57</v>
      </c>
      <c r="BQ79" t="s">
        <v>57</v>
      </c>
      <c r="BR79" t="s">
        <v>57</v>
      </c>
      <c r="BS79" t="s">
        <v>57</v>
      </c>
      <c r="BT79" t="s">
        <v>57</v>
      </c>
      <c r="BU79" t="s">
        <v>57</v>
      </c>
      <c r="BV79" t="s">
        <v>57</v>
      </c>
      <c r="BW79" t="s">
        <v>57</v>
      </c>
      <c r="BX79" t="s">
        <v>57</v>
      </c>
      <c r="BY79" t="s">
        <v>57</v>
      </c>
      <c r="BZ79" t="s">
        <v>57</v>
      </c>
      <c r="CA79" t="s">
        <v>57</v>
      </c>
      <c r="CB79" t="s">
        <v>57</v>
      </c>
      <c r="CC79" t="s">
        <v>57</v>
      </c>
      <c r="CD79" t="s">
        <v>57</v>
      </c>
      <c r="CE79" t="s">
        <v>57</v>
      </c>
      <c r="CF79" t="s">
        <v>57</v>
      </c>
      <c r="CG79" t="s">
        <v>57</v>
      </c>
      <c r="CH79" t="s">
        <v>57</v>
      </c>
      <c r="CI79" t="s">
        <v>57</v>
      </c>
      <c r="CJ79" t="s">
        <v>57</v>
      </c>
      <c r="CK79" t="s">
        <v>148</v>
      </c>
      <c r="CL79" t="s">
        <v>148</v>
      </c>
      <c r="CM79" t="s">
        <v>148</v>
      </c>
      <c r="CN79" t="s">
        <v>57</v>
      </c>
      <c r="CO79" t="s">
        <v>57</v>
      </c>
      <c r="CP79" t="s">
        <v>57</v>
      </c>
      <c r="CQ79" t="s">
        <v>57</v>
      </c>
      <c r="CR79" t="s">
        <v>57</v>
      </c>
      <c r="CS79" t="s">
        <v>57</v>
      </c>
      <c r="CT79" t="s">
        <v>57</v>
      </c>
      <c r="CU79" t="s">
        <v>57</v>
      </c>
      <c r="CV79" t="s">
        <v>57</v>
      </c>
      <c r="CW79" t="s">
        <v>57</v>
      </c>
      <c r="CX79" t="s">
        <v>57</v>
      </c>
      <c r="CY79" t="s">
        <v>57</v>
      </c>
      <c r="CZ79" t="s">
        <v>57</v>
      </c>
      <c r="DA79" t="s">
        <v>57</v>
      </c>
      <c r="DB79" t="s">
        <v>57</v>
      </c>
      <c r="DC79" t="s">
        <v>57</v>
      </c>
      <c r="DD79" t="s">
        <v>57</v>
      </c>
      <c r="DE79" t="s">
        <v>57</v>
      </c>
      <c r="DF79" t="s">
        <v>57</v>
      </c>
      <c r="DG79" t="s">
        <v>57</v>
      </c>
      <c r="DH79" t="s">
        <v>57</v>
      </c>
      <c r="DI79" t="s">
        <v>57</v>
      </c>
      <c r="DJ79" t="s">
        <v>57</v>
      </c>
      <c r="DK79" t="s">
        <v>148</v>
      </c>
      <c r="DL79" t="s">
        <v>57</v>
      </c>
      <c r="DM79" t="s">
        <v>57</v>
      </c>
      <c r="DN79" t="s">
        <v>57</v>
      </c>
      <c r="DO79" t="s">
        <v>57</v>
      </c>
      <c r="DP79" t="s">
        <v>57</v>
      </c>
      <c r="DQ79" t="s">
        <v>57</v>
      </c>
      <c r="DR79" t="s">
        <v>57</v>
      </c>
      <c r="DS79" t="s">
        <v>57</v>
      </c>
      <c r="DT79" t="s">
        <v>57</v>
      </c>
      <c r="DU79" t="s">
        <v>57</v>
      </c>
      <c r="DV79" t="s">
        <v>57</v>
      </c>
      <c r="DW79" t="s">
        <v>57</v>
      </c>
      <c r="DX79" t="s">
        <v>57</v>
      </c>
      <c r="DY79" t="s">
        <v>148</v>
      </c>
      <c r="DZ79" t="s">
        <v>148</v>
      </c>
      <c r="EA79" t="s">
        <v>148</v>
      </c>
      <c r="EB79" t="s">
        <v>148</v>
      </c>
      <c r="EC79" t="s">
        <v>148</v>
      </c>
      <c r="ED79" t="s">
        <v>148</v>
      </c>
      <c r="EE79" t="s">
        <v>148</v>
      </c>
      <c r="EF79" t="s">
        <v>148</v>
      </c>
      <c r="EG79" t="s">
        <v>148</v>
      </c>
      <c r="EH79" t="s">
        <v>148</v>
      </c>
      <c r="EI79" t="s">
        <v>148</v>
      </c>
      <c r="EJ79" t="s">
        <v>57</v>
      </c>
      <c r="EK79" t="s">
        <v>57</v>
      </c>
      <c r="EL79" t="s">
        <v>57</v>
      </c>
      <c r="EM79" t="s">
        <v>57</v>
      </c>
      <c r="EN79" t="s">
        <v>57</v>
      </c>
      <c r="EO79" t="s">
        <v>57</v>
      </c>
      <c r="EP79" t="s">
        <v>57</v>
      </c>
      <c r="EQ79" t="s">
        <v>57</v>
      </c>
      <c r="ER79" t="s">
        <v>57</v>
      </c>
      <c r="ES79" t="s">
        <v>57</v>
      </c>
      <c r="ET79" t="s">
        <v>57</v>
      </c>
      <c r="EU79" t="s">
        <v>57</v>
      </c>
      <c r="EV79" t="s">
        <v>57</v>
      </c>
      <c r="EW79" t="s">
        <v>57</v>
      </c>
      <c r="EX79" t="s">
        <v>57</v>
      </c>
      <c r="EY79" t="s">
        <v>57</v>
      </c>
      <c r="EZ79" t="s">
        <v>57</v>
      </c>
      <c r="FA79" t="s">
        <v>57</v>
      </c>
      <c r="FB79" t="s">
        <v>148</v>
      </c>
      <c r="FC79" t="s">
        <v>57</v>
      </c>
      <c r="FD79" t="s">
        <v>148</v>
      </c>
      <c r="FE79" t="s">
        <v>148</v>
      </c>
      <c r="FF79" t="s">
        <v>148</v>
      </c>
      <c r="FG79" t="s">
        <v>148</v>
      </c>
      <c r="FH79" t="s">
        <v>57</v>
      </c>
      <c r="FI79" t="s">
        <v>57</v>
      </c>
      <c r="FJ79" t="s">
        <v>148</v>
      </c>
      <c r="FK79" t="s">
        <v>148</v>
      </c>
      <c r="FL79" t="s">
        <v>57</v>
      </c>
      <c r="FM79" t="s">
        <v>57</v>
      </c>
      <c r="FN79" t="s">
        <v>57</v>
      </c>
      <c r="FO79" t="s">
        <v>148</v>
      </c>
      <c r="FP79" t="s">
        <v>57</v>
      </c>
      <c r="FQ79" t="s">
        <v>57</v>
      </c>
      <c r="FR79" t="s">
        <v>57</v>
      </c>
      <c r="FS79" t="s">
        <v>57</v>
      </c>
      <c r="FT79" t="s">
        <v>57</v>
      </c>
      <c r="FU79" t="s">
        <v>57</v>
      </c>
      <c r="FV79" t="s">
        <v>57</v>
      </c>
      <c r="FW79" t="s">
        <v>57</v>
      </c>
      <c r="FX79" t="s">
        <v>57</v>
      </c>
      <c r="FY79" t="s">
        <v>57</v>
      </c>
      <c r="FZ79" t="s">
        <v>57</v>
      </c>
      <c r="GA79" t="s">
        <v>57</v>
      </c>
      <c r="GB79" t="s">
        <v>57</v>
      </c>
      <c r="GC79" t="s">
        <v>57</v>
      </c>
      <c r="GD79" t="s">
        <v>57</v>
      </c>
      <c r="GE79" t="s">
        <v>57</v>
      </c>
      <c r="GF79" t="s">
        <v>57</v>
      </c>
      <c r="GG79" t="s">
        <v>148</v>
      </c>
      <c r="GH79" t="s">
        <v>58</v>
      </c>
      <c r="GI79" t="s">
        <v>57</v>
      </c>
      <c r="GJ79" t="s">
        <v>57</v>
      </c>
      <c r="GK79" t="s">
        <v>58</v>
      </c>
      <c r="GL79" t="s">
        <v>57</v>
      </c>
      <c r="GM79" t="s">
        <v>148</v>
      </c>
      <c r="GN79" t="s">
        <v>57</v>
      </c>
      <c r="GO79" t="s">
        <v>57</v>
      </c>
      <c r="GP79" t="s">
        <v>148</v>
      </c>
      <c r="GQ79" t="s">
        <v>148</v>
      </c>
      <c r="GR79" t="s">
        <v>148</v>
      </c>
      <c r="GS79" t="s">
        <v>57</v>
      </c>
      <c r="GT79" t="s">
        <v>57</v>
      </c>
      <c r="GU79" t="s">
        <v>57</v>
      </c>
      <c r="GV79" t="s">
        <v>57</v>
      </c>
      <c r="GW79" t="s">
        <v>148</v>
      </c>
      <c r="GX79" t="s">
        <v>148</v>
      </c>
      <c r="GY79" t="s">
        <v>57</v>
      </c>
      <c r="GZ79" t="s">
        <v>57</v>
      </c>
      <c r="HA79" t="s">
        <v>57</v>
      </c>
      <c r="HB79" t="s">
        <v>57</v>
      </c>
      <c r="HC79" t="s">
        <v>57</v>
      </c>
      <c r="HD79" t="s">
        <v>57</v>
      </c>
      <c r="HE79" t="s">
        <v>57</v>
      </c>
      <c r="HF79" t="s">
        <v>57</v>
      </c>
      <c r="HG79" t="s">
        <v>57</v>
      </c>
      <c r="HH79" t="s">
        <v>148</v>
      </c>
      <c r="HI79" t="s">
        <v>148</v>
      </c>
      <c r="HJ79" t="s">
        <v>148</v>
      </c>
      <c r="HK79" t="s">
        <v>148</v>
      </c>
      <c r="HL79" t="s">
        <v>57</v>
      </c>
      <c r="HM79" t="s">
        <v>57</v>
      </c>
      <c r="HN79" t="s">
        <v>57</v>
      </c>
      <c r="HO79" t="s">
        <v>57</v>
      </c>
      <c r="HP79" t="s">
        <v>57</v>
      </c>
      <c r="HQ79" t="s">
        <v>57</v>
      </c>
      <c r="HR79" t="s">
        <v>57</v>
      </c>
      <c r="HS79" t="s">
        <v>57</v>
      </c>
      <c r="HT79" t="s">
        <v>57</v>
      </c>
      <c r="HU79" t="s">
        <v>57</v>
      </c>
      <c r="HV79" t="s">
        <v>57</v>
      </c>
      <c r="HW79" t="s">
        <v>57</v>
      </c>
      <c r="HX79" t="s">
        <v>57</v>
      </c>
      <c r="HY79" t="s">
        <v>57</v>
      </c>
      <c r="HZ79" t="s">
        <v>57</v>
      </c>
      <c r="IA79" t="s">
        <v>57</v>
      </c>
      <c r="IB79" t="s">
        <v>57</v>
      </c>
      <c r="IC79" t="s">
        <v>57</v>
      </c>
      <c r="ID79" t="s">
        <v>57</v>
      </c>
      <c r="IE79" t="s">
        <v>57</v>
      </c>
      <c r="IF79" t="s">
        <v>124</v>
      </c>
      <c r="IG79" t="s">
        <v>155</v>
      </c>
      <c r="IH79" t="s">
        <v>123</v>
      </c>
      <c r="II79" t="s">
        <v>156</v>
      </c>
    </row>
    <row r="80" spans="1:243" x14ac:dyDescent="0.25">
      <c r="A80" s="111" t="str">
        <f>HYPERLINK("http://www.ofsted.gov.uk/inspection-reports/find-inspection-report/provider/ELS/122926 ","Ofsted School Webpage")</f>
        <v>Ofsted School Webpage</v>
      </c>
      <c r="B80">
        <v>122926</v>
      </c>
      <c r="C80">
        <v>8916008</v>
      </c>
      <c r="D80" t="s">
        <v>380</v>
      </c>
      <c r="E80" t="s">
        <v>36</v>
      </c>
      <c r="F80" t="s">
        <v>166</v>
      </c>
      <c r="G80" t="s">
        <v>171</v>
      </c>
      <c r="H80" t="s">
        <v>171</v>
      </c>
      <c r="I80" t="s">
        <v>277</v>
      </c>
      <c r="J80" t="s">
        <v>381</v>
      </c>
      <c r="K80" t="s">
        <v>142</v>
      </c>
      <c r="L80" t="s">
        <v>142</v>
      </c>
      <c r="M80" t="s">
        <v>2596</v>
      </c>
      <c r="N80" t="s">
        <v>143</v>
      </c>
      <c r="O80">
        <v>10033528</v>
      </c>
      <c r="P80" s="108">
        <v>43004</v>
      </c>
      <c r="Q80" s="108">
        <v>43006</v>
      </c>
      <c r="R80" s="108">
        <v>43027</v>
      </c>
      <c r="S80" t="s">
        <v>153</v>
      </c>
      <c r="T80" t="s">
        <v>154</v>
      </c>
      <c r="U80">
        <v>3</v>
      </c>
      <c r="V80">
        <v>3</v>
      </c>
      <c r="W80">
        <v>2</v>
      </c>
      <c r="X80">
        <v>3</v>
      </c>
      <c r="Y80">
        <v>3</v>
      </c>
      <c r="Z80">
        <v>2</v>
      </c>
      <c r="AA80" t="s">
        <v>2596</v>
      </c>
      <c r="AB80" t="s">
        <v>123</v>
      </c>
      <c r="AC80" t="s">
        <v>2596</v>
      </c>
      <c r="AD80" t="s">
        <v>2599</v>
      </c>
      <c r="AE80" t="s">
        <v>58</v>
      </c>
      <c r="AF80" t="s">
        <v>57</v>
      </c>
      <c r="AG80" t="s">
        <v>57</v>
      </c>
      <c r="AH80" t="s">
        <v>57</v>
      </c>
      <c r="AI80" t="s">
        <v>57</v>
      </c>
      <c r="AJ80" t="s">
        <v>57</v>
      </c>
      <c r="AK80" t="s">
        <v>57</v>
      </c>
      <c r="AL80" t="s">
        <v>58</v>
      </c>
      <c r="AM80" t="s">
        <v>58</v>
      </c>
      <c r="AN80" t="s">
        <v>58</v>
      </c>
      <c r="AO80" t="s">
        <v>58</v>
      </c>
      <c r="AP80" t="s">
        <v>58</v>
      </c>
      <c r="AQ80" t="s">
        <v>57</v>
      </c>
      <c r="AR80" t="s">
        <v>57</v>
      </c>
      <c r="AS80" t="s">
        <v>57</v>
      </c>
      <c r="AT80" t="s">
        <v>57</v>
      </c>
      <c r="AU80" t="s">
        <v>148</v>
      </c>
      <c r="AV80" t="s">
        <v>57</v>
      </c>
      <c r="AW80" t="s">
        <v>57</v>
      </c>
      <c r="AX80" t="s">
        <v>57</v>
      </c>
      <c r="AY80" t="s">
        <v>148</v>
      </c>
      <c r="AZ80" t="s">
        <v>148</v>
      </c>
      <c r="BA80" t="s">
        <v>148</v>
      </c>
      <c r="BB80" t="s">
        <v>148</v>
      </c>
      <c r="BC80" t="s">
        <v>57</v>
      </c>
      <c r="BD80" t="s">
        <v>148</v>
      </c>
      <c r="BE80" t="s">
        <v>57</v>
      </c>
      <c r="BF80" t="s">
        <v>57</v>
      </c>
      <c r="BG80" t="s">
        <v>58</v>
      </c>
      <c r="BH80" t="s">
        <v>58</v>
      </c>
      <c r="BI80" t="s">
        <v>57</v>
      </c>
      <c r="BJ80" t="s">
        <v>58</v>
      </c>
      <c r="BK80" t="s">
        <v>58</v>
      </c>
      <c r="BL80" t="s">
        <v>58</v>
      </c>
      <c r="BM80" t="s">
        <v>57</v>
      </c>
      <c r="BN80" t="s">
        <v>58</v>
      </c>
      <c r="BO80" t="s">
        <v>57</v>
      </c>
      <c r="BP80" t="s">
        <v>57</v>
      </c>
      <c r="BQ80" t="s">
        <v>57</v>
      </c>
      <c r="BR80" t="s">
        <v>57</v>
      </c>
      <c r="BS80" t="s">
        <v>57</v>
      </c>
      <c r="BT80" t="s">
        <v>57</v>
      </c>
      <c r="BU80" t="s">
        <v>57</v>
      </c>
      <c r="BV80" t="s">
        <v>57</v>
      </c>
      <c r="BW80" t="s">
        <v>57</v>
      </c>
      <c r="BX80" t="s">
        <v>57</v>
      </c>
      <c r="BY80" t="s">
        <v>57</v>
      </c>
      <c r="BZ80" t="s">
        <v>57</v>
      </c>
      <c r="CA80" t="s">
        <v>57</v>
      </c>
      <c r="CB80" t="s">
        <v>57</v>
      </c>
      <c r="CC80" t="s">
        <v>57</v>
      </c>
      <c r="CD80" t="s">
        <v>57</v>
      </c>
      <c r="CE80" t="s">
        <v>57</v>
      </c>
      <c r="CF80" t="s">
        <v>57</v>
      </c>
      <c r="CG80" t="s">
        <v>57</v>
      </c>
      <c r="CH80" t="s">
        <v>57</v>
      </c>
      <c r="CI80" t="s">
        <v>57</v>
      </c>
      <c r="CJ80" t="s">
        <v>57</v>
      </c>
      <c r="CK80" t="s">
        <v>148</v>
      </c>
      <c r="CL80" t="s">
        <v>148</v>
      </c>
      <c r="CM80" t="s">
        <v>148</v>
      </c>
      <c r="CN80" t="s">
        <v>57</v>
      </c>
      <c r="CO80" t="s">
        <v>57</v>
      </c>
      <c r="CP80" t="s">
        <v>57</v>
      </c>
      <c r="CQ80" t="s">
        <v>57</v>
      </c>
      <c r="CR80" t="s">
        <v>57</v>
      </c>
      <c r="CS80" t="s">
        <v>57</v>
      </c>
      <c r="CT80" t="s">
        <v>57</v>
      </c>
      <c r="CU80" t="s">
        <v>57</v>
      </c>
      <c r="CV80" t="s">
        <v>57</v>
      </c>
      <c r="CW80" t="s">
        <v>57</v>
      </c>
      <c r="CX80" t="s">
        <v>57</v>
      </c>
      <c r="CY80" t="s">
        <v>57</v>
      </c>
      <c r="CZ80" t="s">
        <v>57</v>
      </c>
      <c r="DA80" t="s">
        <v>57</v>
      </c>
      <c r="DB80" t="s">
        <v>57</v>
      </c>
      <c r="DC80" t="s">
        <v>57</v>
      </c>
      <c r="DD80" t="s">
        <v>57</v>
      </c>
      <c r="DE80" t="s">
        <v>57</v>
      </c>
      <c r="DF80" t="s">
        <v>57</v>
      </c>
      <c r="DG80" t="s">
        <v>57</v>
      </c>
      <c r="DH80" t="s">
        <v>57</v>
      </c>
      <c r="DI80" t="s">
        <v>57</v>
      </c>
      <c r="DJ80" t="s">
        <v>57</v>
      </c>
      <c r="DK80" t="s">
        <v>148</v>
      </c>
      <c r="DL80" t="s">
        <v>57</v>
      </c>
      <c r="DM80" t="s">
        <v>148</v>
      </c>
      <c r="DN80" t="s">
        <v>148</v>
      </c>
      <c r="DO80" t="s">
        <v>148</v>
      </c>
      <c r="DP80" t="s">
        <v>148</v>
      </c>
      <c r="DQ80" t="s">
        <v>148</v>
      </c>
      <c r="DR80" t="s">
        <v>148</v>
      </c>
      <c r="DS80" t="s">
        <v>148</v>
      </c>
      <c r="DT80" t="s">
        <v>160</v>
      </c>
      <c r="DU80" t="s">
        <v>148</v>
      </c>
      <c r="DV80" t="s">
        <v>148</v>
      </c>
      <c r="DW80" t="s">
        <v>148</v>
      </c>
      <c r="DX80" t="s">
        <v>160</v>
      </c>
      <c r="DY80" t="s">
        <v>148</v>
      </c>
      <c r="DZ80" t="s">
        <v>148</v>
      </c>
      <c r="EA80" t="s">
        <v>160</v>
      </c>
      <c r="EB80" t="s">
        <v>57</v>
      </c>
      <c r="EC80" t="s">
        <v>57</v>
      </c>
      <c r="ED80" t="s">
        <v>57</v>
      </c>
      <c r="EE80" t="s">
        <v>57</v>
      </c>
      <c r="EF80" t="s">
        <v>57</v>
      </c>
      <c r="EG80" t="s">
        <v>57</v>
      </c>
      <c r="EH80" t="s">
        <v>57</v>
      </c>
      <c r="EI80" t="s">
        <v>57</v>
      </c>
      <c r="EJ80" t="s">
        <v>57</v>
      </c>
      <c r="EK80" t="s">
        <v>57</v>
      </c>
      <c r="EL80" t="s">
        <v>57</v>
      </c>
      <c r="EM80" t="s">
        <v>57</v>
      </c>
      <c r="EN80" t="s">
        <v>57</v>
      </c>
      <c r="EO80" t="s">
        <v>57</v>
      </c>
      <c r="EP80" t="s">
        <v>57</v>
      </c>
      <c r="EQ80" t="s">
        <v>57</v>
      </c>
      <c r="ER80" t="s">
        <v>57</v>
      </c>
      <c r="ES80" t="s">
        <v>57</v>
      </c>
      <c r="ET80" t="s">
        <v>57</v>
      </c>
      <c r="EU80" t="s">
        <v>57</v>
      </c>
      <c r="EV80" t="s">
        <v>57</v>
      </c>
      <c r="EW80" t="s">
        <v>57</v>
      </c>
      <c r="EX80" t="s">
        <v>148</v>
      </c>
      <c r="EY80" t="s">
        <v>148</v>
      </c>
      <c r="EZ80" t="s">
        <v>148</v>
      </c>
      <c r="FA80" t="s">
        <v>148</v>
      </c>
      <c r="FB80" t="s">
        <v>148</v>
      </c>
      <c r="FC80" t="s">
        <v>148</v>
      </c>
      <c r="FD80" t="s">
        <v>57</v>
      </c>
      <c r="FE80" t="s">
        <v>57</v>
      </c>
      <c r="FF80" t="s">
        <v>57</v>
      </c>
      <c r="FG80" t="s">
        <v>57</v>
      </c>
      <c r="FH80" t="s">
        <v>57</v>
      </c>
      <c r="FI80" t="s">
        <v>57</v>
      </c>
      <c r="FJ80" t="s">
        <v>57</v>
      </c>
      <c r="FK80" t="s">
        <v>148</v>
      </c>
      <c r="FL80" t="s">
        <v>57</v>
      </c>
      <c r="FM80" t="s">
        <v>57</v>
      </c>
      <c r="FN80" t="s">
        <v>57</v>
      </c>
      <c r="FO80" t="s">
        <v>148</v>
      </c>
      <c r="FP80" t="s">
        <v>57</v>
      </c>
      <c r="FQ80" t="s">
        <v>57</v>
      </c>
      <c r="FR80" t="s">
        <v>57</v>
      </c>
      <c r="FS80" t="s">
        <v>57</v>
      </c>
      <c r="FT80" t="s">
        <v>57</v>
      </c>
      <c r="FU80" t="s">
        <v>57</v>
      </c>
      <c r="FV80" t="s">
        <v>57</v>
      </c>
      <c r="FW80" t="s">
        <v>57</v>
      </c>
      <c r="FX80" t="s">
        <v>57</v>
      </c>
      <c r="FY80" t="s">
        <v>57</v>
      </c>
      <c r="FZ80" t="s">
        <v>57</v>
      </c>
      <c r="GA80" t="s">
        <v>57</v>
      </c>
      <c r="GB80" t="s">
        <v>57</v>
      </c>
      <c r="GC80" t="s">
        <v>57</v>
      </c>
      <c r="GD80" t="s">
        <v>57</v>
      </c>
      <c r="GE80" t="s">
        <v>57</v>
      </c>
      <c r="GF80" t="s">
        <v>57</v>
      </c>
      <c r="GG80" t="s">
        <v>148</v>
      </c>
      <c r="GH80" t="s">
        <v>57</v>
      </c>
      <c r="GI80" t="s">
        <v>57</v>
      </c>
      <c r="GJ80" t="s">
        <v>57</v>
      </c>
      <c r="GK80" t="s">
        <v>57</v>
      </c>
      <c r="GL80" t="s">
        <v>57</v>
      </c>
      <c r="GM80" t="s">
        <v>148</v>
      </c>
      <c r="GN80" t="s">
        <v>57</v>
      </c>
      <c r="GO80" t="s">
        <v>57</v>
      </c>
      <c r="GP80" t="s">
        <v>148</v>
      </c>
      <c r="GQ80" t="s">
        <v>148</v>
      </c>
      <c r="GR80" t="s">
        <v>57</v>
      </c>
      <c r="GS80" t="s">
        <v>57</v>
      </c>
      <c r="GT80" t="s">
        <v>57</v>
      </c>
      <c r="GU80" t="s">
        <v>57</v>
      </c>
      <c r="GV80" t="s">
        <v>57</v>
      </c>
      <c r="GW80" t="s">
        <v>148</v>
      </c>
      <c r="GX80" t="s">
        <v>148</v>
      </c>
      <c r="GY80" t="s">
        <v>57</v>
      </c>
      <c r="GZ80" t="s">
        <v>57</v>
      </c>
      <c r="HA80" t="s">
        <v>57</v>
      </c>
      <c r="HB80" t="s">
        <v>57</v>
      </c>
      <c r="HC80" t="s">
        <v>57</v>
      </c>
      <c r="HD80" t="s">
        <v>57</v>
      </c>
      <c r="HE80" t="s">
        <v>57</v>
      </c>
      <c r="HF80" t="s">
        <v>57</v>
      </c>
      <c r="HG80" t="s">
        <v>57</v>
      </c>
      <c r="HH80" t="s">
        <v>148</v>
      </c>
      <c r="HI80" t="s">
        <v>148</v>
      </c>
      <c r="HJ80" t="s">
        <v>148</v>
      </c>
      <c r="HK80" t="s">
        <v>148</v>
      </c>
      <c r="HL80" t="s">
        <v>57</v>
      </c>
      <c r="HM80" t="s">
        <v>57</v>
      </c>
      <c r="HN80" t="s">
        <v>57</v>
      </c>
      <c r="HO80" t="s">
        <v>57</v>
      </c>
      <c r="HP80" t="s">
        <v>57</v>
      </c>
      <c r="HQ80" t="s">
        <v>57</v>
      </c>
      <c r="HR80" t="s">
        <v>57</v>
      </c>
      <c r="HS80" t="s">
        <v>57</v>
      </c>
      <c r="HT80" t="s">
        <v>57</v>
      </c>
      <c r="HU80" t="s">
        <v>57</v>
      </c>
      <c r="HV80" t="s">
        <v>57</v>
      </c>
      <c r="HW80" t="s">
        <v>57</v>
      </c>
      <c r="HX80" t="s">
        <v>57</v>
      </c>
      <c r="HY80" t="s">
        <v>57</v>
      </c>
      <c r="HZ80" t="s">
        <v>57</v>
      </c>
      <c r="IA80" t="s">
        <v>57</v>
      </c>
      <c r="IB80" t="s">
        <v>58</v>
      </c>
      <c r="IC80" t="s">
        <v>58</v>
      </c>
      <c r="ID80" t="s">
        <v>58</v>
      </c>
      <c r="IE80" t="s">
        <v>57</v>
      </c>
      <c r="IF80" t="s">
        <v>124</v>
      </c>
      <c r="IG80" t="s">
        <v>155</v>
      </c>
      <c r="IH80" t="s">
        <v>123</v>
      </c>
      <c r="II80" t="s">
        <v>156</v>
      </c>
    </row>
    <row r="81" spans="1:243" x14ac:dyDescent="0.25">
      <c r="A81" s="111" t="str">
        <f>HYPERLINK("http://www.ofsted.gov.uk/inspection-reports/find-inspection-report/provider/ELS/122933 ","Ofsted School Webpage")</f>
        <v>Ofsted School Webpage</v>
      </c>
      <c r="B81">
        <v>122933</v>
      </c>
      <c r="C81">
        <v>8916015</v>
      </c>
      <c r="D81" t="s">
        <v>1969</v>
      </c>
      <c r="E81" t="s">
        <v>36</v>
      </c>
      <c r="F81" t="s">
        <v>166</v>
      </c>
      <c r="G81" t="s">
        <v>171</v>
      </c>
      <c r="H81" t="s">
        <v>171</v>
      </c>
      <c r="I81" t="s">
        <v>277</v>
      </c>
      <c r="J81" t="s">
        <v>1970</v>
      </c>
      <c r="K81" t="s">
        <v>142</v>
      </c>
      <c r="L81" t="s">
        <v>142</v>
      </c>
      <c r="M81" t="s">
        <v>2596</v>
      </c>
      <c r="N81" t="s">
        <v>143</v>
      </c>
      <c r="O81">
        <v>10033529</v>
      </c>
      <c r="P81" s="108">
        <v>43046</v>
      </c>
      <c r="Q81" s="108">
        <v>43048</v>
      </c>
      <c r="R81" s="108">
        <v>43080</v>
      </c>
      <c r="S81" t="s">
        <v>153</v>
      </c>
      <c r="T81" t="s">
        <v>154</v>
      </c>
      <c r="U81">
        <v>2</v>
      </c>
      <c r="V81">
        <v>2</v>
      </c>
      <c r="W81">
        <v>1</v>
      </c>
      <c r="X81">
        <v>2</v>
      </c>
      <c r="Y81">
        <v>2</v>
      </c>
      <c r="Z81">
        <v>2</v>
      </c>
      <c r="AA81" t="s">
        <v>2596</v>
      </c>
      <c r="AB81" t="s">
        <v>123</v>
      </c>
      <c r="AC81" t="s">
        <v>2596</v>
      </c>
      <c r="AD81" t="s">
        <v>2598</v>
      </c>
      <c r="AE81" t="s">
        <v>57</v>
      </c>
      <c r="AF81" t="s">
        <v>57</v>
      </c>
      <c r="AG81" t="s">
        <v>57</v>
      </c>
      <c r="AH81" t="s">
        <v>57</v>
      </c>
      <c r="AI81" t="s">
        <v>57</v>
      </c>
      <c r="AJ81" t="s">
        <v>57</v>
      </c>
      <c r="AK81" t="s">
        <v>57</v>
      </c>
      <c r="AL81" t="s">
        <v>57</v>
      </c>
      <c r="AM81" t="s">
        <v>57</v>
      </c>
      <c r="AN81" t="s">
        <v>57</v>
      </c>
      <c r="AO81" t="s">
        <v>57</v>
      </c>
      <c r="AP81" t="s">
        <v>57</v>
      </c>
      <c r="AQ81" t="s">
        <v>57</v>
      </c>
      <c r="AR81" t="s">
        <v>57</v>
      </c>
      <c r="AS81" t="s">
        <v>57</v>
      </c>
      <c r="AT81" t="s">
        <v>57</v>
      </c>
      <c r="AU81" t="s">
        <v>148</v>
      </c>
      <c r="AV81" t="s">
        <v>57</v>
      </c>
      <c r="AW81" t="s">
        <v>57</v>
      </c>
      <c r="AX81" t="s">
        <v>57</v>
      </c>
      <c r="AY81" t="s">
        <v>57</v>
      </c>
      <c r="AZ81" t="s">
        <v>57</v>
      </c>
      <c r="BA81" t="s">
        <v>57</v>
      </c>
      <c r="BB81" t="s">
        <v>57</v>
      </c>
      <c r="BC81" t="s">
        <v>57</v>
      </c>
      <c r="BD81" t="s">
        <v>148</v>
      </c>
      <c r="BE81" t="s">
        <v>57</v>
      </c>
      <c r="BF81" t="s">
        <v>57</v>
      </c>
      <c r="BG81" t="s">
        <v>57</v>
      </c>
      <c r="BH81" t="s">
        <v>57</v>
      </c>
      <c r="BI81" t="s">
        <v>57</v>
      </c>
      <c r="BJ81" t="s">
        <v>57</v>
      </c>
      <c r="BK81" t="s">
        <v>57</v>
      </c>
      <c r="BL81" t="s">
        <v>57</v>
      </c>
      <c r="BM81" t="s">
        <v>57</v>
      </c>
      <c r="BN81" t="s">
        <v>57</v>
      </c>
      <c r="BO81" t="s">
        <v>57</v>
      </c>
      <c r="BP81" t="s">
        <v>57</v>
      </c>
      <c r="BQ81" t="s">
        <v>57</v>
      </c>
      <c r="BR81" t="s">
        <v>57</v>
      </c>
      <c r="BS81" t="s">
        <v>57</v>
      </c>
      <c r="BT81" t="s">
        <v>57</v>
      </c>
      <c r="BU81" t="s">
        <v>57</v>
      </c>
      <c r="BV81" t="s">
        <v>57</v>
      </c>
      <c r="BW81" t="s">
        <v>57</v>
      </c>
      <c r="BX81" t="s">
        <v>57</v>
      </c>
      <c r="BY81" t="s">
        <v>57</v>
      </c>
      <c r="BZ81" t="s">
        <v>57</v>
      </c>
      <c r="CA81" t="s">
        <v>57</v>
      </c>
      <c r="CB81" t="s">
        <v>57</v>
      </c>
      <c r="CC81" t="s">
        <v>57</v>
      </c>
      <c r="CD81" t="s">
        <v>57</v>
      </c>
      <c r="CE81" t="s">
        <v>57</v>
      </c>
      <c r="CF81" t="s">
        <v>57</v>
      </c>
      <c r="CG81" t="s">
        <v>57</v>
      </c>
      <c r="CH81" t="s">
        <v>57</v>
      </c>
      <c r="CI81" t="s">
        <v>57</v>
      </c>
      <c r="CJ81" t="s">
        <v>57</v>
      </c>
      <c r="CK81" t="s">
        <v>148</v>
      </c>
      <c r="CL81" t="s">
        <v>148</v>
      </c>
      <c r="CM81" t="s">
        <v>148</v>
      </c>
      <c r="CN81" t="s">
        <v>57</v>
      </c>
      <c r="CO81" t="s">
        <v>57</v>
      </c>
      <c r="CP81" t="s">
        <v>57</v>
      </c>
      <c r="CQ81" t="s">
        <v>57</v>
      </c>
      <c r="CR81" t="s">
        <v>57</v>
      </c>
      <c r="CS81" t="s">
        <v>57</v>
      </c>
      <c r="CT81" t="s">
        <v>57</v>
      </c>
      <c r="CU81" t="s">
        <v>57</v>
      </c>
      <c r="CV81" t="s">
        <v>57</v>
      </c>
      <c r="CW81" t="s">
        <v>57</v>
      </c>
      <c r="CX81" t="s">
        <v>57</v>
      </c>
      <c r="CY81" t="s">
        <v>57</v>
      </c>
      <c r="CZ81" t="s">
        <v>57</v>
      </c>
      <c r="DA81" t="s">
        <v>57</v>
      </c>
      <c r="DB81" t="s">
        <v>57</v>
      </c>
      <c r="DC81" t="s">
        <v>57</v>
      </c>
      <c r="DD81" t="s">
        <v>57</v>
      </c>
      <c r="DE81" t="s">
        <v>57</v>
      </c>
      <c r="DF81" t="s">
        <v>57</v>
      </c>
      <c r="DG81" t="s">
        <v>57</v>
      </c>
      <c r="DH81" t="s">
        <v>57</v>
      </c>
      <c r="DI81" t="s">
        <v>57</v>
      </c>
      <c r="DJ81" t="s">
        <v>57</v>
      </c>
      <c r="DK81" t="s">
        <v>148</v>
      </c>
      <c r="DL81" t="s">
        <v>57</v>
      </c>
      <c r="DM81" t="s">
        <v>148</v>
      </c>
      <c r="DN81" t="s">
        <v>148</v>
      </c>
      <c r="DO81" t="s">
        <v>148</v>
      </c>
      <c r="DP81" t="s">
        <v>148</v>
      </c>
      <c r="DQ81" t="s">
        <v>148</v>
      </c>
      <c r="DR81" t="s">
        <v>148</v>
      </c>
      <c r="DS81" t="s">
        <v>148</v>
      </c>
      <c r="DT81" t="s">
        <v>148</v>
      </c>
      <c r="DU81" t="s">
        <v>148</v>
      </c>
      <c r="DV81" t="s">
        <v>148</v>
      </c>
      <c r="DW81" t="s">
        <v>148</v>
      </c>
      <c r="DX81" t="s">
        <v>148</v>
      </c>
      <c r="DY81" t="s">
        <v>148</v>
      </c>
      <c r="DZ81" t="s">
        <v>57</v>
      </c>
      <c r="EA81" t="s">
        <v>148</v>
      </c>
      <c r="EB81" t="s">
        <v>148</v>
      </c>
      <c r="EC81" t="s">
        <v>148</v>
      </c>
      <c r="ED81" t="s">
        <v>148</v>
      </c>
      <c r="EE81" t="s">
        <v>148</v>
      </c>
      <c r="EF81" t="s">
        <v>148</v>
      </c>
      <c r="EG81" t="s">
        <v>148</v>
      </c>
      <c r="EH81" t="s">
        <v>148</v>
      </c>
      <c r="EI81" t="s">
        <v>57</v>
      </c>
      <c r="EJ81" t="s">
        <v>57</v>
      </c>
      <c r="EK81" t="s">
        <v>57</v>
      </c>
      <c r="EL81" t="s">
        <v>57</v>
      </c>
      <c r="EM81" t="s">
        <v>57</v>
      </c>
      <c r="EN81" t="s">
        <v>57</v>
      </c>
      <c r="EO81" t="s">
        <v>57</v>
      </c>
      <c r="EP81" t="s">
        <v>57</v>
      </c>
      <c r="EQ81" t="s">
        <v>57</v>
      </c>
      <c r="ER81" t="s">
        <v>57</v>
      </c>
      <c r="ES81" t="s">
        <v>57</v>
      </c>
      <c r="ET81" t="s">
        <v>57</v>
      </c>
      <c r="EU81" t="s">
        <v>57</v>
      </c>
      <c r="EV81" t="s">
        <v>57</v>
      </c>
      <c r="EW81" t="s">
        <v>57</v>
      </c>
      <c r="EX81" t="s">
        <v>148</v>
      </c>
      <c r="EY81" t="s">
        <v>148</v>
      </c>
      <c r="EZ81" t="s">
        <v>148</v>
      </c>
      <c r="FA81" t="s">
        <v>148</v>
      </c>
      <c r="FB81" t="s">
        <v>148</v>
      </c>
      <c r="FC81" t="s">
        <v>148</v>
      </c>
      <c r="FD81" t="s">
        <v>148</v>
      </c>
      <c r="FE81" t="s">
        <v>148</v>
      </c>
      <c r="FF81" t="s">
        <v>148</v>
      </c>
      <c r="FG81" t="s">
        <v>148</v>
      </c>
      <c r="FH81" t="s">
        <v>57</v>
      </c>
      <c r="FI81" t="s">
        <v>57</v>
      </c>
      <c r="FJ81" t="s">
        <v>57</v>
      </c>
      <c r="FK81" t="s">
        <v>57</v>
      </c>
      <c r="FL81" t="s">
        <v>57</v>
      </c>
      <c r="FM81" t="s">
        <v>57</v>
      </c>
      <c r="FN81" t="s">
        <v>57</v>
      </c>
      <c r="FO81" t="s">
        <v>148</v>
      </c>
      <c r="FP81" t="s">
        <v>57</v>
      </c>
      <c r="FQ81" t="s">
        <v>57</v>
      </c>
      <c r="FR81" t="s">
        <v>57</v>
      </c>
      <c r="FS81" t="s">
        <v>57</v>
      </c>
      <c r="FT81" t="s">
        <v>57</v>
      </c>
      <c r="FU81" t="s">
        <v>57</v>
      </c>
      <c r="FV81" t="s">
        <v>57</v>
      </c>
      <c r="FW81" t="s">
        <v>57</v>
      </c>
      <c r="FX81" t="s">
        <v>57</v>
      </c>
      <c r="FY81" t="s">
        <v>57</v>
      </c>
      <c r="FZ81" t="s">
        <v>57</v>
      </c>
      <c r="GA81" t="s">
        <v>57</v>
      </c>
      <c r="GB81" t="s">
        <v>57</v>
      </c>
      <c r="GC81" t="s">
        <v>57</v>
      </c>
      <c r="GD81" t="s">
        <v>57</v>
      </c>
      <c r="GE81" t="s">
        <v>57</v>
      </c>
      <c r="GF81" t="s">
        <v>57</v>
      </c>
      <c r="GG81" t="s">
        <v>148</v>
      </c>
      <c r="GH81" t="s">
        <v>57</v>
      </c>
      <c r="GI81" t="s">
        <v>57</v>
      </c>
      <c r="GJ81" t="s">
        <v>57</v>
      </c>
      <c r="GK81" t="s">
        <v>57</v>
      </c>
      <c r="GL81" t="s">
        <v>57</v>
      </c>
      <c r="GM81" t="s">
        <v>148</v>
      </c>
      <c r="GN81" t="s">
        <v>57</v>
      </c>
      <c r="GO81" t="s">
        <v>57</v>
      </c>
      <c r="GP81" t="s">
        <v>57</v>
      </c>
      <c r="GQ81" t="s">
        <v>148</v>
      </c>
      <c r="GR81" t="s">
        <v>148</v>
      </c>
      <c r="GS81" t="s">
        <v>57</v>
      </c>
      <c r="GT81" t="s">
        <v>57</v>
      </c>
      <c r="GU81" t="s">
        <v>57</v>
      </c>
      <c r="GV81" t="s">
        <v>57</v>
      </c>
      <c r="GW81" t="s">
        <v>148</v>
      </c>
      <c r="GX81" t="s">
        <v>148</v>
      </c>
      <c r="GY81" t="s">
        <v>57</v>
      </c>
      <c r="GZ81" t="s">
        <v>57</v>
      </c>
      <c r="HA81" t="s">
        <v>57</v>
      </c>
      <c r="HB81" t="s">
        <v>57</v>
      </c>
      <c r="HC81" t="s">
        <v>57</v>
      </c>
      <c r="HD81" t="s">
        <v>57</v>
      </c>
      <c r="HE81" t="s">
        <v>57</v>
      </c>
      <c r="HF81" t="s">
        <v>57</v>
      </c>
      <c r="HG81" t="s">
        <v>57</v>
      </c>
      <c r="HH81" t="s">
        <v>148</v>
      </c>
      <c r="HI81" t="s">
        <v>148</v>
      </c>
      <c r="HJ81" t="s">
        <v>148</v>
      </c>
      <c r="HK81" t="s">
        <v>148</v>
      </c>
      <c r="HL81" t="s">
        <v>57</v>
      </c>
      <c r="HM81" t="s">
        <v>57</v>
      </c>
      <c r="HN81" t="s">
        <v>57</v>
      </c>
      <c r="HO81" t="s">
        <v>57</v>
      </c>
      <c r="HP81" t="s">
        <v>57</v>
      </c>
      <c r="HQ81" t="s">
        <v>57</v>
      </c>
      <c r="HR81" t="s">
        <v>57</v>
      </c>
      <c r="HS81" t="s">
        <v>57</v>
      </c>
      <c r="HT81" t="s">
        <v>57</v>
      </c>
      <c r="HU81" t="s">
        <v>57</v>
      </c>
      <c r="HV81" t="s">
        <v>57</v>
      </c>
      <c r="HW81" t="s">
        <v>57</v>
      </c>
      <c r="HX81" t="s">
        <v>57</v>
      </c>
      <c r="HY81" t="s">
        <v>57</v>
      </c>
      <c r="HZ81" t="s">
        <v>57</v>
      </c>
      <c r="IA81" t="s">
        <v>57</v>
      </c>
      <c r="IB81" t="s">
        <v>57</v>
      </c>
      <c r="IC81" t="s">
        <v>57</v>
      </c>
      <c r="ID81" t="s">
        <v>57</v>
      </c>
      <c r="IE81" t="s">
        <v>57</v>
      </c>
      <c r="IF81" t="s">
        <v>124</v>
      </c>
      <c r="IG81" t="s">
        <v>155</v>
      </c>
      <c r="IH81" t="s">
        <v>123</v>
      </c>
      <c r="II81" t="s">
        <v>156</v>
      </c>
    </row>
    <row r="82" spans="1:243" x14ac:dyDescent="0.25">
      <c r="A82" s="111" t="str">
        <f>HYPERLINK("http://www.ofsted.gov.uk/inspection-reports/find-inspection-report/provider/ELS/124488 ","Ofsted School Webpage")</f>
        <v>Ofsted School Webpage</v>
      </c>
      <c r="B82">
        <v>124488</v>
      </c>
      <c r="C82">
        <v>8606022</v>
      </c>
      <c r="D82" t="s">
        <v>270</v>
      </c>
      <c r="E82" t="s">
        <v>37</v>
      </c>
      <c r="F82" t="s">
        <v>138</v>
      </c>
      <c r="G82" t="s">
        <v>150</v>
      </c>
      <c r="H82" t="s">
        <v>150</v>
      </c>
      <c r="I82" t="s">
        <v>271</v>
      </c>
      <c r="J82" t="s">
        <v>272</v>
      </c>
      <c r="K82" t="s">
        <v>142</v>
      </c>
      <c r="L82" t="s">
        <v>142</v>
      </c>
      <c r="M82" t="s">
        <v>2596</v>
      </c>
      <c r="N82" t="s">
        <v>143</v>
      </c>
      <c r="O82">
        <v>10026104</v>
      </c>
      <c r="P82" s="108">
        <v>43039</v>
      </c>
      <c r="Q82" s="108">
        <v>43041</v>
      </c>
      <c r="R82" s="108">
        <v>43063</v>
      </c>
      <c r="S82" t="s">
        <v>153</v>
      </c>
      <c r="T82" t="s">
        <v>154</v>
      </c>
      <c r="U82">
        <v>1</v>
      </c>
      <c r="V82">
        <v>1</v>
      </c>
      <c r="W82">
        <v>1</v>
      </c>
      <c r="X82">
        <v>1</v>
      </c>
      <c r="Y82">
        <v>1</v>
      </c>
      <c r="Z82" t="s">
        <v>2596</v>
      </c>
      <c r="AA82" t="s">
        <v>2596</v>
      </c>
      <c r="AB82" t="s">
        <v>123</v>
      </c>
      <c r="AC82" t="s">
        <v>2596</v>
      </c>
      <c r="AD82" t="s">
        <v>2598</v>
      </c>
      <c r="AE82" t="s">
        <v>57</v>
      </c>
      <c r="AF82" t="s">
        <v>57</v>
      </c>
      <c r="AG82" t="s">
        <v>57</v>
      </c>
      <c r="AH82" t="s">
        <v>57</v>
      </c>
      <c r="AI82" t="s">
        <v>57</v>
      </c>
      <c r="AJ82" t="s">
        <v>57</v>
      </c>
      <c r="AK82" t="s">
        <v>57</v>
      </c>
      <c r="AL82" t="s">
        <v>57</v>
      </c>
      <c r="AM82" t="s">
        <v>57</v>
      </c>
      <c r="AN82" t="s">
        <v>57</v>
      </c>
      <c r="AO82" t="s">
        <v>57</v>
      </c>
      <c r="AP82" t="s">
        <v>57</v>
      </c>
      <c r="AQ82" t="s">
        <v>57</v>
      </c>
      <c r="AR82" t="s">
        <v>57</v>
      </c>
      <c r="AS82" t="s">
        <v>57</v>
      </c>
      <c r="AT82" t="s">
        <v>57</v>
      </c>
      <c r="AU82" t="s">
        <v>175</v>
      </c>
      <c r="AV82" t="s">
        <v>57</v>
      </c>
      <c r="AW82" t="s">
        <v>57</v>
      </c>
      <c r="AX82" t="s">
        <v>57</v>
      </c>
      <c r="AY82" t="s">
        <v>57</v>
      </c>
      <c r="AZ82" t="s">
        <v>57</v>
      </c>
      <c r="BA82" t="s">
        <v>57</v>
      </c>
      <c r="BB82" t="s">
        <v>57</v>
      </c>
      <c r="BC82" t="s">
        <v>175</v>
      </c>
      <c r="BD82" t="s">
        <v>57</v>
      </c>
      <c r="BE82" t="s">
        <v>57</v>
      </c>
      <c r="BF82" t="s">
        <v>57</v>
      </c>
      <c r="BG82" t="s">
        <v>57</v>
      </c>
      <c r="BH82" t="s">
        <v>57</v>
      </c>
      <c r="BI82" t="s">
        <v>57</v>
      </c>
      <c r="BJ82" t="s">
        <v>57</v>
      </c>
      <c r="BK82" t="s">
        <v>57</v>
      </c>
      <c r="BL82" t="s">
        <v>57</v>
      </c>
      <c r="BM82" t="s">
        <v>57</v>
      </c>
      <c r="BN82" t="s">
        <v>57</v>
      </c>
      <c r="BO82" t="s">
        <v>57</v>
      </c>
      <c r="BP82" t="s">
        <v>57</v>
      </c>
      <c r="BQ82" t="s">
        <v>57</v>
      </c>
      <c r="BR82" t="s">
        <v>57</v>
      </c>
      <c r="BS82" t="s">
        <v>57</v>
      </c>
      <c r="BT82" t="s">
        <v>57</v>
      </c>
      <c r="BU82" t="s">
        <v>57</v>
      </c>
      <c r="BV82" t="s">
        <v>57</v>
      </c>
      <c r="BW82" t="s">
        <v>57</v>
      </c>
      <c r="BX82" t="s">
        <v>57</v>
      </c>
      <c r="BY82" t="s">
        <v>57</v>
      </c>
      <c r="BZ82" t="s">
        <v>57</v>
      </c>
      <c r="CA82" t="s">
        <v>57</v>
      </c>
      <c r="CB82" t="s">
        <v>57</v>
      </c>
      <c r="CC82" t="s">
        <v>57</v>
      </c>
      <c r="CD82" t="s">
        <v>57</v>
      </c>
      <c r="CE82" t="s">
        <v>57</v>
      </c>
      <c r="CF82" t="s">
        <v>57</v>
      </c>
      <c r="CG82" t="s">
        <v>57</v>
      </c>
      <c r="CH82" t="s">
        <v>57</v>
      </c>
      <c r="CI82" t="s">
        <v>57</v>
      </c>
      <c r="CJ82" t="s">
        <v>57</v>
      </c>
      <c r="CK82" t="s">
        <v>175</v>
      </c>
      <c r="CL82" t="s">
        <v>175</v>
      </c>
      <c r="CM82" t="s">
        <v>175</v>
      </c>
      <c r="CN82" t="s">
        <v>57</v>
      </c>
      <c r="CO82" t="s">
        <v>57</v>
      </c>
      <c r="CP82" t="s">
        <v>57</v>
      </c>
      <c r="CQ82" t="s">
        <v>57</v>
      </c>
      <c r="CR82" t="s">
        <v>57</v>
      </c>
      <c r="CS82" t="s">
        <v>57</v>
      </c>
      <c r="CT82" t="s">
        <v>57</v>
      </c>
      <c r="CU82" t="s">
        <v>57</v>
      </c>
      <c r="CV82" t="s">
        <v>57</v>
      </c>
      <c r="CW82" t="s">
        <v>57</v>
      </c>
      <c r="CX82" t="s">
        <v>57</v>
      </c>
      <c r="CY82" t="s">
        <v>57</v>
      </c>
      <c r="CZ82" t="s">
        <v>57</v>
      </c>
      <c r="DA82" t="s">
        <v>57</v>
      </c>
      <c r="DB82" t="s">
        <v>57</v>
      </c>
      <c r="DC82" t="s">
        <v>57</v>
      </c>
      <c r="DD82" t="s">
        <v>57</v>
      </c>
      <c r="DE82" t="s">
        <v>57</v>
      </c>
      <c r="DF82" t="s">
        <v>57</v>
      </c>
      <c r="DG82" t="s">
        <v>57</v>
      </c>
      <c r="DH82" t="s">
        <v>57</v>
      </c>
      <c r="DI82" t="s">
        <v>57</v>
      </c>
      <c r="DJ82" t="s">
        <v>57</v>
      </c>
      <c r="DK82" t="s">
        <v>57</v>
      </c>
      <c r="DL82" t="s">
        <v>57</v>
      </c>
      <c r="DM82" t="s">
        <v>175</v>
      </c>
      <c r="DN82" t="s">
        <v>175</v>
      </c>
      <c r="DO82" t="s">
        <v>175</v>
      </c>
      <c r="DP82" t="s">
        <v>175</v>
      </c>
      <c r="DQ82" t="s">
        <v>175</v>
      </c>
      <c r="DR82" t="s">
        <v>175</v>
      </c>
      <c r="DS82" t="s">
        <v>175</v>
      </c>
      <c r="DT82" t="s">
        <v>175</v>
      </c>
      <c r="DU82" t="s">
        <v>175</v>
      </c>
      <c r="DV82" t="s">
        <v>175</v>
      </c>
      <c r="DW82" t="s">
        <v>175</v>
      </c>
      <c r="DX82" t="s">
        <v>175</v>
      </c>
      <c r="DY82" t="s">
        <v>175</v>
      </c>
      <c r="DZ82" t="s">
        <v>175</v>
      </c>
      <c r="EA82" t="s">
        <v>57</v>
      </c>
      <c r="EB82" t="s">
        <v>57</v>
      </c>
      <c r="EC82" t="s">
        <v>57</v>
      </c>
      <c r="ED82" t="s">
        <v>57</v>
      </c>
      <c r="EE82" t="s">
        <v>57</v>
      </c>
      <c r="EF82" t="s">
        <v>57</v>
      </c>
      <c r="EG82" t="s">
        <v>57</v>
      </c>
      <c r="EH82" t="s">
        <v>57</v>
      </c>
      <c r="EI82" t="s">
        <v>57</v>
      </c>
      <c r="EJ82" t="s">
        <v>57</v>
      </c>
      <c r="EK82" t="s">
        <v>57</v>
      </c>
      <c r="EL82" t="s">
        <v>57</v>
      </c>
      <c r="EM82" t="s">
        <v>57</v>
      </c>
      <c r="EN82" t="s">
        <v>57</v>
      </c>
      <c r="EO82" t="s">
        <v>57</v>
      </c>
      <c r="EP82" t="s">
        <v>57</v>
      </c>
      <c r="EQ82" t="s">
        <v>57</v>
      </c>
      <c r="ER82" t="s">
        <v>57</v>
      </c>
      <c r="ES82" t="s">
        <v>57</v>
      </c>
      <c r="ET82" t="s">
        <v>57</v>
      </c>
      <c r="EU82" t="s">
        <v>57</v>
      </c>
      <c r="EV82" t="s">
        <v>57</v>
      </c>
      <c r="EW82" t="s">
        <v>57</v>
      </c>
      <c r="EX82" t="s">
        <v>57</v>
      </c>
      <c r="EY82" t="s">
        <v>57</v>
      </c>
      <c r="EZ82" t="s">
        <v>57</v>
      </c>
      <c r="FA82" t="s">
        <v>57</v>
      </c>
      <c r="FB82" t="s">
        <v>57</v>
      </c>
      <c r="FC82" t="s">
        <v>57</v>
      </c>
      <c r="FD82" t="s">
        <v>57</v>
      </c>
      <c r="FE82" t="s">
        <v>57</v>
      </c>
      <c r="FF82" t="s">
        <v>57</v>
      </c>
      <c r="FG82" t="s">
        <v>57</v>
      </c>
      <c r="FH82" t="s">
        <v>57</v>
      </c>
      <c r="FI82" t="s">
        <v>57</v>
      </c>
      <c r="FJ82" t="s">
        <v>57</v>
      </c>
      <c r="FK82" t="s">
        <v>57</v>
      </c>
      <c r="FL82" t="s">
        <v>57</v>
      </c>
      <c r="FM82" t="s">
        <v>57</v>
      </c>
      <c r="FN82" t="s">
        <v>57</v>
      </c>
      <c r="FO82" t="s">
        <v>57</v>
      </c>
      <c r="FP82" t="s">
        <v>57</v>
      </c>
      <c r="FQ82" t="s">
        <v>57</v>
      </c>
      <c r="FR82" t="s">
        <v>57</v>
      </c>
      <c r="FS82" t="s">
        <v>57</v>
      </c>
      <c r="FT82" t="s">
        <v>57</v>
      </c>
      <c r="FU82" t="s">
        <v>57</v>
      </c>
      <c r="FV82" t="s">
        <v>57</v>
      </c>
      <c r="FW82" t="s">
        <v>57</v>
      </c>
      <c r="FX82" t="s">
        <v>57</v>
      </c>
      <c r="FY82" t="s">
        <v>57</v>
      </c>
      <c r="FZ82" t="s">
        <v>57</v>
      </c>
      <c r="GA82" t="s">
        <v>57</v>
      </c>
      <c r="GB82" t="s">
        <v>57</v>
      </c>
      <c r="GC82" t="s">
        <v>57</v>
      </c>
      <c r="GD82" t="s">
        <v>57</v>
      </c>
      <c r="GE82" t="s">
        <v>57</v>
      </c>
      <c r="GF82" t="s">
        <v>57</v>
      </c>
      <c r="GG82" t="s">
        <v>175</v>
      </c>
      <c r="GH82" t="s">
        <v>57</v>
      </c>
      <c r="GI82" t="s">
        <v>57</v>
      </c>
      <c r="GJ82" t="s">
        <v>57</v>
      </c>
      <c r="GK82" t="s">
        <v>57</v>
      </c>
      <c r="GL82" t="s">
        <v>57</v>
      </c>
      <c r="GM82" t="s">
        <v>175</v>
      </c>
      <c r="GN82" t="s">
        <v>57</v>
      </c>
      <c r="GO82" t="s">
        <v>57</v>
      </c>
      <c r="GP82" t="s">
        <v>57</v>
      </c>
      <c r="GQ82" t="s">
        <v>57</v>
      </c>
      <c r="GR82" t="s">
        <v>57</v>
      </c>
      <c r="GS82" t="s">
        <v>57</v>
      </c>
      <c r="GT82" t="s">
        <v>57</v>
      </c>
      <c r="GU82" t="s">
        <v>57</v>
      </c>
      <c r="GV82" t="s">
        <v>175</v>
      </c>
      <c r="GW82" t="s">
        <v>57</v>
      </c>
      <c r="GX82" t="s">
        <v>175</v>
      </c>
      <c r="GY82" t="s">
        <v>57</v>
      </c>
      <c r="GZ82" t="s">
        <v>57</v>
      </c>
      <c r="HA82" t="s">
        <v>57</v>
      </c>
      <c r="HB82" t="s">
        <v>57</v>
      </c>
      <c r="HC82" t="s">
        <v>57</v>
      </c>
      <c r="HD82" t="s">
        <v>57</v>
      </c>
      <c r="HE82" t="s">
        <v>57</v>
      </c>
      <c r="HF82" t="s">
        <v>57</v>
      </c>
      <c r="HG82" t="s">
        <v>57</v>
      </c>
      <c r="HH82" t="s">
        <v>175</v>
      </c>
      <c r="HI82" t="s">
        <v>175</v>
      </c>
      <c r="HJ82" t="s">
        <v>175</v>
      </c>
      <c r="HK82" t="s">
        <v>175</v>
      </c>
      <c r="HL82" t="s">
        <v>57</v>
      </c>
      <c r="HM82" t="s">
        <v>57</v>
      </c>
      <c r="HN82" t="s">
        <v>57</v>
      </c>
      <c r="HO82" t="s">
        <v>57</v>
      </c>
      <c r="HP82" t="s">
        <v>57</v>
      </c>
      <c r="HQ82" t="s">
        <v>57</v>
      </c>
      <c r="HR82" t="s">
        <v>57</v>
      </c>
      <c r="HS82" t="s">
        <v>57</v>
      </c>
      <c r="HT82" t="s">
        <v>57</v>
      </c>
      <c r="HU82" t="s">
        <v>57</v>
      </c>
      <c r="HV82" t="s">
        <v>57</v>
      </c>
      <c r="HW82" t="s">
        <v>57</v>
      </c>
      <c r="HX82" t="s">
        <v>57</v>
      </c>
      <c r="HY82" t="s">
        <v>57</v>
      </c>
      <c r="HZ82" t="s">
        <v>57</v>
      </c>
      <c r="IA82" t="s">
        <v>57</v>
      </c>
      <c r="IB82" t="s">
        <v>57</v>
      </c>
      <c r="IC82" t="s">
        <v>57</v>
      </c>
      <c r="ID82" t="s">
        <v>57</v>
      </c>
      <c r="IE82" t="s">
        <v>57</v>
      </c>
      <c r="IF82" t="s">
        <v>124</v>
      </c>
      <c r="IG82" t="s">
        <v>148</v>
      </c>
      <c r="IH82" t="s">
        <v>123</v>
      </c>
      <c r="II82" t="s">
        <v>156</v>
      </c>
    </row>
    <row r="83" spans="1:243" x14ac:dyDescent="0.25">
      <c r="A83" s="111" t="str">
        <f>HYPERLINK("http://www.ofsted.gov.uk/inspection-reports/find-inspection-report/provider/ELS/124890 ","Ofsted School Webpage")</f>
        <v>Ofsted School Webpage</v>
      </c>
      <c r="B83">
        <v>124890</v>
      </c>
      <c r="C83">
        <v>9356058</v>
      </c>
      <c r="D83" t="s">
        <v>511</v>
      </c>
      <c r="E83" t="s">
        <v>37</v>
      </c>
      <c r="F83" t="s">
        <v>138</v>
      </c>
      <c r="G83" t="s">
        <v>177</v>
      </c>
      <c r="H83" t="s">
        <v>177</v>
      </c>
      <c r="I83" t="s">
        <v>254</v>
      </c>
      <c r="J83" t="s">
        <v>513</v>
      </c>
      <c r="K83" t="s">
        <v>142</v>
      </c>
      <c r="L83" t="s">
        <v>512</v>
      </c>
      <c r="M83" t="s">
        <v>2596</v>
      </c>
      <c r="N83" t="s">
        <v>143</v>
      </c>
      <c r="O83">
        <v>10043519</v>
      </c>
      <c r="P83" s="108">
        <v>43130</v>
      </c>
      <c r="Q83" s="108">
        <v>43132</v>
      </c>
      <c r="R83" s="108">
        <v>43164</v>
      </c>
      <c r="S83" t="s">
        <v>153</v>
      </c>
      <c r="T83" t="s">
        <v>154</v>
      </c>
      <c r="U83">
        <v>2</v>
      </c>
      <c r="V83">
        <v>2</v>
      </c>
      <c r="W83">
        <v>2</v>
      </c>
      <c r="X83">
        <v>2</v>
      </c>
      <c r="Y83">
        <v>2</v>
      </c>
      <c r="Z83" t="s">
        <v>2596</v>
      </c>
      <c r="AA83">
        <v>2</v>
      </c>
      <c r="AB83" t="s">
        <v>123</v>
      </c>
      <c r="AC83" t="s">
        <v>2596</v>
      </c>
      <c r="AD83" t="s">
        <v>2598</v>
      </c>
      <c r="AE83" t="s">
        <v>57</v>
      </c>
      <c r="AF83" t="s">
        <v>57</v>
      </c>
      <c r="AG83" t="s">
        <v>57</v>
      </c>
      <c r="AH83" t="s">
        <v>57</v>
      </c>
      <c r="AI83" t="s">
        <v>57</v>
      </c>
      <c r="AJ83" t="s">
        <v>57</v>
      </c>
      <c r="AK83" t="s">
        <v>57</v>
      </c>
      <c r="AL83" t="s">
        <v>57</v>
      </c>
      <c r="AM83" t="s">
        <v>57</v>
      </c>
      <c r="AN83" t="s">
        <v>57</v>
      </c>
      <c r="AO83" t="s">
        <v>57</v>
      </c>
      <c r="AP83" t="s">
        <v>57</v>
      </c>
      <c r="AQ83" t="s">
        <v>57</v>
      </c>
      <c r="AR83" t="s">
        <v>57</v>
      </c>
      <c r="AS83" t="s">
        <v>57</v>
      </c>
      <c r="AT83" t="s">
        <v>57</v>
      </c>
      <c r="AU83" t="s">
        <v>175</v>
      </c>
      <c r="AV83" t="s">
        <v>57</v>
      </c>
      <c r="AW83" t="s">
        <v>57</v>
      </c>
      <c r="AX83" t="s">
        <v>57</v>
      </c>
      <c r="AY83" t="s">
        <v>57</v>
      </c>
      <c r="AZ83" t="s">
        <v>57</v>
      </c>
      <c r="BA83" t="s">
        <v>57</v>
      </c>
      <c r="BB83" t="s">
        <v>57</v>
      </c>
      <c r="BC83" t="s">
        <v>175</v>
      </c>
      <c r="BD83" t="s">
        <v>57</v>
      </c>
      <c r="BE83" t="s">
        <v>57</v>
      </c>
      <c r="BF83" t="s">
        <v>57</v>
      </c>
      <c r="BG83" t="s">
        <v>57</v>
      </c>
      <c r="BH83" t="s">
        <v>57</v>
      </c>
      <c r="BI83" t="s">
        <v>57</v>
      </c>
      <c r="BJ83" t="s">
        <v>57</v>
      </c>
      <c r="BK83" t="s">
        <v>57</v>
      </c>
      <c r="BL83" t="s">
        <v>57</v>
      </c>
      <c r="BM83" t="s">
        <v>57</v>
      </c>
      <c r="BN83" t="s">
        <v>57</v>
      </c>
      <c r="BO83" t="s">
        <v>57</v>
      </c>
      <c r="BP83" t="s">
        <v>57</v>
      </c>
      <c r="BQ83" t="s">
        <v>57</v>
      </c>
      <c r="BR83" t="s">
        <v>57</v>
      </c>
      <c r="BS83" t="s">
        <v>57</v>
      </c>
      <c r="BT83" t="s">
        <v>57</v>
      </c>
      <c r="BU83" t="s">
        <v>57</v>
      </c>
      <c r="BV83" t="s">
        <v>57</v>
      </c>
      <c r="BW83" t="s">
        <v>57</v>
      </c>
      <c r="BX83" t="s">
        <v>57</v>
      </c>
      <c r="BY83" t="s">
        <v>57</v>
      </c>
      <c r="BZ83" t="s">
        <v>57</v>
      </c>
      <c r="CA83" t="s">
        <v>57</v>
      </c>
      <c r="CB83" t="s">
        <v>57</v>
      </c>
      <c r="CC83" t="s">
        <v>57</v>
      </c>
      <c r="CD83" t="s">
        <v>57</v>
      </c>
      <c r="CE83" t="s">
        <v>57</v>
      </c>
      <c r="CF83" t="s">
        <v>57</v>
      </c>
      <c r="CG83" t="s">
        <v>57</v>
      </c>
      <c r="CH83" t="s">
        <v>57</v>
      </c>
      <c r="CI83" t="s">
        <v>57</v>
      </c>
      <c r="CJ83" t="s">
        <v>57</v>
      </c>
      <c r="CK83" t="s">
        <v>175</v>
      </c>
      <c r="CL83" t="s">
        <v>175</v>
      </c>
      <c r="CM83" t="s">
        <v>175</v>
      </c>
      <c r="CN83" t="s">
        <v>57</v>
      </c>
      <c r="CO83" t="s">
        <v>57</v>
      </c>
      <c r="CP83" t="s">
        <v>57</v>
      </c>
      <c r="CQ83" t="s">
        <v>57</v>
      </c>
      <c r="CR83" t="s">
        <v>57</v>
      </c>
      <c r="CS83" t="s">
        <v>57</v>
      </c>
      <c r="CT83" t="s">
        <v>57</v>
      </c>
      <c r="CU83" t="s">
        <v>57</v>
      </c>
      <c r="CV83" t="s">
        <v>57</v>
      </c>
      <c r="CW83" t="s">
        <v>57</v>
      </c>
      <c r="CX83" t="s">
        <v>57</v>
      </c>
      <c r="CY83" t="s">
        <v>57</v>
      </c>
      <c r="CZ83" t="s">
        <v>57</v>
      </c>
      <c r="DA83" t="s">
        <v>57</v>
      </c>
      <c r="DB83" t="s">
        <v>57</v>
      </c>
      <c r="DC83" t="s">
        <v>57</v>
      </c>
      <c r="DD83" t="s">
        <v>57</v>
      </c>
      <c r="DE83" t="s">
        <v>57</v>
      </c>
      <c r="DF83" t="s">
        <v>57</v>
      </c>
      <c r="DG83" t="s">
        <v>57</v>
      </c>
      <c r="DH83" t="s">
        <v>57</v>
      </c>
      <c r="DI83" t="s">
        <v>57</v>
      </c>
      <c r="DJ83" t="s">
        <v>57</v>
      </c>
      <c r="DK83" t="s">
        <v>57</v>
      </c>
      <c r="DL83" t="s">
        <v>57</v>
      </c>
      <c r="DM83" t="s">
        <v>57</v>
      </c>
      <c r="DN83" t="s">
        <v>57</v>
      </c>
      <c r="DO83" t="s">
        <v>57</v>
      </c>
      <c r="DP83" t="s">
        <v>57</v>
      </c>
      <c r="DQ83" t="s">
        <v>57</v>
      </c>
      <c r="DR83" t="s">
        <v>57</v>
      </c>
      <c r="DS83" t="s">
        <v>57</v>
      </c>
      <c r="DT83" t="s">
        <v>57</v>
      </c>
      <c r="DU83" t="s">
        <v>57</v>
      </c>
      <c r="DV83" t="s">
        <v>57</v>
      </c>
      <c r="DW83" t="s">
        <v>57</v>
      </c>
      <c r="DX83" t="s">
        <v>57</v>
      </c>
      <c r="DY83" t="s">
        <v>175</v>
      </c>
      <c r="DZ83" t="s">
        <v>57</v>
      </c>
      <c r="EA83" t="s">
        <v>57</v>
      </c>
      <c r="EB83" t="s">
        <v>57</v>
      </c>
      <c r="EC83" t="s">
        <v>57</v>
      </c>
      <c r="ED83" t="s">
        <v>57</v>
      </c>
      <c r="EE83" t="s">
        <v>57</v>
      </c>
      <c r="EF83" t="s">
        <v>57</v>
      </c>
      <c r="EG83" t="s">
        <v>57</v>
      </c>
      <c r="EH83" t="s">
        <v>57</v>
      </c>
      <c r="EI83" t="s">
        <v>57</v>
      </c>
      <c r="EJ83" t="s">
        <v>57</v>
      </c>
      <c r="EK83" t="s">
        <v>57</v>
      </c>
      <c r="EL83" t="s">
        <v>57</v>
      </c>
      <c r="EM83" t="s">
        <v>57</v>
      </c>
      <c r="EN83" t="s">
        <v>57</v>
      </c>
      <c r="EO83" t="s">
        <v>57</v>
      </c>
      <c r="EP83" t="s">
        <v>57</v>
      </c>
      <c r="EQ83" t="s">
        <v>57</v>
      </c>
      <c r="ER83" t="s">
        <v>57</v>
      </c>
      <c r="ES83" t="s">
        <v>57</v>
      </c>
      <c r="ET83" t="s">
        <v>57</v>
      </c>
      <c r="EU83" t="s">
        <v>57</v>
      </c>
      <c r="EV83" t="s">
        <v>57</v>
      </c>
      <c r="EW83" t="s">
        <v>57</v>
      </c>
      <c r="EX83" t="s">
        <v>57</v>
      </c>
      <c r="EY83" t="s">
        <v>57</v>
      </c>
      <c r="EZ83" t="s">
        <v>57</v>
      </c>
      <c r="FA83" t="s">
        <v>57</v>
      </c>
      <c r="FB83" t="s">
        <v>57</v>
      </c>
      <c r="FC83" t="s">
        <v>57</v>
      </c>
      <c r="FD83" t="s">
        <v>57</v>
      </c>
      <c r="FE83" t="s">
        <v>57</v>
      </c>
      <c r="FF83" t="s">
        <v>57</v>
      </c>
      <c r="FG83" t="s">
        <v>57</v>
      </c>
      <c r="FH83" t="s">
        <v>57</v>
      </c>
      <c r="FI83" t="s">
        <v>57</v>
      </c>
      <c r="FJ83" t="s">
        <v>57</v>
      </c>
      <c r="FK83" t="s">
        <v>57</v>
      </c>
      <c r="FL83" t="s">
        <v>57</v>
      </c>
      <c r="FM83" t="s">
        <v>57</v>
      </c>
      <c r="FN83" t="s">
        <v>57</v>
      </c>
      <c r="FO83" t="s">
        <v>175</v>
      </c>
      <c r="FP83" t="s">
        <v>57</v>
      </c>
      <c r="FQ83" t="s">
        <v>57</v>
      </c>
      <c r="FR83" t="s">
        <v>57</v>
      </c>
      <c r="FS83" t="s">
        <v>57</v>
      </c>
      <c r="FT83" t="s">
        <v>57</v>
      </c>
      <c r="FU83" t="s">
        <v>57</v>
      </c>
      <c r="FV83" t="s">
        <v>57</v>
      </c>
      <c r="FW83" t="s">
        <v>57</v>
      </c>
      <c r="FX83" t="s">
        <v>57</v>
      </c>
      <c r="FY83" t="s">
        <v>57</v>
      </c>
      <c r="FZ83" t="s">
        <v>57</v>
      </c>
      <c r="GA83" t="s">
        <v>57</v>
      </c>
      <c r="GB83" t="s">
        <v>57</v>
      </c>
      <c r="GC83" t="s">
        <v>57</v>
      </c>
      <c r="GD83" t="s">
        <v>57</v>
      </c>
      <c r="GE83" t="s">
        <v>57</v>
      </c>
      <c r="GF83" t="s">
        <v>57</v>
      </c>
      <c r="GG83" t="s">
        <v>175</v>
      </c>
      <c r="GH83" t="s">
        <v>57</v>
      </c>
      <c r="GI83" t="s">
        <v>57</v>
      </c>
      <c r="GJ83" t="s">
        <v>57</v>
      </c>
      <c r="GK83" t="s">
        <v>57</v>
      </c>
      <c r="GL83" t="s">
        <v>57</v>
      </c>
      <c r="GM83" t="s">
        <v>57</v>
      </c>
      <c r="GN83" t="s">
        <v>57</v>
      </c>
      <c r="GO83" t="s">
        <v>57</v>
      </c>
      <c r="GP83" t="s">
        <v>57</v>
      </c>
      <c r="GQ83" t="s">
        <v>57</v>
      </c>
      <c r="GR83" t="s">
        <v>57</v>
      </c>
      <c r="GS83" t="s">
        <v>57</v>
      </c>
      <c r="GT83" t="s">
        <v>57</v>
      </c>
      <c r="GU83" t="s">
        <v>57</v>
      </c>
      <c r="GV83" t="s">
        <v>175</v>
      </c>
      <c r="GW83" t="s">
        <v>57</v>
      </c>
      <c r="GX83" t="s">
        <v>57</v>
      </c>
      <c r="GY83" t="s">
        <v>57</v>
      </c>
      <c r="GZ83" t="s">
        <v>57</v>
      </c>
      <c r="HA83" t="s">
        <v>57</v>
      </c>
      <c r="HB83" t="s">
        <v>57</v>
      </c>
      <c r="HC83" t="s">
        <v>57</v>
      </c>
      <c r="HD83" t="s">
        <v>57</v>
      </c>
      <c r="HE83" t="s">
        <v>57</v>
      </c>
      <c r="HF83" t="s">
        <v>57</v>
      </c>
      <c r="HG83" t="s">
        <v>57</v>
      </c>
      <c r="HH83" t="s">
        <v>57</v>
      </c>
      <c r="HI83" t="s">
        <v>57</v>
      </c>
      <c r="HJ83" t="s">
        <v>57</v>
      </c>
      <c r="HK83" t="s">
        <v>57</v>
      </c>
      <c r="HL83" t="s">
        <v>57</v>
      </c>
      <c r="HM83" t="s">
        <v>57</v>
      </c>
      <c r="HN83" t="s">
        <v>57</v>
      </c>
      <c r="HO83" t="s">
        <v>57</v>
      </c>
      <c r="HP83" t="s">
        <v>57</v>
      </c>
      <c r="HQ83" t="s">
        <v>57</v>
      </c>
      <c r="HR83" t="s">
        <v>57</v>
      </c>
      <c r="HS83" t="s">
        <v>57</v>
      </c>
      <c r="HT83" t="s">
        <v>57</v>
      </c>
      <c r="HU83" t="s">
        <v>57</v>
      </c>
      <c r="HV83" t="s">
        <v>57</v>
      </c>
      <c r="HW83" t="s">
        <v>57</v>
      </c>
      <c r="HX83" t="s">
        <v>57</v>
      </c>
      <c r="HY83" t="s">
        <v>57</v>
      </c>
      <c r="HZ83" t="s">
        <v>57</v>
      </c>
      <c r="IA83" t="s">
        <v>57</v>
      </c>
      <c r="IB83" t="s">
        <v>57</v>
      </c>
      <c r="IC83" t="s">
        <v>57</v>
      </c>
      <c r="ID83" t="s">
        <v>57</v>
      </c>
      <c r="IE83" t="s">
        <v>57</v>
      </c>
      <c r="IF83" t="s">
        <v>124</v>
      </c>
      <c r="IG83" t="s">
        <v>148</v>
      </c>
      <c r="IH83" t="s">
        <v>123</v>
      </c>
      <c r="II83" t="s">
        <v>156</v>
      </c>
    </row>
    <row r="84" spans="1:243" x14ac:dyDescent="0.25">
      <c r="A84" s="111" t="str">
        <f>HYPERLINK("http://www.ofsted.gov.uk/inspection-reports/find-inspection-report/provider/ELS/124899 ","Ofsted School Webpage")</f>
        <v>Ofsted School Webpage</v>
      </c>
      <c r="B84">
        <v>124899</v>
      </c>
      <c r="C84">
        <v>9356076</v>
      </c>
      <c r="D84" t="s">
        <v>253</v>
      </c>
      <c r="E84" t="s">
        <v>36</v>
      </c>
      <c r="F84" t="s">
        <v>166</v>
      </c>
      <c r="G84" t="s">
        <v>177</v>
      </c>
      <c r="H84" t="s">
        <v>177</v>
      </c>
      <c r="I84" t="s">
        <v>254</v>
      </c>
      <c r="J84" t="s">
        <v>255</v>
      </c>
      <c r="K84" t="s">
        <v>142</v>
      </c>
      <c r="L84" t="s">
        <v>249</v>
      </c>
      <c r="M84" t="s">
        <v>2596</v>
      </c>
      <c r="N84" t="s">
        <v>143</v>
      </c>
      <c r="O84">
        <v>10026063</v>
      </c>
      <c r="P84" s="108">
        <v>43011</v>
      </c>
      <c r="Q84" s="108">
        <v>43013</v>
      </c>
      <c r="R84" s="108">
        <v>43052</v>
      </c>
      <c r="S84" t="s">
        <v>153</v>
      </c>
      <c r="T84" t="s">
        <v>154</v>
      </c>
      <c r="U84">
        <v>3</v>
      </c>
      <c r="V84">
        <v>3</v>
      </c>
      <c r="W84">
        <v>2</v>
      </c>
      <c r="X84">
        <v>3</v>
      </c>
      <c r="Y84">
        <v>3</v>
      </c>
      <c r="Z84" t="s">
        <v>2596</v>
      </c>
      <c r="AA84">
        <v>3</v>
      </c>
      <c r="AB84" t="s">
        <v>123</v>
      </c>
      <c r="AC84" t="s">
        <v>2596</v>
      </c>
      <c r="AD84" t="s">
        <v>2599</v>
      </c>
      <c r="AE84" t="s">
        <v>58</v>
      </c>
      <c r="AF84" t="s">
        <v>57</v>
      </c>
      <c r="AG84" t="s">
        <v>57</v>
      </c>
      <c r="AH84" t="s">
        <v>57</v>
      </c>
      <c r="AI84" t="s">
        <v>58</v>
      </c>
      <c r="AJ84" t="s">
        <v>57</v>
      </c>
      <c r="AK84" t="s">
        <v>57</v>
      </c>
      <c r="AL84" t="s">
        <v>58</v>
      </c>
      <c r="AM84" t="s">
        <v>58</v>
      </c>
      <c r="AN84" t="s">
        <v>58</v>
      </c>
      <c r="AO84" t="s">
        <v>58</v>
      </c>
      <c r="AP84" t="s">
        <v>58</v>
      </c>
      <c r="AQ84" t="s">
        <v>57</v>
      </c>
      <c r="AR84" t="s">
        <v>58</v>
      </c>
      <c r="AS84" t="s">
        <v>58</v>
      </c>
      <c r="AT84" t="s">
        <v>57</v>
      </c>
      <c r="AU84" t="s">
        <v>148</v>
      </c>
      <c r="AV84" t="s">
        <v>57</v>
      </c>
      <c r="AW84" t="s">
        <v>57</v>
      </c>
      <c r="AX84" t="s">
        <v>57</v>
      </c>
      <c r="AY84" t="s">
        <v>58</v>
      </c>
      <c r="AZ84" t="s">
        <v>57</v>
      </c>
      <c r="BA84" t="s">
        <v>58</v>
      </c>
      <c r="BB84" t="s">
        <v>58</v>
      </c>
      <c r="BC84" t="s">
        <v>148</v>
      </c>
      <c r="BD84" t="s">
        <v>57</v>
      </c>
      <c r="BE84" t="s">
        <v>58</v>
      </c>
      <c r="BF84" t="s">
        <v>57</v>
      </c>
      <c r="BG84" t="s">
        <v>58</v>
      </c>
      <c r="BH84" t="s">
        <v>58</v>
      </c>
      <c r="BI84" t="s">
        <v>58</v>
      </c>
      <c r="BJ84" t="s">
        <v>58</v>
      </c>
      <c r="BK84" t="s">
        <v>58</v>
      </c>
      <c r="BL84" t="s">
        <v>57</v>
      </c>
      <c r="BM84" t="s">
        <v>57</v>
      </c>
      <c r="BN84" t="s">
        <v>58</v>
      </c>
      <c r="BO84" t="s">
        <v>57</v>
      </c>
      <c r="BP84" t="s">
        <v>57</v>
      </c>
      <c r="BQ84" t="s">
        <v>57</v>
      </c>
      <c r="BR84" t="s">
        <v>57</v>
      </c>
      <c r="BS84" t="s">
        <v>57</v>
      </c>
      <c r="BT84" t="s">
        <v>57</v>
      </c>
      <c r="BU84" t="s">
        <v>57</v>
      </c>
      <c r="BV84" t="s">
        <v>57</v>
      </c>
      <c r="BW84" t="s">
        <v>57</v>
      </c>
      <c r="BX84" t="s">
        <v>57</v>
      </c>
      <c r="BY84" t="s">
        <v>160</v>
      </c>
      <c r="BZ84" t="s">
        <v>57</v>
      </c>
      <c r="CA84" t="s">
        <v>57</v>
      </c>
      <c r="CB84" t="s">
        <v>57</v>
      </c>
      <c r="CC84" t="s">
        <v>57</v>
      </c>
      <c r="CD84" t="s">
        <v>57</v>
      </c>
      <c r="CE84" t="s">
        <v>57</v>
      </c>
      <c r="CF84" t="s">
        <v>57</v>
      </c>
      <c r="CG84" t="s">
        <v>57</v>
      </c>
      <c r="CH84" t="s">
        <v>57</v>
      </c>
      <c r="CI84" t="s">
        <v>57</v>
      </c>
      <c r="CJ84" t="s">
        <v>57</v>
      </c>
      <c r="CK84" t="s">
        <v>160</v>
      </c>
      <c r="CL84" t="s">
        <v>58</v>
      </c>
      <c r="CM84" t="s">
        <v>58</v>
      </c>
      <c r="CN84" t="s">
        <v>57</v>
      </c>
      <c r="CO84" t="s">
        <v>57</v>
      </c>
      <c r="CP84" t="s">
        <v>57</v>
      </c>
      <c r="CQ84" t="s">
        <v>57</v>
      </c>
      <c r="CR84" t="s">
        <v>57</v>
      </c>
      <c r="CS84" t="s">
        <v>160</v>
      </c>
      <c r="CT84" t="s">
        <v>57</v>
      </c>
      <c r="CU84" t="s">
        <v>57</v>
      </c>
      <c r="CV84" t="s">
        <v>57</v>
      </c>
      <c r="CW84" t="s">
        <v>57</v>
      </c>
      <c r="CX84" t="s">
        <v>57</v>
      </c>
      <c r="CY84" t="s">
        <v>57</v>
      </c>
      <c r="CZ84" t="s">
        <v>57</v>
      </c>
      <c r="DA84" t="s">
        <v>57</v>
      </c>
      <c r="DB84" t="s">
        <v>57</v>
      </c>
      <c r="DC84" t="s">
        <v>57</v>
      </c>
      <c r="DD84" t="s">
        <v>57</v>
      </c>
      <c r="DE84" t="s">
        <v>57</v>
      </c>
      <c r="DF84" t="s">
        <v>57</v>
      </c>
      <c r="DG84" t="s">
        <v>57</v>
      </c>
      <c r="DH84" t="s">
        <v>57</v>
      </c>
      <c r="DI84" t="s">
        <v>57</v>
      </c>
      <c r="DJ84" t="s">
        <v>57</v>
      </c>
      <c r="DK84" t="s">
        <v>57</v>
      </c>
      <c r="DL84" t="s">
        <v>57</v>
      </c>
      <c r="DM84" t="s">
        <v>148</v>
      </c>
      <c r="DN84" t="s">
        <v>148</v>
      </c>
      <c r="DO84" t="s">
        <v>148</v>
      </c>
      <c r="DP84" t="s">
        <v>148</v>
      </c>
      <c r="DQ84" t="s">
        <v>148</v>
      </c>
      <c r="DR84" t="s">
        <v>148</v>
      </c>
      <c r="DS84" t="s">
        <v>148</v>
      </c>
      <c r="DT84" t="s">
        <v>148</v>
      </c>
      <c r="DU84" t="s">
        <v>148</v>
      </c>
      <c r="DV84" t="s">
        <v>148</v>
      </c>
      <c r="DW84" t="s">
        <v>148</v>
      </c>
      <c r="DX84" t="s">
        <v>148</v>
      </c>
      <c r="DY84" t="s">
        <v>148</v>
      </c>
      <c r="DZ84" t="s">
        <v>148</v>
      </c>
      <c r="EA84" t="s">
        <v>148</v>
      </c>
      <c r="EB84" t="s">
        <v>148</v>
      </c>
      <c r="EC84" t="s">
        <v>148</v>
      </c>
      <c r="ED84" t="s">
        <v>148</v>
      </c>
      <c r="EE84" t="s">
        <v>148</v>
      </c>
      <c r="EF84" t="s">
        <v>148</v>
      </c>
      <c r="EG84" t="s">
        <v>148</v>
      </c>
      <c r="EH84" t="s">
        <v>148</v>
      </c>
      <c r="EI84" t="s">
        <v>148</v>
      </c>
      <c r="EJ84" t="s">
        <v>57</v>
      </c>
      <c r="EK84" t="s">
        <v>57</v>
      </c>
      <c r="EL84" t="s">
        <v>57</v>
      </c>
      <c r="EM84" t="s">
        <v>57</v>
      </c>
      <c r="EN84" t="s">
        <v>57</v>
      </c>
      <c r="EO84" t="s">
        <v>57</v>
      </c>
      <c r="EP84" t="s">
        <v>57</v>
      </c>
      <c r="EQ84" t="s">
        <v>57</v>
      </c>
      <c r="ER84" t="s">
        <v>57</v>
      </c>
      <c r="ES84" t="s">
        <v>57</v>
      </c>
      <c r="ET84" t="s">
        <v>57</v>
      </c>
      <c r="EU84" t="s">
        <v>57</v>
      </c>
      <c r="EV84" t="s">
        <v>57</v>
      </c>
      <c r="EW84" t="s">
        <v>57</v>
      </c>
      <c r="EX84" t="s">
        <v>57</v>
      </c>
      <c r="EY84" t="s">
        <v>57</v>
      </c>
      <c r="EZ84" t="s">
        <v>57</v>
      </c>
      <c r="FA84" t="s">
        <v>57</v>
      </c>
      <c r="FB84" t="s">
        <v>57</v>
      </c>
      <c r="FC84" t="s">
        <v>57</v>
      </c>
      <c r="FD84" t="s">
        <v>57</v>
      </c>
      <c r="FE84" t="s">
        <v>160</v>
      </c>
      <c r="FF84" t="s">
        <v>148</v>
      </c>
      <c r="FG84" t="s">
        <v>148</v>
      </c>
      <c r="FH84" t="s">
        <v>58</v>
      </c>
      <c r="FI84" t="s">
        <v>57</v>
      </c>
      <c r="FJ84" t="s">
        <v>57</v>
      </c>
      <c r="FK84" t="s">
        <v>58</v>
      </c>
      <c r="FL84" t="s">
        <v>57</v>
      </c>
      <c r="FM84" t="s">
        <v>57</v>
      </c>
      <c r="FN84" t="s">
        <v>57</v>
      </c>
      <c r="FO84" t="s">
        <v>148</v>
      </c>
      <c r="FP84" t="s">
        <v>57</v>
      </c>
      <c r="FQ84" t="s">
        <v>57</v>
      </c>
      <c r="FR84" t="s">
        <v>57</v>
      </c>
      <c r="FS84" t="s">
        <v>58</v>
      </c>
      <c r="FT84" t="s">
        <v>58</v>
      </c>
      <c r="FU84" t="s">
        <v>58</v>
      </c>
      <c r="FV84" t="s">
        <v>58</v>
      </c>
      <c r="FW84" t="s">
        <v>57</v>
      </c>
      <c r="FX84" t="s">
        <v>57</v>
      </c>
      <c r="FY84" t="s">
        <v>57</v>
      </c>
      <c r="FZ84" t="s">
        <v>58</v>
      </c>
      <c r="GA84" t="s">
        <v>57</v>
      </c>
      <c r="GB84" t="s">
        <v>57</v>
      </c>
      <c r="GC84" t="s">
        <v>57</v>
      </c>
      <c r="GD84" t="s">
        <v>57</v>
      </c>
      <c r="GE84" t="s">
        <v>57</v>
      </c>
      <c r="GF84" t="s">
        <v>57</v>
      </c>
      <c r="GG84" t="s">
        <v>57</v>
      </c>
      <c r="GH84" t="s">
        <v>57</v>
      </c>
      <c r="GI84" t="s">
        <v>57</v>
      </c>
      <c r="GJ84" t="s">
        <v>57</v>
      </c>
      <c r="GK84" t="s">
        <v>57</v>
      </c>
      <c r="GL84" t="s">
        <v>57</v>
      </c>
      <c r="GM84" t="s">
        <v>57</v>
      </c>
      <c r="GN84" t="s">
        <v>57</v>
      </c>
      <c r="GO84" t="s">
        <v>57</v>
      </c>
      <c r="GP84" t="s">
        <v>148</v>
      </c>
      <c r="GQ84" t="s">
        <v>148</v>
      </c>
      <c r="GR84" t="s">
        <v>148</v>
      </c>
      <c r="GS84" t="s">
        <v>57</v>
      </c>
      <c r="GT84" t="s">
        <v>57</v>
      </c>
      <c r="GU84" t="s">
        <v>57</v>
      </c>
      <c r="GV84" t="s">
        <v>57</v>
      </c>
      <c r="GW84" t="s">
        <v>148</v>
      </c>
      <c r="GX84" t="s">
        <v>148</v>
      </c>
      <c r="GY84" t="s">
        <v>57</v>
      </c>
      <c r="GZ84" t="s">
        <v>57</v>
      </c>
      <c r="HA84" t="s">
        <v>57</v>
      </c>
      <c r="HB84" t="s">
        <v>57</v>
      </c>
      <c r="HC84" t="s">
        <v>57</v>
      </c>
      <c r="HD84" t="s">
        <v>57</v>
      </c>
      <c r="HE84" t="s">
        <v>57</v>
      </c>
      <c r="HF84" t="s">
        <v>57</v>
      </c>
      <c r="HG84" t="s">
        <v>57</v>
      </c>
      <c r="HH84" t="s">
        <v>160</v>
      </c>
      <c r="HI84" t="s">
        <v>148</v>
      </c>
      <c r="HJ84" t="s">
        <v>148</v>
      </c>
      <c r="HK84" t="s">
        <v>148</v>
      </c>
      <c r="HL84" t="s">
        <v>57</v>
      </c>
      <c r="HM84" t="s">
        <v>57</v>
      </c>
      <c r="HN84" t="s">
        <v>57</v>
      </c>
      <c r="HO84" t="s">
        <v>57</v>
      </c>
      <c r="HP84" t="s">
        <v>57</v>
      </c>
      <c r="HQ84" t="s">
        <v>57</v>
      </c>
      <c r="HR84" t="s">
        <v>57</v>
      </c>
      <c r="HS84" t="s">
        <v>57</v>
      </c>
      <c r="HT84" t="s">
        <v>57</v>
      </c>
      <c r="HU84" t="s">
        <v>57</v>
      </c>
      <c r="HV84" t="s">
        <v>57</v>
      </c>
      <c r="HW84" t="s">
        <v>57</v>
      </c>
      <c r="HX84" t="s">
        <v>57</v>
      </c>
      <c r="HY84" t="s">
        <v>57</v>
      </c>
      <c r="HZ84" t="s">
        <v>57</v>
      </c>
      <c r="IA84" t="s">
        <v>57</v>
      </c>
      <c r="IB84" t="s">
        <v>58</v>
      </c>
      <c r="IC84" t="s">
        <v>58</v>
      </c>
      <c r="ID84" t="s">
        <v>58</v>
      </c>
      <c r="IE84" t="s">
        <v>58</v>
      </c>
      <c r="IF84" t="s">
        <v>124</v>
      </c>
      <c r="IG84" t="s">
        <v>155</v>
      </c>
      <c r="IH84" t="s">
        <v>124</v>
      </c>
      <c r="II84" t="s">
        <v>156</v>
      </c>
    </row>
    <row r="85" spans="1:243" x14ac:dyDescent="0.25">
      <c r="A85" s="111" t="str">
        <f>HYPERLINK("http://www.ofsted.gov.uk/inspection-reports/find-inspection-report/provider/ELS/125436 ","Ofsted School Webpage")</f>
        <v>Ofsted School Webpage</v>
      </c>
      <c r="B85">
        <v>125436</v>
      </c>
      <c r="C85">
        <v>9366554</v>
      </c>
      <c r="D85" t="s">
        <v>851</v>
      </c>
      <c r="E85" t="s">
        <v>37</v>
      </c>
      <c r="F85" t="s">
        <v>138</v>
      </c>
      <c r="G85" t="s">
        <v>139</v>
      </c>
      <c r="H85" t="s">
        <v>139</v>
      </c>
      <c r="I85" t="s">
        <v>535</v>
      </c>
      <c r="J85" t="s">
        <v>852</v>
      </c>
      <c r="K85" t="s">
        <v>142</v>
      </c>
      <c r="L85" t="s">
        <v>169</v>
      </c>
      <c r="M85" t="s">
        <v>2596</v>
      </c>
      <c r="N85" t="s">
        <v>143</v>
      </c>
      <c r="O85">
        <v>10039158</v>
      </c>
      <c r="P85" s="108">
        <v>43046</v>
      </c>
      <c r="Q85" s="108">
        <v>43048</v>
      </c>
      <c r="R85" s="108">
        <v>43070</v>
      </c>
      <c r="S85" t="s">
        <v>153</v>
      </c>
      <c r="T85" t="s">
        <v>154</v>
      </c>
      <c r="U85">
        <v>2</v>
      </c>
      <c r="V85">
        <v>2</v>
      </c>
      <c r="W85">
        <v>2</v>
      </c>
      <c r="X85">
        <v>2</v>
      </c>
      <c r="Y85">
        <v>2</v>
      </c>
      <c r="Z85" t="s">
        <v>2596</v>
      </c>
      <c r="AA85" t="s">
        <v>2596</v>
      </c>
      <c r="AB85" t="s">
        <v>123</v>
      </c>
      <c r="AC85" t="s">
        <v>2596</v>
      </c>
      <c r="AD85" t="s">
        <v>2598</v>
      </c>
      <c r="AE85" t="s">
        <v>57</v>
      </c>
      <c r="AF85" t="s">
        <v>57</v>
      </c>
      <c r="AG85" t="s">
        <v>57</v>
      </c>
      <c r="AH85" t="s">
        <v>57</v>
      </c>
      <c r="AI85" t="s">
        <v>57</v>
      </c>
      <c r="AJ85" t="s">
        <v>57</v>
      </c>
      <c r="AK85" t="s">
        <v>57</v>
      </c>
      <c r="AL85" t="s">
        <v>57</v>
      </c>
      <c r="AM85" t="s">
        <v>57</v>
      </c>
      <c r="AN85" t="s">
        <v>57</v>
      </c>
      <c r="AO85" t="s">
        <v>57</v>
      </c>
      <c r="AP85" t="s">
        <v>57</v>
      </c>
      <c r="AQ85" t="s">
        <v>57</v>
      </c>
      <c r="AR85" t="s">
        <v>57</v>
      </c>
      <c r="AS85" t="s">
        <v>57</v>
      </c>
      <c r="AT85" t="s">
        <v>57</v>
      </c>
      <c r="AU85" t="s">
        <v>57</v>
      </c>
      <c r="AV85" t="s">
        <v>57</v>
      </c>
      <c r="AW85" t="s">
        <v>57</v>
      </c>
      <c r="AX85" t="s">
        <v>57</v>
      </c>
      <c r="AY85" t="s">
        <v>57</v>
      </c>
      <c r="AZ85" t="s">
        <v>57</v>
      </c>
      <c r="BA85" t="s">
        <v>57</v>
      </c>
      <c r="BB85" t="s">
        <v>57</v>
      </c>
      <c r="BC85" t="s">
        <v>175</v>
      </c>
      <c r="BD85" t="s">
        <v>57</v>
      </c>
      <c r="BE85" t="s">
        <v>57</v>
      </c>
      <c r="BF85" t="s">
        <v>57</v>
      </c>
      <c r="BG85" t="s">
        <v>57</v>
      </c>
      <c r="BH85" t="s">
        <v>57</v>
      </c>
      <c r="BI85" t="s">
        <v>57</v>
      </c>
      <c r="BJ85" t="s">
        <v>57</v>
      </c>
      <c r="BK85" t="s">
        <v>57</v>
      </c>
      <c r="BL85" t="s">
        <v>57</v>
      </c>
      <c r="BM85" t="s">
        <v>57</v>
      </c>
      <c r="BN85" t="s">
        <v>57</v>
      </c>
      <c r="BO85" t="s">
        <v>57</v>
      </c>
      <c r="BP85" t="s">
        <v>57</v>
      </c>
      <c r="BQ85" t="s">
        <v>57</v>
      </c>
      <c r="BR85" t="s">
        <v>57</v>
      </c>
      <c r="BS85" t="s">
        <v>57</v>
      </c>
      <c r="BT85" t="s">
        <v>57</v>
      </c>
      <c r="BU85" t="s">
        <v>57</v>
      </c>
      <c r="BV85" t="s">
        <v>57</v>
      </c>
      <c r="BW85" t="s">
        <v>57</v>
      </c>
      <c r="BX85" t="s">
        <v>57</v>
      </c>
      <c r="BY85" t="s">
        <v>57</v>
      </c>
      <c r="BZ85" t="s">
        <v>57</v>
      </c>
      <c r="CA85" t="s">
        <v>57</v>
      </c>
      <c r="CB85" t="s">
        <v>57</v>
      </c>
      <c r="CC85" t="s">
        <v>57</v>
      </c>
      <c r="CD85" t="s">
        <v>57</v>
      </c>
      <c r="CE85" t="s">
        <v>57</v>
      </c>
      <c r="CF85" t="s">
        <v>57</v>
      </c>
      <c r="CG85" t="s">
        <v>57</v>
      </c>
      <c r="CH85" t="s">
        <v>57</v>
      </c>
      <c r="CI85" t="s">
        <v>57</v>
      </c>
      <c r="CJ85" t="s">
        <v>57</v>
      </c>
      <c r="CK85" t="s">
        <v>57</v>
      </c>
      <c r="CL85" t="s">
        <v>57</v>
      </c>
      <c r="CM85" t="s">
        <v>57</v>
      </c>
      <c r="CN85" t="s">
        <v>57</v>
      </c>
      <c r="CO85" t="s">
        <v>57</v>
      </c>
      <c r="CP85" t="s">
        <v>57</v>
      </c>
      <c r="CQ85" t="s">
        <v>57</v>
      </c>
      <c r="CR85" t="s">
        <v>57</v>
      </c>
      <c r="CS85" t="s">
        <v>57</v>
      </c>
      <c r="CT85" t="s">
        <v>57</v>
      </c>
      <c r="CU85" t="s">
        <v>57</v>
      </c>
      <c r="CV85" t="s">
        <v>57</v>
      </c>
      <c r="CW85" t="s">
        <v>57</v>
      </c>
      <c r="CX85" t="s">
        <v>57</v>
      </c>
      <c r="CY85" t="s">
        <v>57</v>
      </c>
      <c r="CZ85" t="s">
        <v>57</v>
      </c>
      <c r="DA85" t="s">
        <v>57</v>
      </c>
      <c r="DB85" t="s">
        <v>57</v>
      </c>
      <c r="DC85" t="s">
        <v>57</v>
      </c>
      <c r="DD85" t="s">
        <v>57</v>
      </c>
      <c r="DE85" t="s">
        <v>57</v>
      </c>
      <c r="DF85" t="s">
        <v>57</v>
      </c>
      <c r="DG85" t="s">
        <v>57</v>
      </c>
      <c r="DH85" t="s">
        <v>57</v>
      </c>
      <c r="DI85" t="s">
        <v>57</v>
      </c>
      <c r="DJ85" t="s">
        <v>57</v>
      </c>
      <c r="DK85" t="s">
        <v>57</v>
      </c>
      <c r="DL85" t="s">
        <v>57</v>
      </c>
      <c r="DM85" t="s">
        <v>57</v>
      </c>
      <c r="DN85" t="s">
        <v>175</v>
      </c>
      <c r="DO85" t="s">
        <v>175</v>
      </c>
      <c r="DP85" t="s">
        <v>175</v>
      </c>
      <c r="DQ85" t="s">
        <v>175</v>
      </c>
      <c r="DR85" t="s">
        <v>175</v>
      </c>
      <c r="DS85" t="s">
        <v>175</v>
      </c>
      <c r="DT85" t="s">
        <v>175</v>
      </c>
      <c r="DU85" t="s">
        <v>175</v>
      </c>
      <c r="DV85" t="s">
        <v>175</v>
      </c>
      <c r="DW85" t="s">
        <v>175</v>
      </c>
      <c r="DX85" t="s">
        <v>175</v>
      </c>
      <c r="DY85" t="s">
        <v>175</v>
      </c>
      <c r="DZ85" t="s">
        <v>175</v>
      </c>
      <c r="EA85" t="s">
        <v>57</v>
      </c>
      <c r="EB85" t="s">
        <v>57</v>
      </c>
      <c r="EC85" t="s">
        <v>57</v>
      </c>
      <c r="ED85" t="s">
        <v>57</v>
      </c>
      <c r="EE85" t="s">
        <v>57</v>
      </c>
      <c r="EF85" t="s">
        <v>57</v>
      </c>
      <c r="EG85" t="s">
        <v>57</v>
      </c>
      <c r="EH85" t="s">
        <v>175</v>
      </c>
      <c r="EI85" t="s">
        <v>57</v>
      </c>
      <c r="EJ85" t="s">
        <v>57</v>
      </c>
      <c r="EK85" t="s">
        <v>57</v>
      </c>
      <c r="EL85" t="s">
        <v>57</v>
      </c>
      <c r="EM85" t="s">
        <v>57</v>
      </c>
      <c r="EN85" t="s">
        <v>57</v>
      </c>
      <c r="EO85" t="s">
        <v>57</v>
      </c>
      <c r="EP85" t="s">
        <v>57</v>
      </c>
      <c r="EQ85" t="s">
        <v>57</v>
      </c>
      <c r="ER85" t="s">
        <v>57</v>
      </c>
      <c r="ES85" t="s">
        <v>57</v>
      </c>
      <c r="ET85" t="s">
        <v>57</v>
      </c>
      <c r="EU85" t="s">
        <v>57</v>
      </c>
      <c r="EV85" t="s">
        <v>57</v>
      </c>
      <c r="EW85" t="s">
        <v>57</v>
      </c>
      <c r="EX85" t="s">
        <v>57</v>
      </c>
      <c r="EY85" t="s">
        <v>57</v>
      </c>
      <c r="EZ85" t="s">
        <v>57</v>
      </c>
      <c r="FA85" t="s">
        <v>57</v>
      </c>
      <c r="FB85" t="s">
        <v>57</v>
      </c>
      <c r="FC85" t="s">
        <v>57</v>
      </c>
      <c r="FD85" t="s">
        <v>57</v>
      </c>
      <c r="FE85" t="s">
        <v>57</v>
      </c>
      <c r="FF85" t="s">
        <v>57</v>
      </c>
      <c r="FG85" t="s">
        <v>57</v>
      </c>
      <c r="FH85" t="s">
        <v>57</v>
      </c>
      <c r="FI85" t="s">
        <v>57</v>
      </c>
      <c r="FJ85" t="s">
        <v>57</v>
      </c>
      <c r="FK85" t="s">
        <v>57</v>
      </c>
      <c r="FL85" t="s">
        <v>57</v>
      </c>
      <c r="FM85" t="s">
        <v>57</v>
      </c>
      <c r="FN85" t="s">
        <v>57</v>
      </c>
      <c r="FO85" t="s">
        <v>175</v>
      </c>
      <c r="FP85" t="s">
        <v>57</v>
      </c>
      <c r="FQ85" t="s">
        <v>57</v>
      </c>
      <c r="FR85" t="s">
        <v>57</v>
      </c>
      <c r="FS85" t="s">
        <v>57</v>
      </c>
      <c r="FT85" t="s">
        <v>57</v>
      </c>
      <c r="FU85" t="s">
        <v>57</v>
      </c>
      <c r="FV85" t="s">
        <v>57</v>
      </c>
      <c r="FW85" t="s">
        <v>57</v>
      </c>
      <c r="FX85" t="s">
        <v>57</v>
      </c>
      <c r="FY85" t="s">
        <v>57</v>
      </c>
      <c r="FZ85" t="s">
        <v>57</v>
      </c>
      <c r="GA85" t="s">
        <v>57</v>
      </c>
      <c r="GB85" t="s">
        <v>57</v>
      </c>
      <c r="GC85" t="s">
        <v>57</v>
      </c>
      <c r="GD85" t="s">
        <v>57</v>
      </c>
      <c r="GE85" t="s">
        <v>57</v>
      </c>
      <c r="GF85" t="s">
        <v>2596</v>
      </c>
      <c r="GG85" t="s">
        <v>57</v>
      </c>
      <c r="GH85" t="s">
        <v>57</v>
      </c>
      <c r="GI85" t="s">
        <v>57</v>
      </c>
      <c r="GJ85" t="s">
        <v>57</v>
      </c>
      <c r="GK85" t="s">
        <v>57</v>
      </c>
      <c r="GL85" t="s">
        <v>57</v>
      </c>
      <c r="GM85" t="s">
        <v>57</v>
      </c>
      <c r="GN85" t="s">
        <v>57</v>
      </c>
      <c r="GO85" t="s">
        <v>57</v>
      </c>
      <c r="GP85" t="s">
        <v>57</v>
      </c>
      <c r="GQ85" t="s">
        <v>57</v>
      </c>
      <c r="GR85" t="s">
        <v>57</v>
      </c>
      <c r="GS85" t="s">
        <v>57</v>
      </c>
      <c r="GT85" t="s">
        <v>57</v>
      </c>
      <c r="GU85" t="s">
        <v>57</v>
      </c>
      <c r="GV85" t="s">
        <v>175</v>
      </c>
      <c r="GW85" t="s">
        <v>57</v>
      </c>
      <c r="GX85" t="s">
        <v>57</v>
      </c>
      <c r="GY85" t="s">
        <v>57</v>
      </c>
      <c r="GZ85" t="s">
        <v>57</v>
      </c>
      <c r="HA85" t="s">
        <v>57</v>
      </c>
      <c r="HB85" t="s">
        <v>57</v>
      </c>
      <c r="HC85" t="s">
        <v>57</v>
      </c>
      <c r="HD85" t="s">
        <v>57</v>
      </c>
      <c r="HE85" t="s">
        <v>57</v>
      </c>
      <c r="HF85" t="s">
        <v>57</v>
      </c>
      <c r="HG85" t="s">
        <v>57</v>
      </c>
      <c r="HH85" t="s">
        <v>57</v>
      </c>
      <c r="HI85" t="s">
        <v>175</v>
      </c>
      <c r="HJ85" t="s">
        <v>175</v>
      </c>
      <c r="HK85" t="s">
        <v>175</v>
      </c>
      <c r="HL85" t="s">
        <v>57</v>
      </c>
      <c r="HM85" t="s">
        <v>57</v>
      </c>
      <c r="HN85" t="s">
        <v>57</v>
      </c>
      <c r="HO85" t="s">
        <v>57</v>
      </c>
      <c r="HP85" t="s">
        <v>57</v>
      </c>
      <c r="HQ85" t="s">
        <v>57</v>
      </c>
      <c r="HR85" t="s">
        <v>57</v>
      </c>
      <c r="HS85" t="s">
        <v>57</v>
      </c>
      <c r="HT85" t="s">
        <v>57</v>
      </c>
      <c r="HU85" t="s">
        <v>57</v>
      </c>
      <c r="HV85" t="s">
        <v>57</v>
      </c>
      <c r="HW85" t="s">
        <v>57</v>
      </c>
      <c r="HX85" t="s">
        <v>57</v>
      </c>
      <c r="HY85" t="s">
        <v>57</v>
      </c>
      <c r="HZ85" t="s">
        <v>57</v>
      </c>
      <c r="IA85" t="s">
        <v>57</v>
      </c>
      <c r="IB85" t="s">
        <v>57</v>
      </c>
      <c r="IC85" t="s">
        <v>57</v>
      </c>
      <c r="ID85" t="s">
        <v>57</v>
      </c>
      <c r="IE85" t="s">
        <v>57</v>
      </c>
      <c r="IF85" t="s">
        <v>124</v>
      </c>
      <c r="IG85" t="s">
        <v>148</v>
      </c>
      <c r="IH85" t="s">
        <v>123</v>
      </c>
      <c r="II85" t="s">
        <v>156</v>
      </c>
    </row>
    <row r="86" spans="1:243" x14ac:dyDescent="0.25">
      <c r="A86" s="111" t="str">
        <f>HYPERLINK("http://www.ofsted.gov.uk/inspection-reports/find-inspection-report/provider/ELS/126118 ","Ofsted School Webpage")</f>
        <v>Ofsted School Webpage</v>
      </c>
      <c r="B86">
        <v>126118</v>
      </c>
      <c r="C86">
        <v>9386072</v>
      </c>
      <c r="D86" t="s">
        <v>1845</v>
      </c>
      <c r="E86" t="s">
        <v>36</v>
      </c>
      <c r="F86" t="s">
        <v>166</v>
      </c>
      <c r="G86" t="s">
        <v>139</v>
      </c>
      <c r="H86" t="s">
        <v>139</v>
      </c>
      <c r="I86" t="s">
        <v>351</v>
      </c>
      <c r="J86" t="s">
        <v>1846</v>
      </c>
      <c r="K86" t="s">
        <v>142</v>
      </c>
      <c r="L86" t="s">
        <v>249</v>
      </c>
      <c r="M86" t="s">
        <v>2596</v>
      </c>
      <c r="N86" t="s">
        <v>143</v>
      </c>
      <c r="O86">
        <v>10020825</v>
      </c>
      <c r="P86" s="108">
        <v>43060</v>
      </c>
      <c r="Q86" s="108">
        <v>43062</v>
      </c>
      <c r="R86" s="108">
        <v>43133</v>
      </c>
      <c r="S86" t="s">
        <v>153</v>
      </c>
      <c r="T86" t="s">
        <v>154</v>
      </c>
      <c r="U86">
        <v>4</v>
      </c>
      <c r="V86">
        <v>4</v>
      </c>
      <c r="W86">
        <v>4</v>
      </c>
      <c r="X86">
        <v>3</v>
      </c>
      <c r="Y86">
        <v>3</v>
      </c>
      <c r="Z86">
        <v>4</v>
      </c>
      <c r="AA86" t="s">
        <v>2596</v>
      </c>
      <c r="AB86" t="s">
        <v>124</v>
      </c>
      <c r="AC86" t="s">
        <v>2596</v>
      </c>
      <c r="AD86" t="s">
        <v>2599</v>
      </c>
      <c r="AE86" t="s">
        <v>57</v>
      </c>
      <c r="AF86" t="s">
        <v>57</v>
      </c>
      <c r="AG86" t="s">
        <v>58</v>
      </c>
      <c r="AH86" t="s">
        <v>57</v>
      </c>
      <c r="AI86" t="s">
        <v>57</v>
      </c>
      <c r="AJ86" t="s">
        <v>58</v>
      </c>
      <c r="AK86" t="s">
        <v>57</v>
      </c>
      <c r="AL86" t="s">
        <v>58</v>
      </c>
      <c r="AM86" t="s">
        <v>57</v>
      </c>
      <c r="AN86" t="s">
        <v>57</v>
      </c>
      <c r="AO86" t="s">
        <v>57</v>
      </c>
      <c r="AP86" t="s">
        <v>57</v>
      </c>
      <c r="AQ86" t="s">
        <v>57</v>
      </c>
      <c r="AR86" t="s">
        <v>57</v>
      </c>
      <c r="AS86" t="s">
        <v>57</v>
      </c>
      <c r="AT86" t="s">
        <v>57</v>
      </c>
      <c r="AU86" t="s">
        <v>57</v>
      </c>
      <c r="AV86" t="s">
        <v>57</v>
      </c>
      <c r="AW86" t="s">
        <v>57</v>
      </c>
      <c r="AX86" t="s">
        <v>57</v>
      </c>
      <c r="AY86" t="s">
        <v>57</v>
      </c>
      <c r="AZ86" t="s">
        <v>57</v>
      </c>
      <c r="BA86" t="s">
        <v>57</v>
      </c>
      <c r="BB86" t="s">
        <v>57</v>
      </c>
      <c r="BC86" t="s">
        <v>57</v>
      </c>
      <c r="BD86" t="s">
        <v>148</v>
      </c>
      <c r="BE86" t="s">
        <v>57</v>
      </c>
      <c r="BF86" t="s">
        <v>57</v>
      </c>
      <c r="BG86" t="s">
        <v>57</v>
      </c>
      <c r="BH86" t="s">
        <v>57</v>
      </c>
      <c r="BI86" t="s">
        <v>57</v>
      </c>
      <c r="BJ86" t="s">
        <v>57</v>
      </c>
      <c r="BK86" t="s">
        <v>57</v>
      </c>
      <c r="BL86" t="s">
        <v>57</v>
      </c>
      <c r="BM86" t="s">
        <v>57</v>
      </c>
      <c r="BN86" t="s">
        <v>57</v>
      </c>
      <c r="BO86" t="s">
        <v>57</v>
      </c>
      <c r="BP86" t="s">
        <v>57</v>
      </c>
      <c r="BQ86" t="s">
        <v>57</v>
      </c>
      <c r="BR86" t="s">
        <v>57</v>
      </c>
      <c r="BS86" t="s">
        <v>57</v>
      </c>
      <c r="BT86" t="s">
        <v>57</v>
      </c>
      <c r="BU86" t="s">
        <v>57</v>
      </c>
      <c r="BV86" t="s">
        <v>57</v>
      </c>
      <c r="BW86" t="s">
        <v>57</v>
      </c>
      <c r="BX86" t="s">
        <v>57</v>
      </c>
      <c r="BY86" t="s">
        <v>57</v>
      </c>
      <c r="BZ86" t="s">
        <v>57</v>
      </c>
      <c r="CA86" t="s">
        <v>57</v>
      </c>
      <c r="CB86" t="s">
        <v>57</v>
      </c>
      <c r="CC86" t="s">
        <v>57</v>
      </c>
      <c r="CD86" t="s">
        <v>57</v>
      </c>
      <c r="CE86" t="s">
        <v>57</v>
      </c>
      <c r="CF86" t="s">
        <v>57</v>
      </c>
      <c r="CG86" t="s">
        <v>57</v>
      </c>
      <c r="CH86" t="s">
        <v>58</v>
      </c>
      <c r="CI86" t="s">
        <v>58</v>
      </c>
      <c r="CJ86" t="s">
        <v>58</v>
      </c>
      <c r="CK86" t="s">
        <v>148</v>
      </c>
      <c r="CL86" t="s">
        <v>148</v>
      </c>
      <c r="CM86" t="s">
        <v>148</v>
      </c>
      <c r="CN86" t="s">
        <v>57</v>
      </c>
      <c r="CO86" t="s">
        <v>57</v>
      </c>
      <c r="CP86" t="s">
        <v>57</v>
      </c>
      <c r="CQ86" t="s">
        <v>57</v>
      </c>
      <c r="CR86" t="s">
        <v>57</v>
      </c>
      <c r="CS86" t="s">
        <v>58</v>
      </c>
      <c r="CT86" t="s">
        <v>58</v>
      </c>
      <c r="CU86" t="s">
        <v>58</v>
      </c>
      <c r="CV86" t="s">
        <v>57</v>
      </c>
      <c r="CW86" t="s">
        <v>58</v>
      </c>
      <c r="CX86" t="s">
        <v>58</v>
      </c>
      <c r="CY86" t="s">
        <v>58</v>
      </c>
      <c r="CZ86" t="s">
        <v>57</v>
      </c>
      <c r="DA86" t="s">
        <v>57</v>
      </c>
      <c r="DB86" t="s">
        <v>57</v>
      </c>
      <c r="DC86" t="s">
        <v>57</v>
      </c>
      <c r="DD86" t="s">
        <v>57</v>
      </c>
      <c r="DE86" t="s">
        <v>57</v>
      </c>
      <c r="DF86" t="s">
        <v>57</v>
      </c>
      <c r="DG86" t="s">
        <v>57</v>
      </c>
      <c r="DH86" t="s">
        <v>57</v>
      </c>
      <c r="DI86" t="s">
        <v>57</v>
      </c>
      <c r="DJ86" t="s">
        <v>57</v>
      </c>
      <c r="DK86" t="s">
        <v>148</v>
      </c>
      <c r="DL86" t="s">
        <v>57</v>
      </c>
      <c r="DM86" t="s">
        <v>57</v>
      </c>
      <c r="DN86" t="s">
        <v>57</v>
      </c>
      <c r="DO86" t="s">
        <v>57</v>
      </c>
      <c r="DP86" t="s">
        <v>57</v>
      </c>
      <c r="DQ86" t="s">
        <v>57</v>
      </c>
      <c r="DR86" t="s">
        <v>57</v>
      </c>
      <c r="DS86" t="s">
        <v>57</v>
      </c>
      <c r="DT86" t="s">
        <v>57</v>
      </c>
      <c r="DU86" t="s">
        <v>57</v>
      </c>
      <c r="DV86" t="s">
        <v>57</v>
      </c>
      <c r="DW86" t="s">
        <v>57</v>
      </c>
      <c r="DX86" t="s">
        <v>57</v>
      </c>
      <c r="DY86" t="s">
        <v>148</v>
      </c>
      <c r="DZ86" t="s">
        <v>57</v>
      </c>
      <c r="EA86" t="s">
        <v>58</v>
      </c>
      <c r="EB86" t="s">
        <v>57</v>
      </c>
      <c r="EC86" t="s">
        <v>57</v>
      </c>
      <c r="ED86" t="s">
        <v>57</v>
      </c>
      <c r="EE86" t="s">
        <v>58</v>
      </c>
      <c r="EF86" t="s">
        <v>58</v>
      </c>
      <c r="EG86" t="s">
        <v>57</v>
      </c>
      <c r="EH86" t="s">
        <v>58</v>
      </c>
      <c r="EI86" t="s">
        <v>57</v>
      </c>
      <c r="EJ86" t="s">
        <v>57</v>
      </c>
      <c r="EK86" t="s">
        <v>57</v>
      </c>
      <c r="EL86" t="s">
        <v>57</v>
      </c>
      <c r="EM86" t="s">
        <v>57</v>
      </c>
      <c r="EN86" t="s">
        <v>57</v>
      </c>
      <c r="EO86" t="s">
        <v>57</v>
      </c>
      <c r="EP86" t="s">
        <v>57</v>
      </c>
      <c r="EQ86" t="s">
        <v>57</v>
      </c>
      <c r="ER86" t="s">
        <v>57</v>
      </c>
      <c r="ES86" t="s">
        <v>57</v>
      </c>
      <c r="ET86" t="s">
        <v>57</v>
      </c>
      <c r="EU86" t="s">
        <v>57</v>
      </c>
      <c r="EV86" t="s">
        <v>57</v>
      </c>
      <c r="EW86" t="s">
        <v>57</v>
      </c>
      <c r="EX86" t="s">
        <v>57</v>
      </c>
      <c r="EY86" t="s">
        <v>57</v>
      </c>
      <c r="EZ86" t="s">
        <v>57</v>
      </c>
      <c r="FA86" t="s">
        <v>57</v>
      </c>
      <c r="FB86" t="s">
        <v>57</v>
      </c>
      <c r="FC86" t="s">
        <v>57</v>
      </c>
      <c r="FD86" t="s">
        <v>58</v>
      </c>
      <c r="FE86" t="s">
        <v>58</v>
      </c>
      <c r="FF86" t="s">
        <v>58</v>
      </c>
      <c r="FG86" t="s">
        <v>58</v>
      </c>
      <c r="FH86" t="s">
        <v>57</v>
      </c>
      <c r="FI86" t="s">
        <v>57</v>
      </c>
      <c r="FJ86" t="s">
        <v>57</v>
      </c>
      <c r="FK86" t="s">
        <v>57</v>
      </c>
      <c r="FL86" t="s">
        <v>57</v>
      </c>
      <c r="FM86" t="s">
        <v>57</v>
      </c>
      <c r="FN86" t="s">
        <v>57</v>
      </c>
      <c r="FO86" t="s">
        <v>148</v>
      </c>
      <c r="FP86" t="s">
        <v>57</v>
      </c>
      <c r="FQ86" t="s">
        <v>57</v>
      </c>
      <c r="FR86" t="s">
        <v>57</v>
      </c>
      <c r="FS86" t="s">
        <v>57</v>
      </c>
      <c r="FT86" t="s">
        <v>57</v>
      </c>
      <c r="FU86" t="s">
        <v>57</v>
      </c>
      <c r="FV86" t="s">
        <v>57</v>
      </c>
      <c r="FW86" t="s">
        <v>57</v>
      </c>
      <c r="FX86" t="s">
        <v>57</v>
      </c>
      <c r="FY86" t="s">
        <v>57</v>
      </c>
      <c r="FZ86" t="s">
        <v>57</v>
      </c>
      <c r="GA86" t="s">
        <v>57</v>
      </c>
      <c r="GB86" t="s">
        <v>57</v>
      </c>
      <c r="GC86" t="s">
        <v>57</v>
      </c>
      <c r="GD86" t="s">
        <v>57</v>
      </c>
      <c r="GE86" t="s">
        <v>57</v>
      </c>
      <c r="GF86" t="s">
        <v>57</v>
      </c>
      <c r="GG86" t="s">
        <v>148</v>
      </c>
      <c r="GH86" t="s">
        <v>58</v>
      </c>
      <c r="GI86" t="s">
        <v>57</v>
      </c>
      <c r="GJ86" t="s">
        <v>57</v>
      </c>
      <c r="GK86" t="s">
        <v>58</v>
      </c>
      <c r="GL86" t="s">
        <v>57</v>
      </c>
      <c r="GM86" t="s">
        <v>57</v>
      </c>
      <c r="GN86" t="s">
        <v>57</v>
      </c>
      <c r="GO86" t="s">
        <v>57</v>
      </c>
      <c r="GP86" t="s">
        <v>57</v>
      </c>
      <c r="GQ86" t="s">
        <v>57</v>
      </c>
      <c r="GR86" t="s">
        <v>57</v>
      </c>
      <c r="GS86" t="s">
        <v>57</v>
      </c>
      <c r="GT86" t="s">
        <v>57</v>
      </c>
      <c r="GU86" t="s">
        <v>57</v>
      </c>
      <c r="GV86" t="s">
        <v>57</v>
      </c>
      <c r="GW86" t="s">
        <v>57</v>
      </c>
      <c r="GX86" t="s">
        <v>57</v>
      </c>
      <c r="GY86" t="s">
        <v>57</v>
      </c>
      <c r="GZ86" t="s">
        <v>57</v>
      </c>
      <c r="HA86" t="s">
        <v>57</v>
      </c>
      <c r="HB86" t="s">
        <v>57</v>
      </c>
      <c r="HC86" t="s">
        <v>57</v>
      </c>
      <c r="HD86" t="s">
        <v>57</v>
      </c>
      <c r="HE86" t="s">
        <v>57</v>
      </c>
      <c r="HF86" t="s">
        <v>57</v>
      </c>
      <c r="HG86" t="s">
        <v>57</v>
      </c>
      <c r="HH86" t="s">
        <v>57</v>
      </c>
      <c r="HI86" t="s">
        <v>57</v>
      </c>
      <c r="HJ86" t="s">
        <v>57</v>
      </c>
      <c r="HK86" t="s">
        <v>57</v>
      </c>
      <c r="HL86" t="s">
        <v>57</v>
      </c>
      <c r="HM86" t="s">
        <v>57</v>
      </c>
      <c r="HN86" t="s">
        <v>57</v>
      </c>
      <c r="HO86" t="s">
        <v>57</v>
      </c>
      <c r="HP86" t="s">
        <v>57</v>
      </c>
      <c r="HQ86" t="s">
        <v>57</v>
      </c>
      <c r="HR86" t="s">
        <v>57</v>
      </c>
      <c r="HS86" t="s">
        <v>57</v>
      </c>
      <c r="HT86" t="s">
        <v>57</v>
      </c>
      <c r="HU86" t="s">
        <v>57</v>
      </c>
      <c r="HV86" t="s">
        <v>57</v>
      </c>
      <c r="HW86" t="s">
        <v>57</v>
      </c>
      <c r="HX86" t="s">
        <v>57</v>
      </c>
      <c r="HY86" t="s">
        <v>57</v>
      </c>
      <c r="HZ86" t="s">
        <v>57</v>
      </c>
      <c r="IA86" t="s">
        <v>57</v>
      </c>
      <c r="IB86" t="s">
        <v>58</v>
      </c>
      <c r="IC86" t="s">
        <v>58</v>
      </c>
      <c r="ID86" t="s">
        <v>58</v>
      </c>
      <c r="IE86" t="s">
        <v>58</v>
      </c>
      <c r="IF86" t="s">
        <v>124</v>
      </c>
      <c r="IG86" t="s">
        <v>155</v>
      </c>
      <c r="IH86" t="s">
        <v>123</v>
      </c>
      <c r="II86" t="s">
        <v>156</v>
      </c>
    </row>
    <row r="87" spans="1:243" x14ac:dyDescent="0.25">
      <c r="A87" s="111" t="str">
        <f>HYPERLINK("http://www.ofsted.gov.uk/inspection-reports/find-inspection-report/provider/ELS/126141 ","Ofsted School Webpage")</f>
        <v>Ofsted School Webpage</v>
      </c>
      <c r="B87">
        <v>126141</v>
      </c>
      <c r="C87">
        <v>9386219</v>
      </c>
      <c r="D87" t="s">
        <v>457</v>
      </c>
      <c r="E87" t="s">
        <v>37</v>
      </c>
      <c r="F87" t="s">
        <v>138</v>
      </c>
      <c r="G87" t="s">
        <v>139</v>
      </c>
      <c r="H87" t="s">
        <v>139</v>
      </c>
      <c r="I87" t="s">
        <v>351</v>
      </c>
      <c r="J87" t="s">
        <v>458</v>
      </c>
      <c r="K87" t="s">
        <v>142</v>
      </c>
      <c r="L87" t="s">
        <v>169</v>
      </c>
      <c r="M87" t="s">
        <v>2596</v>
      </c>
      <c r="N87" t="s">
        <v>143</v>
      </c>
      <c r="O87">
        <v>10039159</v>
      </c>
      <c r="P87" s="108">
        <v>42997</v>
      </c>
      <c r="Q87" s="108">
        <v>42999</v>
      </c>
      <c r="R87" s="108">
        <v>43025</v>
      </c>
      <c r="S87" t="s">
        <v>153</v>
      </c>
      <c r="T87" t="s">
        <v>154</v>
      </c>
      <c r="U87">
        <v>3</v>
      </c>
      <c r="V87">
        <v>2</v>
      </c>
      <c r="W87">
        <v>2</v>
      </c>
      <c r="X87">
        <v>3</v>
      </c>
      <c r="Y87">
        <v>3</v>
      </c>
      <c r="Z87" t="s">
        <v>2596</v>
      </c>
      <c r="AA87">
        <v>1</v>
      </c>
      <c r="AB87" t="s">
        <v>123</v>
      </c>
      <c r="AC87" t="s">
        <v>2596</v>
      </c>
      <c r="AD87" t="s">
        <v>2598</v>
      </c>
      <c r="AE87" t="s">
        <v>57</v>
      </c>
      <c r="AF87" t="s">
        <v>57</v>
      </c>
      <c r="AG87" t="s">
        <v>57</v>
      </c>
      <c r="AH87" t="s">
        <v>57</v>
      </c>
      <c r="AI87" t="s">
        <v>57</v>
      </c>
      <c r="AJ87" t="s">
        <v>57</v>
      </c>
      <c r="AK87" t="s">
        <v>57</v>
      </c>
      <c r="AL87" t="s">
        <v>57</v>
      </c>
      <c r="AM87" t="s">
        <v>57</v>
      </c>
      <c r="AN87" t="s">
        <v>57</v>
      </c>
      <c r="AO87" t="s">
        <v>57</v>
      </c>
      <c r="AP87" t="s">
        <v>57</v>
      </c>
      <c r="AQ87" t="s">
        <v>57</v>
      </c>
      <c r="AR87" t="s">
        <v>57</v>
      </c>
      <c r="AS87" t="s">
        <v>57</v>
      </c>
      <c r="AT87" t="s">
        <v>57</v>
      </c>
      <c r="AU87" t="s">
        <v>175</v>
      </c>
      <c r="AV87" t="s">
        <v>57</v>
      </c>
      <c r="AW87" t="s">
        <v>57</v>
      </c>
      <c r="AX87" t="s">
        <v>57</v>
      </c>
      <c r="AY87" t="s">
        <v>57</v>
      </c>
      <c r="AZ87" t="s">
        <v>57</v>
      </c>
      <c r="BA87" t="s">
        <v>57</v>
      </c>
      <c r="BB87" t="s">
        <v>57</v>
      </c>
      <c r="BC87" t="s">
        <v>175</v>
      </c>
      <c r="BD87" t="s">
        <v>57</v>
      </c>
      <c r="BE87" t="s">
        <v>57</v>
      </c>
      <c r="BF87" t="s">
        <v>57</v>
      </c>
      <c r="BG87" t="s">
        <v>57</v>
      </c>
      <c r="BH87" t="s">
        <v>57</v>
      </c>
      <c r="BI87" t="s">
        <v>57</v>
      </c>
      <c r="BJ87" t="s">
        <v>57</v>
      </c>
      <c r="BK87" t="s">
        <v>57</v>
      </c>
      <c r="BL87" t="s">
        <v>57</v>
      </c>
      <c r="BM87" t="s">
        <v>57</v>
      </c>
      <c r="BN87" t="s">
        <v>57</v>
      </c>
      <c r="BO87" t="s">
        <v>57</v>
      </c>
      <c r="BP87" t="s">
        <v>57</v>
      </c>
      <c r="BQ87" t="s">
        <v>57</v>
      </c>
      <c r="BR87" t="s">
        <v>57</v>
      </c>
      <c r="BS87" t="s">
        <v>57</v>
      </c>
      <c r="BT87" t="s">
        <v>57</v>
      </c>
      <c r="BU87" t="s">
        <v>57</v>
      </c>
      <c r="BV87" t="s">
        <v>57</v>
      </c>
      <c r="BW87" t="s">
        <v>57</v>
      </c>
      <c r="BX87" t="s">
        <v>57</v>
      </c>
      <c r="BY87" t="s">
        <v>57</v>
      </c>
      <c r="BZ87" t="s">
        <v>57</v>
      </c>
      <c r="CA87" t="s">
        <v>57</v>
      </c>
      <c r="CB87" t="s">
        <v>57</v>
      </c>
      <c r="CC87" t="s">
        <v>57</v>
      </c>
      <c r="CD87" t="s">
        <v>57</v>
      </c>
      <c r="CE87" t="s">
        <v>57</v>
      </c>
      <c r="CF87" t="s">
        <v>57</v>
      </c>
      <c r="CG87" t="s">
        <v>57</v>
      </c>
      <c r="CH87" t="s">
        <v>57</v>
      </c>
      <c r="CI87" t="s">
        <v>57</v>
      </c>
      <c r="CJ87" t="s">
        <v>57</v>
      </c>
      <c r="CK87" t="s">
        <v>57</v>
      </c>
      <c r="CL87" t="s">
        <v>57</v>
      </c>
      <c r="CM87" t="s">
        <v>175</v>
      </c>
      <c r="CN87" t="s">
        <v>57</v>
      </c>
      <c r="CO87" t="s">
        <v>57</v>
      </c>
      <c r="CP87" t="s">
        <v>57</v>
      </c>
      <c r="CQ87" t="s">
        <v>57</v>
      </c>
      <c r="CR87" t="s">
        <v>57</v>
      </c>
      <c r="CS87" t="s">
        <v>57</v>
      </c>
      <c r="CT87" t="s">
        <v>57</v>
      </c>
      <c r="CU87" t="s">
        <v>57</v>
      </c>
      <c r="CV87" t="s">
        <v>57</v>
      </c>
      <c r="CW87" t="s">
        <v>57</v>
      </c>
      <c r="CX87" t="s">
        <v>57</v>
      </c>
      <c r="CY87" t="s">
        <v>57</v>
      </c>
      <c r="CZ87" t="s">
        <v>57</v>
      </c>
      <c r="DA87" t="s">
        <v>57</v>
      </c>
      <c r="DB87" t="s">
        <v>57</v>
      </c>
      <c r="DC87" t="s">
        <v>57</v>
      </c>
      <c r="DD87" t="s">
        <v>57</v>
      </c>
      <c r="DE87" t="s">
        <v>57</v>
      </c>
      <c r="DF87" t="s">
        <v>57</v>
      </c>
      <c r="DG87" t="s">
        <v>57</v>
      </c>
      <c r="DH87" t="s">
        <v>57</v>
      </c>
      <c r="DI87" t="s">
        <v>57</v>
      </c>
      <c r="DJ87" t="s">
        <v>57</v>
      </c>
      <c r="DK87" t="s">
        <v>175</v>
      </c>
      <c r="DL87" t="s">
        <v>57</v>
      </c>
      <c r="DM87" t="s">
        <v>57</v>
      </c>
      <c r="DN87" t="s">
        <v>57</v>
      </c>
      <c r="DO87" t="s">
        <v>57</v>
      </c>
      <c r="DP87" t="s">
        <v>57</v>
      </c>
      <c r="DQ87" t="s">
        <v>57</v>
      </c>
      <c r="DR87" t="s">
        <v>57</v>
      </c>
      <c r="DS87" t="s">
        <v>57</v>
      </c>
      <c r="DT87" t="s">
        <v>57</v>
      </c>
      <c r="DU87" t="s">
        <v>57</v>
      </c>
      <c r="DV87" t="s">
        <v>57</v>
      </c>
      <c r="DW87" t="s">
        <v>57</v>
      </c>
      <c r="DX87" t="s">
        <v>57</v>
      </c>
      <c r="DY87" t="s">
        <v>175</v>
      </c>
      <c r="DZ87" t="s">
        <v>57</v>
      </c>
      <c r="EA87" t="s">
        <v>57</v>
      </c>
      <c r="EB87" t="s">
        <v>57</v>
      </c>
      <c r="EC87" t="s">
        <v>57</v>
      </c>
      <c r="ED87" t="s">
        <v>57</v>
      </c>
      <c r="EE87" t="s">
        <v>57</v>
      </c>
      <c r="EF87" t="s">
        <v>57</v>
      </c>
      <c r="EG87" t="s">
        <v>57</v>
      </c>
      <c r="EH87" t="s">
        <v>57</v>
      </c>
      <c r="EI87" t="s">
        <v>57</v>
      </c>
      <c r="EJ87" t="s">
        <v>57</v>
      </c>
      <c r="EK87" t="s">
        <v>57</v>
      </c>
      <c r="EL87" t="s">
        <v>57</v>
      </c>
      <c r="EM87" t="s">
        <v>57</v>
      </c>
      <c r="EN87" t="s">
        <v>57</v>
      </c>
      <c r="EO87" t="s">
        <v>57</v>
      </c>
      <c r="EP87" t="s">
        <v>57</v>
      </c>
      <c r="EQ87" t="s">
        <v>57</v>
      </c>
      <c r="ER87" t="s">
        <v>57</v>
      </c>
      <c r="ES87" t="s">
        <v>57</v>
      </c>
      <c r="ET87" t="s">
        <v>57</v>
      </c>
      <c r="EU87" t="s">
        <v>57</v>
      </c>
      <c r="EV87" t="s">
        <v>57</v>
      </c>
      <c r="EW87" t="s">
        <v>57</v>
      </c>
      <c r="EX87" t="s">
        <v>57</v>
      </c>
      <c r="EY87" t="s">
        <v>57</v>
      </c>
      <c r="EZ87" t="s">
        <v>57</v>
      </c>
      <c r="FA87" t="s">
        <v>57</v>
      </c>
      <c r="FB87" t="s">
        <v>57</v>
      </c>
      <c r="FC87" t="s">
        <v>57</v>
      </c>
      <c r="FD87" t="s">
        <v>57</v>
      </c>
      <c r="FE87" t="s">
        <v>57</v>
      </c>
      <c r="FF87" t="s">
        <v>57</v>
      </c>
      <c r="FG87" t="s">
        <v>57</v>
      </c>
      <c r="FH87" t="s">
        <v>57</v>
      </c>
      <c r="FI87" t="s">
        <v>57</v>
      </c>
      <c r="FJ87" t="s">
        <v>57</v>
      </c>
      <c r="FK87" t="s">
        <v>57</v>
      </c>
      <c r="FL87" t="s">
        <v>57</v>
      </c>
      <c r="FM87" t="s">
        <v>57</v>
      </c>
      <c r="FN87" t="s">
        <v>57</v>
      </c>
      <c r="FO87" t="s">
        <v>175</v>
      </c>
      <c r="FP87" t="s">
        <v>57</v>
      </c>
      <c r="FQ87" t="s">
        <v>57</v>
      </c>
      <c r="FR87" t="s">
        <v>57</v>
      </c>
      <c r="FS87" t="s">
        <v>57</v>
      </c>
      <c r="FT87" t="s">
        <v>57</v>
      </c>
      <c r="FU87" t="s">
        <v>57</v>
      </c>
      <c r="FV87" t="s">
        <v>57</v>
      </c>
      <c r="FW87" t="s">
        <v>57</v>
      </c>
      <c r="FX87" t="s">
        <v>57</v>
      </c>
      <c r="FY87" t="s">
        <v>57</v>
      </c>
      <c r="FZ87" t="s">
        <v>57</v>
      </c>
      <c r="GA87" t="s">
        <v>57</v>
      </c>
      <c r="GB87" t="s">
        <v>57</v>
      </c>
      <c r="GC87" t="s">
        <v>57</v>
      </c>
      <c r="GD87" t="s">
        <v>57</v>
      </c>
      <c r="GE87" t="s">
        <v>57</v>
      </c>
      <c r="GF87" t="s">
        <v>57</v>
      </c>
      <c r="GG87" t="s">
        <v>175</v>
      </c>
      <c r="GH87" t="s">
        <v>57</v>
      </c>
      <c r="GI87" t="s">
        <v>57</v>
      </c>
      <c r="GJ87" t="s">
        <v>57</v>
      </c>
      <c r="GK87" t="s">
        <v>57</v>
      </c>
      <c r="GL87" t="s">
        <v>57</v>
      </c>
      <c r="GM87" t="s">
        <v>57</v>
      </c>
      <c r="GN87" t="s">
        <v>57</v>
      </c>
      <c r="GO87" t="s">
        <v>57</v>
      </c>
      <c r="GP87" t="s">
        <v>57</v>
      </c>
      <c r="GQ87" t="s">
        <v>57</v>
      </c>
      <c r="GR87" t="s">
        <v>57</v>
      </c>
      <c r="GS87" t="s">
        <v>57</v>
      </c>
      <c r="GT87" t="s">
        <v>57</v>
      </c>
      <c r="GU87" t="s">
        <v>57</v>
      </c>
      <c r="GV87" t="s">
        <v>57</v>
      </c>
      <c r="GW87" t="s">
        <v>175</v>
      </c>
      <c r="GX87" t="s">
        <v>175</v>
      </c>
      <c r="GY87" t="s">
        <v>57</v>
      </c>
      <c r="GZ87" t="s">
        <v>57</v>
      </c>
      <c r="HA87" t="s">
        <v>57</v>
      </c>
      <c r="HB87" t="s">
        <v>57</v>
      </c>
      <c r="HC87" t="s">
        <v>57</v>
      </c>
      <c r="HD87" t="s">
        <v>57</v>
      </c>
      <c r="HE87" t="s">
        <v>57</v>
      </c>
      <c r="HF87" t="s">
        <v>57</v>
      </c>
      <c r="HG87" t="s">
        <v>57</v>
      </c>
      <c r="HH87" t="s">
        <v>57</v>
      </c>
      <c r="HI87" t="s">
        <v>175</v>
      </c>
      <c r="HJ87" t="s">
        <v>175</v>
      </c>
      <c r="HK87" t="s">
        <v>175</v>
      </c>
      <c r="HL87" t="s">
        <v>57</v>
      </c>
      <c r="HM87" t="s">
        <v>57</v>
      </c>
      <c r="HN87" t="s">
        <v>57</v>
      </c>
      <c r="HO87" t="s">
        <v>57</v>
      </c>
      <c r="HP87" t="s">
        <v>57</v>
      </c>
      <c r="HQ87" t="s">
        <v>57</v>
      </c>
      <c r="HR87" t="s">
        <v>57</v>
      </c>
      <c r="HS87" t="s">
        <v>57</v>
      </c>
      <c r="HT87" t="s">
        <v>57</v>
      </c>
      <c r="HU87" t="s">
        <v>57</v>
      </c>
      <c r="HV87" t="s">
        <v>57</v>
      </c>
      <c r="HW87" t="s">
        <v>57</v>
      </c>
      <c r="HX87" t="s">
        <v>57</v>
      </c>
      <c r="HY87" t="s">
        <v>57</v>
      </c>
      <c r="HZ87" t="s">
        <v>57</v>
      </c>
      <c r="IA87" t="s">
        <v>57</v>
      </c>
      <c r="IB87" t="s">
        <v>57</v>
      </c>
      <c r="IC87" t="s">
        <v>57</v>
      </c>
      <c r="ID87" t="s">
        <v>57</v>
      </c>
      <c r="IE87" t="s">
        <v>57</v>
      </c>
      <c r="IF87" t="s">
        <v>123</v>
      </c>
      <c r="IG87" t="s">
        <v>123</v>
      </c>
      <c r="IH87" t="s">
        <v>123</v>
      </c>
      <c r="II87" t="s">
        <v>156</v>
      </c>
    </row>
    <row r="88" spans="1:243" x14ac:dyDescent="0.25">
      <c r="A88" s="111" t="str">
        <f>HYPERLINK("http://www.ofsted.gov.uk/inspection-reports/find-inspection-report/provider/ELS/130244 ","Ofsted School Webpage")</f>
        <v>Ofsted School Webpage</v>
      </c>
      <c r="B88">
        <v>130244</v>
      </c>
      <c r="C88">
        <v>3306113</v>
      </c>
      <c r="D88" t="s">
        <v>595</v>
      </c>
      <c r="E88" t="s">
        <v>36</v>
      </c>
      <c r="F88" t="s">
        <v>166</v>
      </c>
      <c r="G88" t="s">
        <v>150</v>
      </c>
      <c r="H88" t="s">
        <v>150</v>
      </c>
      <c r="I88" t="s">
        <v>167</v>
      </c>
      <c r="J88" t="s">
        <v>596</v>
      </c>
      <c r="K88" t="s">
        <v>261</v>
      </c>
      <c r="L88" t="s">
        <v>180</v>
      </c>
      <c r="M88" t="s">
        <v>2596</v>
      </c>
      <c r="N88" t="s">
        <v>143</v>
      </c>
      <c r="O88">
        <v>10038829</v>
      </c>
      <c r="P88" s="108">
        <v>43060</v>
      </c>
      <c r="Q88" s="108">
        <v>43062</v>
      </c>
      <c r="R88" s="108">
        <v>43090</v>
      </c>
      <c r="S88" t="s">
        <v>153</v>
      </c>
      <c r="T88" t="s">
        <v>154</v>
      </c>
      <c r="U88">
        <v>2</v>
      </c>
      <c r="V88">
        <v>2</v>
      </c>
      <c r="W88">
        <v>1</v>
      </c>
      <c r="X88">
        <v>2</v>
      </c>
      <c r="Y88">
        <v>2</v>
      </c>
      <c r="Z88">
        <v>2</v>
      </c>
      <c r="AA88" t="s">
        <v>2596</v>
      </c>
      <c r="AB88" t="s">
        <v>123</v>
      </c>
      <c r="AC88" t="s">
        <v>2596</v>
      </c>
      <c r="AD88" t="s">
        <v>2598</v>
      </c>
      <c r="AE88" t="s">
        <v>57</v>
      </c>
      <c r="AF88" t="s">
        <v>57</v>
      </c>
      <c r="AG88" t="s">
        <v>57</v>
      </c>
      <c r="AH88" t="s">
        <v>57</v>
      </c>
      <c r="AI88" t="s">
        <v>57</v>
      </c>
      <c r="AJ88" t="s">
        <v>57</v>
      </c>
      <c r="AK88" t="s">
        <v>57</v>
      </c>
      <c r="AL88" t="s">
        <v>57</v>
      </c>
      <c r="AM88" t="s">
        <v>57</v>
      </c>
      <c r="AN88" t="s">
        <v>57</v>
      </c>
      <c r="AO88" t="s">
        <v>57</v>
      </c>
      <c r="AP88" t="s">
        <v>57</v>
      </c>
      <c r="AQ88" t="s">
        <v>57</v>
      </c>
      <c r="AR88" t="s">
        <v>57</v>
      </c>
      <c r="AS88" t="s">
        <v>57</v>
      </c>
      <c r="AT88" t="s">
        <v>57</v>
      </c>
      <c r="AU88" t="s">
        <v>175</v>
      </c>
      <c r="AV88" t="s">
        <v>57</v>
      </c>
      <c r="AW88" t="s">
        <v>57</v>
      </c>
      <c r="AX88" t="s">
        <v>57</v>
      </c>
      <c r="AY88" t="s">
        <v>175</v>
      </c>
      <c r="AZ88" t="s">
        <v>175</v>
      </c>
      <c r="BA88" t="s">
        <v>175</v>
      </c>
      <c r="BB88" t="s">
        <v>175</v>
      </c>
      <c r="BC88" t="s">
        <v>57</v>
      </c>
      <c r="BD88" t="s">
        <v>57</v>
      </c>
      <c r="BE88" t="s">
        <v>57</v>
      </c>
      <c r="BF88" t="s">
        <v>57</v>
      </c>
      <c r="BG88" t="s">
        <v>57</v>
      </c>
      <c r="BH88" t="s">
        <v>57</v>
      </c>
      <c r="BI88" t="s">
        <v>57</v>
      </c>
      <c r="BJ88" t="s">
        <v>57</v>
      </c>
      <c r="BK88" t="s">
        <v>57</v>
      </c>
      <c r="BL88" t="s">
        <v>57</v>
      </c>
      <c r="BM88" t="s">
        <v>57</v>
      </c>
      <c r="BN88" t="s">
        <v>57</v>
      </c>
      <c r="BO88" t="s">
        <v>57</v>
      </c>
      <c r="BP88" t="s">
        <v>57</v>
      </c>
      <c r="BQ88" t="s">
        <v>57</v>
      </c>
      <c r="BR88" t="s">
        <v>57</v>
      </c>
      <c r="BS88" t="s">
        <v>57</v>
      </c>
      <c r="BT88" t="s">
        <v>57</v>
      </c>
      <c r="BU88" t="s">
        <v>57</v>
      </c>
      <c r="BV88" t="s">
        <v>57</v>
      </c>
      <c r="BW88" t="s">
        <v>57</v>
      </c>
      <c r="BX88" t="s">
        <v>57</v>
      </c>
      <c r="BY88" t="s">
        <v>57</v>
      </c>
      <c r="BZ88" t="s">
        <v>57</v>
      </c>
      <c r="CA88" t="s">
        <v>57</v>
      </c>
      <c r="CB88" t="s">
        <v>57</v>
      </c>
      <c r="CC88" t="s">
        <v>57</v>
      </c>
      <c r="CD88" t="s">
        <v>57</v>
      </c>
      <c r="CE88" t="s">
        <v>57</v>
      </c>
      <c r="CF88" t="s">
        <v>57</v>
      </c>
      <c r="CG88" t="s">
        <v>57</v>
      </c>
      <c r="CH88" t="s">
        <v>57</v>
      </c>
      <c r="CI88" t="s">
        <v>57</v>
      </c>
      <c r="CJ88" t="s">
        <v>57</v>
      </c>
      <c r="CK88" t="s">
        <v>175</v>
      </c>
      <c r="CL88" t="s">
        <v>175</v>
      </c>
      <c r="CM88" t="s">
        <v>175</v>
      </c>
      <c r="CN88" t="s">
        <v>57</v>
      </c>
      <c r="CO88" t="s">
        <v>57</v>
      </c>
      <c r="CP88" t="s">
        <v>57</v>
      </c>
      <c r="CQ88" t="s">
        <v>57</v>
      </c>
      <c r="CR88" t="s">
        <v>57</v>
      </c>
      <c r="CS88" t="s">
        <v>57</v>
      </c>
      <c r="CT88" t="s">
        <v>57</v>
      </c>
      <c r="CU88" t="s">
        <v>57</v>
      </c>
      <c r="CV88" t="s">
        <v>57</v>
      </c>
      <c r="CW88" t="s">
        <v>57</v>
      </c>
      <c r="CX88" t="s">
        <v>57</v>
      </c>
      <c r="CY88" t="s">
        <v>57</v>
      </c>
      <c r="CZ88" t="s">
        <v>57</v>
      </c>
      <c r="DA88" t="s">
        <v>57</v>
      </c>
      <c r="DB88" t="s">
        <v>57</v>
      </c>
      <c r="DC88" t="s">
        <v>57</v>
      </c>
      <c r="DD88" t="s">
        <v>57</v>
      </c>
      <c r="DE88" t="s">
        <v>57</v>
      </c>
      <c r="DF88" t="s">
        <v>57</v>
      </c>
      <c r="DG88" t="s">
        <v>57</v>
      </c>
      <c r="DH88" t="s">
        <v>57</v>
      </c>
      <c r="DI88" t="s">
        <v>57</v>
      </c>
      <c r="DJ88" t="s">
        <v>57</v>
      </c>
      <c r="DK88" t="s">
        <v>57</v>
      </c>
      <c r="DL88" t="s">
        <v>57</v>
      </c>
      <c r="DM88" t="s">
        <v>57</v>
      </c>
      <c r="DN88" t="s">
        <v>57</v>
      </c>
      <c r="DO88" t="s">
        <v>57</v>
      </c>
      <c r="DP88" t="s">
        <v>57</v>
      </c>
      <c r="DQ88" t="s">
        <v>57</v>
      </c>
      <c r="DR88" t="s">
        <v>57</v>
      </c>
      <c r="DS88" t="s">
        <v>57</v>
      </c>
      <c r="DT88" t="s">
        <v>57</v>
      </c>
      <c r="DU88" t="s">
        <v>57</v>
      </c>
      <c r="DV88" t="s">
        <v>57</v>
      </c>
      <c r="DW88" t="s">
        <v>57</v>
      </c>
      <c r="DX88" t="s">
        <v>57</v>
      </c>
      <c r="DY88" t="s">
        <v>57</v>
      </c>
      <c r="DZ88" t="s">
        <v>57</v>
      </c>
      <c r="EA88" t="s">
        <v>57</v>
      </c>
      <c r="EB88" t="s">
        <v>57</v>
      </c>
      <c r="EC88" t="s">
        <v>57</v>
      </c>
      <c r="ED88" t="s">
        <v>57</v>
      </c>
      <c r="EE88" t="s">
        <v>57</v>
      </c>
      <c r="EF88" t="s">
        <v>57</v>
      </c>
      <c r="EG88" t="s">
        <v>57</v>
      </c>
      <c r="EH88" t="s">
        <v>57</v>
      </c>
      <c r="EI88" t="s">
        <v>57</v>
      </c>
      <c r="EJ88" t="s">
        <v>57</v>
      </c>
      <c r="EK88" t="s">
        <v>57</v>
      </c>
      <c r="EL88" t="s">
        <v>57</v>
      </c>
      <c r="EM88" t="s">
        <v>57</v>
      </c>
      <c r="EN88" t="s">
        <v>57</v>
      </c>
      <c r="EO88" t="s">
        <v>57</v>
      </c>
      <c r="EP88" t="s">
        <v>57</v>
      </c>
      <c r="EQ88" t="s">
        <v>57</v>
      </c>
      <c r="ER88" t="s">
        <v>57</v>
      </c>
      <c r="ES88" t="s">
        <v>57</v>
      </c>
      <c r="ET88" t="s">
        <v>57</v>
      </c>
      <c r="EU88" t="s">
        <v>57</v>
      </c>
      <c r="EV88" t="s">
        <v>57</v>
      </c>
      <c r="EW88" t="s">
        <v>57</v>
      </c>
      <c r="EX88" t="s">
        <v>57</v>
      </c>
      <c r="EY88" t="s">
        <v>57</v>
      </c>
      <c r="EZ88" t="s">
        <v>57</v>
      </c>
      <c r="FA88" t="s">
        <v>57</v>
      </c>
      <c r="FB88" t="s">
        <v>57</v>
      </c>
      <c r="FC88" t="s">
        <v>57</v>
      </c>
      <c r="FD88" t="s">
        <v>57</v>
      </c>
      <c r="FE88" t="s">
        <v>57</v>
      </c>
      <c r="FF88" t="s">
        <v>57</v>
      </c>
      <c r="FG88" t="s">
        <v>57</v>
      </c>
      <c r="FH88" t="s">
        <v>57</v>
      </c>
      <c r="FI88" t="s">
        <v>57</v>
      </c>
      <c r="FJ88" t="s">
        <v>57</v>
      </c>
      <c r="FK88" t="s">
        <v>57</v>
      </c>
      <c r="FL88" t="s">
        <v>57</v>
      </c>
      <c r="FM88" t="s">
        <v>57</v>
      </c>
      <c r="FN88" t="s">
        <v>57</v>
      </c>
      <c r="FO88" t="s">
        <v>175</v>
      </c>
      <c r="FP88" t="s">
        <v>57</v>
      </c>
      <c r="FQ88" t="s">
        <v>57</v>
      </c>
      <c r="FR88" t="s">
        <v>57</v>
      </c>
      <c r="FS88" t="s">
        <v>57</v>
      </c>
      <c r="FT88" t="s">
        <v>57</v>
      </c>
      <c r="FU88" t="s">
        <v>57</v>
      </c>
      <c r="FV88" t="s">
        <v>57</v>
      </c>
      <c r="FW88" t="s">
        <v>57</v>
      </c>
      <c r="FX88" t="s">
        <v>57</v>
      </c>
      <c r="FY88" t="s">
        <v>57</v>
      </c>
      <c r="FZ88" t="s">
        <v>57</v>
      </c>
      <c r="GA88" t="s">
        <v>57</v>
      </c>
      <c r="GB88" t="s">
        <v>57</v>
      </c>
      <c r="GC88" t="s">
        <v>57</v>
      </c>
      <c r="GD88" t="s">
        <v>57</v>
      </c>
      <c r="GE88" t="s">
        <v>57</v>
      </c>
      <c r="GF88" t="s">
        <v>57</v>
      </c>
      <c r="GG88" t="s">
        <v>175</v>
      </c>
      <c r="GH88" t="s">
        <v>57</v>
      </c>
      <c r="GI88" t="s">
        <v>57</v>
      </c>
      <c r="GJ88" t="s">
        <v>57</v>
      </c>
      <c r="GK88" t="s">
        <v>57</v>
      </c>
      <c r="GL88" t="s">
        <v>57</v>
      </c>
      <c r="GM88" t="s">
        <v>175</v>
      </c>
      <c r="GN88" t="s">
        <v>57</v>
      </c>
      <c r="GO88" t="s">
        <v>57</v>
      </c>
      <c r="GP88" t="s">
        <v>175</v>
      </c>
      <c r="GQ88" t="s">
        <v>57</v>
      </c>
      <c r="GR88" t="s">
        <v>57</v>
      </c>
      <c r="GS88" t="s">
        <v>57</v>
      </c>
      <c r="GT88" t="s">
        <v>57</v>
      </c>
      <c r="GU88" t="s">
        <v>57</v>
      </c>
      <c r="GV88" t="s">
        <v>175</v>
      </c>
      <c r="GW88" t="s">
        <v>57</v>
      </c>
      <c r="GX88" t="s">
        <v>57</v>
      </c>
      <c r="GY88" t="s">
        <v>57</v>
      </c>
      <c r="GZ88" t="s">
        <v>57</v>
      </c>
      <c r="HA88" t="s">
        <v>57</v>
      </c>
      <c r="HB88" t="s">
        <v>57</v>
      </c>
      <c r="HC88" t="s">
        <v>57</v>
      </c>
      <c r="HD88" t="s">
        <v>57</v>
      </c>
      <c r="HE88" t="s">
        <v>57</v>
      </c>
      <c r="HF88" t="s">
        <v>57</v>
      </c>
      <c r="HG88" t="s">
        <v>57</v>
      </c>
      <c r="HH88" t="s">
        <v>175</v>
      </c>
      <c r="HI88" t="s">
        <v>175</v>
      </c>
      <c r="HJ88" t="s">
        <v>175</v>
      </c>
      <c r="HK88" t="s">
        <v>175</v>
      </c>
      <c r="HL88" t="s">
        <v>57</v>
      </c>
      <c r="HM88" t="s">
        <v>57</v>
      </c>
      <c r="HN88" t="s">
        <v>57</v>
      </c>
      <c r="HO88" t="s">
        <v>57</v>
      </c>
      <c r="HP88" t="s">
        <v>57</v>
      </c>
      <c r="HQ88" t="s">
        <v>57</v>
      </c>
      <c r="HR88" t="s">
        <v>57</v>
      </c>
      <c r="HS88" t="s">
        <v>57</v>
      </c>
      <c r="HT88" t="s">
        <v>57</v>
      </c>
      <c r="HU88" t="s">
        <v>57</v>
      </c>
      <c r="HV88" t="s">
        <v>57</v>
      </c>
      <c r="HW88" t="s">
        <v>57</v>
      </c>
      <c r="HX88" t="s">
        <v>57</v>
      </c>
      <c r="HY88" t="s">
        <v>57</v>
      </c>
      <c r="HZ88" t="s">
        <v>57</v>
      </c>
      <c r="IA88" t="s">
        <v>57</v>
      </c>
      <c r="IB88" t="s">
        <v>57</v>
      </c>
      <c r="IC88" t="s">
        <v>57</v>
      </c>
      <c r="ID88" t="s">
        <v>57</v>
      </c>
      <c r="IE88" t="s">
        <v>57</v>
      </c>
      <c r="IF88" t="s">
        <v>124</v>
      </c>
      <c r="IG88" t="s">
        <v>148</v>
      </c>
      <c r="IH88" t="s">
        <v>123</v>
      </c>
      <c r="II88" t="s">
        <v>156</v>
      </c>
    </row>
    <row r="89" spans="1:243" x14ac:dyDescent="0.25">
      <c r="A89" s="111" t="str">
        <f>HYPERLINK("http://www.ofsted.gov.uk/inspection-reports/find-inspection-report/provider/ELS/130321 ","Ofsted School Webpage")</f>
        <v>Ofsted School Webpage</v>
      </c>
      <c r="B89">
        <v>130321</v>
      </c>
      <c r="C89">
        <v>8656027</v>
      </c>
      <c r="D89" t="s">
        <v>181</v>
      </c>
      <c r="E89" t="s">
        <v>36</v>
      </c>
      <c r="F89" t="s">
        <v>166</v>
      </c>
      <c r="G89" t="s">
        <v>182</v>
      </c>
      <c r="H89" t="s">
        <v>182</v>
      </c>
      <c r="I89" t="s">
        <v>183</v>
      </c>
      <c r="J89" t="s">
        <v>184</v>
      </c>
      <c r="K89" t="s">
        <v>142</v>
      </c>
      <c r="L89" t="s">
        <v>169</v>
      </c>
      <c r="M89" t="s">
        <v>2596</v>
      </c>
      <c r="N89" t="s">
        <v>143</v>
      </c>
      <c r="O89">
        <v>10033888</v>
      </c>
      <c r="P89" s="108">
        <v>42990</v>
      </c>
      <c r="Q89" s="108">
        <v>42992</v>
      </c>
      <c r="R89" s="108">
        <v>43027</v>
      </c>
      <c r="S89" t="s">
        <v>153</v>
      </c>
      <c r="T89" t="s">
        <v>154</v>
      </c>
      <c r="U89">
        <v>2</v>
      </c>
      <c r="V89">
        <v>2</v>
      </c>
      <c r="W89">
        <v>2</v>
      </c>
      <c r="X89">
        <v>2</v>
      </c>
      <c r="Y89">
        <v>2</v>
      </c>
      <c r="Z89">
        <v>2</v>
      </c>
      <c r="AA89" t="s">
        <v>2596</v>
      </c>
      <c r="AB89" t="s">
        <v>123</v>
      </c>
      <c r="AC89" t="s">
        <v>2596</v>
      </c>
      <c r="AD89" t="s">
        <v>2598</v>
      </c>
      <c r="AE89" t="s">
        <v>57</v>
      </c>
      <c r="AF89" t="s">
        <v>57</v>
      </c>
      <c r="AG89" t="s">
        <v>57</v>
      </c>
      <c r="AH89" t="s">
        <v>57</v>
      </c>
      <c r="AI89" t="s">
        <v>57</v>
      </c>
      <c r="AJ89" t="s">
        <v>57</v>
      </c>
      <c r="AK89" t="s">
        <v>57</v>
      </c>
      <c r="AL89" t="s">
        <v>57</v>
      </c>
      <c r="AM89" t="s">
        <v>57</v>
      </c>
      <c r="AN89" t="s">
        <v>57</v>
      </c>
      <c r="AO89" t="s">
        <v>57</v>
      </c>
      <c r="AP89" t="s">
        <v>57</v>
      </c>
      <c r="AQ89" t="s">
        <v>57</v>
      </c>
      <c r="AR89" t="s">
        <v>57</v>
      </c>
      <c r="AS89" t="s">
        <v>57</v>
      </c>
      <c r="AT89" t="s">
        <v>57</v>
      </c>
      <c r="AU89" t="s">
        <v>148</v>
      </c>
      <c r="AV89" t="s">
        <v>57</v>
      </c>
      <c r="AW89" t="s">
        <v>57</v>
      </c>
      <c r="AX89" t="s">
        <v>57</v>
      </c>
      <c r="AY89" t="s">
        <v>148</v>
      </c>
      <c r="AZ89" t="s">
        <v>148</v>
      </c>
      <c r="BA89" t="s">
        <v>148</v>
      </c>
      <c r="BB89" t="s">
        <v>148</v>
      </c>
      <c r="BC89" t="s">
        <v>57</v>
      </c>
      <c r="BD89" t="s">
        <v>148</v>
      </c>
      <c r="BE89" t="s">
        <v>57</v>
      </c>
      <c r="BF89" t="s">
        <v>57</v>
      </c>
      <c r="BG89" t="s">
        <v>57</v>
      </c>
      <c r="BH89" t="s">
        <v>57</v>
      </c>
      <c r="BI89" t="s">
        <v>57</v>
      </c>
      <c r="BJ89" t="s">
        <v>57</v>
      </c>
      <c r="BK89" t="s">
        <v>57</v>
      </c>
      <c r="BL89" t="s">
        <v>57</v>
      </c>
      <c r="BM89" t="s">
        <v>57</v>
      </c>
      <c r="BN89" t="s">
        <v>57</v>
      </c>
      <c r="BO89" t="s">
        <v>57</v>
      </c>
      <c r="BP89" t="s">
        <v>57</v>
      </c>
      <c r="BQ89" t="s">
        <v>57</v>
      </c>
      <c r="BR89" t="s">
        <v>57</v>
      </c>
      <c r="BS89" t="s">
        <v>57</v>
      </c>
      <c r="BT89" t="s">
        <v>57</v>
      </c>
      <c r="BU89" t="s">
        <v>57</v>
      </c>
      <c r="BV89" t="s">
        <v>57</v>
      </c>
      <c r="BW89" t="s">
        <v>57</v>
      </c>
      <c r="BX89" t="s">
        <v>57</v>
      </c>
      <c r="BY89" t="s">
        <v>57</v>
      </c>
      <c r="BZ89" t="s">
        <v>57</v>
      </c>
      <c r="CA89" t="s">
        <v>57</v>
      </c>
      <c r="CB89" t="s">
        <v>57</v>
      </c>
      <c r="CC89" t="s">
        <v>57</v>
      </c>
      <c r="CD89" t="s">
        <v>57</v>
      </c>
      <c r="CE89" t="s">
        <v>57</v>
      </c>
      <c r="CF89" t="s">
        <v>57</v>
      </c>
      <c r="CG89" t="s">
        <v>57</v>
      </c>
      <c r="CH89" t="s">
        <v>57</v>
      </c>
      <c r="CI89" t="s">
        <v>57</v>
      </c>
      <c r="CJ89" t="s">
        <v>57</v>
      </c>
      <c r="CK89" t="s">
        <v>148</v>
      </c>
      <c r="CL89" t="s">
        <v>148</v>
      </c>
      <c r="CM89" t="s">
        <v>148</v>
      </c>
      <c r="CN89" t="s">
        <v>57</v>
      </c>
      <c r="CO89" t="s">
        <v>57</v>
      </c>
      <c r="CP89" t="s">
        <v>57</v>
      </c>
      <c r="CQ89" t="s">
        <v>57</v>
      </c>
      <c r="CR89" t="s">
        <v>57</v>
      </c>
      <c r="CS89" t="s">
        <v>57</v>
      </c>
      <c r="CT89" t="s">
        <v>57</v>
      </c>
      <c r="CU89" t="s">
        <v>57</v>
      </c>
      <c r="CV89" t="s">
        <v>57</v>
      </c>
      <c r="CW89" t="s">
        <v>57</v>
      </c>
      <c r="CX89" t="s">
        <v>57</v>
      </c>
      <c r="CY89" t="s">
        <v>57</v>
      </c>
      <c r="CZ89" t="s">
        <v>57</v>
      </c>
      <c r="DA89" t="s">
        <v>57</v>
      </c>
      <c r="DB89" t="s">
        <v>57</v>
      </c>
      <c r="DC89" t="s">
        <v>57</v>
      </c>
      <c r="DD89" t="s">
        <v>57</v>
      </c>
      <c r="DE89" t="s">
        <v>57</v>
      </c>
      <c r="DF89" t="s">
        <v>57</v>
      </c>
      <c r="DG89" t="s">
        <v>57</v>
      </c>
      <c r="DH89" t="s">
        <v>57</v>
      </c>
      <c r="DI89" t="s">
        <v>57</v>
      </c>
      <c r="DJ89" t="s">
        <v>57</v>
      </c>
      <c r="DK89" t="s">
        <v>148</v>
      </c>
      <c r="DL89" t="s">
        <v>57</v>
      </c>
      <c r="DM89" t="s">
        <v>57</v>
      </c>
      <c r="DN89" t="s">
        <v>57</v>
      </c>
      <c r="DO89" t="s">
        <v>57</v>
      </c>
      <c r="DP89" t="s">
        <v>57</v>
      </c>
      <c r="DQ89" t="s">
        <v>57</v>
      </c>
      <c r="DR89" t="s">
        <v>57</v>
      </c>
      <c r="DS89" t="s">
        <v>57</v>
      </c>
      <c r="DT89" t="s">
        <v>57</v>
      </c>
      <c r="DU89" t="s">
        <v>57</v>
      </c>
      <c r="DV89" t="s">
        <v>57</v>
      </c>
      <c r="DW89" t="s">
        <v>57</v>
      </c>
      <c r="DX89" t="s">
        <v>57</v>
      </c>
      <c r="DY89" t="s">
        <v>148</v>
      </c>
      <c r="DZ89" t="s">
        <v>57</v>
      </c>
      <c r="EA89" t="s">
        <v>57</v>
      </c>
      <c r="EB89" t="s">
        <v>57</v>
      </c>
      <c r="EC89" t="s">
        <v>57</v>
      </c>
      <c r="ED89" t="s">
        <v>57</v>
      </c>
      <c r="EE89" t="s">
        <v>57</v>
      </c>
      <c r="EF89" t="s">
        <v>57</v>
      </c>
      <c r="EG89" t="s">
        <v>57</v>
      </c>
      <c r="EH89" t="s">
        <v>57</v>
      </c>
      <c r="EI89" t="s">
        <v>148</v>
      </c>
      <c r="EJ89" t="s">
        <v>57</v>
      </c>
      <c r="EK89" t="s">
        <v>57</v>
      </c>
      <c r="EL89" t="s">
        <v>57</v>
      </c>
      <c r="EM89" t="s">
        <v>57</v>
      </c>
      <c r="EN89" t="s">
        <v>57</v>
      </c>
      <c r="EO89" t="s">
        <v>57</v>
      </c>
      <c r="EP89" t="s">
        <v>57</v>
      </c>
      <c r="EQ89" t="s">
        <v>57</v>
      </c>
      <c r="ER89" t="s">
        <v>57</v>
      </c>
      <c r="ES89" t="s">
        <v>57</v>
      </c>
      <c r="ET89" t="s">
        <v>57</v>
      </c>
      <c r="EU89" t="s">
        <v>57</v>
      </c>
      <c r="EV89" t="s">
        <v>57</v>
      </c>
      <c r="EW89" t="s">
        <v>148</v>
      </c>
      <c r="EX89" t="s">
        <v>148</v>
      </c>
      <c r="EY89" t="s">
        <v>148</v>
      </c>
      <c r="EZ89" t="s">
        <v>148</v>
      </c>
      <c r="FA89" t="s">
        <v>148</v>
      </c>
      <c r="FB89" t="s">
        <v>148</v>
      </c>
      <c r="FC89" t="s">
        <v>148</v>
      </c>
      <c r="FD89" t="s">
        <v>57</v>
      </c>
      <c r="FE89" t="s">
        <v>148</v>
      </c>
      <c r="FF89" t="s">
        <v>148</v>
      </c>
      <c r="FG89" t="s">
        <v>148</v>
      </c>
      <c r="FH89" t="s">
        <v>57</v>
      </c>
      <c r="FI89" t="s">
        <v>57</v>
      </c>
      <c r="FJ89" t="s">
        <v>57</v>
      </c>
      <c r="FK89" t="s">
        <v>57</v>
      </c>
      <c r="FL89" t="s">
        <v>57</v>
      </c>
      <c r="FM89" t="s">
        <v>57</v>
      </c>
      <c r="FN89" t="s">
        <v>57</v>
      </c>
      <c r="FO89" t="s">
        <v>148</v>
      </c>
      <c r="FP89" t="s">
        <v>57</v>
      </c>
      <c r="FQ89" t="s">
        <v>57</v>
      </c>
      <c r="FR89" t="s">
        <v>57</v>
      </c>
      <c r="FS89" t="s">
        <v>57</v>
      </c>
      <c r="FT89" t="s">
        <v>57</v>
      </c>
      <c r="FU89" t="s">
        <v>57</v>
      </c>
      <c r="FV89" t="s">
        <v>57</v>
      </c>
      <c r="FW89" t="s">
        <v>57</v>
      </c>
      <c r="FX89" t="s">
        <v>57</v>
      </c>
      <c r="FY89" t="s">
        <v>57</v>
      </c>
      <c r="FZ89" t="s">
        <v>57</v>
      </c>
      <c r="GA89" t="s">
        <v>57</v>
      </c>
      <c r="GB89" t="s">
        <v>57</v>
      </c>
      <c r="GC89" t="s">
        <v>57</v>
      </c>
      <c r="GD89" t="s">
        <v>57</v>
      </c>
      <c r="GE89" t="s">
        <v>57</v>
      </c>
      <c r="GF89" t="s">
        <v>57</v>
      </c>
      <c r="GG89" t="s">
        <v>148</v>
      </c>
      <c r="GH89" t="s">
        <v>57</v>
      </c>
      <c r="GI89" t="s">
        <v>57</v>
      </c>
      <c r="GJ89" t="s">
        <v>57</v>
      </c>
      <c r="GK89" t="s">
        <v>57</v>
      </c>
      <c r="GL89" t="s">
        <v>57</v>
      </c>
      <c r="GM89" t="s">
        <v>148</v>
      </c>
      <c r="GN89" t="s">
        <v>57</v>
      </c>
      <c r="GO89" t="s">
        <v>57</v>
      </c>
      <c r="GP89" t="s">
        <v>57</v>
      </c>
      <c r="GQ89" t="s">
        <v>57</v>
      </c>
      <c r="GR89" t="s">
        <v>57</v>
      </c>
      <c r="GS89" t="s">
        <v>57</v>
      </c>
      <c r="GT89" t="s">
        <v>57</v>
      </c>
      <c r="GU89" t="s">
        <v>57</v>
      </c>
      <c r="GV89" t="s">
        <v>57</v>
      </c>
      <c r="GW89" t="s">
        <v>57</v>
      </c>
      <c r="GX89" t="s">
        <v>148</v>
      </c>
      <c r="GY89" t="s">
        <v>57</v>
      </c>
      <c r="GZ89" t="s">
        <v>57</v>
      </c>
      <c r="HA89" t="s">
        <v>57</v>
      </c>
      <c r="HB89" t="s">
        <v>57</v>
      </c>
      <c r="HC89" t="s">
        <v>57</v>
      </c>
      <c r="HD89" t="s">
        <v>57</v>
      </c>
      <c r="HE89" t="s">
        <v>57</v>
      </c>
      <c r="HF89" t="s">
        <v>57</v>
      </c>
      <c r="HG89" t="s">
        <v>57</v>
      </c>
      <c r="HH89" t="s">
        <v>57</v>
      </c>
      <c r="HI89" t="s">
        <v>148</v>
      </c>
      <c r="HJ89" t="s">
        <v>148</v>
      </c>
      <c r="HK89" t="s">
        <v>148</v>
      </c>
      <c r="HL89" t="s">
        <v>57</v>
      </c>
      <c r="HM89" t="s">
        <v>57</v>
      </c>
      <c r="HN89" t="s">
        <v>57</v>
      </c>
      <c r="HO89" t="s">
        <v>57</v>
      </c>
      <c r="HP89" t="s">
        <v>57</v>
      </c>
      <c r="HQ89" t="s">
        <v>57</v>
      </c>
      <c r="HR89" t="s">
        <v>57</v>
      </c>
      <c r="HS89" t="s">
        <v>57</v>
      </c>
      <c r="HT89" t="s">
        <v>57</v>
      </c>
      <c r="HU89" t="s">
        <v>57</v>
      </c>
      <c r="HV89" t="s">
        <v>57</v>
      </c>
      <c r="HW89" t="s">
        <v>57</v>
      </c>
      <c r="HX89" t="s">
        <v>57</v>
      </c>
      <c r="HY89" t="s">
        <v>57</v>
      </c>
      <c r="HZ89" t="s">
        <v>57</v>
      </c>
      <c r="IA89" t="s">
        <v>57</v>
      </c>
      <c r="IB89" t="s">
        <v>57</v>
      </c>
      <c r="IC89" t="s">
        <v>57</v>
      </c>
      <c r="ID89" t="s">
        <v>57</v>
      </c>
      <c r="IE89" t="s">
        <v>57</v>
      </c>
      <c r="IF89" t="s">
        <v>124</v>
      </c>
      <c r="IG89" t="s">
        <v>155</v>
      </c>
      <c r="IH89" t="s">
        <v>123</v>
      </c>
      <c r="II89" t="s">
        <v>156</v>
      </c>
    </row>
    <row r="90" spans="1:243" x14ac:dyDescent="0.25">
      <c r="A90" s="111" t="str">
        <f>HYPERLINK("http://www.ofsted.gov.uk/inspection-reports/find-inspection-report/provider/ELS/130331 ","Ofsted School Webpage")</f>
        <v>Ofsted School Webpage</v>
      </c>
      <c r="B90">
        <v>130331</v>
      </c>
      <c r="C90">
        <v>8216001</v>
      </c>
      <c r="D90" t="s">
        <v>2875</v>
      </c>
      <c r="E90" t="s">
        <v>36</v>
      </c>
      <c r="F90" t="s">
        <v>166</v>
      </c>
      <c r="G90" t="s">
        <v>177</v>
      </c>
      <c r="H90" t="s">
        <v>177</v>
      </c>
      <c r="I90" t="s">
        <v>178</v>
      </c>
      <c r="J90" t="s">
        <v>695</v>
      </c>
      <c r="K90" t="s">
        <v>142</v>
      </c>
      <c r="L90" t="s">
        <v>180</v>
      </c>
      <c r="M90" t="s">
        <v>2596</v>
      </c>
      <c r="N90" t="s">
        <v>143</v>
      </c>
      <c r="O90">
        <v>10043844</v>
      </c>
      <c r="P90" s="108">
        <v>43116</v>
      </c>
      <c r="Q90" s="108">
        <v>43118</v>
      </c>
      <c r="R90" s="108">
        <v>43171</v>
      </c>
      <c r="S90" t="s">
        <v>153</v>
      </c>
      <c r="T90" t="s">
        <v>154</v>
      </c>
      <c r="U90">
        <v>4</v>
      </c>
      <c r="V90">
        <v>4</v>
      </c>
      <c r="W90">
        <v>4</v>
      </c>
      <c r="X90">
        <v>4</v>
      </c>
      <c r="Y90">
        <v>3</v>
      </c>
      <c r="Z90" t="s">
        <v>2596</v>
      </c>
      <c r="AA90" t="s">
        <v>2596</v>
      </c>
      <c r="AB90" t="s">
        <v>124</v>
      </c>
      <c r="AC90" t="s">
        <v>2596</v>
      </c>
      <c r="AD90" t="s">
        <v>2599</v>
      </c>
      <c r="AE90" t="s">
        <v>58</v>
      </c>
      <c r="AF90" t="s">
        <v>58</v>
      </c>
      <c r="AG90" t="s">
        <v>58</v>
      </c>
      <c r="AH90" t="s">
        <v>58</v>
      </c>
      <c r="AI90" t="s">
        <v>57</v>
      </c>
      <c r="AJ90" t="s">
        <v>58</v>
      </c>
      <c r="AK90" t="s">
        <v>57</v>
      </c>
      <c r="AL90" t="s">
        <v>58</v>
      </c>
      <c r="AM90" t="s">
        <v>58</v>
      </c>
      <c r="AN90" t="s">
        <v>58</v>
      </c>
      <c r="AO90" t="s">
        <v>58</v>
      </c>
      <c r="AP90" t="s">
        <v>58</v>
      </c>
      <c r="AQ90" t="s">
        <v>57</v>
      </c>
      <c r="AR90" t="s">
        <v>57</v>
      </c>
      <c r="AS90" t="s">
        <v>57</v>
      </c>
      <c r="AT90" t="s">
        <v>57</v>
      </c>
      <c r="AU90" t="s">
        <v>175</v>
      </c>
      <c r="AV90" t="s">
        <v>57</v>
      </c>
      <c r="AW90" t="s">
        <v>57</v>
      </c>
      <c r="AX90" t="s">
        <v>57</v>
      </c>
      <c r="AY90" t="s">
        <v>57</v>
      </c>
      <c r="AZ90" t="s">
        <v>57</v>
      </c>
      <c r="BA90" t="s">
        <v>57</v>
      </c>
      <c r="BB90" t="s">
        <v>57</v>
      </c>
      <c r="BC90" t="s">
        <v>175</v>
      </c>
      <c r="BD90" t="s">
        <v>175</v>
      </c>
      <c r="BE90" t="s">
        <v>57</v>
      </c>
      <c r="BF90" t="s">
        <v>57</v>
      </c>
      <c r="BG90" t="s">
        <v>58</v>
      </c>
      <c r="BH90" t="s">
        <v>58</v>
      </c>
      <c r="BI90" t="s">
        <v>57</v>
      </c>
      <c r="BJ90" t="s">
        <v>58</v>
      </c>
      <c r="BK90" t="s">
        <v>58</v>
      </c>
      <c r="BL90" t="s">
        <v>57</v>
      </c>
      <c r="BM90" t="s">
        <v>58</v>
      </c>
      <c r="BN90" t="s">
        <v>58</v>
      </c>
      <c r="BO90" t="s">
        <v>57</v>
      </c>
      <c r="BP90" t="s">
        <v>57</v>
      </c>
      <c r="BQ90" t="s">
        <v>58</v>
      </c>
      <c r="BR90" t="s">
        <v>57</v>
      </c>
      <c r="BS90" t="s">
        <v>58</v>
      </c>
      <c r="BT90" t="s">
        <v>58</v>
      </c>
      <c r="BU90" t="s">
        <v>57</v>
      </c>
      <c r="BV90" t="s">
        <v>57</v>
      </c>
      <c r="BW90" t="s">
        <v>57</v>
      </c>
      <c r="BX90" t="s">
        <v>57</v>
      </c>
      <c r="BY90" t="s">
        <v>57</v>
      </c>
      <c r="BZ90" t="s">
        <v>57</v>
      </c>
      <c r="CA90" t="s">
        <v>57</v>
      </c>
      <c r="CB90" t="s">
        <v>57</v>
      </c>
      <c r="CC90" t="s">
        <v>57</v>
      </c>
      <c r="CD90" t="s">
        <v>57</v>
      </c>
      <c r="CE90" t="s">
        <v>57</v>
      </c>
      <c r="CF90" t="s">
        <v>57</v>
      </c>
      <c r="CG90" t="s">
        <v>57</v>
      </c>
      <c r="CH90" t="s">
        <v>58</v>
      </c>
      <c r="CI90" t="s">
        <v>58</v>
      </c>
      <c r="CJ90" t="s">
        <v>57</v>
      </c>
      <c r="CK90" t="s">
        <v>175</v>
      </c>
      <c r="CL90" t="s">
        <v>175</v>
      </c>
      <c r="CM90" t="s">
        <v>175</v>
      </c>
      <c r="CN90" t="s">
        <v>57</v>
      </c>
      <c r="CO90" t="s">
        <v>57</v>
      </c>
      <c r="CP90" t="s">
        <v>57</v>
      </c>
      <c r="CQ90" t="s">
        <v>57</v>
      </c>
      <c r="CR90" t="s">
        <v>57</v>
      </c>
      <c r="CS90" t="s">
        <v>58</v>
      </c>
      <c r="CT90" t="s">
        <v>58</v>
      </c>
      <c r="CU90" t="s">
        <v>57</v>
      </c>
      <c r="CV90" t="s">
        <v>57</v>
      </c>
      <c r="CW90" t="s">
        <v>58</v>
      </c>
      <c r="CX90" t="s">
        <v>58</v>
      </c>
      <c r="CY90" t="s">
        <v>58</v>
      </c>
      <c r="CZ90" t="s">
        <v>58</v>
      </c>
      <c r="DA90" t="s">
        <v>58</v>
      </c>
      <c r="DB90" t="s">
        <v>58</v>
      </c>
      <c r="DC90" t="s">
        <v>58</v>
      </c>
      <c r="DD90" t="s">
        <v>57</v>
      </c>
      <c r="DE90" t="s">
        <v>57</v>
      </c>
      <c r="DF90" t="s">
        <v>57</v>
      </c>
      <c r="DG90" t="s">
        <v>57</v>
      </c>
      <c r="DH90" t="s">
        <v>57</v>
      </c>
      <c r="DI90" t="s">
        <v>58</v>
      </c>
      <c r="DJ90" t="s">
        <v>57</v>
      </c>
      <c r="DK90" t="s">
        <v>175</v>
      </c>
      <c r="DL90" t="s">
        <v>57</v>
      </c>
      <c r="DM90" t="s">
        <v>175</v>
      </c>
      <c r="DN90" t="s">
        <v>175</v>
      </c>
      <c r="DO90" t="s">
        <v>175</v>
      </c>
      <c r="DP90" t="s">
        <v>175</v>
      </c>
      <c r="DQ90" t="s">
        <v>175</v>
      </c>
      <c r="DR90" t="s">
        <v>175</v>
      </c>
      <c r="DS90" t="s">
        <v>175</v>
      </c>
      <c r="DT90" t="s">
        <v>175</v>
      </c>
      <c r="DU90" t="s">
        <v>175</v>
      </c>
      <c r="DV90" t="s">
        <v>175</v>
      </c>
      <c r="DW90" t="s">
        <v>175</v>
      </c>
      <c r="DX90" t="s">
        <v>175</v>
      </c>
      <c r="DY90" t="s">
        <v>175</v>
      </c>
      <c r="DZ90" t="s">
        <v>175</v>
      </c>
      <c r="EA90" t="s">
        <v>57</v>
      </c>
      <c r="EB90" t="s">
        <v>57</v>
      </c>
      <c r="EC90" t="s">
        <v>57</v>
      </c>
      <c r="ED90" t="s">
        <v>57</v>
      </c>
      <c r="EE90" t="s">
        <v>57</v>
      </c>
      <c r="EF90" t="s">
        <v>57</v>
      </c>
      <c r="EG90" t="s">
        <v>57</v>
      </c>
      <c r="EH90" t="s">
        <v>175</v>
      </c>
      <c r="EI90" t="s">
        <v>57</v>
      </c>
      <c r="EJ90" t="s">
        <v>58</v>
      </c>
      <c r="EK90" t="s">
        <v>57</v>
      </c>
      <c r="EL90" t="s">
        <v>58</v>
      </c>
      <c r="EM90" t="s">
        <v>58</v>
      </c>
      <c r="EN90" t="s">
        <v>57</v>
      </c>
      <c r="EO90" t="s">
        <v>58</v>
      </c>
      <c r="EP90" t="s">
        <v>58</v>
      </c>
      <c r="EQ90" t="s">
        <v>57</v>
      </c>
      <c r="ER90" t="s">
        <v>57</v>
      </c>
      <c r="ES90" t="s">
        <v>57</v>
      </c>
      <c r="ET90" t="s">
        <v>57</v>
      </c>
      <c r="EU90" t="s">
        <v>57</v>
      </c>
      <c r="EV90" t="s">
        <v>58</v>
      </c>
      <c r="EW90" t="s">
        <v>57</v>
      </c>
      <c r="EX90" t="s">
        <v>175</v>
      </c>
      <c r="EY90" t="s">
        <v>175</v>
      </c>
      <c r="EZ90" t="s">
        <v>175</v>
      </c>
      <c r="FA90" t="s">
        <v>175</v>
      </c>
      <c r="FB90" t="s">
        <v>175</v>
      </c>
      <c r="FC90" t="s">
        <v>175</v>
      </c>
      <c r="FD90" t="s">
        <v>57</v>
      </c>
      <c r="FE90" t="s">
        <v>57</v>
      </c>
      <c r="FF90" t="s">
        <v>57</v>
      </c>
      <c r="FG90" t="s">
        <v>57</v>
      </c>
      <c r="FH90" t="s">
        <v>57</v>
      </c>
      <c r="FI90" t="s">
        <v>57</v>
      </c>
      <c r="FJ90" t="s">
        <v>57</v>
      </c>
      <c r="FK90" t="s">
        <v>57</v>
      </c>
      <c r="FL90" t="s">
        <v>57</v>
      </c>
      <c r="FM90" t="s">
        <v>57</v>
      </c>
      <c r="FN90" t="s">
        <v>57</v>
      </c>
      <c r="FO90" t="s">
        <v>175</v>
      </c>
      <c r="FP90" t="s">
        <v>57</v>
      </c>
      <c r="FQ90" t="s">
        <v>58</v>
      </c>
      <c r="FR90" t="s">
        <v>57</v>
      </c>
      <c r="FS90" t="s">
        <v>57</v>
      </c>
      <c r="FT90" t="s">
        <v>57</v>
      </c>
      <c r="FU90" t="s">
        <v>57</v>
      </c>
      <c r="FV90" t="s">
        <v>57</v>
      </c>
      <c r="FW90" t="s">
        <v>57</v>
      </c>
      <c r="FX90" t="s">
        <v>57</v>
      </c>
      <c r="FY90" t="s">
        <v>57</v>
      </c>
      <c r="FZ90" t="s">
        <v>57</v>
      </c>
      <c r="GA90" t="s">
        <v>57</v>
      </c>
      <c r="GB90" t="s">
        <v>57</v>
      </c>
      <c r="GC90" t="s">
        <v>57</v>
      </c>
      <c r="GD90" t="s">
        <v>58</v>
      </c>
      <c r="GE90" t="s">
        <v>58</v>
      </c>
      <c r="GF90" t="s">
        <v>58</v>
      </c>
      <c r="GG90" t="s">
        <v>175</v>
      </c>
      <c r="GH90" t="s">
        <v>58</v>
      </c>
      <c r="GI90" t="s">
        <v>58</v>
      </c>
      <c r="GJ90" t="s">
        <v>58</v>
      </c>
      <c r="GK90" t="s">
        <v>57</v>
      </c>
      <c r="GL90" t="s">
        <v>57</v>
      </c>
      <c r="GM90" t="s">
        <v>175</v>
      </c>
      <c r="GN90" t="s">
        <v>57</v>
      </c>
      <c r="GO90" t="s">
        <v>57</v>
      </c>
      <c r="GP90" t="s">
        <v>175</v>
      </c>
      <c r="GQ90" t="s">
        <v>175</v>
      </c>
      <c r="GR90" t="s">
        <v>175</v>
      </c>
      <c r="GS90" t="s">
        <v>58</v>
      </c>
      <c r="GT90" t="s">
        <v>58</v>
      </c>
      <c r="GU90" t="s">
        <v>57</v>
      </c>
      <c r="GV90" t="s">
        <v>57</v>
      </c>
      <c r="GW90" t="s">
        <v>57</v>
      </c>
      <c r="GX90" t="s">
        <v>57</v>
      </c>
      <c r="GY90" t="s">
        <v>57</v>
      </c>
      <c r="GZ90" t="s">
        <v>58</v>
      </c>
      <c r="HA90" t="s">
        <v>57</v>
      </c>
      <c r="HB90" t="s">
        <v>175</v>
      </c>
      <c r="HC90" t="s">
        <v>57</v>
      </c>
      <c r="HD90" t="s">
        <v>57</v>
      </c>
      <c r="HE90" t="s">
        <v>58</v>
      </c>
      <c r="HF90" t="s">
        <v>57</v>
      </c>
      <c r="HG90" t="s">
        <v>57</v>
      </c>
      <c r="HH90" t="s">
        <v>175</v>
      </c>
      <c r="HI90" t="s">
        <v>175</v>
      </c>
      <c r="HJ90" t="s">
        <v>175</v>
      </c>
      <c r="HK90" t="s">
        <v>175</v>
      </c>
      <c r="HL90" t="s">
        <v>57</v>
      </c>
      <c r="HM90" t="s">
        <v>57</v>
      </c>
      <c r="HN90" t="s">
        <v>57</v>
      </c>
      <c r="HO90" t="s">
        <v>57</v>
      </c>
      <c r="HP90" t="s">
        <v>57</v>
      </c>
      <c r="HQ90" t="s">
        <v>57</v>
      </c>
      <c r="HR90" t="s">
        <v>57</v>
      </c>
      <c r="HS90" t="s">
        <v>57</v>
      </c>
      <c r="HT90" t="s">
        <v>57</v>
      </c>
      <c r="HU90" t="s">
        <v>57</v>
      </c>
      <c r="HV90" t="s">
        <v>57</v>
      </c>
      <c r="HW90" t="s">
        <v>57</v>
      </c>
      <c r="HX90" t="s">
        <v>57</v>
      </c>
      <c r="HY90" t="s">
        <v>57</v>
      </c>
      <c r="HZ90" t="s">
        <v>57</v>
      </c>
      <c r="IA90" t="s">
        <v>57</v>
      </c>
      <c r="IB90" t="s">
        <v>58</v>
      </c>
      <c r="IC90" t="s">
        <v>58</v>
      </c>
      <c r="ID90" t="s">
        <v>58</v>
      </c>
      <c r="IE90" t="s">
        <v>58</v>
      </c>
      <c r="IF90" t="s">
        <v>124</v>
      </c>
      <c r="IG90" t="s">
        <v>148</v>
      </c>
      <c r="IH90" t="s">
        <v>124</v>
      </c>
      <c r="II90" t="s">
        <v>363</v>
      </c>
    </row>
    <row r="91" spans="1:243" x14ac:dyDescent="0.25">
      <c r="A91" s="111" t="str">
        <f>HYPERLINK("http://www.ofsted.gov.uk/inspection-reports/find-inspection-report/provider/ELS/130391 ","Ofsted School Webpage")</f>
        <v>Ofsted School Webpage</v>
      </c>
      <c r="B91">
        <v>130391</v>
      </c>
      <c r="C91">
        <v>8016130</v>
      </c>
      <c r="D91" t="s">
        <v>341</v>
      </c>
      <c r="E91" t="s">
        <v>36</v>
      </c>
      <c r="F91" t="s">
        <v>166</v>
      </c>
      <c r="G91" t="s">
        <v>182</v>
      </c>
      <c r="H91" t="s">
        <v>182</v>
      </c>
      <c r="I91" t="s">
        <v>317</v>
      </c>
      <c r="J91" t="s">
        <v>342</v>
      </c>
      <c r="K91" t="s">
        <v>261</v>
      </c>
      <c r="L91" t="s">
        <v>180</v>
      </c>
      <c r="M91" t="s">
        <v>2596</v>
      </c>
      <c r="N91" t="s">
        <v>143</v>
      </c>
      <c r="O91">
        <v>10039498</v>
      </c>
      <c r="P91" s="108">
        <v>43004</v>
      </c>
      <c r="Q91" s="108">
        <v>43006</v>
      </c>
      <c r="R91" s="108">
        <v>43045</v>
      </c>
      <c r="S91" t="s">
        <v>153</v>
      </c>
      <c r="T91" t="s">
        <v>154</v>
      </c>
      <c r="U91">
        <v>4</v>
      </c>
      <c r="V91">
        <v>4</v>
      </c>
      <c r="W91">
        <v>3</v>
      </c>
      <c r="X91">
        <v>4</v>
      </c>
      <c r="Y91">
        <v>4</v>
      </c>
      <c r="Z91">
        <v>3</v>
      </c>
      <c r="AA91" t="s">
        <v>2596</v>
      </c>
      <c r="AB91" t="s">
        <v>123</v>
      </c>
      <c r="AC91" t="s">
        <v>2596</v>
      </c>
      <c r="AD91" t="s">
        <v>2599</v>
      </c>
      <c r="AE91" t="s">
        <v>58</v>
      </c>
      <c r="AF91" t="s">
        <v>57</v>
      </c>
      <c r="AG91" t="s">
        <v>58</v>
      </c>
      <c r="AH91" t="s">
        <v>57</v>
      </c>
      <c r="AI91" t="s">
        <v>57</v>
      </c>
      <c r="AJ91" t="s">
        <v>57</v>
      </c>
      <c r="AK91" t="s">
        <v>57</v>
      </c>
      <c r="AL91" t="s">
        <v>58</v>
      </c>
      <c r="AM91" t="s">
        <v>58</v>
      </c>
      <c r="AN91" t="s">
        <v>57</v>
      </c>
      <c r="AO91" t="s">
        <v>58</v>
      </c>
      <c r="AP91" t="s">
        <v>58</v>
      </c>
      <c r="AQ91" t="s">
        <v>57</v>
      </c>
      <c r="AR91" t="s">
        <v>58</v>
      </c>
      <c r="AS91" t="s">
        <v>57</v>
      </c>
      <c r="AT91" t="s">
        <v>57</v>
      </c>
      <c r="AU91" t="s">
        <v>175</v>
      </c>
      <c r="AV91" t="s">
        <v>57</v>
      </c>
      <c r="AW91" t="s">
        <v>57</v>
      </c>
      <c r="AX91" t="s">
        <v>57</v>
      </c>
      <c r="AY91" t="s">
        <v>57</v>
      </c>
      <c r="AZ91" t="s">
        <v>57</v>
      </c>
      <c r="BA91" t="s">
        <v>57</v>
      </c>
      <c r="BB91" t="s">
        <v>57</v>
      </c>
      <c r="BC91" t="s">
        <v>57</v>
      </c>
      <c r="BD91" t="s">
        <v>57</v>
      </c>
      <c r="BE91" t="s">
        <v>58</v>
      </c>
      <c r="BF91" t="s">
        <v>57</v>
      </c>
      <c r="BG91" t="s">
        <v>58</v>
      </c>
      <c r="BH91" t="s">
        <v>58</v>
      </c>
      <c r="BI91" t="s">
        <v>58</v>
      </c>
      <c r="BJ91" t="s">
        <v>58</v>
      </c>
      <c r="BK91" t="s">
        <v>58</v>
      </c>
      <c r="BL91" t="s">
        <v>58</v>
      </c>
      <c r="BM91" t="s">
        <v>58</v>
      </c>
      <c r="BN91" t="s">
        <v>58</v>
      </c>
      <c r="BO91" t="s">
        <v>57</v>
      </c>
      <c r="BP91" t="s">
        <v>57</v>
      </c>
      <c r="BQ91" t="s">
        <v>57</v>
      </c>
      <c r="BR91" t="s">
        <v>57</v>
      </c>
      <c r="BS91" t="s">
        <v>57</v>
      </c>
      <c r="BT91" t="s">
        <v>57</v>
      </c>
      <c r="BU91" t="s">
        <v>57</v>
      </c>
      <c r="BV91" t="s">
        <v>57</v>
      </c>
      <c r="BW91" t="s">
        <v>57</v>
      </c>
      <c r="BX91" t="s">
        <v>57</v>
      </c>
      <c r="BY91" t="s">
        <v>57</v>
      </c>
      <c r="BZ91" t="s">
        <v>57</v>
      </c>
      <c r="CA91" t="s">
        <v>57</v>
      </c>
      <c r="CB91" t="s">
        <v>57</v>
      </c>
      <c r="CC91" t="s">
        <v>57</v>
      </c>
      <c r="CD91" t="s">
        <v>57</v>
      </c>
      <c r="CE91" t="s">
        <v>57</v>
      </c>
      <c r="CF91" t="s">
        <v>57</v>
      </c>
      <c r="CG91" t="s">
        <v>57</v>
      </c>
      <c r="CH91" t="s">
        <v>58</v>
      </c>
      <c r="CI91" t="s">
        <v>58</v>
      </c>
      <c r="CJ91" t="s">
        <v>58</v>
      </c>
      <c r="CK91" t="s">
        <v>175</v>
      </c>
      <c r="CL91" t="s">
        <v>175</v>
      </c>
      <c r="CM91" t="s">
        <v>175</v>
      </c>
      <c r="CN91" t="s">
        <v>57</v>
      </c>
      <c r="CO91" t="s">
        <v>57</v>
      </c>
      <c r="CP91" t="s">
        <v>57</v>
      </c>
      <c r="CQ91" t="s">
        <v>57</v>
      </c>
      <c r="CR91" t="s">
        <v>57</v>
      </c>
      <c r="CS91" t="s">
        <v>57</v>
      </c>
      <c r="CT91" t="s">
        <v>57</v>
      </c>
      <c r="CU91" t="s">
        <v>57</v>
      </c>
      <c r="CV91" t="s">
        <v>57</v>
      </c>
      <c r="CW91" t="s">
        <v>57</v>
      </c>
      <c r="CX91" t="s">
        <v>57</v>
      </c>
      <c r="CY91" t="s">
        <v>57</v>
      </c>
      <c r="CZ91" t="s">
        <v>57</v>
      </c>
      <c r="DA91" t="s">
        <v>57</v>
      </c>
      <c r="DB91" t="s">
        <v>57</v>
      </c>
      <c r="DC91" t="s">
        <v>57</v>
      </c>
      <c r="DD91" t="s">
        <v>57</v>
      </c>
      <c r="DE91" t="s">
        <v>57</v>
      </c>
      <c r="DF91" t="s">
        <v>57</v>
      </c>
      <c r="DG91" t="s">
        <v>57</v>
      </c>
      <c r="DH91" t="s">
        <v>57</v>
      </c>
      <c r="DI91" t="s">
        <v>57</v>
      </c>
      <c r="DJ91" t="s">
        <v>57</v>
      </c>
      <c r="DK91" t="s">
        <v>175</v>
      </c>
      <c r="DL91" t="s">
        <v>57</v>
      </c>
      <c r="DM91" t="s">
        <v>57</v>
      </c>
      <c r="DN91" t="s">
        <v>57</v>
      </c>
      <c r="DO91" t="s">
        <v>57</v>
      </c>
      <c r="DP91" t="s">
        <v>57</v>
      </c>
      <c r="DQ91" t="s">
        <v>57</v>
      </c>
      <c r="DR91" t="s">
        <v>57</v>
      </c>
      <c r="DS91" t="s">
        <v>57</v>
      </c>
      <c r="DT91" t="s">
        <v>57</v>
      </c>
      <c r="DU91" t="s">
        <v>57</v>
      </c>
      <c r="DV91" t="s">
        <v>57</v>
      </c>
      <c r="DW91" t="s">
        <v>57</v>
      </c>
      <c r="DX91" t="s">
        <v>57</v>
      </c>
      <c r="DY91" t="s">
        <v>175</v>
      </c>
      <c r="DZ91" t="s">
        <v>57</v>
      </c>
      <c r="EA91" t="s">
        <v>57</v>
      </c>
      <c r="EB91" t="s">
        <v>57</v>
      </c>
      <c r="EC91" t="s">
        <v>57</v>
      </c>
      <c r="ED91" t="s">
        <v>57</v>
      </c>
      <c r="EE91" t="s">
        <v>57</v>
      </c>
      <c r="EF91" t="s">
        <v>57</v>
      </c>
      <c r="EG91" t="s">
        <v>57</v>
      </c>
      <c r="EH91" t="s">
        <v>57</v>
      </c>
      <c r="EI91" t="s">
        <v>57</v>
      </c>
      <c r="EJ91" t="s">
        <v>57</v>
      </c>
      <c r="EK91" t="s">
        <v>57</v>
      </c>
      <c r="EL91" t="s">
        <v>57</v>
      </c>
      <c r="EM91" t="s">
        <v>57</v>
      </c>
      <c r="EN91" t="s">
        <v>57</v>
      </c>
      <c r="EO91" t="s">
        <v>57</v>
      </c>
      <c r="EP91" t="s">
        <v>57</v>
      </c>
      <c r="EQ91" t="s">
        <v>57</v>
      </c>
      <c r="ER91" t="s">
        <v>57</v>
      </c>
      <c r="ES91" t="s">
        <v>57</v>
      </c>
      <c r="ET91" t="s">
        <v>57</v>
      </c>
      <c r="EU91" t="s">
        <v>57</v>
      </c>
      <c r="EV91" t="s">
        <v>57</v>
      </c>
      <c r="EW91" t="s">
        <v>57</v>
      </c>
      <c r="EX91" t="s">
        <v>57</v>
      </c>
      <c r="EY91" t="s">
        <v>57</v>
      </c>
      <c r="EZ91" t="s">
        <v>57</v>
      </c>
      <c r="FA91" t="s">
        <v>57</v>
      </c>
      <c r="FB91" t="s">
        <v>57</v>
      </c>
      <c r="FC91" t="s">
        <v>57</v>
      </c>
      <c r="FD91" t="s">
        <v>57</v>
      </c>
      <c r="FE91" t="s">
        <v>57</v>
      </c>
      <c r="FF91" t="s">
        <v>57</v>
      </c>
      <c r="FG91" t="s">
        <v>57</v>
      </c>
      <c r="FH91" t="s">
        <v>57</v>
      </c>
      <c r="FI91" t="s">
        <v>57</v>
      </c>
      <c r="FJ91" t="s">
        <v>57</v>
      </c>
      <c r="FK91" t="s">
        <v>57</v>
      </c>
      <c r="FL91" t="s">
        <v>57</v>
      </c>
      <c r="FM91" t="s">
        <v>57</v>
      </c>
      <c r="FN91" t="s">
        <v>57</v>
      </c>
      <c r="FO91" t="s">
        <v>57</v>
      </c>
      <c r="FP91" t="s">
        <v>57</v>
      </c>
      <c r="FQ91" t="s">
        <v>57</v>
      </c>
      <c r="FR91" t="s">
        <v>57</v>
      </c>
      <c r="FS91" t="s">
        <v>57</v>
      </c>
      <c r="FT91" t="s">
        <v>57</v>
      </c>
      <c r="FU91" t="s">
        <v>57</v>
      </c>
      <c r="FV91" t="s">
        <v>57</v>
      </c>
      <c r="FW91" t="s">
        <v>57</v>
      </c>
      <c r="FX91" t="s">
        <v>57</v>
      </c>
      <c r="FY91" t="s">
        <v>57</v>
      </c>
      <c r="FZ91" t="s">
        <v>57</v>
      </c>
      <c r="GA91" t="s">
        <v>57</v>
      </c>
      <c r="GB91" t="s">
        <v>57</v>
      </c>
      <c r="GC91" t="s">
        <v>57</v>
      </c>
      <c r="GD91" t="s">
        <v>57</v>
      </c>
      <c r="GE91" t="s">
        <v>57</v>
      </c>
      <c r="GF91" t="s">
        <v>57</v>
      </c>
      <c r="GG91" t="s">
        <v>175</v>
      </c>
      <c r="GH91" t="s">
        <v>57</v>
      </c>
      <c r="GI91" t="s">
        <v>57</v>
      </c>
      <c r="GJ91" t="s">
        <v>57</v>
      </c>
      <c r="GK91" t="s">
        <v>57</v>
      </c>
      <c r="GL91" t="s">
        <v>57</v>
      </c>
      <c r="GM91" t="s">
        <v>175</v>
      </c>
      <c r="GN91" t="s">
        <v>57</v>
      </c>
      <c r="GO91" t="s">
        <v>57</v>
      </c>
      <c r="GP91" t="s">
        <v>175</v>
      </c>
      <c r="GQ91" t="s">
        <v>57</v>
      </c>
      <c r="GR91" t="s">
        <v>57</v>
      </c>
      <c r="GS91" t="s">
        <v>57</v>
      </c>
      <c r="GT91" t="s">
        <v>57</v>
      </c>
      <c r="GU91" t="s">
        <v>57</v>
      </c>
      <c r="GV91" t="s">
        <v>57</v>
      </c>
      <c r="GW91" t="s">
        <v>57</v>
      </c>
      <c r="GX91" t="s">
        <v>57</v>
      </c>
      <c r="GY91" t="s">
        <v>57</v>
      </c>
      <c r="GZ91" t="s">
        <v>57</v>
      </c>
      <c r="HA91" t="s">
        <v>57</v>
      </c>
      <c r="HB91" t="s">
        <v>57</v>
      </c>
      <c r="HC91" t="s">
        <v>57</v>
      </c>
      <c r="HD91" t="s">
        <v>57</v>
      </c>
      <c r="HE91" t="s">
        <v>57</v>
      </c>
      <c r="HF91" t="s">
        <v>57</v>
      </c>
      <c r="HG91" t="s">
        <v>57</v>
      </c>
      <c r="HH91" t="s">
        <v>175</v>
      </c>
      <c r="HI91" t="s">
        <v>175</v>
      </c>
      <c r="HJ91" t="s">
        <v>175</v>
      </c>
      <c r="HK91" t="s">
        <v>175</v>
      </c>
      <c r="HL91" t="s">
        <v>57</v>
      </c>
      <c r="HM91" t="s">
        <v>57</v>
      </c>
      <c r="HN91" t="s">
        <v>57</v>
      </c>
      <c r="HO91" t="s">
        <v>57</v>
      </c>
      <c r="HP91" t="s">
        <v>57</v>
      </c>
      <c r="HQ91" t="s">
        <v>57</v>
      </c>
      <c r="HR91" t="s">
        <v>57</v>
      </c>
      <c r="HS91" t="s">
        <v>57</v>
      </c>
      <c r="HT91" t="s">
        <v>57</v>
      </c>
      <c r="HU91" t="s">
        <v>57</v>
      </c>
      <c r="HV91" t="s">
        <v>57</v>
      </c>
      <c r="HW91" t="s">
        <v>57</v>
      </c>
      <c r="HX91" t="s">
        <v>57</v>
      </c>
      <c r="HY91" t="s">
        <v>57</v>
      </c>
      <c r="HZ91" t="s">
        <v>57</v>
      </c>
      <c r="IA91" t="s">
        <v>57</v>
      </c>
      <c r="IB91" t="s">
        <v>58</v>
      </c>
      <c r="IC91" t="s">
        <v>58</v>
      </c>
      <c r="ID91" t="s">
        <v>58</v>
      </c>
      <c r="IE91" t="s">
        <v>58</v>
      </c>
      <c r="IF91" t="s">
        <v>124</v>
      </c>
      <c r="IG91" t="s">
        <v>148</v>
      </c>
      <c r="IH91" t="s">
        <v>123</v>
      </c>
      <c r="II91" t="s">
        <v>156</v>
      </c>
    </row>
    <row r="92" spans="1:243" x14ac:dyDescent="0.25">
      <c r="A92" s="111" t="str">
        <f>HYPERLINK("http://www.ofsted.gov.uk/inspection-reports/find-inspection-report/provider/ELS/130398 ","Ofsted School Webpage")</f>
        <v>Ofsted School Webpage</v>
      </c>
      <c r="B92">
        <v>130398</v>
      </c>
      <c r="C92">
        <v>2126398</v>
      </c>
      <c r="D92" t="s">
        <v>2459</v>
      </c>
      <c r="E92" t="s">
        <v>36</v>
      </c>
      <c r="F92" t="s">
        <v>166</v>
      </c>
      <c r="G92" t="s">
        <v>189</v>
      </c>
      <c r="H92" t="s">
        <v>189</v>
      </c>
      <c r="I92" t="s">
        <v>391</v>
      </c>
      <c r="J92" t="s">
        <v>2460</v>
      </c>
      <c r="K92" t="s">
        <v>142</v>
      </c>
      <c r="L92" t="s">
        <v>142</v>
      </c>
      <c r="M92" t="s">
        <v>2596</v>
      </c>
      <c r="N92" t="s">
        <v>143</v>
      </c>
      <c r="O92">
        <v>10026281</v>
      </c>
      <c r="P92" s="108">
        <v>43123</v>
      </c>
      <c r="Q92" s="108">
        <v>43125</v>
      </c>
      <c r="R92" s="108">
        <v>43158</v>
      </c>
      <c r="S92" t="s">
        <v>153</v>
      </c>
      <c r="T92" t="s">
        <v>154</v>
      </c>
      <c r="U92">
        <v>1</v>
      </c>
      <c r="V92">
        <v>1</v>
      </c>
      <c r="W92">
        <v>1</v>
      </c>
      <c r="X92">
        <v>1</v>
      </c>
      <c r="Y92">
        <v>1</v>
      </c>
      <c r="Z92">
        <v>1</v>
      </c>
      <c r="AA92" t="s">
        <v>2596</v>
      </c>
      <c r="AB92" t="s">
        <v>123</v>
      </c>
      <c r="AC92" t="s">
        <v>2596</v>
      </c>
      <c r="AD92" t="s">
        <v>2598</v>
      </c>
      <c r="AE92" t="s">
        <v>57</v>
      </c>
      <c r="AF92" t="s">
        <v>57</v>
      </c>
      <c r="AG92" t="s">
        <v>57</v>
      </c>
      <c r="AH92" t="s">
        <v>57</v>
      </c>
      <c r="AI92" t="s">
        <v>57</v>
      </c>
      <c r="AJ92" t="s">
        <v>57</v>
      </c>
      <c r="AK92" t="s">
        <v>57</v>
      </c>
      <c r="AL92" t="s">
        <v>57</v>
      </c>
      <c r="AM92" t="s">
        <v>57</v>
      </c>
      <c r="AN92" t="s">
        <v>57</v>
      </c>
      <c r="AO92" t="s">
        <v>57</v>
      </c>
      <c r="AP92" t="s">
        <v>57</v>
      </c>
      <c r="AQ92" t="s">
        <v>57</v>
      </c>
      <c r="AR92" t="s">
        <v>57</v>
      </c>
      <c r="AS92" t="s">
        <v>57</v>
      </c>
      <c r="AT92" t="s">
        <v>57</v>
      </c>
      <c r="AU92" t="s">
        <v>175</v>
      </c>
      <c r="AV92" t="s">
        <v>57</v>
      </c>
      <c r="AW92" t="s">
        <v>57</v>
      </c>
      <c r="AX92" t="s">
        <v>57</v>
      </c>
      <c r="AY92" t="s">
        <v>57</v>
      </c>
      <c r="AZ92" t="s">
        <v>57</v>
      </c>
      <c r="BA92" t="s">
        <v>57</v>
      </c>
      <c r="BB92" t="s">
        <v>57</v>
      </c>
      <c r="BC92" t="s">
        <v>57</v>
      </c>
      <c r="BD92" t="s">
        <v>175</v>
      </c>
      <c r="BE92" t="s">
        <v>57</v>
      </c>
      <c r="BF92" t="s">
        <v>57</v>
      </c>
      <c r="BG92" t="s">
        <v>57</v>
      </c>
      <c r="BH92" t="s">
        <v>57</v>
      </c>
      <c r="BI92" t="s">
        <v>57</v>
      </c>
      <c r="BJ92" t="s">
        <v>57</v>
      </c>
      <c r="BK92" t="s">
        <v>57</v>
      </c>
      <c r="BL92" t="s">
        <v>57</v>
      </c>
      <c r="BM92" t="s">
        <v>57</v>
      </c>
      <c r="BN92" t="s">
        <v>57</v>
      </c>
      <c r="BO92" t="s">
        <v>57</v>
      </c>
      <c r="BP92" t="s">
        <v>57</v>
      </c>
      <c r="BQ92" t="s">
        <v>57</v>
      </c>
      <c r="BR92" t="s">
        <v>57</v>
      </c>
      <c r="BS92" t="s">
        <v>57</v>
      </c>
      <c r="BT92" t="s">
        <v>57</v>
      </c>
      <c r="BU92" t="s">
        <v>57</v>
      </c>
      <c r="BV92" t="s">
        <v>57</v>
      </c>
      <c r="BW92" t="s">
        <v>57</v>
      </c>
      <c r="BX92" t="s">
        <v>57</v>
      </c>
      <c r="BY92" t="s">
        <v>57</v>
      </c>
      <c r="BZ92" t="s">
        <v>57</v>
      </c>
      <c r="CA92" t="s">
        <v>57</v>
      </c>
      <c r="CB92" t="s">
        <v>57</v>
      </c>
      <c r="CC92" t="s">
        <v>57</v>
      </c>
      <c r="CD92" t="s">
        <v>57</v>
      </c>
      <c r="CE92" t="s">
        <v>57</v>
      </c>
      <c r="CF92" t="s">
        <v>57</v>
      </c>
      <c r="CG92" t="s">
        <v>57</v>
      </c>
      <c r="CH92" t="s">
        <v>57</v>
      </c>
      <c r="CI92" t="s">
        <v>57</v>
      </c>
      <c r="CJ92" t="s">
        <v>57</v>
      </c>
      <c r="CK92" t="s">
        <v>175</v>
      </c>
      <c r="CL92" t="s">
        <v>175</v>
      </c>
      <c r="CM92" t="s">
        <v>175</v>
      </c>
      <c r="CN92" t="s">
        <v>57</v>
      </c>
      <c r="CO92" t="s">
        <v>57</v>
      </c>
      <c r="CP92" t="s">
        <v>57</v>
      </c>
      <c r="CQ92" t="s">
        <v>57</v>
      </c>
      <c r="CR92" t="s">
        <v>57</v>
      </c>
      <c r="CS92" t="s">
        <v>57</v>
      </c>
      <c r="CT92" t="s">
        <v>57</v>
      </c>
      <c r="CU92" t="s">
        <v>57</v>
      </c>
      <c r="CV92" t="s">
        <v>57</v>
      </c>
      <c r="CW92" t="s">
        <v>57</v>
      </c>
      <c r="CX92" t="s">
        <v>57</v>
      </c>
      <c r="CY92" t="s">
        <v>57</v>
      </c>
      <c r="CZ92" t="s">
        <v>57</v>
      </c>
      <c r="DA92" t="s">
        <v>57</v>
      </c>
      <c r="DB92" t="s">
        <v>57</v>
      </c>
      <c r="DC92" t="s">
        <v>57</v>
      </c>
      <c r="DD92" t="s">
        <v>57</v>
      </c>
      <c r="DE92" t="s">
        <v>57</v>
      </c>
      <c r="DF92" t="s">
        <v>57</v>
      </c>
      <c r="DG92" t="s">
        <v>57</v>
      </c>
      <c r="DH92" t="s">
        <v>57</v>
      </c>
      <c r="DI92" t="s">
        <v>57</v>
      </c>
      <c r="DJ92" t="s">
        <v>57</v>
      </c>
      <c r="DK92" t="s">
        <v>175</v>
      </c>
      <c r="DL92" t="s">
        <v>57</v>
      </c>
      <c r="DM92" t="s">
        <v>175</v>
      </c>
      <c r="DN92" t="s">
        <v>175</v>
      </c>
      <c r="DO92" t="s">
        <v>175</v>
      </c>
      <c r="DP92" t="s">
        <v>175</v>
      </c>
      <c r="DQ92" t="s">
        <v>175</v>
      </c>
      <c r="DR92" t="s">
        <v>175</v>
      </c>
      <c r="DS92" t="s">
        <v>175</v>
      </c>
      <c r="DT92" t="s">
        <v>175</v>
      </c>
      <c r="DU92" t="s">
        <v>175</v>
      </c>
      <c r="DV92" t="s">
        <v>175</v>
      </c>
      <c r="DW92" t="s">
        <v>175</v>
      </c>
      <c r="DX92" t="s">
        <v>175</v>
      </c>
      <c r="DY92" t="s">
        <v>175</v>
      </c>
      <c r="DZ92" t="s">
        <v>175</v>
      </c>
      <c r="EA92" t="s">
        <v>57</v>
      </c>
      <c r="EB92" t="s">
        <v>57</v>
      </c>
      <c r="EC92" t="s">
        <v>57</v>
      </c>
      <c r="ED92" t="s">
        <v>57</v>
      </c>
      <c r="EE92" t="s">
        <v>57</v>
      </c>
      <c r="EF92" t="s">
        <v>57</v>
      </c>
      <c r="EG92" t="s">
        <v>57</v>
      </c>
      <c r="EH92" t="s">
        <v>57</v>
      </c>
      <c r="EI92" t="s">
        <v>57</v>
      </c>
      <c r="EJ92" t="s">
        <v>57</v>
      </c>
      <c r="EK92" t="s">
        <v>57</v>
      </c>
      <c r="EL92" t="s">
        <v>57</v>
      </c>
      <c r="EM92" t="s">
        <v>57</v>
      </c>
      <c r="EN92" t="s">
        <v>57</v>
      </c>
      <c r="EO92" t="s">
        <v>57</v>
      </c>
      <c r="EP92" t="s">
        <v>57</v>
      </c>
      <c r="EQ92" t="s">
        <v>57</v>
      </c>
      <c r="ER92" t="s">
        <v>57</v>
      </c>
      <c r="ES92" t="s">
        <v>57</v>
      </c>
      <c r="ET92" t="s">
        <v>57</v>
      </c>
      <c r="EU92" t="s">
        <v>57</v>
      </c>
      <c r="EV92" t="s">
        <v>57</v>
      </c>
      <c r="EW92" t="s">
        <v>57</v>
      </c>
      <c r="EX92" t="s">
        <v>175</v>
      </c>
      <c r="EY92" t="s">
        <v>57</v>
      </c>
      <c r="EZ92" t="s">
        <v>57</v>
      </c>
      <c r="FA92" t="s">
        <v>57</v>
      </c>
      <c r="FB92" t="s">
        <v>57</v>
      </c>
      <c r="FC92" t="s">
        <v>57</v>
      </c>
      <c r="FD92" t="s">
        <v>57</v>
      </c>
      <c r="FE92" t="s">
        <v>57</v>
      </c>
      <c r="FF92" t="s">
        <v>57</v>
      </c>
      <c r="FG92" t="s">
        <v>57</v>
      </c>
      <c r="FH92" t="s">
        <v>57</v>
      </c>
      <c r="FI92" t="s">
        <v>57</v>
      </c>
      <c r="FJ92" t="s">
        <v>57</v>
      </c>
      <c r="FK92" t="s">
        <v>57</v>
      </c>
      <c r="FL92" t="s">
        <v>57</v>
      </c>
      <c r="FM92" t="s">
        <v>57</v>
      </c>
      <c r="FN92" t="s">
        <v>57</v>
      </c>
      <c r="FO92" t="s">
        <v>175</v>
      </c>
      <c r="FP92" t="s">
        <v>57</v>
      </c>
      <c r="FQ92" t="s">
        <v>57</v>
      </c>
      <c r="FR92" t="s">
        <v>57</v>
      </c>
      <c r="FS92" t="s">
        <v>57</v>
      </c>
      <c r="FT92" t="s">
        <v>57</v>
      </c>
      <c r="FU92" t="s">
        <v>57</v>
      </c>
      <c r="FV92" t="s">
        <v>57</v>
      </c>
      <c r="FW92" t="s">
        <v>57</v>
      </c>
      <c r="FX92" t="s">
        <v>57</v>
      </c>
      <c r="FY92" t="s">
        <v>57</v>
      </c>
      <c r="FZ92" t="s">
        <v>57</v>
      </c>
      <c r="GA92" t="s">
        <v>57</v>
      </c>
      <c r="GB92" t="s">
        <v>57</v>
      </c>
      <c r="GC92" t="s">
        <v>57</v>
      </c>
      <c r="GD92" t="s">
        <v>57</v>
      </c>
      <c r="GE92" t="s">
        <v>57</v>
      </c>
      <c r="GF92" t="s">
        <v>57</v>
      </c>
      <c r="GG92" t="s">
        <v>175</v>
      </c>
      <c r="GH92" t="s">
        <v>57</v>
      </c>
      <c r="GI92" t="s">
        <v>57</v>
      </c>
      <c r="GJ92" t="s">
        <v>57</v>
      </c>
      <c r="GK92" t="s">
        <v>57</v>
      </c>
      <c r="GL92" t="s">
        <v>57</v>
      </c>
      <c r="GM92" t="s">
        <v>175</v>
      </c>
      <c r="GN92" t="s">
        <v>57</v>
      </c>
      <c r="GO92" t="s">
        <v>57</v>
      </c>
      <c r="GP92" t="s">
        <v>57</v>
      </c>
      <c r="GQ92" t="s">
        <v>57</v>
      </c>
      <c r="GR92" t="s">
        <v>57</v>
      </c>
      <c r="GS92" t="s">
        <v>57</v>
      </c>
      <c r="GT92" t="s">
        <v>57</v>
      </c>
      <c r="GU92" t="s">
        <v>57</v>
      </c>
      <c r="GV92" t="s">
        <v>57</v>
      </c>
      <c r="GW92" t="s">
        <v>57</v>
      </c>
      <c r="GX92" t="s">
        <v>57</v>
      </c>
      <c r="GY92" t="s">
        <v>57</v>
      </c>
      <c r="GZ92" t="s">
        <v>57</v>
      </c>
      <c r="HA92" t="s">
        <v>57</v>
      </c>
      <c r="HB92" t="s">
        <v>57</v>
      </c>
      <c r="HC92" t="s">
        <v>57</v>
      </c>
      <c r="HD92" t="s">
        <v>57</v>
      </c>
      <c r="HE92" t="s">
        <v>57</v>
      </c>
      <c r="HF92" t="s">
        <v>57</v>
      </c>
      <c r="HG92" t="s">
        <v>57</v>
      </c>
      <c r="HH92" t="s">
        <v>57</v>
      </c>
      <c r="HI92" t="s">
        <v>57</v>
      </c>
      <c r="HJ92" t="s">
        <v>57</v>
      </c>
      <c r="HK92" t="s">
        <v>57</v>
      </c>
      <c r="HL92" t="s">
        <v>57</v>
      </c>
      <c r="HM92" t="s">
        <v>57</v>
      </c>
      <c r="HN92" t="s">
        <v>57</v>
      </c>
      <c r="HO92" t="s">
        <v>57</v>
      </c>
      <c r="HP92" t="s">
        <v>57</v>
      </c>
      <c r="HQ92" t="s">
        <v>57</v>
      </c>
      <c r="HR92" t="s">
        <v>57</v>
      </c>
      <c r="HS92" t="s">
        <v>57</v>
      </c>
      <c r="HT92" t="s">
        <v>57</v>
      </c>
      <c r="HU92" t="s">
        <v>57</v>
      </c>
      <c r="HV92" t="s">
        <v>57</v>
      </c>
      <c r="HW92" t="s">
        <v>57</v>
      </c>
      <c r="HX92" t="s">
        <v>57</v>
      </c>
      <c r="HY92" t="s">
        <v>57</v>
      </c>
      <c r="HZ92" t="s">
        <v>57</v>
      </c>
      <c r="IA92" t="s">
        <v>57</v>
      </c>
      <c r="IB92" t="s">
        <v>57</v>
      </c>
      <c r="IC92" t="s">
        <v>57</v>
      </c>
      <c r="ID92" t="s">
        <v>57</v>
      </c>
      <c r="IE92" t="s">
        <v>57</v>
      </c>
      <c r="IF92" t="s">
        <v>124</v>
      </c>
      <c r="IG92" t="s">
        <v>148</v>
      </c>
      <c r="IH92" t="s">
        <v>123</v>
      </c>
      <c r="II92" t="s">
        <v>156</v>
      </c>
    </row>
    <row r="93" spans="1:243" x14ac:dyDescent="0.25">
      <c r="A93" s="111" t="str">
        <f>HYPERLINK("http://www.ofsted.gov.uk/inspection-reports/find-inspection-report/provider/ELS/130826 ","Ofsted School Webpage")</f>
        <v>Ofsted School Webpage</v>
      </c>
      <c r="B93">
        <v>130826</v>
      </c>
      <c r="C93">
        <v>3026081</v>
      </c>
      <c r="D93" t="s">
        <v>1987</v>
      </c>
      <c r="E93" t="s">
        <v>36</v>
      </c>
      <c r="F93" t="s">
        <v>166</v>
      </c>
      <c r="G93" t="s">
        <v>189</v>
      </c>
      <c r="H93" t="s">
        <v>189</v>
      </c>
      <c r="I93" t="s">
        <v>268</v>
      </c>
      <c r="J93" t="s">
        <v>1988</v>
      </c>
      <c r="K93" t="s">
        <v>142</v>
      </c>
      <c r="L93" t="s">
        <v>275</v>
      </c>
      <c r="M93" t="s">
        <v>2596</v>
      </c>
      <c r="N93" t="s">
        <v>143</v>
      </c>
      <c r="O93">
        <v>10035788</v>
      </c>
      <c r="P93" s="108">
        <v>43130</v>
      </c>
      <c r="Q93" s="108">
        <v>43132</v>
      </c>
      <c r="R93" s="108">
        <v>43164</v>
      </c>
      <c r="S93" t="s">
        <v>153</v>
      </c>
      <c r="T93" t="s">
        <v>154</v>
      </c>
      <c r="U93">
        <v>3</v>
      </c>
      <c r="V93">
        <v>3</v>
      </c>
      <c r="W93">
        <v>2</v>
      </c>
      <c r="X93">
        <v>3</v>
      </c>
      <c r="Y93">
        <v>3</v>
      </c>
      <c r="Z93">
        <v>3</v>
      </c>
      <c r="AA93" t="s">
        <v>2596</v>
      </c>
      <c r="AB93" t="s">
        <v>123</v>
      </c>
      <c r="AC93" t="s">
        <v>2596</v>
      </c>
      <c r="AD93" t="s">
        <v>2598</v>
      </c>
      <c r="AE93" t="s">
        <v>57</v>
      </c>
      <c r="AF93" t="s">
        <v>57</v>
      </c>
      <c r="AG93" t="s">
        <v>57</v>
      </c>
      <c r="AH93" t="s">
        <v>57</v>
      </c>
      <c r="AI93" t="s">
        <v>57</v>
      </c>
      <c r="AJ93" t="s">
        <v>57</v>
      </c>
      <c r="AK93" t="s">
        <v>57</v>
      </c>
      <c r="AL93" t="s">
        <v>57</v>
      </c>
      <c r="AM93" t="s">
        <v>57</v>
      </c>
      <c r="AN93" t="s">
        <v>57</v>
      </c>
      <c r="AO93" t="s">
        <v>57</v>
      </c>
      <c r="AP93" t="s">
        <v>57</v>
      </c>
      <c r="AQ93" t="s">
        <v>57</v>
      </c>
      <c r="AR93" t="s">
        <v>57</v>
      </c>
      <c r="AS93" t="s">
        <v>57</v>
      </c>
      <c r="AT93" t="s">
        <v>57</v>
      </c>
      <c r="AU93" t="s">
        <v>175</v>
      </c>
      <c r="AV93" t="s">
        <v>57</v>
      </c>
      <c r="AW93" t="s">
        <v>57</v>
      </c>
      <c r="AX93" t="s">
        <v>57</v>
      </c>
      <c r="AY93" t="s">
        <v>175</v>
      </c>
      <c r="AZ93" t="s">
        <v>175</v>
      </c>
      <c r="BA93" t="s">
        <v>175</v>
      </c>
      <c r="BB93" t="s">
        <v>175</v>
      </c>
      <c r="BC93" t="s">
        <v>57</v>
      </c>
      <c r="BD93" t="s">
        <v>175</v>
      </c>
      <c r="BE93" t="s">
        <v>57</v>
      </c>
      <c r="BF93" t="s">
        <v>57</v>
      </c>
      <c r="BG93" t="s">
        <v>57</v>
      </c>
      <c r="BH93" t="s">
        <v>57</v>
      </c>
      <c r="BI93" t="s">
        <v>57</v>
      </c>
      <c r="BJ93" t="s">
        <v>57</v>
      </c>
      <c r="BK93" t="s">
        <v>57</v>
      </c>
      <c r="BL93" t="s">
        <v>57</v>
      </c>
      <c r="BM93" t="s">
        <v>57</v>
      </c>
      <c r="BN93" t="s">
        <v>57</v>
      </c>
      <c r="BO93" t="s">
        <v>57</v>
      </c>
      <c r="BP93" t="s">
        <v>57</v>
      </c>
      <c r="BQ93" t="s">
        <v>57</v>
      </c>
      <c r="BR93" t="s">
        <v>57</v>
      </c>
      <c r="BS93" t="s">
        <v>57</v>
      </c>
      <c r="BT93" t="s">
        <v>57</v>
      </c>
      <c r="BU93" t="s">
        <v>57</v>
      </c>
      <c r="BV93" t="s">
        <v>57</v>
      </c>
      <c r="BW93" t="s">
        <v>57</v>
      </c>
      <c r="BX93" t="s">
        <v>57</v>
      </c>
      <c r="BY93" t="s">
        <v>57</v>
      </c>
      <c r="BZ93" t="s">
        <v>57</v>
      </c>
      <c r="CA93" t="s">
        <v>57</v>
      </c>
      <c r="CB93" t="s">
        <v>57</v>
      </c>
      <c r="CC93" t="s">
        <v>57</v>
      </c>
      <c r="CD93" t="s">
        <v>57</v>
      </c>
      <c r="CE93" t="s">
        <v>57</v>
      </c>
      <c r="CF93" t="s">
        <v>57</v>
      </c>
      <c r="CG93" t="s">
        <v>57</v>
      </c>
      <c r="CH93" t="s">
        <v>57</v>
      </c>
      <c r="CI93" t="s">
        <v>57</v>
      </c>
      <c r="CJ93" t="s">
        <v>57</v>
      </c>
      <c r="CK93" t="s">
        <v>175</v>
      </c>
      <c r="CL93" t="s">
        <v>175</v>
      </c>
      <c r="CM93" t="s">
        <v>175</v>
      </c>
      <c r="CN93" t="s">
        <v>57</v>
      </c>
      <c r="CO93" t="s">
        <v>57</v>
      </c>
      <c r="CP93" t="s">
        <v>57</v>
      </c>
      <c r="CQ93" t="s">
        <v>57</v>
      </c>
      <c r="CR93" t="s">
        <v>57</v>
      </c>
      <c r="CS93" t="s">
        <v>57</v>
      </c>
      <c r="CT93" t="s">
        <v>57</v>
      </c>
      <c r="CU93" t="s">
        <v>57</v>
      </c>
      <c r="CV93" t="s">
        <v>57</v>
      </c>
      <c r="CW93" t="s">
        <v>57</v>
      </c>
      <c r="CX93" t="s">
        <v>57</v>
      </c>
      <c r="CY93" t="s">
        <v>57</v>
      </c>
      <c r="CZ93" t="s">
        <v>57</v>
      </c>
      <c r="DA93" t="s">
        <v>57</v>
      </c>
      <c r="DB93" t="s">
        <v>57</v>
      </c>
      <c r="DC93" t="s">
        <v>57</v>
      </c>
      <c r="DD93" t="s">
        <v>57</v>
      </c>
      <c r="DE93" t="s">
        <v>57</v>
      </c>
      <c r="DF93" t="s">
        <v>57</v>
      </c>
      <c r="DG93" t="s">
        <v>57</v>
      </c>
      <c r="DH93" t="s">
        <v>57</v>
      </c>
      <c r="DI93" t="s">
        <v>57</v>
      </c>
      <c r="DJ93" t="s">
        <v>57</v>
      </c>
      <c r="DK93" t="s">
        <v>175</v>
      </c>
      <c r="DL93" t="s">
        <v>57</v>
      </c>
      <c r="DM93" t="s">
        <v>175</v>
      </c>
      <c r="DN93" t="s">
        <v>175</v>
      </c>
      <c r="DO93" t="s">
        <v>175</v>
      </c>
      <c r="DP93" t="s">
        <v>175</v>
      </c>
      <c r="DQ93" t="s">
        <v>175</v>
      </c>
      <c r="DR93" t="s">
        <v>175</v>
      </c>
      <c r="DS93" t="s">
        <v>175</v>
      </c>
      <c r="DT93" t="s">
        <v>175</v>
      </c>
      <c r="DU93" t="s">
        <v>175</v>
      </c>
      <c r="DV93" t="s">
        <v>175</v>
      </c>
      <c r="DW93" t="s">
        <v>175</v>
      </c>
      <c r="DX93" t="s">
        <v>175</v>
      </c>
      <c r="DY93" t="s">
        <v>175</v>
      </c>
      <c r="DZ93" t="s">
        <v>57</v>
      </c>
      <c r="EA93" t="s">
        <v>57</v>
      </c>
      <c r="EB93" t="s">
        <v>57</v>
      </c>
      <c r="EC93" t="s">
        <v>57</v>
      </c>
      <c r="ED93" t="s">
        <v>57</v>
      </c>
      <c r="EE93" t="s">
        <v>57</v>
      </c>
      <c r="EF93" t="s">
        <v>57</v>
      </c>
      <c r="EG93" t="s">
        <v>57</v>
      </c>
      <c r="EH93" t="s">
        <v>57</v>
      </c>
      <c r="EI93" t="s">
        <v>57</v>
      </c>
      <c r="EJ93" t="s">
        <v>57</v>
      </c>
      <c r="EK93" t="s">
        <v>57</v>
      </c>
      <c r="EL93" t="s">
        <v>57</v>
      </c>
      <c r="EM93" t="s">
        <v>57</v>
      </c>
      <c r="EN93" t="s">
        <v>57</v>
      </c>
      <c r="EO93" t="s">
        <v>57</v>
      </c>
      <c r="EP93" t="s">
        <v>57</v>
      </c>
      <c r="EQ93" t="s">
        <v>57</v>
      </c>
      <c r="ER93" t="s">
        <v>57</v>
      </c>
      <c r="ES93" t="s">
        <v>57</v>
      </c>
      <c r="ET93" t="s">
        <v>57</v>
      </c>
      <c r="EU93" t="s">
        <v>57</v>
      </c>
      <c r="EV93" t="s">
        <v>57</v>
      </c>
      <c r="EW93" t="s">
        <v>57</v>
      </c>
      <c r="EX93" t="s">
        <v>175</v>
      </c>
      <c r="EY93" t="s">
        <v>175</v>
      </c>
      <c r="EZ93" t="s">
        <v>175</v>
      </c>
      <c r="FA93" t="s">
        <v>175</v>
      </c>
      <c r="FB93" t="s">
        <v>175</v>
      </c>
      <c r="FC93" t="s">
        <v>175</v>
      </c>
      <c r="FD93" t="s">
        <v>57</v>
      </c>
      <c r="FE93" t="s">
        <v>57</v>
      </c>
      <c r="FF93" t="s">
        <v>57</v>
      </c>
      <c r="FG93" t="s">
        <v>57</v>
      </c>
      <c r="FH93" t="s">
        <v>57</v>
      </c>
      <c r="FI93" t="s">
        <v>57</v>
      </c>
      <c r="FJ93" t="s">
        <v>57</v>
      </c>
      <c r="FK93" t="s">
        <v>175</v>
      </c>
      <c r="FL93" t="s">
        <v>57</v>
      </c>
      <c r="FM93" t="s">
        <v>57</v>
      </c>
      <c r="FN93" t="s">
        <v>57</v>
      </c>
      <c r="FO93" t="s">
        <v>175</v>
      </c>
      <c r="FP93" t="s">
        <v>57</v>
      </c>
      <c r="FQ93" t="s">
        <v>57</v>
      </c>
      <c r="FR93" t="s">
        <v>57</v>
      </c>
      <c r="FS93" t="s">
        <v>57</v>
      </c>
      <c r="FT93" t="s">
        <v>57</v>
      </c>
      <c r="FU93" t="s">
        <v>57</v>
      </c>
      <c r="FV93" t="s">
        <v>57</v>
      </c>
      <c r="FW93" t="s">
        <v>57</v>
      </c>
      <c r="FX93" t="s">
        <v>57</v>
      </c>
      <c r="FY93" t="s">
        <v>57</v>
      </c>
      <c r="FZ93" t="s">
        <v>57</v>
      </c>
      <c r="GA93" t="s">
        <v>57</v>
      </c>
      <c r="GB93" t="s">
        <v>57</v>
      </c>
      <c r="GC93" t="s">
        <v>57</v>
      </c>
      <c r="GD93" t="s">
        <v>57</v>
      </c>
      <c r="GE93" t="s">
        <v>57</v>
      </c>
      <c r="GF93" t="s">
        <v>57</v>
      </c>
      <c r="GG93" t="s">
        <v>175</v>
      </c>
      <c r="GH93" t="s">
        <v>57</v>
      </c>
      <c r="GI93" t="s">
        <v>57</v>
      </c>
      <c r="GJ93" t="s">
        <v>57</v>
      </c>
      <c r="GK93" t="s">
        <v>57</v>
      </c>
      <c r="GL93" t="s">
        <v>57</v>
      </c>
      <c r="GM93" t="s">
        <v>57</v>
      </c>
      <c r="GN93" t="s">
        <v>57</v>
      </c>
      <c r="GO93" t="s">
        <v>57</v>
      </c>
      <c r="GP93" t="s">
        <v>57</v>
      </c>
      <c r="GQ93" t="s">
        <v>57</v>
      </c>
      <c r="GR93" t="s">
        <v>57</v>
      </c>
      <c r="GS93" t="s">
        <v>57</v>
      </c>
      <c r="GT93" t="s">
        <v>57</v>
      </c>
      <c r="GU93" t="s">
        <v>57</v>
      </c>
      <c r="GV93" t="s">
        <v>57</v>
      </c>
      <c r="GW93" t="s">
        <v>57</v>
      </c>
      <c r="GX93" t="s">
        <v>57</v>
      </c>
      <c r="GY93" t="s">
        <v>57</v>
      </c>
      <c r="GZ93" t="s">
        <v>57</v>
      </c>
      <c r="HA93" t="s">
        <v>57</v>
      </c>
      <c r="HB93" t="s">
        <v>57</v>
      </c>
      <c r="HC93" t="s">
        <v>57</v>
      </c>
      <c r="HD93" t="s">
        <v>57</v>
      </c>
      <c r="HE93" t="s">
        <v>57</v>
      </c>
      <c r="HF93" t="s">
        <v>57</v>
      </c>
      <c r="HG93" t="s">
        <v>57</v>
      </c>
      <c r="HH93" t="s">
        <v>175</v>
      </c>
      <c r="HI93" t="s">
        <v>175</v>
      </c>
      <c r="HJ93" t="s">
        <v>175</v>
      </c>
      <c r="HK93" t="s">
        <v>175</v>
      </c>
      <c r="HL93" t="s">
        <v>57</v>
      </c>
      <c r="HM93" t="s">
        <v>57</v>
      </c>
      <c r="HN93" t="s">
        <v>57</v>
      </c>
      <c r="HO93" t="s">
        <v>57</v>
      </c>
      <c r="HP93" t="s">
        <v>57</v>
      </c>
      <c r="HQ93" t="s">
        <v>57</v>
      </c>
      <c r="HR93" t="s">
        <v>57</v>
      </c>
      <c r="HS93" t="s">
        <v>57</v>
      </c>
      <c r="HT93" t="s">
        <v>57</v>
      </c>
      <c r="HU93" t="s">
        <v>57</v>
      </c>
      <c r="HV93" t="s">
        <v>57</v>
      </c>
      <c r="HW93" t="s">
        <v>57</v>
      </c>
      <c r="HX93" t="s">
        <v>57</v>
      </c>
      <c r="HY93" t="s">
        <v>57</v>
      </c>
      <c r="HZ93" t="s">
        <v>57</v>
      </c>
      <c r="IA93" t="s">
        <v>57</v>
      </c>
      <c r="IB93" t="s">
        <v>57</v>
      </c>
      <c r="IC93" t="s">
        <v>57</v>
      </c>
      <c r="ID93" t="s">
        <v>57</v>
      </c>
      <c r="IE93" t="s">
        <v>57</v>
      </c>
      <c r="IF93" t="s">
        <v>124</v>
      </c>
      <c r="IG93" t="s">
        <v>148</v>
      </c>
      <c r="IH93" t="s">
        <v>123</v>
      </c>
      <c r="II93" t="s">
        <v>156</v>
      </c>
    </row>
    <row r="94" spans="1:243" x14ac:dyDescent="0.25">
      <c r="A94" s="111" t="str">
        <f>HYPERLINK("http://www.ofsted.gov.uk/inspection-reports/find-inspection-report/provider/ELS/131015 ","Ofsted School Webpage")</f>
        <v>Ofsted School Webpage</v>
      </c>
      <c r="B94">
        <v>131015</v>
      </c>
      <c r="C94">
        <v>3526053</v>
      </c>
      <c r="D94" t="s">
        <v>444</v>
      </c>
      <c r="E94" t="s">
        <v>36</v>
      </c>
      <c r="F94" t="s">
        <v>166</v>
      </c>
      <c r="G94" t="s">
        <v>162</v>
      </c>
      <c r="H94" t="s">
        <v>162</v>
      </c>
      <c r="I94" t="s">
        <v>263</v>
      </c>
      <c r="J94" t="s">
        <v>445</v>
      </c>
      <c r="K94" t="s">
        <v>142</v>
      </c>
      <c r="L94" t="s">
        <v>275</v>
      </c>
      <c r="M94" t="s">
        <v>2596</v>
      </c>
      <c r="N94" t="s">
        <v>143</v>
      </c>
      <c r="O94">
        <v>10034025</v>
      </c>
      <c r="P94" s="108">
        <v>42990</v>
      </c>
      <c r="Q94" s="108">
        <v>42992</v>
      </c>
      <c r="R94" s="108">
        <v>43032</v>
      </c>
      <c r="S94" t="s">
        <v>153</v>
      </c>
      <c r="T94" t="s">
        <v>154</v>
      </c>
      <c r="U94">
        <v>2</v>
      </c>
      <c r="V94">
        <v>2</v>
      </c>
      <c r="W94">
        <v>2</v>
      </c>
      <c r="X94">
        <v>2</v>
      </c>
      <c r="Y94">
        <v>2</v>
      </c>
      <c r="Z94" t="s">
        <v>2596</v>
      </c>
      <c r="AA94" t="s">
        <v>2596</v>
      </c>
      <c r="AB94" t="s">
        <v>123</v>
      </c>
      <c r="AC94" t="s">
        <v>2596</v>
      </c>
      <c r="AD94" t="s">
        <v>2598</v>
      </c>
      <c r="AE94" t="s">
        <v>57</v>
      </c>
      <c r="AF94" t="s">
        <v>57</v>
      </c>
      <c r="AG94" t="s">
        <v>57</v>
      </c>
      <c r="AH94" t="s">
        <v>57</v>
      </c>
      <c r="AI94" t="s">
        <v>57</v>
      </c>
      <c r="AJ94" t="s">
        <v>57</v>
      </c>
      <c r="AK94" t="s">
        <v>57</v>
      </c>
      <c r="AL94" t="s">
        <v>57</v>
      </c>
      <c r="AM94" t="s">
        <v>57</v>
      </c>
      <c r="AN94" t="s">
        <v>57</v>
      </c>
      <c r="AO94" t="s">
        <v>57</v>
      </c>
      <c r="AP94" t="s">
        <v>57</v>
      </c>
      <c r="AQ94" t="s">
        <v>57</v>
      </c>
      <c r="AR94" t="s">
        <v>57</v>
      </c>
      <c r="AS94" t="s">
        <v>57</v>
      </c>
      <c r="AT94" t="s">
        <v>57</v>
      </c>
      <c r="AU94" t="s">
        <v>148</v>
      </c>
      <c r="AV94" t="s">
        <v>57</v>
      </c>
      <c r="AW94" t="s">
        <v>57</v>
      </c>
      <c r="AX94" t="s">
        <v>57</v>
      </c>
      <c r="AY94" t="s">
        <v>57</v>
      </c>
      <c r="AZ94" t="s">
        <v>57</v>
      </c>
      <c r="BA94" t="s">
        <v>57</v>
      </c>
      <c r="BB94" t="s">
        <v>57</v>
      </c>
      <c r="BC94" t="s">
        <v>148</v>
      </c>
      <c r="BD94" t="s">
        <v>148</v>
      </c>
      <c r="BE94" t="s">
        <v>57</v>
      </c>
      <c r="BF94" t="s">
        <v>57</v>
      </c>
      <c r="BG94" t="s">
        <v>57</v>
      </c>
      <c r="BH94" t="s">
        <v>57</v>
      </c>
      <c r="BI94" t="s">
        <v>57</v>
      </c>
      <c r="BJ94" t="s">
        <v>57</v>
      </c>
      <c r="BK94" t="s">
        <v>57</v>
      </c>
      <c r="BL94" t="s">
        <v>57</v>
      </c>
      <c r="BM94" t="s">
        <v>57</v>
      </c>
      <c r="BN94" t="s">
        <v>57</v>
      </c>
      <c r="BO94" t="s">
        <v>57</v>
      </c>
      <c r="BP94" t="s">
        <v>57</v>
      </c>
      <c r="BQ94" t="s">
        <v>57</v>
      </c>
      <c r="BR94" t="s">
        <v>57</v>
      </c>
      <c r="BS94" t="s">
        <v>57</v>
      </c>
      <c r="BT94" t="s">
        <v>57</v>
      </c>
      <c r="BU94" t="s">
        <v>57</v>
      </c>
      <c r="BV94" t="s">
        <v>57</v>
      </c>
      <c r="BW94" t="s">
        <v>57</v>
      </c>
      <c r="BX94" t="s">
        <v>57</v>
      </c>
      <c r="BY94" t="s">
        <v>57</v>
      </c>
      <c r="BZ94" t="s">
        <v>57</v>
      </c>
      <c r="CA94" t="s">
        <v>57</v>
      </c>
      <c r="CB94" t="s">
        <v>57</v>
      </c>
      <c r="CC94" t="s">
        <v>57</v>
      </c>
      <c r="CD94" t="s">
        <v>57</v>
      </c>
      <c r="CE94" t="s">
        <v>57</v>
      </c>
      <c r="CF94" t="s">
        <v>57</v>
      </c>
      <c r="CG94" t="s">
        <v>57</v>
      </c>
      <c r="CH94" t="s">
        <v>57</v>
      </c>
      <c r="CI94" t="s">
        <v>57</v>
      </c>
      <c r="CJ94" t="s">
        <v>57</v>
      </c>
      <c r="CK94" t="s">
        <v>148</v>
      </c>
      <c r="CL94" t="s">
        <v>148</v>
      </c>
      <c r="CM94" t="s">
        <v>148</v>
      </c>
      <c r="CN94" t="s">
        <v>57</v>
      </c>
      <c r="CO94" t="s">
        <v>57</v>
      </c>
      <c r="CP94" t="s">
        <v>57</v>
      </c>
      <c r="CQ94" t="s">
        <v>57</v>
      </c>
      <c r="CR94" t="s">
        <v>57</v>
      </c>
      <c r="CS94" t="s">
        <v>57</v>
      </c>
      <c r="CT94" t="s">
        <v>57</v>
      </c>
      <c r="CU94" t="s">
        <v>57</v>
      </c>
      <c r="CV94" t="s">
        <v>57</v>
      </c>
      <c r="CW94" t="s">
        <v>57</v>
      </c>
      <c r="CX94" t="s">
        <v>57</v>
      </c>
      <c r="CY94" t="s">
        <v>57</v>
      </c>
      <c r="CZ94" t="s">
        <v>57</v>
      </c>
      <c r="DA94" t="s">
        <v>57</v>
      </c>
      <c r="DB94" t="s">
        <v>57</v>
      </c>
      <c r="DC94" t="s">
        <v>57</v>
      </c>
      <c r="DD94" t="s">
        <v>57</v>
      </c>
      <c r="DE94" t="s">
        <v>57</v>
      </c>
      <c r="DF94" t="s">
        <v>57</v>
      </c>
      <c r="DG94" t="s">
        <v>57</v>
      </c>
      <c r="DH94" t="s">
        <v>57</v>
      </c>
      <c r="DI94" t="s">
        <v>57</v>
      </c>
      <c r="DJ94" t="s">
        <v>57</v>
      </c>
      <c r="DK94" t="s">
        <v>148</v>
      </c>
      <c r="DL94" t="s">
        <v>57</v>
      </c>
      <c r="DM94" t="s">
        <v>148</v>
      </c>
      <c r="DN94" t="s">
        <v>148</v>
      </c>
      <c r="DO94" t="s">
        <v>148</v>
      </c>
      <c r="DP94" t="s">
        <v>148</v>
      </c>
      <c r="DQ94" t="s">
        <v>148</v>
      </c>
      <c r="DR94" t="s">
        <v>148</v>
      </c>
      <c r="DS94" t="s">
        <v>148</v>
      </c>
      <c r="DT94" t="s">
        <v>148</v>
      </c>
      <c r="DU94" t="s">
        <v>148</v>
      </c>
      <c r="DV94" t="s">
        <v>148</v>
      </c>
      <c r="DW94" t="s">
        <v>148</v>
      </c>
      <c r="DX94" t="s">
        <v>148</v>
      </c>
      <c r="DY94" t="s">
        <v>148</v>
      </c>
      <c r="DZ94" t="s">
        <v>148</v>
      </c>
      <c r="EA94" t="s">
        <v>57</v>
      </c>
      <c r="EB94" t="s">
        <v>57</v>
      </c>
      <c r="EC94" t="s">
        <v>57</v>
      </c>
      <c r="ED94" t="s">
        <v>57</v>
      </c>
      <c r="EE94" t="s">
        <v>57</v>
      </c>
      <c r="EF94" t="s">
        <v>57</v>
      </c>
      <c r="EG94" t="s">
        <v>57</v>
      </c>
      <c r="EH94" t="s">
        <v>57</v>
      </c>
      <c r="EI94" t="s">
        <v>57</v>
      </c>
      <c r="EJ94" t="s">
        <v>57</v>
      </c>
      <c r="EK94" t="s">
        <v>57</v>
      </c>
      <c r="EL94" t="s">
        <v>57</v>
      </c>
      <c r="EM94" t="s">
        <v>57</v>
      </c>
      <c r="EN94" t="s">
        <v>57</v>
      </c>
      <c r="EO94" t="s">
        <v>57</v>
      </c>
      <c r="EP94" t="s">
        <v>57</v>
      </c>
      <c r="EQ94" t="s">
        <v>57</v>
      </c>
      <c r="ER94" t="s">
        <v>57</v>
      </c>
      <c r="ES94" t="s">
        <v>57</v>
      </c>
      <c r="ET94" t="s">
        <v>57</v>
      </c>
      <c r="EU94" t="s">
        <v>57</v>
      </c>
      <c r="EV94" t="s">
        <v>57</v>
      </c>
      <c r="EW94" t="s">
        <v>57</v>
      </c>
      <c r="EX94" t="s">
        <v>57</v>
      </c>
      <c r="EY94" t="s">
        <v>57</v>
      </c>
      <c r="EZ94" t="s">
        <v>57</v>
      </c>
      <c r="FA94" t="s">
        <v>57</v>
      </c>
      <c r="FB94" t="s">
        <v>57</v>
      </c>
      <c r="FC94" t="s">
        <v>57</v>
      </c>
      <c r="FD94" t="s">
        <v>57</v>
      </c>
      <c r="FE94" t="s">
        <v>57</v>
      </c>
      <c r="FF94" t="s">
        <v>57</v>
      </c>
      <c r="FG94" t="s">
        <v>57</v>
      </c>
      <c r="FH94" t="s">
        <v>57</v>
      </c>
      <c r="FI94" t="s">
        <v>57</v>
      </c>
      <c r="FJ94" t="s">
        <v>57</v>
      </c>
      <c r="FK94" t="s">
        <v>57</v>
      </c>
      <c r="FL94" t="s">
        <v>57</v>
      </c>
      <c r="FM94" t="s">
        <v>57</v>
      </c>
      <c r="FN94" t="s">
        <v>57</v>
      </c>
      <c r="FO94" t="s">
        <v>148</v>
      </c>
      <c r="FP94" t="s">
        <v>57</v>
      </c>
      <c r="FQ94" t="s">
        <v>57</v>
      </c>
      <c r="FR94" t="s">
        <v>57</v>
      </c>
      <c r="FS94" t="s">
        <v>57</v>
      </c>
      <c r="FT94" t="s">
        <v>57</v>
      </c>
      <c r="FU94" t="s">
        <v>57</v>
      </c>
      <c r="FV94" t="s">
        <v>57</v>
      </c>
      <c r="FW94" t="s">
        <v>57</v>
      </c>
      <c r="FX94" t="s">
        <v>57</v>
      </c>
      <c r="FY94" t="s">
        <v>57</v>
      </c>
      <c r="FZ94" t="s">
        <v>57</v>
      </c>
      <c r="GA94" t="s">
        <v>57</v>
      </c>
      <c r="GB94" t="s">
        <v>57</v>
      </c>
      <c r="GC94" t="s">
        <v>57</v>
      </c>
      <c r="GD94" t="s">
        <v>57</v>
      </c>
      <c r="GE94" t="s">
        <v>57</v>
      </c>
      <c r="GF94" t="s">
        <v>57</v>
      </c>
      <c r="GG94" t="s">
        <v>148</v>
      </c>
      <c r="GH94" t="s">
        <v>57</v>
      </c>
      <c r="GI94" t="s">
        <v>57</v>
      </c>
      <c r="GJ94" t="s">
        <v>57</v>
      </c>
      <c r="GK94" t="s">
        <v>57</v>
      </c>
      <c r="GL94" t="s">
        <v>57</v>
      </c>
      <c r="GM94" t="s">
        <v>148</v>
      </c>
      <c r="GN94" t="s">
        <v>57</v>
      </c>
      <c r="GO94" t="s">
        <v>57</v>
      </c>
      <c r="GP94" t="s">
        <v>148</v>
      </c>
      <c r="GQ94" t="s">
        <v>57</v>
      </c>
      <c r="GR94" t="s">
        <v>57</v>
      </c>
      <c r="GS94" t="s">
        <v>57</v>
      </c>
      <c r="GT94" t="s">
        <v>57</v>
      </c>
      <c r="GU94" t="s">
        <v>57</v>
      </c>
      <c r="GV94" t="s">
        <v>57</v>
      </c>
      <c r="GW94" t="s">
        <v>57</v>
      </c>
      <c r="GX94" t="s">
        <v>57</v>
      </c>
      <c r="GY94" t="s">
        <v>57</v>
      </c>
      <c r="GZ94" t="s">
        <v>57</v>
      </c>
      <c r="HA94" t="s">
        <v>57</v>
      </c>
      <c r="HB94" t="s">
        <v>57</v>
      </c>
      <c r="HC94" t="s">
        <v>57</v>
      </c>
      <c r="HD94" t="s">
        <v>57</v>
      </c>
      <c r="HE94" t="s">
        <v>57</v>
      </c>
      <c r="HF94" t="s">
        <v>57</v>
      </c>
      <c r="HG94" t="s">
        <v>57</v>
      </c>
      <c r="HH94" t="s">
        <v>148</v>
      </c>
      <c r="HI94" t="s">
        <v>148</v>
      </c>
      <c r="HJ94" t="s">
        <v>148</v>
      </c>
      <c r="HK94" t="s">
        <v>148</v>
      </c>
      <c r="HL94" t="s">
        <v>57</v>
      </c>
      <c r="HM94" t="s">
        <v>57</v>
      </c>
      <c r="HN94" t="s">
        <v>57</v>
      </c>
      <c r="HO94" t="s">
        <v>57</v>
      </c>
      <c r="HP94" t="s">
        <v>57</v>
      </c>
      <c r="HQ94" t="s">
        <v>57</v>
      </c>
      <c r="HR94" t="s">
        <v>57</v>
      </c>
      <c r="HS94" t="s">
        <v>57</v>
      </c>
      <c r="HT94" t="s">
        <v>57</v>
      </c>
      <c r="HU94" t="s">
        <v>57</v>
      </c>
      <c r="HV94" t="s">
        <v>57</v>
      </c>
      <c r="HW94" t="s">
        <v>57</v>
      </c>
      <c r="HX94" t="s">
        <v>57</v>
      </c>
      <c r="HY94" t="s">
        <v>57</v>
      </c>
      <c r="HZ94" t="s">
        <v>57</v>
      </c>
      <c r="IA94" t="s">
        <v>57</v>
      </c>
      <c r="IB94" t="s">
        <v>57</v>
      </c>
      <c r="IC94" t="s">
        <v>57</v>
      </c>
      <c r="ID94" t="s">
        <v>57</v>
      </c>
      <c r="IE94" t="s">
        <v>57</v>
      </c>
      <c r="IF94" t="s">
        <v>124</v>
      </c>
      <c r="IG94" t="s">
        <v>155</v>
      </c>
      <c r="IH94" t="s">
        <v>123</v>
      </c>
      <c r="II94" t="s">
        <v>156</v>
      </c>
    </row>
    <row r="95" spans="1:243" x14ac:dyDescent="0.25">
      <c r="A95" s="111" t="str">
        <f>HYPERLINK("http://www.ofsted.gov.uk/inspection-reports/find-inspection-report/provider/ELS/131025 ","Ofsted School Webpage")</f>
        <v>Ofsted School Webpage</v>
      </c>
      <c r="B95">
        <v>131025</v>
      </c>
      <c r="C95">
        <v>8886029</v>
      </c>
      <c r="D95" t="s">
        <v>940</v>
      </c>
      <c r="E95" t="s">
        <v>37</v>
      </c>
      <c r="F95" t="s">
        <v>138</v>
      </c>
      <c r="G95" t="s">
        <v>162</v>
      </c>
      <c r="H95" t="s">
        <v>162</v>
      </c>
      <c r="I95" t="s">
        <v>163</v>
      </c>
      <c r="J95" t="s">
        <v>941</v>
      </c>
      <c r="K95" t="s">
        <v>142</v>
      </c>
      <c r="L95" t="s">
        <v>142</v>
      </c>
      <c r="M95" t="s">
        <v>2596</v>
      </c>
      <c r="N95" t="s">
        <v>143</v>
      </c>
      <c r="O95">
        <v>10043372</v>
      </c>
      <c r="P95" s="108">
        <v>43130</v>
      </c>
      <c r="Q95" s="108">
        <v>43132</v>
      </c>
      <c r="R95" s="108">
        <v>43158</v>
      </c>
      <c r="S95" t="s">
        <v>153</v>
      </c>
      <c r="T95" t="s">
        <v>154</v>
      </c>
      <c r="U95">
        <v>2</v>
      </c>
      <c r="V95">
        <v>2</v>
      </c>
      <c r="W95">
        <v>2</v>
      </c>
      <c r="X95">
        <v>2</v>
      </c>
      <c r="Y95">
        <v>2</v>
      </c>
      <c r="Z95" t="s">
        <v>2596</v>
      </c>
      <c r="AA95" t="s">
        <v>2596</v>
      </c>
      <c r="AB95" t="s">
        <v>123</v>
      </c>
      <c r="AC95" t="s">
        <v>2596</v>
      </c>
      <c r="AD95" t="s">
        <v>2598</v>
      </c>
      <c r="AE95" t="s">
        <v>57</v>
      </c>
      <c r="AF95" t="s">
        <v>57</v>
      </c>
      <c r="AG95" t="s">
        <v>57</v>
      </c>
      <c r="AH95" t="s">
        <v>57</v>
      </c>
      <c r="AI95" t="s">
        <v>57</v>
      </c>
      <c r="AJ95" t="s">
        <v>57</v>
      </c>
      <c r="AK95" t="s">
        <v>57</v>
      </c>
      <c r="AL95" t="s">
        <v>57</v>
      </c>
      <c r="AM95" t="s">
        <v>57</v>
      </c>
      <c r="AN95" t="s">
        <v>57</v>
      </c>
      <c r="AO95" t="s">
        <v>57</v>
      </c>
      <c r="AP95" t="s">
        <v>57</v>
      </c>
      <c r="AQ95" t="s">
        <v>57</v>
      </c>
      <c r="AR95" t="s">
        <v>57</v>
      </c>
      <c r="AS95" t="s">
        <v>57</v>
      </c>
      <c r="AT95" t="s">
        <v>57</v>
      </c>
      <c r="AU95" t="s">
        <v>57</v>
      </c>
      <c r="AV95" t="s">
        <v>57</v>
      </c>
      <c r="AW95" t="s">
        <v>57</v>
      </c>
      <c r="AX95" t="s">
        <v>57</v>
      </c>
      <c r="AY95" t="s">
        <v>57</v>
      </c>
      <c r="AZ95" t="s">
        <v>57</v>
      </c>
      <c r="BA95" t="s">
        <v>57</v>
      </c>
      <c r="BB95" t="s">
        <v>57</v>
      </c>
      <c r="BC95" t="s">
        <v>175</v>
      </c>
      <c r="BD95" t="s">
        <v>175</v>
      </c>
      <c r="BE95" t="s">
        <v>57</v>
      </c>
      <c r="BF95" t="s">
        <v>57</v>
      </c>
      <c r="BG95" t="s">
        <v>57</v>
      </c>
      <c r="BH95" t="s">
        <v>57</v>
      </c>
      <c r="BI95" t="s">
        <v>57</v>
      </c>
      <c r="BJ95" t="s">
        <v>57</v>
      </c>
      <c r="BK95" t="s">
        <v>57</v>
      </c>
      <c r="BL95" t="s">
        <v>57</v>
      </c>
      <c r="BM95" t="s">
        <v>57</v>
      </c>
      <c r="BN95" t="s">
        <v>57</v>
      </c>
      <c r="BO95" t="s">
        <v>57</v>
      </c>
      <c r="BP95" t="s">
        <v>57</v>
      </c>
      <c r="BQ95" t="s">
        <v>57</v>
      </c>
      <c r="BR95" t="s">
        <v>57</v>
      </c>
      <c r="BS95" t="s">
        <v>57</v>
      </c>
      <c r="BT95" t="s">
        <v>57</v>
      </c>
      <c r="BU95" t="s">
        <v>57</v>
      </c>
      <c r="BV95" t="s">
        <v>57</v>
      </c>
      <c r="BW95" t="s">
        <v>57</v>
      </c>
      <c r="BX95" t="s">
        <v>57</v>
      </c>
      <c r="BY95" t="s">
        <v>57</v>
      </c>
      <c r="BZ95" t="s">
        <v>57</v>
      </c>
      <c r="CA95" t="s">
        <v>57</v>
      </c>
      <c r="CB95" t="s">
        <v>57</v>
      </c>
      <c r="CC95" t="s">
        <v>57</v>
      </c>
      <c r="CD95" t="s">
        <v>57</v>
      </c>
      <c r="CE95" t="s">
        <v>57</v>
      </c>
      <c r="CF95" t="s">
        <v>57</v>
      </c>
      <c r="CG95" t="s">
        <v>57</v>
      </c>
      <c r="CH95" t="s">
        <v>57</v>
      </c>
      <c r="CI95" t="s">
        <v>57</v>
      </c>
      <c r="CJ95" t="s">
        <v>57</v>
      </c>
      <c r="CK95" t="s">
        <v>175</v>
      </c>
      <c r="CL95" t="s">
        <v>175</v>
      </c>
      <c r="CM95" t="s">
        <v>175</v>
      </c>
      <c r="CN95" t="s">
        <v>57</v>
      </c>
      <c r="CO95" t="s">
        <v>57</v>
      </c>
      <c r="CP95" t="s">
        <v>57</v>
      </c>
      <c r="CQ95" t="s">
        <v>57</v>
      </c>
      <c r="CR95" t="s">
        <v>57</v>
      </c>
      <c r="CS95" t="s">
        <v>57</v>
      </c>
      <c r="CT95" t="s">
        <v>57</v>
      </c>
      <c r="CU95" t="s">
        <v>57</v>
      </c>
      <c r="CV95" t="s">
        <v>57</v>
      </c>
      <c r="CW95" t="s">
        <v>57</v>
      </c>
      <c r="CX95" t="s">
        <v>57</v>
      </c>
      <c r="CY95" t="s">
        <v>57</v>
      </c>
      <c r="CZ95" t="s">
        <v>57</v>
      </c>
      <c r="DA95" t="s">
        <v>57</v>
      </c>
      <c r="DB95" t="s">
        <v>57</v>
      </c>
      <c r="DC95" t="s">
        <v>57</v>
      </c>
      <c r="DD95" t="s">
        <v>57</v>
      </c>
      <c r="DE95" t="s">
        <v>57</v>
      </c>
      <c r="DF95" t="s">
        <v>57</v>
      </c>
      <c r="DG95" t="s">
        <v>57</v>
      </c>
      <c r="DH95" t="s">
        <v>57</v>
      </c>
      <c r="DI95" t="s">
        <v>57</v>
      </c>
      <c r="DJ95" t="s">
        <v>57</v>
      </c>
      <c r="DK95" t="s">
        <v>57</v>
      </c>
      <c r="DL95" t="s">
        <v>57</v>
      </c>
      <c r="DM95" t="s">
        <v>57</v>
      </c>
      <c r="DN95" t="s">
        <v>57</v>
      </c>
      <c r="DO95" t="s">
        <v>57</v>
      </c>
      <c r="DP95" t="s">
        <v>57</v>
      </c>
      <c r="DQ95" t="s">
        <v>57</v>
      </c>
      <c r="DR95" t="s">
        <v>57</v>
      </c>
      <c r="DS95" t="s">
        <v>57</v>
      </c>
      <c r="DT95" t="s">
        <v>57</v>
      </c>
      <c r="DU95" t="s">
        <v>57</v>
      </c>
      <c r="DV95" t="s">
        <v>57</v>
      </c>
      <c r="DW95" t="s">
        <v>57</v>
      </c>
      <c r="DX95" t="s">
        <v>57</v>
      </c>
      <c r="DY95" t="s">
        <v>175</v>
      </c>
      <c r="DZ95" t="s">
        <v>57</v>
      </c>
      <c r="EA95" t="s">
        <v>57</v>
      </c>
      <c r="EB95" t="s">
        <v>57</v>
      </c>
      <c r="EC95" t="s">
        <v>57</v>
      </c>
      <c r="ED95" t="s">
        <v>57</v>
      </c>
      <c r="EE95" t="s">
        <v>57</v>
      </c>
      <c r="EF95" t="s">
        <v>57</v>
      </c>
      <c r="EG95" t="s">
        <v>57</v>
      </c>
      <c r="EH95" t="s">
        <v>57</v>
      </c>
      <c r="EI95" t="s">
        <v>57</v>
      </c>
      <c r="EJ95" t="s">
        <v>57</v>
      </c>
      <c r="EK95" t="s">
        <v>57</v>
      </c>
      <c r="EL95" t="s">
        <v>57</v>
      </c>
      <c r="EM95" t="s">
        <v>57</v>
      </c>
      <c r="EN95" t="s">
        <v>57</v>
      </c>
      <c r="EO95" t="s">
        <v>57</v>
      </c>
      <c r="EP95" t="s">
        <v>57</v>
      </c>
      <c r="EQ95" t="s">
        <v>57</v>
      </c>
      <c r="ER95" t="s">
        <v>57</v>
      </c>
      <c r="ES95" t="s">
        <v>57</v>
      </c>
      <c r="ET95" t="s">
        <v>57</v>
      </c>
      <c r="EU95" t="s">
        <v>57</v>
      </c>
      <c r="EV95" t="s">
        <v>57</v>
      </c>
      <c r="EW95" t="s">
        <v>57</v>
      </c>
      <c r="EX95" t="s">
        <v>57</v>
      </c>
      <c r="EY95" t="s">
        <v>57</v>
      </c>
      <c r="EZ95" t="s">
        <v>57</v>
      </c>
      <c r="FA95" t="s">
        <v>57</v>
      </c>
      <c r="FB95" t="s">
        <v>57</v>
      </c>
      <c r="FC95" t="s">
        <v>57</v>
      </c>
      <c r="FD95" t="s">
        <v>57</v>
      </c>
      <c r="FE95" t="s">
        <v>57</v>
      </c>
      <c r="FF95" t="s">
        <v>57</v>
      </c>
      <c r="FG95" t="s">
        <v>57</v>
      </c>
      <c r="FH95" t="s">
        <v>57</v>
      </c>
      <c r="FI95" t="s">
        <v>57</v>
      </c>
      <c r="FJ95" t="s">
        <v>175</v>
      </c>
      <c r="FK95" t="s">
        <v>57</v>
      </c>
      <c r="FL95" t="s">
        <v>57</v>
      </c>
      <c r="FM95" t="s">
        <v>57</v>
      </c>
      <c r="FN95" t="s">
        <v>57</v>
      </c>
      <c r="FO95" t="s">
        <v>57</v>
      </c>
      <c r="FP95" t="s">
        <v>57</v>
      </c>
      <c r="FQ95" t="s">
        <v>57</v>
      </c>
      <c r="FR95" t="s">
        <v>57</v>
      </c>
      <c r="FS95" t="s">
        <v>57</v>
      </c>
      <c r="FT95" t="s">
        <v>57</v>
      </c>
      <c r="FU95" t="s">
        <v>57</v>
      </c>
      <c r="FV95" t="s">
        <v>57</v>
      </c>
      <c r="FW95" t="s">
        <v>57</v>
      </c>
      <c r="FX95" t="s">
        <v>57</v>
      </c>
      <c r="FY95" t="s">
        <v>57</v>
      </c>
      <c r="FZ95" t="s">
        <v>57</v>
      </c>
      <c r="GA95" t="s">
        <v>57</v>
      </c>
      <c r="GB95" t="s">
        <v>57</v>
      </c>
      <c r="GC95" t="s">
        <v>57</v>
      </c>
      <c r="GD95" t="s">
        <v>57</v>
      </c>
      <c r="GE95" t="s">
        <v>57</v>
      </c>
      <c r="GF95" t="s">
        <v>57</v>
      </c>
      <c r="GG95" t="s">
        <v>57</v>
      </c>
      <c r="GH95" t="s">
        <v>57</v>
      </c>
      <c r="GI95" t="s">
        <v>57</v>
      </c>
      <c r="GJ95" t="s">
        <v>57</v>
      </c>
      <c r="GK95" t="s">
        <v>57</v>
      </c>
      <c r="GL95" t="s">
        <v>57</v>
      </c>
      <c r="GM95" t="s">
        <v>57</v>
      </c>
      <c r="GN95" t="s">
        <v>57</v>
      </c>
      <c r="GO95" t="s">
        <v>57</v>
      </c>
      <c r="GP95" t="s">
        <v>57</v>
      </c>
      <c r="GQ95" t="s">
        <v>57</v>
      </c>
      <c r="GR95" t="s">
        <v>57</v>
      </c>
      <c r="GS95" t="s">
        <v>57</v>
      </c>
      <c r="GT95" t="s">
        <v>57</v>
      </c>
      <c r="GU95" t="s">
        <v>57</v>
      </c>
      <c r="GV95" t="s">
        <v>57</v>
      </c>
      <c r="GW95" t="s">
        <v>57</v>
      </c>
      <c r="GX95" t="s">
        <v>57</v>
      </c>
      <c r="GY95" t="s">
        <v>57</v>
      </c>
      <c r="GZ95" t="s">
        <v>57</v>
      </c>
      <c r="HA95" t="s">
        <v>57</v>
      </c>
      <c r="HB95" t="s">
        <v>57</v>
      </c>
      <c r="HC95" t="s">
        <v>57</v>
      </c>
      <c r="HD95" t="s">
        <v>57</v>
      </c>
      <c r="HE95" t="s">
        <v>57</v>
      </c>
      <c r="HF95" t="s">
        <v>57</v>
      </c>
      <c r="HG95" t="s">
        <v>57</v>
      </c>
      <c r="HH95" t="s">
        <v>57</v>
      </c>
      <c r="HI95" t="s">
        <v>57</v>
      </c>
      <c r="HJ95" t="s">
        <v>57</v>
      </c>
      <c r="HK95" t="s">
        <v>57</v>
      </c>
      <c r="HL95" t="s">
        <v>57</v>
      </c>
      <c r="HM95" t="s">
        <v>57</v>
      </c>
      <c r="HN95" t="s">
        <v>57</v>
      </c>
      <c r="HO95" t="s">
        <v>57</v>
      </c>
      <c r="HP95" t="s">
        <v>57</v>
      </c>
      <c r="HQ95" t="s">
        <v>57</v>
      </c>
      <c r="HR95" t="s">
        <v>57</v>
      </c>
      <c r="HS95" t="s">
        <v>57</v>
      </c>
      <c r="HT95" t="s">
        <v>57</v>
      </c>
      <c r="HU95" t="s">
        <v>57</v>
      </c>
      <c r="HV95" t="s">
        <v>57</v>
      </c>
      <c r="HW95" t="s">
        <v>57</v>
      </c>
      <c r="HX95" t="s">
        <v>57</v>
      </c>
      <c r="HY95" t="s">
        <v>57</v>
      </c>
      <c r="HZ95" t="s">
        <v>57</v>
      </c>
      <c r="IA95" t="s">
        <v>57</v>
      </c>
      <c r="IB95" t="s">
        <v>57</v>
      </c>
      <c r="IC95" t="s">
        <v>57</v>
      </c>
      <c r="ID95" t="s">
        <v>57</v>
      </c>
      <c r="IE95" t="s">
        <v>57</v>
      </c>
      <c r="IF95" t="s">
        <v>123</v>
      </c>
      <c r="IG95" t="s">
        <v>148</v>
      </c>
      <c r="IH95" t="s">
        <v>123</v>
      </c>
      <c r="II95" t="s">
        <v>156</v>
      </c>
    </row>
    <row r="96" spans="1:243" x14ac:dyDescent="0.25">
      <c r="A96" s="111" t="str">
        <f>HYPERLINK("http://www.ofsted.gov.uk/inspection-reports/find-inspection-report/provider/ELS/131026 ","Ofsted School Webpage")</f>
        <v>Ofsted School Webpage</v>
      </c>
      <c r="B96">
        <v>131026</v>
      </c>
      <c r="C96">
        <v>3026104</v>
      </c>
      <c r="D96" t="s">
        <v>353</v>
      </c>
      <c r="E96" t="s">
        <v>36</v>
      </c>
      <c r="F96" t="s">
        <v>166</v>
      </c>
      <c r="G96" t="s">
        <v>189</v>
      </c>
      <c r="H96" t="s">
        <v>189</v>
      </c>
      <c r="I96" t="s">
        <v>268</v>
      </c>
      <c r="J96" t="s">
        <v>354</v>
      </c>
      <c r="K96" t="s">
        <v>142</v>
      </c>
      <c r="L96" t="s">
        <v>275</v>
      </c>
      <c r="M96" t="s">
        <v>2596</v>
      </c>
      <c r="N96" t="s">
        <v>143</v>
      </c>
      <c r="O96">
        <v>10008541</v>
      </c>
      <c r="P96" s="108">
        <v>43004</v>
      </c>
      <c r="Q96" s="108">
        <v>43006</v>
      </c>
      <c r="R96" s="108">
        <v>43046</v>
      </c>
      <c r="S96" t="s">
        <v>153</v>
      </c>
      <c r="T96" t="s">
        <v>154</v>
      </c>
      <c r="U96">
        <v>3</v>
      </c>
      <c r="V96">
        <v>3</v>
      </c>
      <c r="W96">
        <v>2</v>
      </c>
      <c r="X96">
        <v>3</v>
      </c>
      <c r="Y96">
        <v>3</v>
      </c>
      <c r="Z96">
        <v>2</v>
      </c>
      <c r="AA96" t="s">
        <v>2596</v>
      </c>
      <c r="AB96" t="s">
        <v>123</v>
      </c>
      <c r="AC96" t="s">
        <v>2596</v>
      </c>
      <c r="AD96" t="s">
        <v>2599</v>
      </c>
      <c r="AE96" t="s">
        <v>58</v>
      </c>
      <c r="AF96" t="s">
        <v>57</v>
      </c>
      <c r="AG96" t="s">
        <v>57</v>
      </c>
      <c r="AH96" t="s">
        <v>57</v>
      </c>
      <c r="AI96" t="s">
        <v>57</v>
      </c>
      <c r="AJ96" t="s">
        <v>57</v>
      </c>
      <c r="AK96" t="s">
        <v>57</v>
      </c>
      <c r="AL96" t="s">
        <v>58</v>
      </c>
      <c r="AM96" t="s">
        <v>58</v>
      </c>
      <c r="AN96" t="s">
        <v>58</v>
      </c>
      <c r="AO96" t="s">
        <v>58</v>
      </c>
      <c r="AP96" t="s">
        <v>58</v>
      </c>
      <c r="AQ96" t="s">
        <v>57</v>
      </c>
      <c r="AR96" t="s">
        <v>57</v>
      </c>
      <c r="AS96" t="s">
        <v>57</v>
      </c>
      <c r="AT96" t="s">
        <v>57</v>
      </c>
      <c r="AU96" t="s">
        <v>148</v>
      </c>
      <c r="AV96" t="s">
        <v>57</v>
      </c>
      <c r="AW96" t="s">
        <v>57</v>
      </c>
      <c r="AX96" t="s">
        <v>57</v>
      </c>
      <c r="AY96" t="s">
        <v>148</v>
      </c>
      <c r="AZ96" t="s">
        <v>148</v>
      </c>
      <c r="BA96" t="s">
        <v>148</v>
      </c>
      <c r="BB96" t="s">
        <v>148</v>
      </c>
      <c r="BC96" t="s">
        <v>57</v>
      </c>
      <c r="BD96" t="s">
        <v>148</v>
      </c>
      <c r="BE96" t="s">
        <v>57</v>
      </c>
      <c r="BF96" t="s">
        <v>57</v>
      </c>
      <c r="BG96" t="s">
        <v>58</v>
      </c>
      <c r="BH96" t="s">
        <v>58</v>
      </c>
      <c r="BI96" t="s">
        <v>57</v>
      </c>
      <c r="BJ96" t="s">
        <v>58</v>
      </c>
      <c r="BK96" t="s">
        <v>58</v>
      </c>
      <c r="BL96" t="s">
        <v>58</v>
      </c>
      <c r="BM96" t="s">
        <v>57</v>
      </c>
      <c r="BN96" t="s">
        <v>58</v>
      </c>
      <c r="BO96" t="s">
        <v>57</v>
      </c>
      <c r="BP96" t="s">
        <v>57</v>
      </c>
      <c r="BQ96" t="s">
        <v>57</v>
      </c>
      <c r="BR96" t="s">
        <v>57</v>
      </c>
      <c r="BS96" t="s">
        <v>57</v>
      </c>
      <c r="BT96" t="s">
        <v>57</v>
      </c>
      <c r="BU96" t="s">
        <v>57</v>
      </c>
      <c r="BV96" t="s">
        <v>57</v>
      </c>
      <c r="BW96" t="s">
        <v>57</v>
      </c>
      <c r="BX96" t="s">
        <v>57</v>
      </c>
      <c r="BY96" t="s">
        <v>57</v>
      </c>
      <c r="BZ96" t="s">
        <v>57</v>
      </c>
      <c r="CA96" t="s">
        <v>57</v>
      </c>
      <c r="CB96" t="s">
        <v>57</v>
      </c>
      <c r="CC96" t="s">
        <v>57</v>
      </c>
      <c r="CD96" t="s">
        <v>57</v>
      </c>
      <c r="CE96" t="s">
        <v>57</v>
      </c>
      <c r="CF96" t="s">
        <v>57</v>
      </c>
      <c r="CG96" t="s">
        <v>57</v>
      </c>
      <c r="CH96" t="s">
        <v>57</v>
      </c>
      <c r="CI96" t="s">
        <v>57</v>
      </c>
      <c r="CJ96" t="s">
        <v>57</v>
      </c>
      <c r="CK96" t="s">
        <v>148</v>
      </c>
      <c r="CL96" t="s">
        <v>148</v>
      </c>
      <c r="CM96" t="s">
        <v>148</v>
      </c>
      <c r="CN96" t="s">
        <v>57</v>
      </c>
      <c r="CO96" t="s">
        <v>57</v>
      </c>
      <c r="CP96" t="s">
        <v>57</v>
      </c>
      <c r="CQ96" t="s">
        <v>57</v>
      </c>
      <c r="CR96" t="s">
        <v>57</v>
      </c>
      <c r="CS96" t="s">
        <v>57</v>
      </c>
      <c r="CT96" t="s">
        <v>57</v>
      </c>
      <c r="CU96" t="s">
        <v>57</v>
      </c>
      <c r="CV96" t="s">
        <v>57</v>
      </c>
      <c r="CW96" t="s">
        <v>57</v>
      </c>
      <c r="CX96" t="s">
        <v>57</v>
      </c>
      <c r="CY96" t="s">
        <v>57</v>
      </c>
      <c r="CZ96" t="s">
        <v>57</v>
      </c>
      <c r="DA96" t="s">
        <v>57</v>
      </c>
      <c r="DB96" t="s">
        <v>57</v>
      </c>
      <c r="DC96" t="s">
        <v>57</v>
      </c>
      <c r="DD96" t="s">
        <v>57</v>
      </c>
      <c r="DE96" t="s">
        <v>57</v>
      </c>
      <c r="DF96" t="s">
        <v>57</v>
      </c>
      <c r="DG96" t="s">
        <v>57</v>
      </c>
      <c r="DH96" t="s">
        <v>57</v>
      </c>
      <c r="DI96" t="s">
        <v>57</v>
      </c>
      <c r="DJ96" t="s">
        <v>57</v>
      </c>
      <c r="DK96" t="s">
        <v>148</v>
      </c>
      <c r="DL96" t="s">
        <v>57</v>
      </c>
      <c r="DM96" t="s">
        <v>57</v>
      </c>
      <c r="DN96" t="s">
        <v>57</v>
      </c>
      <c r="DO96" t="s">
        <v>57</v>
      </c>
      <c r="DP96" t="s">
        <v>57</v>
      </c>
      <c r="DQ96" t="s">
        <v>57</v>
      </c>
      <c r="DR96" t="s">
        <v>57</v>
      </c>
      <c r="DS96" t="s">
        <v>57</v>
      </c>
      <c r="DT96" t="s">
        <v>57</v>
      </c>
      <c r="DU96" t="s">
        <v>57</v>
      </c>
      <c r="DV96" t="s">
        <v>57</v>
      </c>
      <c r="DW96" t="s">
        <v>57</v>
      </c>
      <c r="DX96" t="s">
        <v>57</v>
      </c>
      <c r="DY96" t="s">
        <v>148</v>
      </c>
      <c r="DZ96" t="s">
        <v>57</v>
      </c>
      <c r="EA96" t="s">
        <v>57</v>
      </c>
      <c r="EB96" t="s">
        <v>57</v>
      </c>
      <c r="EC96" t="s">
        <v>57</v>
      </c>
      <c r="ED96" t="s">
        <v>57</v>
      </c>
      <c r="EE96" t="s">
        <v>57</v>
      </c>
      <c r="EF96" t="s">
        <v>57</v>
      </c>
      <c r="EG96" t="s">
        <v>57</v>
      </c>
      <c r="EH96" t="s">
        <v>57</v>
      </c>
      <c r="EI96" t="s">
        <v>57</v>
      </c>
      <c r="EJ96" t="s">
        <v>57</v>
      </c>
      <c r="EK96" t="s">
        <v>57</v>
      </c>
      <c r="EL96" t="s">
        <v>57</v>
      </c>
      <c r="EM96" t="s">
        <v>57</v>
      </c>
      <c r="EN96" t="s">
        <v>57</v>
      </c>
      <c r="EO96" t="s">
        <v>57</v>
      </c>
      <c r="EP96" t="s">
        <v>57</v>
      </c>
      <c r="EQ96" t="s">
        <v>57</v>
      </c>
      <c r="ER96" t="s">
        <v>57</v>
      </c>
      <c r="ES96" t="s">
        <v>57</v>
      </c>
      <c r="ET96" t="s">
        <v>57</v>
      </c>
      <c r="EU96" t="s">
        <v>57</v>
      </c>
      <c r="EV96" t="s">
        <v>57</v>
      </c>
      <c r="EW96" t="s">
        <v>57</v>
      </c>
      <c r="EX96" t="s">
        <v>57</v>
      </c>
      <c r="EY96" t="s">
        <v>57</v>
      </c>
      <c r="EZ96" t="s">
        <v>57</v>
      </c>
      <c r="FA96" t="s">
        <v>57</v>
      </c>
      <c r="FB96" t="s">
        <v>57</v>
      </c>
      <c r="FC96" t="s">
        <v>57</v>
      </c>
      <c r="FD96" t="s">
        <v>57</v>
      </c>
      <c r="FE96" t="s">
        <v>57</v>
      </c>
      <c r="FF96" t="s">
        <v>57</v>
      </c>
      <c r="FG96" t="s">
        <v>57</v>
      </c>
      <c r="FH96" t="s">
        <v>57</v>
      </c>
      <c r="FI96" t="s">
        <v>57</v>
      </c>
      <c r="FJ96" t="s">
        <v>57</v>
      </c>
      <c r="FK96" t="s">
        <v>148</v>
      </c>
      <c r="FL96" t="s">
        <v>57</v>
      </c>
      <c r="FM96" t="s">
        <v>57</v>
      </c>
      <c r="FN96" t="s">
        <v>57</v>
      </c>
      <c r="FO96" t="s">
        <v>148</v>
      </c>
      <c r="FP96" t="s">
        <v>57</v>
      </c>
      <c r="FQ96" t="s">
        <v>57</v>
      </c>
      <c r="FR96" t="s">
        <v>57</v>
      </c>
      <c r="FS96" t="s">
        <v>57</v>
      </c>
      <c r="FT96" t="s">
        <v>57</v>
      </c>
      <c r="FU96" t="s">
        <v>57</v>
      </c>
      <c r="FV96" t="s">
        <v>57</v>
      </c>
      <c r="FW96" t="s">
        <v>57</v>
      </c>
      <c r="FX96" t="s">
        <v>57</v>
      </c>
      <c r="FY96" t="s">
        <v>57</v>
      </c>
      <c r="FZ96" t="s">
        <v>57</v>
      </c>
      <c r="GA96" t="s">
        <v>57</v>
      </c>
      <c r="GB96" t="s">
        <v>57</v>
      </c>
      <c r="GC96" t="s">
        <v>57</v>
      </c>
      <c r="GD96" t="s">
        <v>58</v>
      </c>
      <c r="GE96" t="s">
        <v>58</v>
      </c>
      <c r="GF96" t="s">
        <v>57</v>
      </c>
      <c r="GG96" t="s">
        <v>148</v>
      </c>
      <c r="GH96" t="s">
        <v>57</v>
      </c>
      <c r="GI96" t="s">
        <v>57</v>
      </c>
      <c r="GJ96" t="s">
        <v>57</v>
      </c>
      <c r="GK96" t="s">
        <v>57</v>
      </c>
      <c r="GL96" t="s">
        <v>57</v>
      </c>
      <c r="GM96" t="s">
        <v>148</v>
      </c>
      <c r="GN96" t="s">
        <v>57</v>
      </c>
      <c r="GO96" t="s">
        <v>57</v>
      </c>
      <c r="GP96" t="s">
        <v>148</v>
      </c>
      <c r="GQ96" t="s">
        <v>148</v>
      </c>
      <c r="GR96" t="s">
        <v>57</v>
      </c>
      <c r="GS96" t="s">
        <v>57</v>
      </c>
      <c r="GT96" t="s">
        <v>57</v>
      </c>
      <c r="GU96" t="s">
        <v>57</v>
      </c>
      <c r="GV96" t="s">
        <v>57</v>
      </c>
      <c r="GW96" t="s">
        <v>148</v>
      </c>
      <c r="GX96" t="s">
        <v>57</v>
      </c>
      <c r="GY96" t="s">
        <v>57</v>
      </c>
      <c r="GZ96" t="s">
        <v>57</v>
      </c>
      <c r="HA96" t="s">
        <v>57</v>
      </c>
      <c r="HB96" t="s">
        <v>57</v>
      </c>
      <c r="HC96" t="s">
        <v>57</v>
      </c>
      <c r="HD96" t="s">
        <v>57</v>
      </c>
      <c r="HE96" t="s">
        <v>57</v>
      </c>
      <c r="HF96" t="s">
        <v>57</v>
      </c>
      <c r="HG96" t="s">
        <v>57</v>
      </c>
      <c r="HH96" t="s">
        <v>148</v>
      </c>
      <c r="HI96" t="s">
        <v>148</v>
      </c>
      <c r="HJ96" t="s">
        <v>148</v>
      </c>
      <c r="HK96" t="s">
        <v>148</v>
      </c>
      <c r="HL96" t="s">
        <v>57</v>
      </c>
      <c r="HM96" t="s">
        <v>57</v>
      </c>
      <c r="HN96" t="s">
        <v>57</v>
      </c>
      <c r="HO96" t="s">
        <v>57</v>
      </c>
      <c r="HP96" t="s">
        <v>57</v>
      </c>
      <c r="HQ96" t="s">
        <v>57</v>
      </c>
      <c r="HR96" t="s">
        <v>57</v>
      </c>
      <c r="HS96" t="s">
        <v>57</v>
      </c>
      <c r="HT96" t="s">
        <v>57</v>
      </c>
      <c r="HU96" t="s">
        <v>57</v>
      </c>
      <c r="HV96" t="s">
        <v>57</v>
      </c>
      <c r="HW96" t="s">
        <v>57</v>
      </c>
      <c r="HX96" t="s">
        <v>57</v>
      </c>
      <c r="HY96" t="s">
        <v>57</v>
      </c>
      <c r="HZ96" t="s">
        <v>57</v>
      </c>
      <c r="IA96" t="s">
        <v>57</v>
      </c>
      <c r="IB96" t="s">
        <v>58</v>
      </c>
      <c r="IC96" t="s">
        <v>58</v>
      </c>
      <c r="ID96" t="s">
        <v>58</v>
      </c>
      <c r="IE96" t="s">
        <v>57</v>
      </c>
      <c r="IF96" t="s">
        <v>124</v>
      </c>
      <c r="IG96" t="s">
        <v>155</v>
      </c>
      <c r="IH96" t="s">
        <v>123</v>
      </c>
      <c r="II96" t="s">
        <v>156</v>
      </c>
    </row>
    <row r="97" spans="1:243" x14ac:dyDescent="0.25">
      <c r="A97" s="111" t="str">
        <f>HYPERLINK("http://www.ofsted.gov.uk/inspection-reports/find-inspection-report/provider/ELS/131031 ","Ofsted School Webpage")</f>
        <v>Ofsted School Webpage</v>
      </c>
      <c r="B97">
        <v>131031</v>
      </c>
      <c r="C97">
        <v>3166068</v>
      </c>
      <c r="D97" t="s">
        <v>2093</v>
      </c>
      <c r="E97" t="s">
        <v>36</v>
      </c>
      <c r="F97" t="s">
        <v>166</v>
      </c>
      <c r="G97" t="s">
        <v>189</v>
      </c>
      <c r="H97" t="s">
        <v>189</v>
      </c>
      <c r="I97" t="s">
        <v>460</v>
      </c>
      <c r="J97" t="s">
        <v>2094</v>
      </c>
      <c r="K97" t="s">
        <v>142</v>
      </c>
      <c r="L97" t="s">
        <v>169</v>
      </c>
      <c r="M97" t="s">
        <v>2596</v>
      </c>
      <c r="N97" t="s">
        <v>143</v>
      </c>
      <c r="O97">
        <v>10026282</v>
      </c>
      <c r="P97" s="108">
        <v>43117</v>
      </c>
      <c r="Q97" s="108">
        <v>43119</v>
      </c>
      <c r="R97" s="108">
        <v>43178</v>
      </c>
      <c r="S97" t="s">
        <v>153</v>
      </c>
      <c r="T97" t="s">
        <v>154</v>
      </c>
      <c r="U97">
        <v>4</v>
      </c>
      <c r="V97">
        <v>4</v>
      </c>
      <c r="W97">
        <v>4</v>
      </c>
      <c r="X97">
        <v>4</v>
      </c>
      <c r="Y97">
        <v>4</v>
      </c>
      <c r="Z97" t="s">
        <v>2596</v>
      </c>
      <c r="AA97" t="s">
        <v>2596</v>
      </c>
      <c r="AB97" t="s">
        <v>124</v>
      </c>
      <c r="AC97" t="s">
        <v>2596</v>
      </c>
      <c r="AD97" t="s">
        <v>2599</v>
      </c>
      <c r="AE97" t="s">
        <v>58</v>
      </c>
      <c r="AF97" t="s">
        <v>58</v>
      </c>
      <c r="AG97" t="s">
        <v>58</v>
      </c>
      <c r="AH97" t="s">
        <v>58</v>
      </c>
      <c r="AI97" t="s">
        <v>58</v>
      </c>
      <c r="AJ97" t="s">
        <v>58</v>
      </c>
      <c r="AK97" t="s">
        <v>58</v>
      </c>
      <c r="AL97" t="s">
        <v>58</v>
      </c>
      <c r="AM97" t="s">
        <v>58</v>
      </c>
      <c r="AN97" t="s">
        <v>58</v>
      </c>
      <c r="AO97" t="s">
        <v>58</v>
      </c>
      <c r="AP97" t="s">
        <v>58</v>
      </c>
      <c r="AQ97" t="s">
        <v>57</v>
      </c>
      <c r="AR97" t="s">
        <v>58</v>
      </c>
      <c r="AS97" t="s">
        <v>57</v>
      </c>
      <c r="AT97" t="s">
        <v>57</v>
      </c>
      <c r="AU97" t="s">
        <v>175</v>
      </c>
      <c r="AV97" t="s">
        <v>57</v>
      </c>
      <c r="AW97" t="s">
        <v>57</v>
      </c>
      <c r="AX97" t="s">
        <v>57</v>
      </c>
      <c r="AY97" t="s">
        <v>58</v>
      </c>
      <c r="AZ97" t="s">
        <v>58</v>
      </c>
      <c r="BA97" t="s">
        <v>58</v>
      </c>
      <c r="BB97" t="s">
        <v>58</v>
      </c>
      <c r="BC97" t="s">
        <v>175</v>
      </c>
      <c r="BD97" t="s">
        <v>175</v>
      </c>
      <c r="BE97" t="s">
        <v>58</v>
      </c>
      <c r="BF97" t="s">
        <v>57</v>
      </c>
      <c r="BG97" t="s">
        <v>58</v>
      </c>
      <c r="BH97" t="s">
        <v>58</v>
      </c>
      <c r="BI97" t="s">
        <v>57</v>
      </c>
      <c r="BJ97" t="s">
        <v>58</v>
      </c>
      <c r="BK97" t="s">
        <v>58</v>
      </c>
      <c r="BL97" t="s">
        <v>58</v>
      </c>
      <c r="BM97" t="s">
        <v>58</v>
      </c>
      <c r="BN97" t="s">
        <v>58</v>
      </c>
      <c r="BO97" t="s">
        <v>57</v>
      </c>
      <c r="BP97" t="s">
        <v>57</v>
      </c>
      <c r="BQ97" t="s">
        <v>57</v>
      </c>
      <c r="BR97" t="s">
        <v>57</v>
      </c>
      <c r="BS97" t="s">
        <v>58</v>
      </c>
      <c r="BT97" t="s">
        <v>57</v>
      </c>
      <c r="BU97" t="s">
        <v>58</v>
      </c>
      <c r="BV97" t="s">
        <v>57</v>
      </c>
      <c r="BW97" t="s">
        <v>57</v>
      </c>
      <c r="BX97" t="s">
        <v>57</v>
      </c>
      <c r="BY97" t="s">
        <v>57</v>
      </c>
      <c r="BZ97" t="s">
        <v>58</v>
      </c>
      <c r="CA97" t="s">
        <v>57</v>
      </c>
      <c r="CB97" t="s">
        <v>57</v>
      </c>
      <c r="CC97" t="s">
        <v>57</v>
      </c>
      <c r="CD97" t="s">
        <v>57</v>
      </c>
      <c r="CE97" t="s">
        <v>57</v>
      </c>
      <c r="CF97" t="s">
        <v>57</v>
      </c>
      <c r="CG97" t="s">
        <v>57</v>
      </c>
      <c r="CH97" t="s">
        <v>58</v>
      </c>
      <c r="CI97" t="s">
        <v>58</v>
      </c>
      <c r="CJ97" t="s">
        <v>58</v>
      </c>
      <c r="CK97" t="s">
        <v>175</v>
      </c>
      <c r="CL97" t="s">
        <v>175</v>
      </c>
      <c r="CM97" t="s">
        <v>175</v>
      </c>
      <c r="CN97" t="s">
        <v>57</v>
      </c>
      <c r="CO97" t="s">
        <v>57</v>
      </c>
      <c r="CP97" t="s">
        <v>57</v>
      </c>
      <c r="CQ97" t="s">
        <v>57</v>
      </c>
      <c r="CR97" t="s">
        <v>57</v>
      </c>
      <c r="CS97" t="s">
        <v>58</v>
      </c>
      <c r="CT97" t="s">
        <v>57</v>
      </c>
      <c r="CU97" t="s">
        <v>57</v>
      </c>
      <c r="CV97" t="s">
        <v>58</v>
      </c>
      <c r="CW97" t="s">
        <v>58</v>
      </c>
      <c r="CX97" t="s">
        <v>58</v>
      </c>
      <c r="CY97" t="s">
        <v>58</v>
      </c>
      <c r="CZ97" t="s">
        <v>58</v>
      </c>
      <c r="DA97" t="s">
        <v>58</v>
      </c>
      <c r="DB97" t="s">
        <v>57</v>
      </c>
      <c r="DC97" t="s">
        <v>58</v>
      </c>
      <c r="DD97" t="s">
        <v>58</v>
      </c>
      <c r="DE97" t="s">
        <v>58</v>
      </c>
      <c r="DF97" t="s">
        <v>58</v>
      </c>
      <c r="DG97" t="s">
        <v>57</v>
      </c>
      <c r="DH97" t="s">
        <v>58</v>
      </c>
      <c r="DI97" t="s">
        <v>57</v>
      </c>
      <c r="DJ97" t="s">
        <v>57</v>
      </c>
      <c r="DK97" t="s">
        <v>175</v>
      </c>
      <c r="DL97" t="s">
        <v>57</v>
      </c>
      <c r="DM97" t="s">
        <v>57</v>
      </c>
      <c r="DN97" t="s">
        <v>175</v>
      </c>
      <c r="DO97" t="s">
        <v>175</v>
      </c>
      <c r="DP97" t="s">
        <v>175</v>
      </c>
      <c r="DQ97" t="s">
        <v>175</v>
      </c>
      <c r="DR97" t="s">
        <v>175</v>
      </c>
      <c r="DS97" t="s">
        <v>175</v>
      </c>
      <c r="DT97" t="s">
        <v>175</v>
      </c>
      <c r="DU97" t="s">
        <v>175</v>
      </c>
      <c r="DV97" t="s">
        <v>175</v>
      </c>
      <c r="DW97" t="s">
        <v>175</v>
      </c>
      <c r="DX97" t="s">
        <v>175</v>
      </c>
      <c r="DY97" t="s">
        <v>175</v>
      </c>
      <c r="DZ97" t="s">
        <v>175</v>
      </c>
      <c r="EA97" t="s">
        <v>57</v>
      </c>
      <c r="EB97" t="s">
        <v>57</v>
      </c>
      <c r="EC97" t="s">
        <v>57</v>
      </c>
      <c r="ED97" t="s">
        <v>57</v>
      </c>
      <c r="EE97" t="s">
        <v>57</v>
      </c>
      <c r="EF97" t="s">
        <v>57</v>
      </c>
      <c r="EG97" t="s">
        <v>57</v>
      </c>
      <c r="EH97" t="s">
        <v>57</v>
      </c>
      <c r="EI97" t="s">
        <v>57</v>
      </c>
      <c r="EJ97" t="s">
        <v>57</v>
      </c>
      <c r="EK97" t="s">
        <v>57</v>
      </c>
      <c r="EL97" t="s">
        <v>57</v>
      </c>
      <c r="EM97" t="s">
        <v>57</v>
      </c>
      <c r="EN97" t="s">
        <v>57</v>
      </c>
      <c r="EO97" t="s">
        <v>57</v>
      </c>
      <c r="EP97" t="s">
        <v>464</v>
      </c>
      <c r="EQ97" t="s">
        <v>57</v>
      </c>
      <c r="ER97" t="s">
        <v>57</v>
      </c>
      <c r="ES97" t="s">
        <v>57</v>
      </c>
      <c r="ET97" t="s">
        <v>57</v>
      </c>
      <c r="EU97" t="s">
        <v>57</v>
      </c>
      <c r="EV97" t="s">
        <v>57</v>
      </c>
      <c r="EW97" t="s">
        <v>57</v>
      </c>
      <c r="EX97" t="s">
        <v>175</v>
      </c>
      <c r="EY97" t="s">
        <v>175</v>
      </c>
      <c r="EZ97" t="s">
        <v>175</v>
      </c>
      <c r="FA97" t="s">
        <v>175</v>
      </c>
      <c r="FB97" t="s">
        <v>175</v>
      </c>
      <c r="FC97" t="s">
        <v>175</v>
      </c>
      <c r="FD97" t="s">
        <v>57</v>
      </c>
      <c r="FE97" t="s">
        <v>57</v>
      </c>
      <c r="FF97" t="s">
        <v>57</v>
      </c>
      <c r="FG97" t="s">
        <v>57</v>
      </c>
      <c r="FH97" t="s">
        <v>58</v>
      </c>
      <c r="FI97" t="s">
        <v>57</v>
      </c>
      <c r="FJ97" t="s">
        <v>57</v>
      </c>
      <c r="FK97" t="s">
        <v>58</v>
      </c>
      <c r="FL97" t="s">
        <v>58</v>
      </c>
      <c r="FM97" t="s">
        <v>58</v>
      </c>
      <c r="FN97" t="s">
        <v>58</v>
      </c>
      <c r="FO97" t="s">
        <v>175</v>
      </c>
      <c r="FP97" t="s">
        <v>58</v>
      </c>
      <c r="FQ97" t="s">
        <v>58</v>
      </c>
      <c r="FR97" t="s">
        <v>57</v>
      </c>
      <c r="FS97" t="s">
        <v>57</v>
      </c>
      <c r="FT97" t="s">
        <v>57</v>
      </c>
      <c r="FU97" t="s">
        <v>57</v>
      </c>
      <c r="FV97" t="s">
        <v>58</v>
      </c>
      <c r="FW97" t="s">
        <v>57</v>
      </c>
      <c r="FX97" t="s">
        <v>57</v>
      </c>
      <c r="FY97" t="s">
        <v>58</v>
      </c>
      <c r="FZ97" t="s">
        <v>57</v>
      </c>
      <c r="GA97" t="s">
        <v>57</v>
      </c>
      <c r="GB97" t="s">
        <v>57</v>
      </c>
      <c r="GC97" t="s">
        <v>2596</v>
      </c>
      <c r="GD97" t="s">
        <v>58</v>
      </c>
      <c r="GE97" t="s">
        <v>57</v>
      </c>
      <c r="GF97" t="s">
        <v>58</v>
      </c>
      <c r="GG97" t="s">
        <v>175</v>
      </c>
      <c r="GH97" t="s">
        <v>58</v>
      </c>
      <c r="GI97" t="s">
        <v>58</v>
      </c>
      <c r="GJ97" t="s">
        <v>58</v>
      </c>
      <c r="GK97" t="s">
        <v>58</v>
      </c>
      <c r="GL97" t="s">
        <v>57</v>
      </c>
      <c r="GM97" t="s">
        <v>57</v>
      </c>
      <c r="GN97" t="s">
        <v>57</v>
      </c>
      <c r="GO97" t="s">
        <v>57</v>
      </c>
      <c r="GP97" t="s">
        <v>175</v>
      </c>
      <c r="GQ97" t="s">
        <v>175</v>
      </c>
      <c r="GR97" t="s">
        <v>175</v>
      </c>
      <c r="GS97" t="s">
        <v>58</v>
      </c>
      <c r="GT97" t="s">
        <v>57</v>
      </c>
      <c r="GU97" t="s">
        <v>58</v>
      </c>
      <c r="GV97" t="s">
        <v>58</v>
      </c>
      <c r="GW97" t="s">
        <v>175</v>
      </c>
      <c r="GX97" t="s">
        <v>175</v>
      </c>
      <c r="GY97" t="s">
        <v>57</v>
      </c>
      <c r="GZ97" t="s">
        <v>58</v>
      </c>
      <c r="HA97" t="s">
        <v>57</v>
      </c>
      <c r="HB97" t="s">
        <v>58</v>
      </c>
      <c r="HC97" t="s">
        <v>58</v>
      </c>
      <c r="HD97" t="s">
        <v>58</v>
      </c>
      <c r="HE97" t="s">
        <v>58</v>
      </c>
      <c r="HF97" t="s">
        <v>58</v>
      </c>
      <c r="HG97" t="s">
        <v>175</v>
      </c>
      <c r="HH97" t="s">
        <v>175</v>
      </c>
      <c r="HI97" t="s">
        <v>175</v>
      </c>
      <c r="HJ97" t="s">
        <v>175</v>
      </c>
      <c r="HK97" t="s">
        <v>175</v>
      </c>
      <c r="HL97" t="s">
        <v>58</v>
      </c>
      <c r="HM97" t="s">
        <v>57</v>
      </c>
      <c r="HN97" t="s">
        <v>58</v>
      </c>
      <c r="HO97" t="s">
        <v>57</v>
      </c>
      <c r="HP97" t="s">
        <v>2596</v>
      </c>
      <c r="HQ97" t="s">
        <v>57</v>
      </c>
      <c r="HR97" t="s">
        <v>57</v>
      </c>
      <c r="HS97" t="s">
        <v>57</v>
      </c>
      <c r="HT97" t="s">
        <v>57</v>
      </c>
      <c r="HU97" t="s">
        <v>57</v>
      </c>
      <c r="HV97" t="s">
        <v>57</v>
      </c>
      <c r="HW97" t="s">
        <v>57</v>
      </c>
      <c r="HX97" t="s">
        <v>175</v>
      </c>
      <c r="HY97" t="s">
        <v>175</v>
      </c>
      <c r="HZ97" t="s">
        <v>175</v>
      </c>
      <c r="IA97" t="s">
        <v>175</v>
      </c>
      <c r="IB97" t="s">
        <v>58</v>
      </c>
      <c r="IC97" t="s">
        <v>58</v>
      </c>
      <c r="ID97" t="s">
        <v>58</v>
      </c>
      <c r="IE97" t="s">
        <v>58</v>
      </c>
      <c r="IF97" t="s">
        <v>124</v>
      </c>
      <c r="IG97" t="s">
        <v>148</v>
      </c>
      <c r="IH97" t="s">
        <v>160</v>
      </c>
      <c r="II97" t="s">
        <v>156</v>
      </c>
    </row>
    <row r="98" spans="1:243" x14ac:dyDescent="0.25">
      <c r="A98" s="111" t="str">
        <f>HYPERLINK("http://www.ofsted.gov.uk/inspection-reports/find-inspection-report/provider/ELS/131119 ","Ofsted School Webpage")</f>
        <v>Ofsted School Webpage</v>
      </c>
      <c r="B98">
        <v>131119</v>
      </c>
      <c r="C98">
        <v>8926012</v>
      </c>
      <c r="D98" t="s">
        <v>243</v>
      </c>
      <c r="E98" t="s">
        <v>36</v>
      </c>
      <c r="F98" t="s">
        <v>166</v>
      </c>
      <c r="G98" t="s">
        <v>171</v>
      </c>
      <c r="H98" t="s">
        <v>171</v>
      </c>
      <c r="I98" t="s">
        <v>244</v>
      </c>
      <c r="J98" t="s">
        <v>245</v>
      </c>
      <c r="K98" t="s">
        <v>142</v>
      </c>
      <c r="L98" t="s">
        <v>180</v>
      </c>
      <c r="M98" t="s">
        <v>2596</v>
      </c>
      <c r="N98" t="s">
        <v>143</v>
      </c>
      <c r="O98">
        <v>10039183</v>
      </c>
      <c r="P98" s="108">
        <v>42997</v>
      </c>
      <c r="Q98" s="108">
        <v>42999</v>
      </c>
      <c r="R98" s="108">
        <v>43019</v>
      </c>
      <c r="S98" t="s">
        <v>153</v>
      </c>
      <c r="T98" t="s">
        <v>154</v>
      </c>
      <c r="U98">
        <v>2</v>
      </c>
      <c r="V98">
        <v>2</v>
      </c>
      <c r="W98">
        <v>1</v>
      </c>
      <c r="X98">
        <v>2</v>
      </c>
      <c r="Y98">
        <v>2</v>
      </c>
      <c r="Z98" t="s">
        <v>2596</v>
      </c>
      <c r="AA98">
        <v>2</v>
      </c>
      <c r="AB98" t="s">
        <v>123</v>
      </c>
      <c r="AC98" t="s">
        <v>2596</v>
      </c>
      <c r="AD98" t="s">
        <v>2598</v>
      </c>
      <c r="AE98" t="s">
        <v>57</v>
      </c>
      <c r="AF98" t="s">
        <v>57</v>
      </c>
      <c r="AG98" t="s">
        <v>57</v>
      </c>
      <c r="AH98" t="s">
        <v>57</v>
      </c>
      <c r="AI98" t="s">
        <v>57</v>
      </c>
      <c r="AJ98" t="s">
        <v>57</v>
      </c>
      <c r="AK98" t="s">
        <v>57</v>
      </c>
      <c r="AL98" t="s">
        <v>57</v>
      </c>
      <c r="AM98" t="s">
        <v>57</v>
      </c>
      <c r="AN98" t="s">
        <v>57</v>
      </c>
      <c r="AO98" t="s">
        <v>57</v>
      </c>
      <c r="AP98" t="s">
        <v>57</v>
      </c>
      <c r="AQ98" t="s">
        <v>57</v>
      </c>
      <c r="AR98" t="s">
        <v>57</v>
      </c>
      <c r="AS98" t="s">
        <v>57</v>
      </c>
      <c r="AT98" t="s">
        <v>57</v>
      </c>
      <c r="AU98" t="s">
        <v>175</v>
      </c>
      <c r="AV98" t="s">
        <v>57</v>
      </c>
      <c r="AW98" t="s">
        <v>57</v>
      </c>
      <c r="AX98" t="s">
        <v>57</v>
      </c>
      <c r="AY98" t="s">
        <v>57</v>
      </c>
      <c r="AZ98" t="s">
        <v>57</v>
      </c>
      <c r="BA98" t="s">
        <v>57</v>
      </c>
      <c r="BB98" t="s">
        <v>57</v>
      </c>
      <c r="BC98" t="s">
        <v>175</v>
      </c>
      <c r="BD98" t="s">
        <v>57</v>
      </c>
      <c r="BE98" t="s">
        <v>57</v>
      </c>
      <c r="BF98" t="s">
        <v>57</v>
      </c>
      <c r="BG98" t="s">
        <v>57</v>
      </c>
      <c r="BH98" t="s">
        <v>57</v>
      </c>
      <c r="BI98" t="s">
        <v>57</v>
      </c>
      <c r="BJ98" t="s">
        <v>57</v>
      </c>
      <c r="BK98" t="s">
        <v>57</v>
      </c>
      <c r="BL98" t="s">
        <v>57</v>
      </c>
      <c r="BM98" t="s">
        <v>57</v>
      </c>
      <c r="BN98" t="s">
        <v>57</v>
      </c>
      <c r="BO98" t="s">
        <v>57</v>
      </c>
      <c r="BP98" t="s">
        <v>57</v>
      </c>
      <c r="BQ98" t="s">
        <v>57</v>
      </c>
      <c r="BR98" t="s">
        <v>57</v>
      </c>
      <c r="BS98" t="s">
        <v>57</v>
      </c>
      <c r="BT98" t="s">
        <v>57</v>
      </c>
      <c r="BU98" t="s">
        <v>57</v>
      </c>
      <c r="BV98" t="s">
        <v>57</v>
      </c>
      <c r="BW98" t="s">
        <v>57</v>
      </c>
      <c r="BX98" t="s">
        <v>57</v>
      </c>
      <c r="BY98" t="s">
        <v>57</v>
      </c>
      <c r="BZ98" t="s">
        <v>57</v>
      </c>
      <c r="CA98" t="s">
        <v>57</v>
      </c>
      <c r="CB98" t="s">
        <v>57</v>
      </c>
      <c r="CC98" t="s">
        <v>57</v>
      </c>
      <c r="CD98" t="s">
        <v>57</v>
      </c>
      <c r="CE98" t="s">
        <v>57</v>
      </c>
      <c r="CF98" t="s">
        <v>57</v>
      </c>
      <c r="CG98" t="s">
        <v>57</v>
      </c>
      <c r="CH98" t="s">
        <v>57</v>
      </c>
      <c r="CI98" t="s">
        <v>57</v>
      </c>
      <c r="CJ98" t="s">
        <v>57</v>
      </c>
      <c r="CK98" t="s">
        <v>57</v>
      </c>
      <c r="CL98" t="s">
        <v>175</v>
      </c>
      <c r="CM98" t="s">
        <v>175</v>
      </c>
      <c r="CN98" t="s">
        <v>57</v>
      </c>
      <c r="CO98" t="s">
        <v>57</v>
      </c>
      <c r="CP98" t="s">
        <v>57</v>
      </c>
      <c r="CQ98" t="s">
        <v>57</v>
      </c>
      <c r="CR98" t="s">
        <v>57</v>
      </c>
      <c r="CS98" t="s">
        <v>57</v>
      </c>
      <c r="CT98" t="s">
        <v>57</v>
      </c>
      <c r="CU98" t="s">
        <v>57</v>
      </c>
      <c r="CV98" t="s">
        <v>57</v>
      </c>
      <c r="CW98" t="s">
        <v>57</v>
      </c>
      <c r="CX98" t="s">
        <v>57</v>
      </c>
      <c r="CY98" t="s">
        <v>57</v>
      </c>
      <c r="CZ98" t="s">
        <v>57</v>
      </c>
      <c r="DA98" t="s">
        <v>57</v>
      </c>
      <c r="DB98" t="s">
        <v>57</v>
      </c>
      <c r="DC98" t="s">
        <v>57</v>
      </c>
      <c r="DD98" t="s">
        <v>57</v>
      </c>
      <c r="DE98" t="s">
        <v>57</v>
      </c>
      <c r="DF98" t="s">
        <v>57</v>
      </c>
      <c r="DG98" t="s">
        <v>57</v>
      </c>
      <c r="DH98" t="s">
        <v>57</v>
      </c>
      <c r="DI98" t="s">
        <v>57</v>
      </c>
      <c r="DJ98" t="s">
        <v>57</v>
      </c>
      <c r="DK98" t="s">
        <v>175</v>
      </c>
      <c r="DL98" t="s">
        <v>57</v>
      </c>
      <c r="DM98" t="s">
        <v>175</v>
      </c>
      <c r="DN98" t="s">
        <v>175</v>
      </c>
      <c r="DO98" t="s">
        <v>175</v>
      </c>
      <c r="DP98" t="s">
        <v>175</v>
      </c>
      <c r="DQ98" t="s">
        <v>175</v>
      </c>
      <c r="DR98" t="s">
        <v>175</v>
      </c>
      <c r="DS98" t="s">
        <v>175</v>
      </c>
      <c r="DT98" t="s">
        <v>175</v>
      </c>
      <c r="DU98" t="s">
        <v>175</v>
      </c>
      <c r="DV98" t="s">
        <v>175</v>
      </c>
      <c r="DW98" t="s">
        <v>175</v>
      </c>
      <c r="DX98" t="s">
        <v>175</v>
      </c>
      <c r="DY98" t="s">
        <v>175</v>
      </c>
      <c r="DZ98" t="s">
        <v>57</v>
      </c>
      <c r="EA98" t="s">
        <v>57</v>
      </c>
      <c r="EB98" t="s">
        <v>57</v>
      </c>
      <c r="EC98" t="s">
        <v>57</v>
      </c>
      <c r="ED98" t="s">
        <v>57</v>
      </c>
      <c r="EE98" t="s">
        <v>57</v>
      </c>
      <c r="EF98" t="s">
        <v>57</v>
      </c>
      <c r="EG98" t="s">
        <v>57</v>
      </c>
      <c r="EH98" t="s">
        <v>57</v>
      </c>
      <c r="EI98" t="s">
        <v>57</v>
      </c>
      <c r="EJ98" t="s">
        <v>57</v>
      </c>
      <c r="EK98" t="s">
        <v>57</v>
      </c>
      <c r="EL98" t="s">
        <v>57</v>
      </c>
      <c r="EM98" t="s">
        <v>57</v>
      </c>
      <c r="EN98" t="s">
        <v>57</v>
      </c>
      <c r="EO98" t="s">
        <v>57</v>
      </c>
      <c r="EP98" t="s">
        <v>57</v>
      </c>
      <c r="EQ98" t="s">
        <v>57</v>
      </c>
      <c r="ER98" t="s">
        <v>57</v>
      </c>
      <c r="ES98" t="s">
        <v>57</v>
      </c>
      <c r="ET98" t="s">
        <v>57</v>
      </c>
      <c r="EU98" t="s">
        <v>57</v>
      </c>
      <c r="EV98" t="s">
        <v>57</v>
      </c>
      <c r="EW98" t="s">
        <v>57</v>
      </c>
      <c r="EX98" t="s">
        <v>175</v>
      </c>
      <c r="EY98" t="s">
        <v>175</v>
      </c>
      <c r="EZ98" t="s">
        <v>175</v>
      </c>
      <c r="FA98" t="s">
        <v>175</v>
      </c>
      <c r="FB98" t="s">
        <v>175</v>
      </c>
      <c r="FC98" t="s">
        <v>175</v>
      </c>
      <c r="FD98" t="s">
        <v>57</v>
      </c>
      <c r="FE98" t="s">
        <v>57</v>
      </c>
      <c r="FF98" t="s">
        <v>57</v>
      </c>
      <c r="FG98" t="s">
        <v>57</v>
      </c>
      <c r="FH98" t="s">
        <v>57</v>
      </c>
      <c r="FI98" t="s">
        <v>57</v>
      </c>
      <c r="FJ98" t="s">
        <v>175</v>
      </c>
      <c r="FK98" t="s">
        <v>57</v>
      </c>
      <c r="FL98" t="s">
        <v>57</v>
      </c>
      <c r="FM98" t="s">
        <v>57</v>
      </c>
      <c r="FN98" t="s">
        <v>57</v>
      </c>
      <c r="FO98" t="s">
        <v>175</v>
      </c>
      <c r="FP98" t="s">
        <v>57</v>
      </c>
      <c r="FQ98" t="s">
        <v>57</v>
      </c>
      <c r="FR98" t="s">
        <v>57</v>
      </c>
      <c r="FS98" t="s">
        <v>57</v>
      </c>
      <c r="FT98" t="s">
        <v>57</v>
      </c>
      <c r="FU98" t="s">
        <v>57</v>
      </c>
      <c r="FV98" t="s">
        <v>57</v>
      </c>
      <c r="FW98" t="s">
        <v>57</v>
      </c>
      <c r="FX98" t="s">
        <v>57</v>
      </c>
      <c r="FY98" t="s">
        <v>57</v>
      </c>
      <c r="FZ98" t="s">
        <v>57</v>
      </c>
      <c r="GA98" t="s">
        <v>57</v>
      </c>
      <c r="GB98" t="s">
        <v>57</v>
      </c>
      <c r="GC98" t="s">
        <v>57</v>
      </c>
      <c r="GD98" t="s">
        <v>57</v>
      </c>
      <c r="GE98" t="s">
        <v>57</v>
      </c>
      <c r="GF98" t="s">
        <v>57</v>
      </c>
      <c r="GG98" t="s">
        <v>175</v>
      </c>
      <c r="GH98" t="s">
        <v>57</v>
      </c>
      <c r="GI98" t="s">
        <v>57</v>
      </c>
      <c r="GJ98" t="s">
        <v>57</v>
      </c>
      <c r="GK98" t="s">
        <v>57</v>
      </c>
      <c r="GL98" t="s">
        <v>57</v>
      </c>
      <c r="GM98" t="s">
        <v>175</v>
      </c>
      <c r="GN98" t="s">
        <v>57</v>
      </c>
      <c r="GO98" t="s">
        <v>57</v>
      </c>
      <c r="GP98" t="s">
        <v>175</v>
      </c>
      <c r="GQ98" t="s">
        <v>175</v>
      </c>
      <c r="GR98" t="s">
        <v>175</v>
      </c>
      <c r="GS98" t="s">
        <v>57</v>
      </c>
      <c r="GT98" t="s">
        <v>57</v>
      </c>
      <c r="GU98" t="s">
        <v>57</v>
      </c>
      <c r="GV98" t="s">
        <v>175</v>
      </c>
      <c r="GW98" t="s">
        <v>57</v>
      </c>
      <c r="GX98" t="s">
        <v>57</v>
      </c>
      <c r="GY98" t="s">
        <v>57</v>
      </c>
      <c r="GZ98" t="s">
        <v>57</v>
      </c>
      <c r="HA98" t="s">
        <v>57</v>
      </c>
      <c r="HB98" t="s">
        <v>57</v>
      </c>
      <c r="HC98" t="s">
        <v>57</v>
      </c>
      <c r="HD98" t="s">
        <v>57</v>
      </c>
      <c r="HE98" t="s">
        <v>57</v>
      </c>
      <c r="HF98" t="s">
        <v>57</v>
      </c>
      <c r="HG98" t="s">
        <v>57</v>
      </c>
      <c r="HH98" t="s">
        <v>175</v>
      </c>
      <c r="HI98" t="s">
        <v>175</v>
      </c>
      <c r="HJ98" t="s">
        <v>175</v>
      </c>
      <c r="HK98" t="s">
        <v>175</v>
      </c>
      <c r="HL98" t="s">
        <v>57</v>
      </c>
      <c r="HM98" t="s">
        <v>57</v>
      </c>
      <c r="HN98" t="s">
        <v>57</v>
      </c>
      <c r="HO98" t="s">
        <v>57</v>
      </c>
      <c r="HP98" t="s">
        <v>57</v>
      </c>
      <c r="HQ98" t="s">
        <v>57</v>
      </c>
      <c r="HR98" t="s">
        <v>57</v>
      </c>
      <c r="HS98" t="s">
        <v>57</v>
      </c>
      <c r="HT98" t="s">
        <v>57</v>
      </c>
      <c r="HU98" t="s">
        <v>57</v>
      </c>
      <c r="HV98" t="s">
        <v>57</v>
      </c>
      <c r="HW98" t="s">
        <v>57</v>
      </c>
      <c r="HX98" t="s">
        <v>57</v>
      </c>
      <c r="HY98" t="s">
        <v>57</v>
      </c>
      <c r="HZ98" t="s">
        <v>57</v>
      </c>
      <c r="IA98" t="s">
        <v>57</v>
      </c>
      <c r="IB98" t="s">
        <v>57</v>
      </c>
      <c r="IC98" t="s">
        <v>57</v>
      </c>
      <c r="ID98" t="s">
        <v>57</v>
      </c>
      <c r="IE98" t="s">
        <v>57</v>
      </c>
      <c r="IF98" t="s">
        <v>124</v>
      </c>
      <c r="IG98" t="s">
        <v>148</v>
      </c>
      <c r="IH98" t="s">
        <v>123</v>
      </c>
      <c r="II98" t="s">
        <v>156</v>
      </c>
    </row>
    <row r="99" spans="1:243" x14ac:dyDescent="0.25">
      <c r="A99" s="111" t="str">
        <f>HYPERLINK("http://www.ofsted.gov.uk/inspection-reports/find-inspection-report/provider/ELS/131121 ","Ofsted School Webpage")</f>
        <v>Ofsted School Webpage</v>
      </c>
      <c r="B99">
        <v>131121</v>
      </c>
      <c r="C99">
        <v>3026106</v>
      </c>
      <c r="D99" t="s">
        <v>2050</v>
      </c>
      <c r="E99" t="s">
        <v>36</v>
      </c>
      <c r="F99" t="s">
        <v>166</v>
      </c>
      <c r="G99" t="s">
        <v>189</v>
      </c>
      <c r="H99" t="s">
        <v>189</v>
      </c>
      <c r="I99" t="s">
        <v>268</v>
      </c>
      <c r="J99" t="s">
        <v>2051</v>
      </c>
      <c r="K99" t="s">
        <v>776</v>
      </c>
      <c r="L99" t="s">
        <v>275</v>
      </c>
      <c r="M99" t="s">
        <v>2596</v>
      </c>
      <c r="N99" t="s">
        <v>143</v>
      </c>
      <c r="O99">
        <v>10026283</v>
      </c>
      <c r="P99" s="108">
        <v>43039</v>
      </c>
      <c r="Q99" s="108">
        <v>43041</v>
      </c>
      <c r="R99" s="108">
        <v>43109</v>
      </c>
      <c r="S99" t="s">
        <v>153</v>
      </c>
      <c r="T99" t="s">
        <v>154</v>
      </c>
      <c r="U99">
        <v>4</v>
      </c>
      <c r="V99">
        <v>4</v>
      </c>
      <c r="W99">
        <v>3</v>
      </c>
      <c r="X99">
        <v>4</v>
      </c>
      <c r="Y99">
        <v>4</v>
      </c>
      <c r="Z99">
        <v>2</v>
      </c>
      <c r="AA99" t="s">
        <v>2596</v>
      </c>
      <c r="AB99" t="s">
        <v>123</v>
      </c>
      <c r="AC99" t="s">
        <v>2596</v>
      </c>
      <c r="AD99" t="s">
        <v>2599</v>
      </c>
      <c r="AE99" t="s">
        <v>58</v>
      </c>
      <c r="AF99" t="s">
        <v>58</v>
      </c>
      <c r="AG99" t="s">
        <v>57</v>
      </c>
      <c r="AH99" t="s">
        <v>57</v>
      </c>
      <c r="AI99" t="s">
        <v>57</v>
      </c>
      <c r="AJ99" t="s">
        <v>57</v>
      </c>
      <c r="AK99" t="s">
        <v>57</v>
      </c>
      <c r="AL99" t="s">
        <v>58</v>
      </c>
      <c r="AM99" t="s">
        <v>58</v>
      </c>
      <c r="AN99" t="s">
        <v>58</v>
      </c>
      <c r="AO99" t="s">
        <v>57</v>
      </c>
      <c r="AP99" t="s">
        <v>57</v>
      </c>
      <c r="AQ99" t="s">
        <v>57</v>
      </c>
      <c r="AR99" t="s">
        <v>58</v>
      </c>
      <c r="AS99" t="s">
        <v>58</v>
      </c>
      <c r="AT99" t="s">
        <v>57</v>
      </c>
      <c r="AU99" t="s">
        <v>57</v>
      </c>
      <c r="AV99" t="s">
        <v>58</v>
      </c>
      <c r="AW99" t="s">
        <v>57</v>
      </c>
      <c r="AX99" t="s">
        <v>58</v>
      </c>
      <c r="AY99" t="s">
        <v>57</v>
      </c>
      <c r="AZ99" t="s">
        <v>57</v>
      </c>
      <c r="BA99" t="s">
        <v>57</v>
      </c>
      <c r="BB99" t="s">
        <v>57</v>
      </c>
      <c r="BC99" t="s">
        <v>57</v>
      </c>
      <c r="BD99" t="s">
        <v>175</v>
      </c>
      <c r="BE99" t="s">
        <v>57</v>
      </c>
      <c r="BF99" t="s">
        <v>57</v>
      </c>
      <c r="BG99" t="s">
        <v>57</v>
      </c>
      <c r="BH99" t="s">
        <v>57</v>
      </c>
      <c r="BI99" t="s">
        <v>57</v>
      </c>
      <c r="BJ99" t="s">
        <v>57</v>
      </c>
      <c r="BK99" t="s">
        <v>57</v>
      </c>
      <c r="BL99" t="s">
        <v>57</v>
      </c>
      <c r="BM99" t="s">
        <v>57</v>
      </c>
      <c r="BN99" t="s">
        <v>57</v>
      </c>
      <c r="BO99" t="s">
        <v>57</v>
      </c>
      <c r="BP99" t="s">
        <v>57</v>
      </c>
      <c r="BQ99" t="s">
        <v>57</v>
      </c>
      <c r="BR99" t="s">
        <v>57</v>
      </c>
      <c r="BS99" t="s">
        <v>58</v>
      </c>
      <c r="BT99" t="s">
        <v>57</v>
      </c>
      <c r="BU99" t="s">
        <v>58</v>
      </c>
      <c r="BV99" t="s">
        <v>57</v>
      </c>
      <c r="BW99" t="s">
        <v>57</v>
      </c>
      <c r="BX99" t="s">
        <v>57</v>
      </c>
      <c r="BY99" t="s">
        <v>57</v>
      </c>
      <c r="BZ99" t="s">
        <v>57</v>
      </c>
      <c r="CA99" t="s">
        <v>58</v>
      </c>
      <c r="CB99" t="s">
        <v>57</v>
      </c>
      <c r="CC99" t="s">
        <v>57</v>
      </c>
      <c r="CD99" t="s">
        <v>57</v>
      </c>
      <c r="CE99" t="s">
        <v>57</v>
      </c>
      <c r="CF99" t="s">
        <v>57</v>
      </c>
      <c r="CG99" t="s">
        <v>57</v>
      </c>
      <c r="CH99" t="s">
        <v>57</v>
      </c>
      <c r="CI99" t="s">
        <v>57</v>
      </c>
      <c r="CJ99" t="s">
        <v>57</v>
      </c>
      <c r="CK99" t="s">
        <v>175</v>
      </c>
      <c r="CL99" t="s">
        <v>175</v>
      </c>
      <c r="CM99" t="s">
        <v>175</v>
      </c>
      <c r="CN99" t="s">
        <v>57</v>
      </c>
      <c r="CO99" t="s">
        <v>57</v>
      </c>
      <c r="CP99" t="s">
        <v>57</v>
      </c>
      <c r="CQ99" t="s">
        <v>57</v>
      </c>
      <c r="CR99" t="s">
        <v>57</v>
      </c>
      <c r="CS99" t="s">
        <v>57</v>
      </c>
      <c r="CT99" t="s">
        <v>57</v>
      </c>
      <c r="CU99" t="s">
        <v>57</v>
      </c>
      <c r="CV99" t="s">
        <v>57</v>
      </c>
      <c r="CW99" t="s">
        <v>57</v>
      </c>
      <c r="CX99" t="s">
        <v>57</v>
      </c>
      <c r="CY99" t="s">
        <v>57</v>
      </c>
      <c r="CZ99" t="s">
        <v>57</v>
      </c>
      <c r="DA99" t="s">
        <v>57</v>
      </c>
      <c r="DB99" t="s">
        <v>57</v>
      </c>
      <c r="DC99" t="s">
        <v>57</v>
      </c>
      <c r="DD99" t="s">
        <v>57</v>
      </c>
      <c r="DE99" t="s">
        <v>57</v>
      </c>
      <c r="DF99" t="s">
        <v>57</v>
      </c>
      <c r="DG99" t="s">
        <v>57</v>
      </c>
      <c r="DH99" t="s">
        <v>57</v>
      </c>
      <c r="DI99" t="s">
        <v>57</v>
      </c>
      <c r="DJ99" t="s">
        <v>57</v>
      </c>
      <c r="DK99" t="s">
        <v>175</v>
      </c>
      <c r="DL99" t="s">
        <v>57</v>
      </c>
      <c r="DM99" t="s">
        <v>57</v>
      </c>
      <c r="DN99" t="s">
        <v>57</v>
      </c>
      <c r="DO99" t="s">
        <v>57</v>
      </c>
      <c r="DP99" t="s">
        <v>57</v>
      </c>
      <c r="DQ99" t="s">
        <v>57</v>
      </c>
      <c r="DR99" t="s">
        <v>57</v>
      </c>
      <c r="DS99" t="s">
        <v>57</v>
      </c>
      <c r="DT99" t="s">
        <v>57</v>
      </c>
      <c r="DU99" t="s">
        <v>57</v>
      </c>
      <c r="DV99" t="s">
        <v>57</v>
      </c>
      <c r="DW99" t="s">
        <v>57</v>
      </c>
      <c r="DX99" t="s">
        <v>57</v>
      </c>
      <c r="DY99" t="s">
        <v>175</v>
      </c>
      <c r="DZ99" t="s">
        <v>57</v>
      </c>
      <c r="EA99" t="s">
        <v>57</v>
      </c>
      <c r="EB99" t="s">
        <v>57</v>
      </c>
      <c r="EC99" t="s">
        <v>57</v>
      </c>
      <c r="ED99" t="s">
        <v>57</v>
      </c>
      <c r="EE99" t="s">
        <v>57</v>
      </c>
      <c r="EF99" t="s">
        <v>57</v>
      </c>
      <c r="EG99" t="s">
        <v>57</v>
      </c>
      <c r="EH99" t="s">
        <v>57</v>
      </c>
      <c r="EI99" t="s">
        <v>57</v>
      </c>
      <c r="EJ99" t="s">
        <v>57</v>
      </c>
      <c r="EK99" t="s">
        <v>57</v>
      </c>
      <c r="EL99" t="s">
        <v>57</v>
      </c>
      <c r="EM99" t="s">
        <v>57</v>
      </c>
      <c r="EN99" t="s">
        <v>57</v>
      </c>
      <c r="EO99" t="s">
        <v>57</v>
      </c>
      <c r="EP99" t="s">
        <v>57</v>
      </c>
      <c r="EQ99" t="s">
        <v>57</v>
      </c>
      <c r="ER99" t="s">
        <v>57</v>
      </c>
      <c r="ES99" t="s">
        <v>57</v>
      </c>
      <c r="ET99" t="s">
        <v>57</v>
      </c>
      <c r="EU99" t="s">
        <v>57</v>
      </c>
      <c r="EV99" t="s">
        <v>57</v>
      </c>
      <c r="EW99" t="s">
        <v>57</v>
      </c>
      <c r="EX99" t="s">
        <v>57</v>
      </c>
      <c r="EY99" t="s">
        <v>57</v>
      </c>
      <c r="EZ99" t="s">
        <v>57</v>
      </c>
      <c r="FA99" t="s">
        <v>57</v>
      </c>
      <c r="FB99" t="s">
        <v>57</v>
      </c>
      <c r="FC99" t="s">
        <v>57</v>
      </c>
      <c r="FD99" t="s">
        <v>57</v>
      </c>
      <c r="FE99" t="s">
        <v>57</v>
      </c>
      <c r="FF99" t="s">
        <v>57</v>
      </c>
      <c r="FG99" t="s">
        <v>57</v>
      </c>
      <c r="FH99" t="s">
        <v>57</v>
      </c>
      <c r="FI99" t="s">
        <v>57</v>
      </c>
      <c r="FJ99" t="s">
        <v>57</v>
      </c>
      <c r="FK99" t="s">
        <v>57</v>
      </c>
      <c r="FL99" t="s">
        <v>57</v>
      </c>
      <c r="FM99" t="s">
        <v>57</v>
      </c>
      <c r="FN99" t="s">
        <v>57</v>
      </c>
      <c r="FO99" t="s">
        <v>175</v>
      </c>
      <c r="FP99" t="s">
        <v>57</v>
      </c>
      <c r="FQ99" t="s">
        <v>57</v>
      </c>
      <c r="FR99" t="s">
        <v>57</v>
      </c>
      <c r="FS99" t="s">
        <v>57</v>
      </c>
      <c r="FT99" t="s">
        <v>57</v>
      </c>
      <c r="FU99" t="s">
        <v>57</v>
      </c>
      <c r="FV99" t="s">
        <v>57</v>
      </c>
      <c r="FW99" t="s">
        <v>57</v>
      </c>
      <c r="FX99" t="s">
        <v>57</v>
      </c>
      <c r="FY99" t="s">
        <v>57</v>
      </c>
      <c r="FZ99" t="s">
        <v>57</v>
      </c>
      <c r="GA99" t="s">
        <v>57</v>
      </c>
      <c r="GB99" t="s">
        <v>57</v>
      </c>
      <c r="GC99" t="s">
        <v>57</v>
      </c>
      <c r="GD99" t="s">
        <v>57</v>
      </c>
      <c r="GE99" t="s">
        <v>57</v>
      </c>
      <c r="GF99" t="s">
        <v>57</v>
      </c>
      <c r="GG99" t="s">
        <v>175</v>
      </c>
      <c r="GH99" t="s">
        <v>57</v>
      </c>
      <c r="GI99" t="s">
        <v>57</v>
      </c>
      <c r="GJ99" t="s">
        <v>57</v>
      </c>
      <c r="GK99" t="s">
        <v>57</v>
      </c>
      <c r="GL99" t="s">
        <v>57</v>
      </c>
      <c r="GM99" t="s">
        <v>175</v>
      </c>
      <c r="GN99" t="s">
        <v>57</v>
      </c>
      <c r="GO99" t="s">
        <v>57</v>
      </c>
      <c r="GP99" t="s">
        <v>57</v>
      </c>
      <c r="GQ99" t="s">
        <v>57</v>
      </c>
      <c r="GR99" t="s">
        <v>57</v>
      </c>
      <c r="GS99" t="s">
        <v>57</v>
      </c>
      <c r="GT99" t="s">
        <v>57</v>
      </c>
      <c r="GU99" t="s">
        <v>57</v>
      </c>
      <c r="GV99" t="s">
        <v>57</v>
      </c>
      <c r="GW99" t="s">
        <v>57</v>
      </c>
      <c r="GX99" t="s">
        <v>57</v>
      </c>
      <c r="GY99" t="s">
        <v>57</v>
      </c>
      <c r="GZ99" t="s">
        <v>57</v>
      </c>
      <c r="HA99" t="s">
        <v>57</v>
      </c>
      <c r="HB99" t="s">
        <v>57</v>
      </c>
      <c r="HC99" t="s">
        <v>57</v>
      </c>
      <c r="HD99" t="s">
        <v>57</v>
      </c>
      <c r="HE99" t="s">
        <v>57</v>
      </c>
      <c r="HF99" t="s">
        <v>57</v>
      </c>
      <c r="HG99" t="s">
        <v>57</v>
      </c>
      <c r="HH99" t="s">
        <v>175</v>
      </c>
      <c r="HI99" t="s">
        <v>175</v>
      </c>
      <c r="HJ99" t="s">
        <v>175</v>
      </c>
      <c r="HK99" t="s">
        <v>175</v>
      </c>
      <c r="HL99" t="s">
        <v>57</v>
      </c>
      <c r="HM99" t="s">
        <v>57</v>
      </c>
      <c r="HN99" t="s">
        <v>57</v>
      </c>
      <c r="HO99" t="s">
        <v>57</v>
      </c>
      <c r="HP99" t="s">
        <v>57</v>
      </c>
      <c r="HQ99" t="s">
        <v>57</v>
      </c>
      <c r="HR99" t="s">
        <v>57</v>
      </c>
      <c r="HS99" t="s">
        <v>57</v>
      </c>
      <c r="HT99" t="s">
        <v>57</v>
      </c>
      <c r="HU99" t="s">
        <v>57</v>
      </c>
      <c r="HV99" t="s">
        <v>57</v>
      </c>
      <c r="HW99" t="s">
        <v>57</v>
      </c>
      <c r="HX99" t="s">
        <v>57</v>
      </c>
      <c r="HY99" t="s">
        <v>57</v>
      </c>
      <c r="HZ99" t="s">
        <v>57</v>
      </c>
      <c r="IA99" t="s">
        <v>57</v>
      </c>
      <c r="IB99" t="s">
        <v>58</v>
      </c>
      <c r="IC99" t="s">
        <v>58</v>
      </c>
      <c r="ID99" t="s">
        <v>58</v>
      </c>
      <c r="IE99" t="s">
        <v>57</v>
      </c>
      <c r="IF99" t="s">
        <v>124</v>
      </c>
      <c r="IG99" t="s">
        <v>148</v>
      </c>
      <c r="IH99" t="s">
        <v>123</v>
      </c>
      <c r="II99" t="s">
        <v>156</v>
      </c>
    </row>
    <row r="100" spans="1:243" x14ac:dyDescent="0.25">
      <c r="A100" s="111" t="str">
        <f>HYPERLINK("http://www.ofsted.gov.uk/inspection-reports/find-inspection-report/provider/ELS/131128 ","Ofsted School Webpage")</f>
        <v>Ofsted School Webpage</v>
      </c>
      <c r="B100">
        <v>131128</v>
      </c>
      <c r="C100">
        <v>3026107</v>
      </c>
      <c r="D100" t="s">
        <v>428</v>
      </c>
      <c r="E100" t="s">
        <v>36</v>
      </c>
      <c r="F100" t="s">
        <v>166</v>
      </c>
      <c r="G100" t="s">
        <v>189</v>
      </c>
      <c r="H100" t="s">
        <v>189</v>
      </c>
      <c r="I100" t="s">
        <v>268</v>
      </c>
      <c r="J100" t="s">
        <v>429</v>
      </c>
      <c r="K100" t="s">
        <v>142</v>
      </c>
      <c r="L100" t="s">
        <v>142</v>
      </c>
      <c r="M100" t="s">
        <v>2596</v>
      </c>
      <c r="N100" t="s">
        <v>143</v>
      </c>
      <c r="O100">
        <v>10035789</v>
      </c>
      <c r="P100" s="108">
        <v>43011</v>
      </c>
      <c r="Q100" s="108">
        <v>43013</v>
      </c>
      <c r="R100" s="108">
        <v>43082</v>
      </c>
      <c r="S100" t="s">
        <v>153</v>
      </c>
      <c r="T100" t="s">
        <v>154</v>
      </c>
      <c r="U100">
        <v>3</v>
      </c>
      <c r="V100">
        <v>3</v>
      </c>
      <c r="W100">
        <v>2</v>
      </c>
      <c r="X100">
        <v>3</v>
      </c>
      <c r="Y100">
        <v>3</v>
      </c>
      <c r="Z100">
        <v>3</v>
      </c>
      <c r="AA100" t="s">
        <v>2596</v>
      </c>
      <c r="AB100" t="s">
        <v>123</v>
      </c>
      <c r="AC100" t="s">
        <v>2596</v>
      </c>
      <c r="AD100" t="s">
        <v>2599</v>
      </c>
      <c r="AE100" t="s">
        <v>57</v>
      </c>
      <c r="AF100" t="s">
        <v>57</v>
      </c>
      <c r="AG100" t="s">
        <v>57</v>
      </c>
      <c r="AH100" t="s">
        <v>57</v>
      </c>
      <c r="AI100" t="s">
        <v>57</v>
      </c>
      <c r="AJ100" t="s">
        <v>57</v>
      </c>
      <c r="AK100" t="s">
        <v>57</v>
      </c>
      <c r="AL100" t="s">
        <v>58</v>
      </c>
      <c r="AM100" t="s">
        <v>57</v>
      </c>
      <c r="AN100" t="s">
        <v>57</v>
      </c>
      <c r="AO100" t="s">
        <v>57</v>
      </c>
      <c r="AP100" t="s">
        <v>57</v>
      </c>
      <c r="AQ100" t="s">
        <v>57</v>
      </c>
      <c r="AR100" t="s">
        <v>57</v>
      </c>
      <c r="AS100" t="s">
        <v>57</v>
      </c>
      <c r="AT100" t="s">
        <v>57</v>
      </c>
      <c r="AU100" t="s">
        <v>57</v>
      </c>
      <c r="AV100" t="s">
        <v>57</v>
      </c>
      <c r="AW100" t="s">
        <v>57</v>
      </c>
      <c r="AX100" t="s">
        <v>57</v>
      </c>
      <c r="AY100" t="s">
        <v>175</v>
      </c>
      <c r="AZ100" t="s">
        <v>175</v>
      </c>
      <c r="BA100" t="s">
        <v>175</v>
      </c>
      <c r="BB100" t="s">
        <v>175</v>
      </c>
      <c r="BC100" t="s">
        <v>57</v>
      </c>
      <c r="BD100" t="s">
        <v>175</v>
      </c>
      <c r="BE100" t="s">
        <v>57</v>
      </c>
      <c r="BF100" t="s">
        <v>57</v>
      </c>
      <c r="BG100" t="s">
        <v>58</v>
      </c>
      <c r="BH100" t="s">
        <v>58</v>
      </c>
      <c r="BI100" t="s">
        <v>57</v>
      </c>
      <c r="BJ100" t="s">
        <v>57</v>
      </c>
      <c r="BK100" t="s">
        <v>58</v>
      </c>
      <c r="BL100" t="s">
        <v>58</v>
      </c>
      <c r="BM100" t="s">
        <v>57</v>
      </c>
      <c r="BN100" t="s">
        <v>57</v>
      </c>
      <c r="BO100" t="s">
        <v>57</v>
      </c>
      <c r="BP100" t="s">
        <v>57</v>
      </c>
      <c r="BQ100" t="s">
        <v>57</v>
      </c>
      <c r="BR100" t="s">
        <v>57</v>
      </c>
      <c r="BS100" t="s">
        <v>57</v>
      </c>
      <c r="BT100" t="s">
        <v>57</v>
      </c>
      <c r="BU100" t="s">
        <v>57</v>
      </c>
      <c r="BV100" t="s">
        <v>57</v>
      </c>
      <c r="BW100" t="s">
        <v>57</v>
      </c>
      <c r="BX100" t="s">
        <v>57</v>
      </c>
      <c r="BY100" t="s">
        <v>57</v>
      </c>
      <c r="BZ100" t="s">
        <v>57</v>
      </c>
      <c r="CA100" t="s">
        <v>57</v>
      </c>
      <c r="CB100" t="s">
        <v>57</v>
      </c>
      <c r="CC100" t="s">
        <v>57</v>
      </c>
      <c r="CD100" t="s">
        <v>57</v>
      </c>
      <c r="CE100" t="s">
        <v>57</v>
      </c>
      <c r="CF100" t="s">
        <v>57</v>
      </c>
      <c r="CG100" t="s">
        <v>57</v>
      </c>
      <c r="CH100" t="s">
        <v>57</v>
      </c>
      <c r="CI100" t="s">
        <v>57</v>
      </c>
      <c r="CJ100" t="s">
        <v>57</v>
      </c>
      <c r="CK100" t="s">
        <v>175</v>
      </c>
      <c r="CL100" t="s">
        <v>175</v>
      </c>
      <c r="CM100" t="s">
        <v>175</v>
      </c>
      <c r="CN100" t="s">
        <v>57</v>
      </c>
      <c r="CO100" t="s">
        <v>57</v>
      </c>
      <c r="CP100" t="s">
        <v>57</v>
      </c>
      <c r="CQ100" t="s">
        <v>57</v>
      </c>
      <c r="CR100" t="s">
        <v>57</v>
      </c>
      <c r="CS100" t="s">
        <v>57</v>
      </c>
      <c r="CT100" t="s">
        <v>57</v>
      </c>
      <c r="CU100" t="s">
        <v>57</v>
      </c>
      <c r="CV100" t="s">
        <v>57</v>
      </c>
      <c r="CW100" t="s">
        <v>57</v>
      </c>
      <c r="CX100" t="s">
        <v>58</v>
      </c>
      <c r="CY100" t="s">
        <v>58</v>
      </c>
      <c r="CZ100" t="s">
        <v>58</v>
      </c>
      <c r="DA100" t="s">
        <v>57</v>
      </c>
      <c r="DB100" t="s">
        <v>57</v>
      </c>
      <c r="DC100" t="s">
        <v>57</v>
      </c>
      <c r="DD100" t="s">
        <v>57</v>
      </c>
      <c r="DE100" t="s">
        <v>57</v>
      </c>
      <c r="DF100" t="s">
        <v>57</v>
      </c>
      <c r="DG100" t="s">
        <v>57</v>
      </c>
      <c r="DH100" t="s">
        <v>57</v>
      </c>
      <c r="DI100" t="s">
        <v>57</v>
      </c>
      <c r="DJ100" t="s">
        <v>57</v>
      </c>
      <c r="DK100" t="s">
        <v>175</v>
      </c>
      <c r="DL100" t="s">
        <v>57</v>
      </c>
      <c r="DM100" t="s">
        <v>175</v>
      </c>
      <c r="DN100" t="s">
        <v>175</v>
      </c>
      <c r="DO100" t="s">
        <v>175</v>
      </c>
      <c r="DP100" t="s">
        <v>175</v>
      </c>
      <c r="DQ100" t="s">
        <v>175</v>
      </c>
      <c r="DR100" t="s">
        <v>175</v>
      </c>
      <c r="DS100" t="s">
        <v>175</v>
      </c>
      <c r="DT100" t="s">
        <v>175</v>
      </c>
      <c r="DU100" t="s">
        <v>175</v>
      </c>
      <c r="DV100" t="s">
        <v>175</v>
      </c>
      <c r="DW100" t="s">
        <v>175</v>
      </c>
      <c r="DX100" t="s">
        <v>175</v>
      </c>
      <c r="DY100" t="s">
        <v>175</v>
      </c>
      <c r="DZ100" t="s">
        <v>57</v>
      </c>
      <c r="EA100" t="s">
        <v>57</v>
      </c>
      <c r="EB100" t="s">
        <v>57</v>
      </c>
      <c r="EC100" t="s">
        <v>57</v>
      </c>
      <c r="ED100" t="s">
        <v>57</v>
      </c>
      <c r="EE100" t="s">
        <v>175</v>
      </c>
      <c r="EF100" t="s">
        <v>175</v>
      </c>
      <c r="EG100" t="s">
        <v>175</v>
      </c>
      <c r="EH100" t="s">
        <v>175</v>
      </c>
      <c r="EI100" t="s">
        <v>175</v>
      </c>
      <c r="EJ100" t="s">
        <v>57</v>
      </c>
      <c r="EK100" t="s">
        <v>57</v>
      </c>
      <c r="EL100" t="s">
        <v>57</v>
      </c>
      <c r="EM100" t="s">
        <v>57</v>
      </c>
      <c r="EN100" t="s">
        <v>57</v>
      </c>
      <c r="EO100" t="s">
        <v>57</v>
      </c>
      <c r="EP100" t="s">
        <v>57</v>
      </c>
      <c r="EQ100" t="s">
        <v>57</v>
      </c>
      <c r="ER100" t="s">
        <v>57</v>
      </c>
      <c r="ES100" t="s">
        <v>57</v>
      </c>
      <c r="ET100" t="s">
        <v>57</v>
      </c>
      <c r="EU100" t="s">
        <v>57</v>
      </c>
      <c r="EV100" t="s">
        <v>57</v>
      </c>
      <c r="EW100" t="s">
        <v>57</v>
      </c>
      <c r="EX100" t="s">
        <v>57</v>
      </c>
      <c r="EY100" t="s">
        <v>57</v>
      </c>
      <c r="EZ100" t="s">
        <v>57</v>
      </c>
      <c r="FA100" t="s">
        <v>57</v>
      </c>
      <c r="FB100" t="s">
        <v>57</v>
      </c>
      <c r="FC100" t="s">
        <v>57</v>
      </c>
      <c r="FD100" t="s">
        <v>175</v>
      </c>
      <c r="FE100" t="s">
        <v>175</v>
      </c>
      <c r="FF100" t="s">
        <v>57</v>
      </c>
      <c r="FG100" t="s">
        <v>175</v>
      </c>
      <c r="FH100" t="s">
        <v>57</v>
      </c>
      <c r="FI100" t="s">
        <v>57</v>
      </c>
      <c r="FJ100" t="s">
        <v>57</v>
      </c>
      <c r="FK100" t="s">
        <v>57</v>
      </c>
      <c r="FL100" t="s">
        <v>57</v>
      </c>
      <c r="FM100" t="s">
        <v>57</v>
      </c>
      <c r="FN100" t="s">
        <v>57</v>
      </c>
      <c r="FO100" t="s">
        <v>175</v>
      </c>
      <c r="FP100" t="s">
        <v>57</v>
      </c>
      <c r="FQ100" t="s">
        <v>57</v>
      </c>
      <c r="FR100" t="s">
        <v>57</v>
      </c>
      <c r="FS100" t="s">
        <v>57</v>
      </c>
      <c r="FT100" t="s">
        <v>57</v>
      </c>
      <c r="FU100" t="s">
        <v>57</v>
      </c>
      <c r="FV100" t="s">
        <v>57</v>
      </c>
      <c r="FW100" t="s">
        <v>57</v>
      </c>
      <c r="FX100" t="s">
        <v>57</v>
      </c>
      <c r="FY100" t="s">
        <v>57</v>
      </c>
      <c r="FZ100" t="s">
        <v>57</v>
      </c>
      <c r="GA100" t="s">
        <v>57</v>
      </c>
      <c r="GB100" t="s">
        <v>57</v>
      </c>
      <c r="GC100" t="s">
        <v>57</v>
      </c>
      <c r="GD100" t="s">
        <v>57</v>
      </c>
      <c r="GE100" t="s">
        <v>57</v>
      </c>
      <c r="GF100" t="s">
        <v>57</v>
      </c>
      <c r="GG100" t="s">
        <v>175</v>
      </c>
      <c r="GH100" t="s">
        <v>57</v>
      </c>
      <c r="GI100" t="s">
        <v>57</v>
      </c>
      <c r="GJ100" t="s">
        <v>57</v>
      </c>
      <c r="GK100" t="s">
        <v>57</v>
      </c>
      <c r="GL100" t="s">
        <v>57</v>
      </c>
      <c r="GM100" t="s">
        <v>175</v>
      </c>
      <c r="GN100" t="s">
        <v>57</v>
      </c>
      <c r="GO100" t="s">
        <v>57</v>
      </c>
      <c r="GP100" t="s">
        <v>57</v>
      </c>
      <c r="GQ100" t="s">
        <v>175</v>
      </c>
      <c r="GR100" t="s">
        <v>57</v>
      </c>
      <c r="GS100" t="s">
        <v>57</v>
      </c>
      <c r="GT100" t="s">
        <v>57</v>
      </c>
      <c r="GU100" t="s">
        <v>57</v>
      </c>
      <c r="GV100" t="s">
        <v>57</v>
      </c>
      <c r="GW100" t="s">
        <v>175</v>
      </c>
      <c r="GX100" t="s">
        <v>175</v>
      </c>
      <c r="GY100" t="s">
        <v>57</v>
      </c>
      <c r="GZ100" t="s">
        <v>57</v>
      </c>
      <c r="HA100" t="s">
        <v>57</v>
      </c>
      <c r="HB100" t="s">
        <v>57</v>
      </c>
      <c r="HC100" t="s">
        <v>57</v>
      </c>
      <c r="HD100" t="s">
        <v>57</v>
      </c>
      <c r="HE100" t="s">
        <v>57</v>
      </c>
      <c r="HF100" t="s">
        <v>57</v>
      </c>
      <c r="HG100" t="s">
        <v>57</v>
      </c>
      <c r="HH100" t="s">
        <v>175</v>
      </c>
      <c r="HI100" t="s">
        <v>175</v>
      </c>
      <c r="HJ100" t="s">
        <v>175</v>
      </c>
      <c r="HK100" t="s">
        <v>175</v>
      </c>
      <c r="HL100" t="s">
        <v>57</v>
      </c>
      <c r="HM100" t="s">
        <v>57</v>
      </c>
      <c r="HN100" t="s">
        <v>57</v>
      </c>
      <c r="HO100" t="s">
        <v>57</v>
      </c>
      <c r="HP100" t="s">
        <v>57</v>
      </c>
      <c r="HQ100" t="s">
        <v>57</v>
      </c>
      <c r="HR100" t="s">
        <v>57</v>
      </c>
      <c r="HS100" t="s">
        <v>57</v>
      </c>
      <c r="HT100" t="s">
        <v>57</v>
      </c>
      <c r="HU100" t="s">
        <v>57</v>
      </c>
      <c r="HV100" t="s">
        <v>57</v>
      </c>
      <c r="HW100" t="s">
        <v>57</v>
      </c>
      <c r="HX100" t="s">
        <v>57</v>
      </c>
      <c r="HY100" t="s">
        <v>57</v>
      </c>
      <c r="HZ100" t="s">
        <v>57</v>
      </c>
      <c r="IA100" t="s">
        <v>57</v>
      </c>
      <c r="IB100" t="s">
        <v>58</v>
      </c>
      <c r="IC100" t="s">
        <v>58</v>
      </c>
      <c r="ID100" t="s">
        <v>58</v>
      </c>
      <c r="IE100" t="s">
        <v>57</v>
      </c>
      <c r="IF100" t="s">
        <v>124</v>
      </c>
      <c r="IG100" t="s">
        <v>148</v>
      </c>
      <c r="IH100" t="s">
        <v>123</v>
      </c>
      <c r="II100" t="s">
        <v>363</v>
      </c>
    </row>
    <row r="101" spans="1:243" x14ac:dyDescent="0.25">
      <c r="A101" s="111" t="str">
        <f>HYPERLINK("http://www.ofsted.gov.uk/inspection-reports/find-inspection-report/provider/ELS/131164 ","Ofsted School Webpage")</f>
        <v>Ofsted School Webpage</v>
      </c>
      <c r="B101">
        <v>131164</v>
      </c>
      <c r="C101">
        <v>3306094</v>
      </c>
      <c r="D101" t="s">
        <v>2506</v>
      </c>
      <c r="E101" t="s">
        <v>36</v>
      </c>
      <c r="F101" t="s">
        <v>166</v>
      </c>
      <c r="G101" t="s">
        <v>150</v>
      </c>
      <c r="H101" t="s">
        <v>150</v>
      </c>
      <c r="I101" t="s">
        <v>167</v>
      </c>
      <c r="J101" t="s">
        <v>2507</v>
      </c>
      <c r="K101" t="s">
        <v>142</v>
      </c>
      <c r="L101" t="s">
        <v>261</v>
      </c>
      <c r="M101" t="s">
        <v>2596</v>
      </c>
      <c r="N101" t="s">
        <v>143</v>
      </c>
      <c r="O101">
        <v>10033566</v>
      </c>
      <c r="P101" s="108">
        <v>43137</v>
      </c>
      <c r="Q101" s="108">
        <v>43139</v>
      </c>
      <c r="R101" s="108">
        <v>43167</v>
      </c>
      <c r="S101" t="s">
        <v>153</v>
      </c>
      <c r="T101" t="s">
        <v>154</v>
      </c>
      <c r="U101">
        <v>3</v>
      </c>
      <c r="V101">
        <v>3</v>
      </c>
      <c r="W101">
        <v>2</v>
      </c>
      <c r="X101">
        <v>3</v>
      </c>
      <c r="Y101">
        <v>3</v>
      </c>
      <c r="Z101" t="s">
        <v>2596</v>
      </c>
      <c r="AA101" t="s">
        <v>2596</v>
      </c>
      <c r="AB101" t="s">
        <v>123</v>
      </c>
      <c r="AC101" t="s">
        <v>2596</v>
      </c>
      <c r="AD101" t="s">
        <v>2599</v>
      </c>
      <c r="AE101" t="s">
        <v>57</v>
      </c>
      <c r="AF101" t="s">
        <v>57</v>
      </c>
      <c r="AG101" t="s">
        <v>57</v>
      </c>
      <c r="AH101" t="s">
        <v>57</v>
      </c>
      <c r="AI101" t="s">
        <v>57</v>
      </c>
      <c r="AJ101" t="s">
        <v>57</v>
      </c>
      <c r="AK101" t="s">
        <v>57</v>
      </c>
      <c r="AL101" t="s">
        <v>58</v>
      </c>
      <c r="AM101" t="s">
        <v>57</v>
      </c>
      <c r="AN101" t="s">
        <v>57</v>
      </c>
      <c r="AO101" t="s">
        <v>57</v>
      </c>
      <c r="AP101" t="s">
        <v>57</v>
      </c>
      <c r="AQ101" t="s">
        <v>57</v>
      </c>
      <c r="AR101" t="s">
        <v>57</v>
      </c>
      <c r="AS101" t="s">
        <v>57</v>
      </c>
      <c r="AT101" t="s">
        <v>57</v>
      </c>
      <c r="AU101" t="s">
        <v>175</v>
      </c>
      <c r="AV101" t="s">
        <v>57</v>
      </c>
      <c r="AW101" t="s">
        <v>57</v>
      </c>
      <c r="AX101" t="s">
        <v>57</v>
      </c>
      <c r="AY101" t="s">
        <v>57</v>
      </c>
      <c r="AZ101" t="s">
        <v>57</v>
      </c>
      <c r="BA101" t="s">
        <v>57</v>
      </c>
      <c r="BB101" t="s">
        <v>57</v>
      </c>
      <c r="BC101" t="s">
        <v>175</v>
      </c>
      <c r="BD101" t="s">
        <v>175</v>
      </c>
      <c r="BE101" t="s">
        <v>57</v>
      </c>
      <c r="BF101" t="s">
        <v>57</v>
      </c>
      <c r="BG101" t="s">
        <v>58</v>
      </c>
      <c r="BH101" t="s">
        <v>58</v>
      </c>
      <c r="BI101" t="s">
        <v>58</v>
      </c>
      <c r="BJ101" t="s">
        <v>58</v>
      </c>
      <c r="BK101" t="s">
        <v>58</v>
      </c>
      <c r="BL101" t="s">
        <v>57</v>
      </c>
      <c r="BM101" t="s">
        <v>57</v>
      </c>
      <c r="BN101" t="s">
        <v>58</v>
      </c>
      <c r="BO101" t="s">
        <v>57</v>
      </c>
      <c r="BP101" t="s">
        <v>57</v>
      </c>
      <c r="BQ101" t="s">
        <v>57</v>
      </c>
      <c r="BR101" t="s">
        <v>57</v>
      </c>
      <c r="BS101" t="s">
        <v>57</v>
      </c>
      <c r="BT101" t="s">
        <v>57</v>
      </c>
      <c r="BU101" t="s">
        <v>57</v>
      </c>
      <c r="BV101" t="s">
        <v>57</v>
      </c>
      <c r="BW101" t="s">
        <v>57</v>
      </c>
      <c r="BX101" t="s">
        <v>57</v>
      </c>
      <c r="BY101" t="s">
        <v>57</v>
      </c>
      <c r="BZ101" t="s">
        <v>57</v>
      </c>
      <c r="CA101" t="s">
        <v>57</v>
      </c>
      <c r="CB101" t="s">
        <v>57</v>
      </c>
      <c r="CC101" t="s">
        <v>57</v>
      </c>
      <c r="CD101" t="s">
        <v>57</v>
      </c>
      <c r="CE101" t="s">
        <v>57</v>
      </c>
      <c r="CF101" t="s">
        <v>57</v>
      </c>
      <c r="CG101" t="s">
        <v>57</v>
      </c>
      <c r="CH101" t="s">
        <v>57</v>
      </c>
      <c r="CI101" t="s">
        <v>57</v>
      </c>
      <c r="CJ101" t="s">
        <v>57</v>
      </c>
      <c r="CK101" t="s">
        <v>175</v>
      </c>
      <c r="CL101" t="s">
        <v>175</v>
      </c>
      <c r="CM101" t="s">
        <v>175</v>
      </c>
      <c r="CN101" t="s">
        <v>57</v>
      </c>
      <c r="CO101" t="s">
        <v>57</v>
      </c>
      <c r="CP101" t="s">
        <v>57</v>
      </c>
      <c r="CQ101" t="s">
        <v>57</v>
      </c>
      <c r="CR101" t="s">
        <v>57</v>
      </c>
      <c r="CS101" t="s">
        <v>57</v>
      </c>
      <c r="CT101" t="s">
        <v>57</v>
      </c>
      <c r="CU101" t="s">
        <v>57</v>
      </c>
      <c r="CV101" t="s">
        <v>57</v>
      </c>
      <c r="CW101" t="s">
        <v>57</v>
      </c>
      <c r="CX101" t="s">
        <v>57</v>
      </c>
      <c r="CY101" t="s">
        <v>57</v>
      </c>
      <c r="CZ101" t="s">
        <v>57</v>
      </c>
      <c r="DA101" t="s">
        <v>57</v>
      </c>
      <c r="DB101" t="s">
        <v>57</v>
      </c>
      <c r="DC101" t="s">
        <v>57</v>
      </c>
      <c r="DD101" t="s">
        <v>57</v>
      </c>
      <c r="DE101" t="s">
        <v>57</v>
      </c>
      <c r="DF101" t="s">
        <v>57</v>
      </c>
      <c r="DG101" t="s">
        <v>57</v>
      </c>
      <c r="DH101" t="s">
        <v>57</v>
      </c>
      <c r="DI101" t="s">
        <v>57</v>
      </c>
      <c r="DJ101" t="s">
        <v>57</v>
      </c>
      <c r="DK101" t="s">
        <v>175</v>
      </c>
      <c r="DL101" t="s">
        <v>57</v>
      </c>
      <c r="DM101" t="s">
        <v>175</v>
      </c>
      <c r="DN101" t="s">
        <v>175</v>
      </c>
      <c r="DO101" t="s">
        <v>175</v>
      </c>
      <c r="DP101" t="s">
        <v>175</v>
      </c>
      <c r="DQ101" t="s">
        <v>175</v>
      </c>
      <c r="DR101" t="s">
        <v>175</v>
      </c>
      <c r="DS101" t="s">
        <v>175</v>
      </c>
      <c r="DT101" t="s">
        <v>175</v>
      </c>
      <c r="DU101" t="s">
        <v>175</v>
      </c>
      <c r="DV101" t="s">
        <v>175</v>
      </c>
      <c r="DW101" t="s">
        <v>175</v>
      </c>
      <c r="DX101" t="s">
        <v>175</v>
      </c>
      <c r="DY101" t="s">
        <v>175</v>
      </c>
      <c r="DZ101" t="s">
        <v>57</v>
      </c>
      <c r="EA101" t="s">
        <v>57</v>
      </c>
      <c r="EB101" t="s">
        <v>57</v>
      </c>
      <c r="EC101" t="s">
        <v>57</v>
      </c>
      <c r="ED101" t="s">
        <v>57</v>
      </c>
      <c r="EE101" t="s">
        <v>57</v>
      </c>
      <c r="EF101" t="s">
        <v>57</v>
      </c>
      <c r="EG101" t="s">
        <v>57</v>
      </c>
      <c r="EH101" t="s">
        <v>57</v>
      </c>
      <c r="EI101" t="s">
        <v>57</v>
      </c>
      <c r="EJ101" t="s">
        <v>57</v>
      </c>
      <c r="EK101" t="s">
        <v>57</v>
      </c>
      <c r="EL101" t="s">
        <v>57</v>
      </c>
      <c r="EM101" t="s">
        <v>57</v>
      </c>
      <c r="EN101" t="s">
        <v>57</v>
      </c>
      <c r="EO101" t="s">
        <v>57</v>
      </c>
      <c r="EP101" t="s">
        <v>57</v>
      </c>
      <c r="EQ101" t="s">
        <v>57</v>
      </c>
      <c r="ER101" t="s">
        <v>57</v>
      </c>
      <c r="ES101" t="s">
        <v>57</v>
      </c>
      <c r="ET101" t="s">
        <v>57</v>
      </c>
      <c r="EU101" t="s">
        <v>57</v>
      </c>
      <c r="EV101" t="s">
        <v>57</v>
      </c>
      <c r="EW101" t="s">
        <v>175</v>
      </c>
      <c r="EX101" t="s">
        <v>175</v>
      </c>
      <c r="EY101" t="s">
        <v>175</v>
      </c>
      <c r="EZ101" t="s">
        <v>175</v>
      </c>
      <c r="FA101" t="s">
        <v>175</v>
      </c>
      <c r="FB101" t="s">
        <v>175</v>
      </c>
      <c r="FC101" t="s">
        <v>175</v>
      </c>
      <c r="FD101" t="s">
        <v>57</v>
      </c>
      <c r="FE101" t="s">
        <v>57</v>
      </c>
      <c r="FF101" t="s">
        <v>57</v>
      </c>
      <c r="FG101" t="s">
        <v>57</v>
      </c>
      <c r="FH101" t="s">
        <v>57</v>
      </c>
      <c r="FI101" t="s">
        <v>57</v>
      </c>
      <c r="FJ101" t="s">
        <v>175</v>
      </c>
      <c r="FK101" t="s">
        <v>57</v>
      </c>
      <c r="FL101" t="s">
        <v>57</v>
      </c>
      <c r="FM101" t="s">
        <v>57</v>
      </c>
      <c r="FN101" t="s">
        <v>57</v>
      </c>
      <c r="FO101" t="s">
        <v>175</v>
      </c>
      <c r="FP101" t="s">
        <v>57</v>
      </c>
      <c r="FQ101" t="s">
        <v>57</v>
      </c>
      <c r="FR101" t="s">
        <v>57</v>
      </c>
      <c r="FS101" t="s">
        <v>57</v>
      </c>
      <c r="FT101" t="s">
        <v>57</v>
      </c>
      <c r="FU101" t="s">
        <v>57</v>
      </c>
      <c r="FV101" t="s">
        <v>57</v>
      </c>
      <c r="FW101" t="s">
        <v>57</v>
      </c>
      <c r="FX101" t="s">
        <v>57</v>
      </c>
      <c r="FY101" t="s">
        <v>57</v>
      </c>
      <c r="FZ101" t="s">
        <v>57</v>
      </c>
      <c r="GA101" t="s">
        <v>57</v>
      </c>
      <c r="GB101" t="s">
        <v>57</v>
      </c>
      <c r="GC101" t="s">
        <v>57</v>
      </c>
      <c r="GD101" t="s">
        <v>57</v>
      </c>
      <c r="GE101" t="s">
        <v>57</v>
      </c>
      <c r="GF101" t="s">
        <v>57</v>
      </c>
      <c r="GG101" t="s">
        <v>175</v>
      </c>
      <c r="GH101" t="s">
        <v>57</v>
      </c>
      <c r="GI101" t="s">
        <v>57</v>
      </c>
      <c r="GJ101" t="s">
        <v>57</v>
      </c>
      <c r="GK101" t="s">
        <v>57</v>
      </c>
      <c r="GL101" t="s">
        <v>57</v>
      </c>
      <c r="GM101" t="s">
        <v>175</v>
      </c>
      <c r="GN101" t="s">
        <v>57</v>
      </c>
      <c r="GO101" t="s">
        <v>57</v>
      </c>
      <c r="GP101" t="s">
        <v>175</v>
      </c>
      <c r="GQ101" t="s">
        <v>175</v>
      </c>
      <c r="GR101" t="s">
        <v>57</v>
      </c>
      <c r="GS101" t="s">
        <v>57</v>
      </c>
      <c r="GT101" t="s">
        <v>57</v>
      </c>
      <c r="GU101" t="s">
        <v>57</v>
      </c>
      <c r="GV101" t="s">
        <v>175</v>
      </c>
      <c r="GW101" t="s">
        <v>57</v>
      </c>
      <c r="GX101" t="s">
        <v>57</v>
      </c>
      <c r="GY101" t="s">
        <v>57</v>
      </c>
      <c r="GZ101" t="s">
        <v>57</v>
      </c>
      <c r="HA101" t="s">
        <v>57</v>
      </c>
      <c r="HB101" t="s">
        <v>175</v>
      </c>
      <c r="HC101" t="s">
        <v>57</v>
      </c>
      <c r="HD101" t="s">
        <v>57</v>
      </c>
      <c r="HE101" t="s">
        <v>57</v>
      </c>
      <c r="HF101" t="s">
        <v>57</v>
      </c>
      <c r="HG101" t="s">
        <v>57</v>
      </c>
      <c r="HH101" t="s">
        <v>175</v>
      </c>
      <c r="HI101" t="s">
        <v>175</v>
      </c>
      <c r="HJ101" t="s">
        <v>175</v>
      </c>
      <c r="HK101" t="s">
        <v>175</v>
      </c>
      <c r="HL101" t="s">
        <v>57</v>
      </c>
      <c r="HM101" t="s">
        <v>57</v>
      </c>
      <c r="HN101" t="s">
        <v>57</v>
      </c>
      <c r="HO101" t="s">
        <v>57</v>
      </c>
      <c r="HP101" t="s">
        <v>57</v>
      </c>
      <c r="HQ101" t="s">
        <v>57</v>
      </c>
      <c r="HR101" t="s">
        <v>57</v>
      </c>
      <c r="HS101" t="s">
        <v>57</v>
      </c>
      <c r="HT101" t="s">
        <v>57</v>
      </c>
      <c r="HU101" t="s">
        <v>57</v>
      </c>
      <c r="HV101" t="s">
        <v>57</v>
      </c>
      <c r="HW101" t="s">
        <v>57</v>
      </c>
      <c r="HX101" t="s">
        <v>57</v>
      </c>
      <c r="HY101" t="s">
        <v>57</v>
      </c>
      <c r="HZ101" t="s">
        <v>57</v>
      </c>
      <c r="IA101" t="s">
        <v>57</v>
      </c>
      <c r="IB101" t="s">
        <v>58</v>
      </c>
      <c r="IC101" t="s">
        <v>58</v>
      </c>
      <c r="ID101" t="s">
        <v>58</v>
      </c>
      <c r="IE101" t="s">
        <v>57</v>
      </c>
      <c r="IF101" t="s">
        <v>124</v>
      </c>
      <c r="IG101" t="s">
        <v>148</v>
      </c>
      <c r="IH101" t="s">
        <v>123</v>
      </c>
      <c r="II101" t="s">
        <v>156</v>
      </c>
    </row>
    <row r="102" spans="1:243" x14ac:dyDescent="0.25">
      <c r="A102" s="111" t="str">
        <f>HYPERLINK("http://www.ofsted.gov.uk/inspection-reports/find-inspection-report/provider/ELS/131165 ","Ofsted School Webpage")</f>
        <v>Ofsted School Webpage</v>
      </c>
      <c r="B102">
        <v>131165</v>
      </c>
      <c r="C102">
        <v>2056390</v>
      </c>
      <c r="D102" t="s">
        <v>384</v>
      </c>
      <c r="E102" t="s">
        <v>36</v>
      </c>
      <c r="F102" t="s">
        <v>166</v>
      </c>
      <c r="G102" t="s">
        <v>189</v>
      </c>
      <c r="H102" t="s">
        <v>189</v>
      </c>
      <c r="I102" t="s">
        <v>257</v>
      </c>
      <c r="J102" t="s">
        <v>385</v>
      </c>
      <c r="K102" t="s">
        <v>142</v>
      </c>
      <c r="L102" t="s">
        <v>397</v>
      </c>
      <c r="M102" t="s">
        <v>2596</v>
      </c>
      <c r="N102" t="s">
        <v>143</v>
      </c>
      <c r="O102">
        <v>10035790</v>
      </c>
      <c r="P102" s="108">
        <v>42997</v>
      </c>
      <c r="Q102" s="108">
        <v>42999</v>
      </c>
      <c r="R102" s="108">
        <v>43026</v>
      </c>
      <c r="S102" t="s">
        <v>153</v>
      </c>
      <c r="T102" t="s">
        <v>154</v>
      </c>
      <c r="U102">
        <v>2</v>
      </c>
      <c r="V102">
        <v>2</v>
      </c>
      <c r="W102">
        <v>1</v>
      </c>
      <c r="X102">
        <v>2</v>
      </c>
      <c r="Y102">
        <v>2</v>
      </c>
      <c r="Z102">
        <v>2</v>
      </c>
      <c r="AA102" t="s">
        <v>2596</v>
      </c>
      <c r="AB102" t="s">
        <v>123</v>
      </c>
      <c r="AC102" t="s">
        <v>2596</v>
      </c>
      <c r="AD102" t="s">
        <v>2598</v>
      </c>
      <c r="AE102" t="s">
        <v>57</v>
      </c>
      <c r="AF102" t="s">
        <v>57</v>
      </c>
      <c r="AG102" t="s">
        <v>57</v>
      </c>
      <c r="AH102" t="s">
        <v>57</v>
      </c>
      <c r="AI102" t="s">
        <v>57</v>
      </c>
      <c r="AJ102" t="s">
        <v>57</v>
      </c>
      <c r="AK102" t="s">
        <v>57</v>
      </c>
      <c r="AL102" t="s">
        <v>57</v>
      </c>
      <c r="AM102" t="s">
        <v>57</v>
      </c>
      <c r="AN102" t="s">
        <v>57</v>
      </c>
      <c r="AO102" t="s">
        <v>57</v>
      </c>
      <c r="AP102" t="s">
        <v>57</v>
      </c>
      <c r="AQ102" t="s">
        <v>57</v>
      </c>
      <c r="AR102" t="s">
        <v>57</v>
      </c>
      <c r="AS102" t="s">
        <v>57</v>
      </c>
      <c r="AT102" t="s">
        <v>57</v>
      </c>
      <c r="AU102" t="s">
        <v>175</v>
      </c>
      <c r="AV102" t="s">
        <v>57</v>
      </c>
      <c r="AW102" t="s">
        <v>57</v>
      </c>
      <c r="AX102" t="s">
        <v>57</v>
      </c>
      <c r="AY102" t="s">
        <v>57</v>
      </c>
      <c r="AZ102" t="s">
        <v>57</v>
      </c>
      <c r="BA102" t="s">
        <v>57</v>
      </c>
      <c r="BB102" t="s">
        <v>57</v>
      </c>
      <c r="BC102" t="s">
        <v>57</v>
      </c>
      <c r="BD102" t="s">
        <v>175</v>
      </c>
      <c r="BE102" t="s">
        <v>57</v>
      </c>
      <c r="BF102" t="s">
        <v>57</v>
      </c>
      <c r="BG102" t="s">
        <v>57</v>
      </c>
      <c r="BH102" t="s">
        <v>57</v>
      </c>
      <c r="BI102" t="s">
        <v>57</v>
      </c>
      <c r="BJ102" t="s">
        <v>57</v>
      </c>
      <c r="BK102" t="s">
        <v>57</v>
      </c>
      <c r="BL102" t="s">
        <v>57</v>
      </c>
      <c r="BM102" t="s">
        <v>57</v>
      </c>
      <c r="BN102" t="s">
        <v>57</v>
      </c>
      <c r="BO102" t="s">
        <v>57</v>
      </c>
      <c r="BP102" t="s">
        <v>57</v>
      </c>
      <c r="BQ102" t="s">
        <v>57</v>
      </c>
      <c r="BR102" t="s">
        <v>57</v>
      </c>
      <c r="BS102" t="s">
        <v>57</v>
      </c>
      <c r="BT102" t="s">
        <v>57</v>
      </c>
      <c r="BU102" t="s">
        <v>57</v>
      </c>
      <c r="BV102" t="s">
        <v>57</v>
      </c>
      <c r="BW102" t="s">
        <v>57</v>
      </c>
      <c r="BX102" t="s">
        <v>57</v>
      </c>
      <c r="BY102" t="s">
        <v>57</v>
      </c>
      <c r="BZ102" t="s">
        <v>57</v>
      </c>
      <c r="CA102" t="s">
        <v>57</v>
      </c>
      <c r="CB102" t="s">
        <v>57</v>
      </c>
      <c r="CC102" t="s">
        <v>57</v>
      </c>
      <c r="CD102" t="s">
        <v>57</v>
      </c>
      <c r="CE102" t="s">
        <v>57</v>
      </c>
      <c r="CF102" t="s">
        <v>57</v>
      </c>
      <c r="CG102" t="s">
        <v>57</v>
      </c>
      <c r="CH102" t="s">
        <v>57</v>
      </c>
      <c r="CI102" t="s">
        <v>57</v>
      </c>
      <c r="CJ102" t="s">
        <v>57</v>
      </c>
      <c r="CK102" t="s">
        <v>175</v>
      </c>
      <c r="CL102" t="s">
        <v>175</v>
      </c>
      <c r="CM102" t="s">
        <v>175</v>
      </c>
      <c r="CN102" t="s">
        <v>57</v>
      </c>
      <c r="CO102" t="s">
        <v>57</v>
      </c>
      <c r="CP102" t="s">
        <v>57</v>
      </c>
      <c r="CQ102" t="s">
        <v>57</v>
      </c>
      <c r="CR102" t="s">
        <v>57</v>
      </c>
      <c r="CS102" t="s">
        <v>57</v>
      </c>
      <c r="CT102" t="s">
        <v>57</v>
      </c>
      <c r="CU102" t="s">
        <v>57</v>
      </c>
      <c r="CV102" t="s">
        <v>57</v>
      </c>
      <c r="CW102" t="s">
        <v>57</v>
      </c>
      <c r="CX102" t="s">
        <v>57</v>
      </c>
      <c r="CY102" t="s">
        <v>57</v>
      </c>
      <c r="CZ102" t="s">
        <v>57</v>
      </c>
      <c r="DA102" t="s">
        <v>57</v>
      </c>
      <c r="DB102" t="s">
        <v>57</v>
      </c>
      <c r="DC102" t="s">
        <v>57</v>
      </c>
      <c r="DD102" t="s">
        <v>57</v>
      </c>
      <c r="DE102" t="s">
        <v>57</v>
      </c>
      <c r="DF102" t="s">
        <v>57</v>
      </c>
      <c r="DG102" t="s">
        <v>57</v>
      </c>
      <c r="DH102" t="s">
        <v>57</v>
      </c>
      <c r="DI102" t="s">
        <v>57</v>
      </c>
      <c r="DJ102" t="s">
        <v>57</v>
      </c>
      <c r="DK102" t="s">
        <v>57</v>
      </c>
      <c r="DL102" t="s">
        <v>57</v>
      </c>
      <c r="DM102" t="s">
        <v>175</v>
      </c>
      <c r="DN102" t="s">
        <v>175</v>
      </c>
      <c r="DO102" t="s">
        <v>175</v>
      </c>
      <c r="DP102" t="s">
        <v>175</v>
      </c>
      <c r="DQ102" t="s">
        <v>175</v>
      </c>
      <c r="DR102" t="s">
        <v>175</v>
      </c>
      <c r="DS102" t="s">
        <v>175</v>
      </c>
      <c r="DT102" t="s">
        <v>175</v>
      </c>
      <c r="DU102" t="s">
        <v>175</v>
      </c>
      <c r="DV102" t="s">
        <v>175</v>
      </c>
      <c r="DW102" t="s">
        <v>175</v>
      </c>
      <c r="DX102" t="s">
        <v>175</v>
      </c>
      <c r="DY102" t="s">
        <v>175</v>
      </c>
      <c r="DZ102" t="s">
        <v>175</v>
      </c>
      <c r="EA102" t="s">
        <v>57</v>
      </c>
      <c r="EB102" t="s">
        <v>57</v>
      </c>
      <c r="EC102" t="s">
        <v>57</v>
      </c>
      <c r="ED102" t="s">
        <v>57</v>
      </c>
      <c r="EE102" t="s">
        <v>57</v>
      </c>
      <c r="EF102" t="s">
        <v>57</v>
      </c>
      <c r="EG102" t="s">
        <v>57</v>
      </c>
      <c r="EH102" t="s">
        <v>57</v>
      </c>
      <c r="EI102" t="s">
        <v>57</v>
      </c>
      <c r="EJ102" t="s">
        <v>57</v>
      </c>
      <c r="EK102" t="s">
        <v>57</v>
      </c>
      <c r="EL102" t="s">
        <v>57</v>
      </c>
      <c r="EM102" t="s">
        <v>57</v>
      </c>
      <c r="EN102" t="s">
        <v>57</v>
      </c>
      <c r="EO102" t="s">
        <v>57</v>
      </c>
      <c r="EP102" t="s">
        <v>57</v>
      </c>
      <c r="EQ102" t="s">
        <v>57</v>
      </c>
      <c r="ER102" t="s">
        <v>57</v>
      </c>
      <c r="ES102" t="s">
        <v>57</v>
      </c>
      <c r="ET102" t="s">
        <v>57</v>
      </c>
      <c r="EU102" t="s">
        <v>57</v>
      </c>
      <c r="EV102" t="s">
        <v>57</v>
      </c>
      <c r="EW102" t="s">
        <v>57</v>
      </c>
      <c r="EX102" t="s">
        <v>57</v>
      </c>
      <c r="EY102" t="s">
        <v>57</v>
      </c>
      <c r="EZ102" t="s">
        <v>57</v>
      </c>
      <c r="FA102" t="s">
        <v>57</v>
      </c>
      <c r="FB102" t="s">
        <v>57</v>
      </c>
      <c r="FC102" t="s">
        <v>57</v>
      </c>
      <c r="FD102" t="s">
        <v>57</v>
      </c>
      <c r="FE102" t="s">
        <v>57</v>
      </c>
      <c r="FF102" t="s">
        <v>57</v>
      </c>
      <c r="FG102" t="s">
        <v>57</v>
      </c>
      <c r="FH102" t="s">
        <v>57</v>
      </c>
      <c r="FI102" t="s">
        <v>57</v>
      </c>
      <c r="FJ102" t="s">
        <v>57</v>
      </c>
      <c r="FK102" t="s">
        <v>57</v>
      </c>
      <c r="FL102" t="s">
        <v>57</v>
      </c>
      <c r="FM102" t="s">
        <v>57</v>
      </c>
      <c r="FN102" t="s">
        <v>57</v>
      </c>
      <c r="FO102" t="s">
        <v>175</v>
      </c>
      <c r="FP102" t="s">
        <v>57</v>
      </c>
      <c r="FQ102" t="s">
        <v>57</v>
      </c>
      <c r="FR102" t="s">
        <v>57</v>
      </c>
      <c r="FS102" t="s">
        <v>57</v>
      </c>
      <c r="FT102" t="s">
        <v>57</v>
      </c>
      <c r="FU102" t="s">
        <v>57</v>
      </c>
      <c r="FV102" t="s">
        <v>57</v>
      </c>
      <c r="FW102" t="s">
        <v>57</v>
      </c>
      <c r="FX102" t="s">
        <v>57</v>
      </c>
      <c r="FY102" t="s">
        <v>57</v>
      </c>
      <c r="FZ102" t="s">
        <v>57</v>
      </c>
      <c r="GA102" t="s">
        <v>57</v>
      </c>
      <c r="GB102" t="s">
        <v>57</v>
      </c>
      <c r="GC102" t="s">
        <v>57</v>
      </c>
      <c r="GD102" t="s">
        <v>57</v>
      </c>
      <c r="GE102" t="s">
        <v>57</v>
      </c>
      <c r="GF102" t="s">
        <v>57</v>
      </c>
      <c r="GG102" t="s">
        <v>175</v>
      </c>
      <c r="GH102" t="s">
        <v>57</v>
      </c>
      <c r="GI102" t="s">
        <v>57</v>
      </c>
      <c r="GJ102" t="s">
        <v>57</v>
      </c>
      <c r="GK102" t="s">
        <v>57</v>
      </c>
      <c r="GL102" t="s">
        <v>57</v>
      </c>
      <c r="GM102" t="s">
        <v>175</v>
      </c>
      <c r="GN102" t="s">
        <v>57</v>
      </c>
      <c r="GO102" t="s">
        <v>57</v>
      </c>
      <c r="GP102" t="s">
        <v>175</v>
      </c>
      <c r="GQ102" t="s">
        <v>57</v>
      </c>
      <c r="GR102" t="s">
        <v>57</v>
      </c>
      <c r="GS102" t="s">
        <v>57</v>
      </c>
      <c r="GT102" t="s">
        <v>57</v>
      </c>
      <c r="GU102" t="s">
        <v>57</v>
      </c>
      <c r="GV102" t="s">
        <v>175</v>
      </c>
      <c r="GW102" t="s">
        <v>57</v>
      </c>
      <c r="GX102" t="s">
        <v>57</v>
      </c>
      <c r="GY102" t="s">
        <v>57</v>
      </c>
      <c r="GZ102" t="s">
        <v>57</v>
      </c>
      <c r="HA102" t="s">
        <v>57</v>
      </c>
      <c r="HB102" t="s">
        <v>57</v>
      </c>
      <c r="HC102" t="s">
        <v>57</v>
      </c>
      <c r="HD102" t="s">
        <v>57</v>
      </c>
      <c r="HE102" t="s">
        <v>57</v>
      </c>
      <c r="HF102" t="s">
        <v>57</v>
      </c>
      <c r="HG102" t="s">
        <v>57</v>
      </c>
      <c r="HH102" t="s">
        <v>57</v>
      </c>
      <c r="HI102" t="s">
        <v>57</v>
      </c>
      <c r="HJ102" t="s">
        <v>57</v>
      </c>
      <c r="HK102" t="s">
        <v>57</v>
      </c>
      <c r="HL102" t="s">
        <v>57</v>
      </c>
      <c r="HM102" t="s">
        <v>57</v>
      </c>
      <c r="HN102" t="s">
        <v>57</v>
      </c>
      <c r="HO102" t="s">
        <v>57</v>
      </c>
      <c r="HP102" t="s">
        <v>57</v>
      </c>
      <c r="HQ102" t="s">
        <v>57</v>
      </c>
      <c r="HR102" t="s">
        <v>57</v>
      </c>
      <c r="HS102" t="s">
        <v>57</v>
      </c>
      <c r="HT102" t="s">
        <v>57</v>
      </c>
      <c r="HU102" t="s">
        <v>57</v>
      </c>
      <c r="HV102" t="s">
        <v>57</v>
      </c>
      <c r="HW102" t="s">
        <v>57</v>
      </c>
      <c r="HX102" t="s">
        <v>57</v>
      </c>
      <c r="HY102" t="s">
        <v>57</v>
      </c>
      <c r="HZ102" t="s">
        <v>57</v>
      </c>
      <c r="IA102" t="s">
        <v>57</v>
      </c>
      <c r="IB102" t="s">
        <v>57</v>
      </c>
      <c r="IC102" t="s">
        <v>57</v>
      </c>
      <c r="ID102" t="s">
        <v>57</v>
      </c>
      <c r="IE102" t="s">
        <v>57</v>
      </c>
      <c r="IF102" t="s">
        <v>124</v>
      </c>
      <c r="IG102" t="s">
        <v>148</v>
      </c>
      <c r="IH102" t="s">
        <v>123</v>
      </c>
      <c r="II102" t="s">
        <v>156</v>
      </c>
    </row>
    <row r="103" spans="1:243" x14ac:dyDescent="0.25">
      <c r="A103" s="111" t="str">
        <f>HYPERLINK("http://www.ofsted.gov.uk/inspection-reports/find-inspection-report/provider/ELS/131198 ","Ofsted School Webpage")</f>
        <v>Ofsted School Webpage</v>
      </c>
      <c r="B103">
        <v>131198</v>
      </c>
      <c r="C103">
        <v>2116386</v>
      </c>
      <c r="D103" t="s">
        <v>1937</v>
      </c>
      <c r="E103" t="s">
        <v>36</v>
      </c>
      <c r="F103" t="s">
        <v>166</v>
      </c>
      <c r="G103" t="s">
        <v>189</v>
      </c>
      <c r="H103" t="s">
        <v>189</v>
      </c>
      <c r="I103" t="s">
        <v>494</v>
      </c>
      <c r="J103" t="s">
        <v>1938</v>
      </c>
      <c r="K103" t="s">
        <v>142</v>
      </c>
      <c r="L103" t="s">
        <v>142</v>
      </c>
      <c r="M103" t="s">
        <v>2596</v>
      </c>
      <c r="N103" t="s">
        <v>143</v>
      </c>
      <c r="O103">
        <v>10012780</v>
      </c>
      <c r="P103" s="108">
        <v>43137</v>
      </c>
      <c r="Q103" s="108">
        <v>43139</v>
      </c>
      <c r="R103" s="108">
        <v>43166</v>
      </c>
      <c r="S103" t="s">
        <v>153</v>
      </c>
      <c r="T103" t="s">
        <v>154</v>
      </c>
      <c r="U103">
        <v>2</v>
      </c>
      <c r="V103">
        <v>2</v>
      </c>
      <c r="W103">
        <v>2</v>
      </c>
      <c r="X103">
        <v>2</v>
      </c>
      <c r="Y103">
        <v>2</v>
      </c>
      <c r="Z103">
        <v>2</v>
      </c>
      <c r="AA103" t="s">
        <v>2596</v>
      </c>
      <c r="AB103" t="s">
        <v>123</v>
      </c>
      <c r="AC103" t="s">
        <v>2596</v>
      </c>
      <c r="AD103" t="s">
        <v>2598</v>
      </c>
      <c r="AE103" t="s">
        <v>57</v>
      </c>
      <c r="AF103" t="s">
        <v>57</v>
      </c>
      <c r="AG103" t="s">
        <v>57</v>
      </c>
      <c r="AH103" t="s">
        <v>57</v>
      </c>
      <c r="AI103" t="s">
        <v>57</v>
      </c>
      <c r="AJ103" t="s">
        <v>57</v>
      </c>
      <c r="AK103" t="s">
        <v>57</v>
      </c>
      <c r="AL103" t="s">
        <v>57</v>
      </c>
      <c r="AM103" t="s">
        <v>57</v>
      </c>
      <c r="AN103" t="s">
        <v>57</v>
      </c>
      <c r="AO103" t="s">
        <v>57</v>
      </c>
      <c r="AP103" t="s">
        <v>57</v>
      </c>
      <c r="AQ103" t="s">
        <v>57</v>
      </c>
      <c r="AR103" t="s">
        <v>57</v>
      </c>
      <c r="AS103" t="s">
        <v>57</v>
      </c>
      <c r="AT103" t="s">
        <v>57</v>
      </c>
      <c r="AU103" t="s">
        <v>175</v>
      </c>
      <c r="AV103" t="s">
        <v>57</v>
      </c>
      <c r="AW103" t="s">
        <v>57</v>
      </c>
      <c r="AX103" t="s">
        <v>57</v>
      </c>
      <c r="AY103" t="s">
        <v>175</v>
      </c>
      <c r="AZ103" t="s">
        <v>175</v>
      </c>
      <c r="BA103" t="s">
        <v>175</v>
      </c>
      <c r="BB103" t="s">
        <v>175</v>
      </c>
      <c r="BC103" t="s">
        <v>57</v>
      </c>
      <c r="BD103" t="s">
        <v>175</v>
      </c>
      <c r="BE103" t="s">
        <v>57</v>
      </c>
      <c r="BF103" t="s">
        <v>57</v>
      </c>
      <c r="BG103" t="s">
        <v>57</v>
      </c>
      <c r="BH103" t="s">
        <v>57</v>
      </c>
      <c r="BI103" t="s">
        <v>57</v>
      </c>
      <c r="BJ103" t="s">
        <v>57</v>
      </c>
      <c r="BK103" t="s">
        <v>57</v>
      </c>
      <c r="BL103" t="s">
        <v>57</v>
      </c>
      <c r="BM103" t="s">
        <v>57</v>
      </c>
      <c r="BN103" t="s">
        <v>57</v>
      </c>
      <c r="BO103" t="s">
        <v>57</v>
      </c>
      <c r="BP103" t="s">
        <v>57</v>
      </c>
      <c r="BQ103" t="s">
        <v>57</v>
      </c>
      <c r="BR103" t="s">
        <v>57</v>
      </c>
      <c r="BS103" t="s">
        <v>57</v>
      </c>
      <c r="BT103" t="s">
        <v>57</v>
      </c>
      <c r="BU103" t="s">
        <v>57</v>
      </c>
      <c r="BV103" t="s">
        <v>57</v>
      </c>
      <c r="BW103" t="s">
        <v>57</v>
      </c>
      <c r="BX103" t="s">
        <v>57</v>
      </c>
      <c r="BY103" t="s">
        <v>57</v>
      </c>
      <c r="BZ103" t="s">
        <v>57</v>
      </c>
      <c r="CA103" t="s">
        <v>57</v>
      </c>
      <c r="CB103" t="s">
        <v>57</v>
      </c>
      <c r="CC103" t="s">
        <v>57</v>
      </c>
      <c r="CD103" t="s">
        <v>57</v>
      </c>
      <c r="CE103" t="s">
        <v>57</v>
      </c>
      <c r="CF103" t="s">
        <v>57</v>
      </c>
      <c r="CG103" t="s">
        <v>57</v>
      </c>
      <c r="CH103" t="s">
        <v>57</v>
      </c>
      <c r="CI103" t="s">
        <v>57</v>
      </c>
      <c r="CJ103" t="s">
        <v>57</v>
      </c>
      <c r="CK103" t="s">
        <v>175</v>
      </c>
      <c r="CL103" t="s">
        <v>175</v>
      </c>
      <c r="CM103" t="s">
        <v>175</v>
      </c>
      <c r="CN103" t="s">
        <v>57</v>
      </c>
      <c r="CO103" t="s">
        <v>57</v>
      </c>
      <c r="CP103" t="s">
        <v>57</v>
      </c>
      <c r="CQ103" t="s">
        <v>57</v>
      </c>
      <c r="CR103" t="s">
        <v>57</v>
      </c>
      <c r="CS103" t="s">
        <v>57</v>
      </c>
      <c r="CT103" t="s">
        <v>57</v>
      </c>
      <c r="CU103" t="s">
        <v>57</v>
      </c>
      <c r="CV103" t="s">
        <v>57</v>
      </c>
      <c r="CW103" t="s">
        <v>57</v>
      </c>
      <c r="CX103" t="s">
        <v>57</v>
      </c>
      <c r="CY103" t="s">
        <v>57</v>
      </c>
      <c r="CZ103" t="s">
        <v>57</v>
      </c>
      <c r="DA103" t="s">
        <v>57</v>
      </c>
      <c r="DB103" t="s">
        <v>57</v>
      </c>
      <c r="DC103" t="s">
        <v>57</v>
      </c>
      <c r="DD103" t="s">
        <v>57</v>
      </c>
      <c r="DE103" t="s">
        <v>57</v>
      </c>
      <c r="DF103" t="s">
        <v>57</v>
      </c>
      <c r="DG103" t="s">
        <v>57</v>
      </c>
      <c r="DH103" t="s">
        <v>57</v>
      </c>
      <c r="DI103" t="s">
        <v>57</v>
      </c>
      <c r="DJ103" t="s">
        <v>57</v>
      </c>
      <c r="DK103" t="s">
        <v>175</v>
      </c>
      <c r="DL103" t="s">
        <v>57</v>
      </c>
      <c r="DM103" t="s">
        <v>175</v>
      </c>
      <c r="DN103" t="s">
        <v>175</v>
      </c>
      <c r="DO103" t="s">
        <v>175</v>
      </c>
      <c r="DP103" t="s">
        <v>175</v>
      </c>
      <c r="DQ103" t="s">
        <v>175</v>
      </c>
      <c r="DR103" t="s">
        <v>175</v>
      </c>
      <c r="DS103" t="s">
        <v>175</v>
      </c>
      <c r="DT103" t="s">
        <v>175</v>
      </c>
      <c r="DU103" t="s">
        <v>175</v>
      </c>
      <c r="DV103" t="s">
        <v>175</v>
      </c>
      <c r="DW103" t="s">
        <v>175</v>
      </c>
      <c r="DX103" t="s">
        <v>175</v>
      </c>
      <c r="DY103" t="s">
        <v>175</v>
      </c>
      <c r="DZ103" t="s">
        <v>57</v>
      </c>
      <c r="EA103" t="s">
        <v>57</v>
      </c>
      <c r="EB103" t="s">
        <v>57</v>
      </c>
      <c r="EC103" t="s">
        <v>57</v>
      </c>
      <c r="ED103" t="s">
        <v>57</v>
      </c>
      <c r="EE103" t="s">
        <v>57</v>
      </c>
      <c r="EF103" t="s">
        <v>57</v>
      </c>
      <c r="EG103" t="s">
        <v>57</v>
      </c>
      <c r="EH103" t="s">
        <v>57</v>
      </c>
      <c r="EI103" t="s">
        <v>57</v>
      </c>
      <c r="EJ103" t="s">
        <v>57</v>
      </c>
      <c r="EK103" t="s">
        <v>57</v>
      </c>
      <c r="EL103" t="s">
        <v>57</v>
      </c>
      <c r="EM103" t="s">
        <v>57</v>
      </c>
      <c r="EN103" t="s">
        <v>57</v>
      </c>
      <c r="EO103" t="s">
        <v>57</v>
      </c>
      <c r="EP103" t="s">
        <v>57</v>
      </c>
      <c r="EQ103" t="s">
        <v>57</v>
      </c>
      <c r="ER103" t="s">
        <v>57</v>
      </c>
      <c r="ES103" t="s">
        <v>57</v>
      </c>
      <c r="ET103" t="s">
        <v>57</v>
      </c>
      <c r="EU103" t="s">
        <v>57</v>
      </c>
      <c r="EV103" t="s">
        <v>57</v>
      </c>
      <c r="EW103" t="s">
        <v>57</v>
      </c>
      <c r="EX103" t="s">
        <v>175</v>
      </c>
      <c r="EY103" t="s">
        <v>175</v>
      </c>
      <c r="EZ103" t="s">
        <v>175</v>
      </c>
      <c r="FA103" t="s">
        <v>175</v>
      </c>
      <c r="FB103" t="s">
        <v>175</v>
      </c>
      <c r="FC103" t="s">
        <v>175</v>
      </c>
      <c r="FD103" t="s">
        <v>57</v>
      </c>
      <c r="FE103" t="s">
        <v>57</v>
      </c>
      <c r="FF103" t="s">
        <v>57</v>
      </c>
      <c r="FG103" t="s">
        <v>57</v>
      </c>
      <c r="FH103" t="s">
        <v>57</v>
      </c>
      <c r="FI103" t="s">
        <v>57</v>
      </c>
      <c r="FJ103" t="s">
        <v>57</v>
      </c>
      <c r="FK103" t="s">
        <v>175</v>
      </c>
      <c r="FL103" t="s">
        <v>57</v>
      </c>
      <c r="FM103" t="s">
        <v>57</v>
      </c>
      <c r="FN103" t="s">
        <v>57</v>
      </c>
      <c r="FO103" t="s">
        <v>175</v>
      </c>
      <c r="FP103" t="s">
        <v>57</v>
      </c>
      <c r="FQ103" t="s">
        <v>57</v>
      </c>
      <c r="FR103" t="s">
        <v>57</v>
      </c>
      <c r="FS103" t="s">
        <v>57</v>
      </c>
      <c r="FT103" t="s">
        <v>57</v>
      </c>
      <c r="FU103" t="s">
        <v>57</v>
      </c>
      <c r="FV103" t="s">
        <v>57</v>
      </c>
      <c r="FW103" t="s">
        <v>57</v>
      </c>
      <c r="FX103" t="s">
        <v>57</v>
      </c>
      <c r="FY103" t="s">
        <v>57</v>
      </c>
      <c r="FZ103" t="s">
        <v>57</v>
      </c>
      <c r="GA103" t="s">
        <v>57</v>
      </c>
      <c r="GB103" t="s">
        <v>57</v>
      </c>
      <c r="GC103" t="s">
        <v>57</v>
      </c>
      <c r="GD103" t="s">
        <v>57</v>
      </c>
      <c r="GE103" t="s">
        <v>57</v>
      </c>
      <c r="GF103" t="s">
        <v>57</v>
      </c>
      <c r="GG103" t="s">
        <v>175</v>
      </c>
      <c r="GH103" t="s">
        <v>57</v>
      </c>
      <c r="GI103" t="s">
        <v>57</v>
      </c>
      <c r="GJ103" t="s">
        <v>57</v>
      </c>
      <c r="GK103" t="s">
        <v>57</v>
      </c>
      <c r="GL103" t="s">
        <v>57</v>
      </c>
      <c r="GM103" t="s">
        <v>175</v>
      </c>
      <c r="GN103" t="s">
        <v>57</v>
      </c>
      <c r="GO103" t="s">
        <v>57</v>
      </c>
      <c r="GP103" t="s">
        <v>175</v>
      </c>
      <c r="GQ103" t="s">
        <v>175</v>
      </c>
      <c r="GR103" t="s">
        <v>57</v>
      </c>
      <c r="GS103" t="s">
        <v>57</v>
      </c>
      <c r="GT103" t="s">
        <v>57</v>
      </c>
      <c r="GU103" t="s">
        <v>57</v>
      </c>
      <c r="GV103" t="s">
        <v>57</v>
      </c>
      <c r="GW103" t="s">
        <v>175</v>
      </c>
      <c r="GX103" t="s">
        <v>57</v>
      </c>
      <c r="GY103" t="s">
        <v>57</v>
      </c>
      <c r="GZ103" t="s">
        <v>57</v>
      </c>
      <c r="HA103" t="s">
        <v>57</v>
      </c>
      <c r="HB103" t="s">
        <v>57</v>
      </c>
      <c r="HC103" t="s">
        <v>57</v>
      </c>
      <c r="HD103" t="s">
        <v>57</v>
      </c>
      <c r="HE103" t="s">
        <v>57</v>
      </c>
      <c r="HF103" t="s">
        <v>57</v>
      </c>
      <c r="HG103" t="s">
        <v>57</v>
      </c>
      <c r="HH103" t="s">
        <v>175</v>
      </c>
      <c r="HI103" t="s">
        <v>175</v>
      </c>
      <c r="HJ103" t="s">
        <v>175</v>
      </c>
      <c r="HK103" t="s">
        <v>175</v>
      </c>
      <c r="HL103" t="s">
        <v>57</v>
      </c>
      <c r="HM103" t="s">
        <v>57</v>
      </c>
      <c r="HN103" t="s">
        <v>57</v>
      </c>
      <c r="HO103" t="s">
        <v>57</v>
      </c>
      <c r="HP103" t="s">
        <v>57</v>
      </c>
      <c r="HQ103" t="s">
        <v>57</v>
      </c>
      <c r="HR103" t="s">
        <v>57</v>
      </c>
      <c r="HS103" t="s">
        <v>57</v>
      </c>
      <c r="HT103" t="s">
        <v>57</v>
      </c>
      <c r="HU103" t="s">
        <v>57</v>
      </c>
      <c r="HV103" t="s">
        <v>57</v>
      </c>
      <c r="HW103" t="s">
        <v>57</v>
      </c>
      <c r="HX103" t="s">
        <v>57</v>
      </c>
      <c r="HY103" t="s">
        <v>57</v>
      </c>
      <c r="HZ103" t="s">
        <v>57</v>
      </c>
      <c r="IA103" t="s">
        <v>57</v>
      </c>
      <c r="IB103" t="s">
        <v>57</v>
      </c>
      <c r="IC103" t="s">
        <v>57</v>
      </c>
      <c r="ID103" t="s">
        <v>57</v>
      </c>
      <c r="IE103" t="s">
        <v>57</v>
      </c>
      <c r="IF103" t="s">
        <v>124</v>
      </c>
      <c r="IG103" t="s">
        <v>148</v>
      </c>
      <c r="IH103" t="s">
        <v>123</v>
      </c>
      <c r="II103" t="s">
        <v>156</v>
      </c>
    </row>
    <row r="104" spans="1:243" x14ac:dyDescent="0.25">
      <c r="A104" s="111" t="str">
        <f>HYPERLINK("http://www.ofsted.gov.uk/inspection-reports/find-inspection-report/provider/ELS/131351 ","Ofsted School Webpage")</f>
        <v>Ofsted School Webpage</v>
      </c>
      <c r="B104">
        <v>131351</v>
      </c>
      <c r="C104">
        <v>3146070</v>
      </c>
      <c r="D104" t="s">
        <v>195</v>
      </c>
      <c r="E104" t="s">
        <v>36</v>
      </c>
      <c r="F104" t="s">
        <v>166</v>
      </c>
      <c r="G104" t="s">
        <v>189</v>
      </c>
      <c r="H104" t="s">
        <v>189</v>
      </c>
      <c r="I104" t="s">
        <v>196</v>
      </c>
      <c r="J104" t="s">
        <v>197</v>
      </c>
      <c r="K104" t="s">
        <v>142</v>
      </c>
      <c r="L104" t="s">
        <v>142</v>
      </c>
      <c r="M104" t="s">
        <v>2596</v>
      </c>
      <c r="N104" t="s">
        <v>143</v>
      </c>
      <c r="O104">
        <v>10012830</v>
      </c>
      <c r="P104" s="108">
        <v>43025</v>
      </c>
      <c r="Q104" s="108">
        <v>43027</v>
      </c>
      <c r="R104" s="108">
        <v>43054</v>
      </c>
      <c r="S104" t="s">
        <v>153</v>
      </c>
      <c r="T104" t="s">
        <v>154</v>
      </c>
      <c r="U104">
        <v>2</v>
      </c>
      <c r="V104">
        <v>2</v>
      </c>
      <c r="W104">
        <v>2</v>
      </c>
      <c r="X104">
        <v>2</v>
      </c>
      <c r="Y104">
        <v>2</v>
      </c>
      <c r="Z104">
        <v>2</v>
      </c>
      <c r="AA104" t="s">
        <v>2596</v>
      </c>
      <c r="AB104" t="s">
        <v>123</v>
      </c>
      <c r="AC104" t="s">
        <v>2596</v>
      </c>
      <c r="AD104" t="s">
        <v>2598</v>
      </c>
      <c r="AE104" t="s">
        <v>57</v>
      </c>
      <c r="AF104" t="s">
        <v>57</v>
      </c>
      <c r="AG104" t="s">
        <v>57</v>
      </c>
      <c r="AH104" t="s">
        <v>57</v>
      </c>
      <c r="AI104" t="s">
        <v>57</v>
      </c>
      <c r="AJ104" t="s">
        <v>57</v>
      </c>
      <c r="AK104" t="s">
        <v>57</v>
      </c>
      <c r="AL104" t="s">
        <v>57</v>
      </c>
      <c r="AM104" t="s">
        <v>57</v>
      </c>
      <c r="AN104" t="s">
        <v>57</v>
      </c>
      <c r="AO104" t="s">
        <v>57</v>
      </c>
      <c r="AP104" t="s">
        <v>57</v>
      </c>
      <c r="AQ104" t="s">
        <v>57</v>
      </c>
      <c r="AR104" t="s">
        <v>57</v>
      </c>
      <c r="AS104" t="s">
        <v>57</v>
      </c>
      <c r="AT104" t="s">
        <v>57</v>
      </c>
      <c r="AU104" t="s">
        <v>148</v>
      </c>
      <c r="AV104" t="s">
        <v>57</v>
      </c>
      <c r="AW104" t="s">
        <v>57</v>
      </c>
      <c r="AX104" t="s">
        <v>57</v>
      </c>
      <c r="AY104" t="s">
        <v>148</v>
      </c>
      <c r="AZ104" t="s">
        <v>148</v>
      </c>
      <c r="BA104" t="s">
        <v>148</v>
      </c>
      <c r="BB104" t="s">
        <v>148</v>
      </c>
      <c r="BC104" t="s">
        <v>57</v>
      </c>
      <c r="BD104" t="s">
        <v>148</v>
      </c>
      <c r="BE104" t="s">
        <v>57</v>
      </c>
      <c r="BF104" t="s">
        <v>57</v>
      </c>
      <c r="BG104" t="s">
        <v>57</v>
      </c>
      <c r="BH104" t="s">
        <v>57</v>
      </c>
      <c r="BI104" t="s">
        <v>57</v>
      </c>
      <c r="BJ104" t="s">
        <v>57</v>
      </c>
      <c r="BK104" t="s">
        <v>57</v>
      </c>
      <c r="BL104" t="s">
        <v>57</v>
      </c>
      <c r="BM104" t="s">
        <v>57</v>
      </c>
      <c r="BN104" t="s">
        <v>57</v>
      </c>
      <c r="BO104" t="s">
        <v>57</v>
      </c>
      <c r="BP104" t="s">
        <v>57</v>
      </c>
      <c r="BQ104" t="s">
        <v>57</v>
      </c>
      <c r="BR104" t="s">
        <v>57</v>
      </c>
      <c r="BS104" t="s">
        <v>57</v>
      </c>
      <c r="BT104" t="s">
        <v>57</v>
      </c>
      <c r="BU104" t="s">
        <v>57</v>
      </c>
      <c r="BV104" t="s">
        <v>57</v>
      </c>
      <c r="BW104" t="s">
        <v>57</v>
      </c>
      <c r="BX104" t="s">
        <v>57</v>
      </c>
      <c r="BY104" t="s">
        <v>57</v>
      </c>
      <c r="BZ104" t="s">
        <v>57</v>
      </c>
      <c r="CA104" t="s">
        <v>57</v>
      </c>
      <c r="CB104" t="s">
        <v>57</v>
      </c>
      <c r="CC104" t="s">
        <v>57</v>
      </c>
      <c r="CD104" t="s">
        <v>57</v>
      </c>
      <c r="CE104" t="s">
        <v>57</v>
      </c>
      <c r="CF104" t="s">
        <v>57</v>
      </c>
      <c r="CG104" t="s">
        <v>57</v>
      </c>
      <c r="CH104" t="s">
        <v>57</v>
      </c>
      <c r="CI104" t="s">
        <v>57</v>
      </c>
      <c r="CJ104" t="s">
        <v>57</v>
      </c>
      <c r="CK104" t="s">
        <v>148</v>
      </c>
      <c r="CL104" t="s">
        <v>148</v>
      </c>
      <c r="CM104" t="s">
        <v>148</v>
      </c>
      <c r="CN104" t="s">
        <v>57</v>
      </c>
      <c r="CO104" t="s">
        <v>57</v>
      </c>
      <c r="CP104" t="s">
        <v>57</v>
      </c>
      <c r="CQ104" t="s">
        <v>57</v>
      </c>
      <c r="CR104" t="s">
        <v>57</v>
      </c>
      <c r="CS104" t="s">
        <v>57</v>
      </c>
      <c r="CT104" t="s">
        <v>57</v>
      </c>
      <c r="CU104" t="s">
        <v>57</v>
      </c>
      <c r="CV104" t="s">
        <v>57</v>
      </c>
      <c r="CW104" t="s">
        <v>57</v>
      </c>
      <c r="CX104" t="s">
        <v>57</v>
      </c>
      <c r="CY104" t="s">
        <v>57</v>
      </c>
      <c r="CZ104" t="s">
        <v>57</v>
      </c>
      <c r="DA104" t="s">
        <v>57</v>
      </c>
      <c r="DB104" t="s">
        <v>57</v>
      </c>
      <c r="DC104" t="s">
        <v>57</v>
      </c>
      <c r="DD104" t="s">
        <v>57</v>
      </c>
      <c r="DE104" t="s">
        <v>57</v>
      </c>
      <c r="DF104" t="s">
        <v>57</v>
      </c>
      <c r="DG104" t="s">
        <v>57</v>
      </c>
      <c r="DH104" t="s">
        <v>57</v>
      </c>
      <c r="DI104" t="s">
        <v>57</v>
      </c>
      <c r="DJ104" t="s">
        <v>57</v>
      </c>
      <c r="DK104" t="s">
        <v>148</v>
      </c>
      <c r="DL104" t="s">
        <v>57</v>
      </c>
      <c r="DM104" t="s">
        <v>148</v>
      </c>
      <c r="DN104" t="s">
        <v>148</v>
      </c>
      <c r="DO104" t="s">
        <v>148</v>
      </c>
      <c r="DP104" t="s">
        <v>148</v>
      </c>
      <c r="DQ104" t="s">
        <v>148</v>
      </c>
      <c r="DR104" t="s">
        <v>148</v>
      </c>
      <c r="DS104" t="s">
        <v>148</v>
      </c>
      <c r="DT104" t="s">
        <v>148</v>
      </c>
      <c r="DU104" t="s">
        <v>148</v>
      </c>
      <c r="DV104" t="s">
        <v>148</v>
      </c>
      <c r="DW104" t="s">
        <v>148</v>
      </c>
      <c r="DX104" t="s">
        <v>148</v>
      </c>
      <c r="DY104" t="s">
        <v>148</v>
      </c>
      <c r="DZ104" t="s">
        <v>148</v>
      </c>
      <c r="EA104" t="s">
        <v>57</v>
      </c>
      <c r="EB104" t="s">
        <v>57</v>
      </c>
      <c r="EC104" t="s">
        <v>57</v>
      </c>
      <c r="ED104" t="s">
        <v>57</v>
      </c>
      <c r="EE104" t="s">
        <v>57</v>
      </c>
      <c r="EF104" t="s">
        <v>57</v>
      </c>
      <c r="EG104" t="s">
        <v>57</v>
      </c>
      <c r="EH104" t="s">
        <v>57</v>
      </c>
      <c r="EI104" t="s">
        <v>57</v>
      </c>
      <c r="EJ104" t="s">
        <v>57</v>
      </c>
      <c r="EK104" t="s">
        <v>57</v>
      </c>
      <c r="EL104" t="s">
        <v>57</v>
      </c>
      <c r="EM104" t="s">
        <v>57</v>
      </c>
      <c r="EN104" t="s">
        <v>57</v>
      </c>
      <c r="EO104" t="s">
        <v>57</v>
      </c>
      <c r="EP104" t="s">
        <v>57</v>
      </c>
      <c r="EQ104" t="s">
        <v>57</v>
      </c>
      <c r="ER104" t="s">
        <v>57</v>
      </c>
      <c r="ES104" t="s">
        <v>57</v>
      </c>
      <c r="ET104" t="s">
        <v>57</v>
      </c>
      <c r="EU104" t="s">
        <v>57</v>
      </c>
      <c r="EV104" t="s">
        <v>57</v>
      </c>
      <c r="EW104" t="s">
        <v>57</v>
      </c>
      <c r="EX104" t="s">
        <v>148</v>
      </c>
      <c r="EY104" t="s">
        <v>148</v>
      </c>
      <c r="EZ104" t="s">
        <v>148</v>
      </c>
      <c r="FA104" t="s">
        <v>148</v>
      </c>
      <c r="FB104" t="s">
        <v>148</v>
      </c>
      <c r="FC104" t="s">
        <v>148</v>
      </c>
      <c r="FD104" t="s">
        <v>57</v>
      </c>
      <c r="FE104" t="s">
        <v>57</v>
      </c>
      <c r="FF104" t="s">
        <v>57</v>
      </c>
      <c r="FG104" t="s">
        <v>57</v>
      </c>
      <c r="FH104" t="s">
        <v>57</v>
      </c>
      <c r="FI104" t="s">
        <v>57</v>
      </c>
      <c r="FJ104" t="s">
        <v>57</v>
      </c>
      <c r="FK104" t="s">
        <v>57</v>
      </c>
      <c r="FL104" t="s">
        <v>57</v>
      </c>
      <c r="FM104" t="s">
        <v>57</v>
      </c>
      <c r="FN104" t="s">
        <v>57</v>
      </c>
      <c r="FO104" t="s">
        <v>148</v>
      </c>
      <c r="FP104" t="s">
        <v>57</v>
      </c>
      <c r="FQ104" t="s">
        <v>57</v>
      </c>
      <c r="FR104" t="s">
        <v>57</v>
      </c>
      <c r="FS104" t="s">
        <v>57</v>
      </c>
      <c r="FT104" t="s">
        <v>57</v>
      </c>
      <c r="FU104" t="s">
        <v>57</v>
      </c>
      <c r="FV104" t="s">
        <v>57</v>
      </c>
      <c r="FW104" t="s">
        <v>57</v>
      </c>
      <c r="FX104" t="s">
        <v>57</v>
      </c>
      <c r="FY104" t="s">
        <v>57</v>
      </c>
      <c r="FZ104" t="s">
        <v>57</v>
      </c>
      <c r="GA104" t="s">
        <v>57</v>
      </c>
      <c r="GB104" t="s">
        <v>57</v>
      </c>
      <c r="GC104" t="s">
        <v>57</v>
      </c>
      <c r="GD104" t="s">
        <v>57</v>
      </c>
      <c r="GE104" t="s">
        <v>57</v>
      </c>
      <c r="GF104" t="s">
        <v>57</v>
      </c>
      <c r="GG104" t="s">
        <v>148</v>
      </c>
      <c r="GH104" t="s">
        <v>57</v>
      </c>
      <c r="GI104" t="s">
        <v>57</v>
      </c>
      <c r="GJ104" t="s">
        <v>57</v>
      </c>
      <c r="GK104" t="s">
        <v>57</v>
      </c>
      <c r="GL104" t="s">
        <v>57</v>
      </c>
      <c r="GM104" t="s">
        <v>57</v>
      </c>
      <c r="GN104" t="s">
        <v>57</v>
      </c>
      <c r="GO104" t="s">
        <v>57</v>
      </c>
      <c r="GP104" t="s">
        <v>148</v>
      </c>
      <c r="GQ104" t="s">
        <v>148</v>
      </c>
      <c r="GR104" t="s">
        <v>57</v>
      </c>
      <c r="GS104" t="s">
        <v>57</v>
      </c>
      <c r="GT104" t="s">
        <v>57</v>
      </c>
      <c r="GU104" t="s">
        <v>57</v>
      </c>
      <c r="GV104" t="s">
        <v>57</v>
      </c>
      <c r="GW104" t="s">
        <v>57</v>
      </c>
      <c r="GX104" t="s">
        <v>57</v>
      </c>
      <c r="GY104" t="s">
        <v>57</v>
      </c>
      <c r="GZ104" t="s">
        <v>57</v>
      </c>
      <c r="HA104" t="s">
        <v>57</v>
      </c>
      <c r="HB104" t="s">
        <v>57</v>
      </c>
      <c r="HC104" t="s">
        <v>57</v>
      </c>
      <c r="HD104" t="s">
        <v>57</v>
      </c>
      <c r="HE104" t="s">
        <v>57</v>
      </c>
      <c r="HF104" t="s">
        <v>57</v>
      </c>
      <c r="HG104" t="s">
        <v>57</v>
      </c>
      <c r="HH104" t="s">
        <v>57</v>
      </c>
      <c r="HI104" t="s">
        <v>57</v>
      </c>
      <c r="HJ104" t="s">
        <v>57</v>
      </c>
      <c r="HK104" t="s">
        <v>57</v>
      </c>
      <c r="HL104" t="s">
        <v>57</v>
      </c>
      <c r="HM104" t="s">
        <v>57</v>
      </c>
      <c r="HN104" t="s">
        <v>57</v>
      </c>
      <c r="HO104" t="s">
        <v>57</v>
      </c>
      <c r="HP104" t="s">
        <v>57</v>
      </c>
      <c r="HQ104" t="s">
        <v>57</v>
      </c>
      <c r="HR104" t="s">
        <v>57</v>
      </c>
      <c r="HS104" t="s">
        <v>57</v>
      </c>
      <c r="HT104" t="s">
        <v>57</v>
      </c>
      <c r="HU104" t="s">
        <v>57</v>
      </c>
      <c r="HV104" t="s">
        <v>57</v>
      </c>
      <c r="HW104" t="s">
        <v>57</v>
      </c>
      <c r="HX104" t="s">
        <v>57</v>
      </c>
      <c r="HY104" t="s">
        <v>57</v>
      </c>
      <c r="HZ104" t="s">
        <v>57</v>
      </c>
      <c r="IA104" t="s">
        <v>57</v>
      </c>
      <c r="IB104" t="s">
        <v>57</v>
      </c>
      <c r="IC104" t="s">
        <v>57</v>
      </c>
      <c r="ID104" t="s">
        <v>57</v>
      </c>
      <c r="IE104" t="s">
        <v>57</v>
      </c>
      <c r="IF104" t="s">
        <v>124</v>
      </c>
      <c r="IG104" t="s">
        <v>155</v>
      </c>
      <c r="IH104" t="s">
        <v>123</v>
      </c>
      <c r="II104" t="s">
        <v>156</v>
      </c>
    </row>
    <row r="105" spans="1:243" x14ac:dyDescent="0.25">
      <c r="A105" s="111" t="str">
        <f>HYPERLINK("http://www.ofsted.gov.uk/inspection-reports/find-inspection-report/provider/ELS/131356 ","Ofsted School Webpage")</f>
        <v>Ofsted School Webpage</v>
      </c>
      <c r="B105">
        <v>131356</v>
      </c>
      <c r="C105">
        <v>8466043</v>
      </c>
      <c r="D105" t="s">
        <v>386</v>
      </c>
      <c r="E105" t="s">
        <v>37</v>
      </c>
      <c r="F105" t="s">
        <v>138</v>
      </c>
      <c r="G105" t="s">
        <v>139</v>
      </c>
      <c r="H105" t="s">
        <v>139</v>
      </c>
      <c r="I105" t="s">
        <v>365</v>
      </c>
      <c r="J105" t="s">
        <v>387</v>
      </c>
      <c r="K105" t="s">
        <v>142</v>
      </c>
      <c r="L105" t="s">
        <v>142</v>
      </c>
      <c r="M105" t="s">
        <v>2596</v>
      </c>
      <c r="N105" t="s">
        <v>143</v>
      </c>
      <c r="O105">
        <v>10044925</v>
      </c>
      <c r="P105" s="108">
        <v>43081</v>
      </c>
      <c r="Q105" s="108">
        <v>43083</v>
      </c>
      <c r="R105" s="108">
        <v>43116</v>
      </c>
      <c r="S105" t="s">
        <v>153</v>
      </c>
      <c r="T105" t="s">
        <v>154</v>
      </c>
      <c r="U105">
        <v>2</v>
      </c>
      <c r="V105">
        <v>2</v>
      </c>
      <c r="W105">
        <v>2</v>
      </c>
      <c r="X105">
        <v>2</v>
      </c>
      <c r="Y105">
        <v>2</v>
      </c>
      <c r="Z105" t="s">
        <v>2596</v>
      </c>
      <c r="AA105" t="s">
        <v>2596</v>
      </c>
      <c r="AB105" t="s">
        <v>123</v>
      </c>
      <c r="AC105" t="s">
        <v>2596</v>
      </c>
      <c r="AD105" t="s">
        <v>2598</v>
      </c>
      <c r="AE105" t="s">
        <v>57</v>
      </c>
      <c r="AF105" t="s">
        <v>57</v>
      </c>
      <c r="AG105" t="s">
        <v>57</v>
      </c>
      <c r="AH105" t="s">
        <v>57</v>
      </c>
      <c r="AI105" t="s">
        <v>57</v>
      </c>
      <c r="AJ105" t="s">
        <v>57</v>
      </c>
      <c r="AK105" t="s">
        <v>57</v>
      </c>
      <c r="AL105" t="s">
        <v>57</v>
      </c>
      <c r="AM105" t="s">
        <v>57</v>
      </c>
      <c r="AN105" t="s">
        <v>57</v>
      </c>
      <c r="AO105" t="s">
        <v>57</v>
      </c>
      <c r="AP105" t="s">
        <v>57</v>
      </c>
      <c r="AQ105" t="s">
        <v>57</v>
      </c>
      <c r="AR105" t="s">
        <v>57</v>
      </c>
      <c r="AS105" t="s">
        <v>57</v>
      </c>
      <c r="AT105" t="s">
        <v>57</v>
      </c>
      <c r="AU105" t="s">
        <v>175</v>
      </c>
      <c r="AV105" t="s">
        <v>57</v>
      </c>
      <c r="AW105" t="s">
        <v>57</v>
      </c>
      <c r="AX105" t="s">
        <v>57</v>
      </c>
      <c r="AY105" t="s">
        <v>57</v>
      </c>
      <c r="AZ105" t="s">
        <v>57</v>
      </c>
      <c r="BA105" t="s">
        <v>57</v>
      </c>
      <c r="BB105" t="s">
        <v>57</v>
      </c>
      <c r="BC105" t="s">
        <v>175</v>
      </c>
      <c r="BD105" t="s">
        <v>175</v>
      </c>
      <c r="BE105" t="s">
        <v>57</v>
      </c>
      <c r="BF105" t="s">
        <v>57</v>
      </c>
      <c r="BG105" t="s">
        <v>57</v>
      </c>
      <c r="BH105" t="s">
        <v>57</v>
      </c>
      <c r="BI105" t="s">
        <v>57</v>
      </c>
      <c r="BJ105" t="s">
        <v>57</v>
      </c>
      <c r="BK105" t="s">
        <v>57</v>
      </c>
      <c r="BL105" t="s">
        <v>57</v>
      </c>
      <c r="BM105" t="s">
        <v>57</v>
      </c>
      <c r="BN105" t="s">
        <v>57</v>
      </c>
      <c r="BO105" t="s">
        <v>57</v>
      </c>
      <c r="BP105" t="s">
        <v>57</v>
      </c>
      <c r="BQ105" t="s">
        <v>57</v>
      </c>
      <c r="BR105" t="s">
        <v>57</v>
      </c>
      <c r="BS105" t="s">
        <v>57</v>
      </c>
      <c r="BT105" t="s">
        <v>57</v>
      </c>
      <c r="BU105" t="s">
        <v>57</v>
      </c>
      <c r="BV105" t="s">
        <v>57</v>
      </c>
      <c r="BW105" t="s">
        <v>57</v>
      </c>
      <c r="BX105" t="s">
        <v>57</v>
      </c>
      <c r="BY105" t="s">
        <v>57</v>
      </c>
      <c r="BZ105" t="s">
        <v>57</v>
      </c>
      <c r="CA105" t="s">
        <v>57</v>
      </c>
      <c r="CB105" t="s">
        <v>57</v>
      </c>
      <c r="CC105" t="s">
        <v>57</v>
      </c>
      <c r="CD105" t="s">
        <v>57</v>
      </c>
      <c r="CE105" t="s">
        <v>57</v>
      </c>
      <c r="CF105" t="s">
        <v>57</v>
      </c>
      <c r="CG105" t="s">
        <v>57</v>
      </c>
      <c r="CH105" t="s">
        <v>57</v>
      </c>
      <c r="CI105" t="s">
        <v>57</v>
      </c>
      <c r="CJ105" t="s">
        <v>57</v>
      </c>
      <c r="CK105" t="s">
        <v>57</v>
      </c>
      <c r="CL105" t="s">
        <v>57</v>
      </c>
      <c r="CM105" t="s">
        <v>175</v>
      </c>
      <c r="CN105" t="s">
        <v>57</v>
      </c>
      <c r="CO105" t="s">
        <v>57</v>
      </c>
      <c r="CP105" t="s">
        <v>57</v>
      </c>
      <c r="CQ105" t="s">
        <v>57</v>
      </c>
      <c r="CR105" t="s">
        <v>57</v>
      </c>
      <c r="CS105" t="s">
        <v>57</v>
      </c>
      <c r="CT105" t="s">
        <v>57</v>
      </c>
      <c r="CU105" t="s">
        <v>57</v>
      </c>
      <c r="CV105" t="s">
        <v>57</v>
      </c>
      <c r="CW105" t="s">
        <v>57</v>
      </c>
      <c r="CX105" t="s">
        <v>57</v>
      </c>
      <c r="CY105" t="s">
        <v>57</v>
      </c>
      <c r="CZ105" t="s">
        <v>57</v>
      </c>
      <c r="DA105" t="s">
        <v>57</v>
      </c>
      <c r="DB105" t="s">
        <v>57</v>
      </c>
      <c r="DC105" t="s">
        <v>57</v>
      </c>
      <c r="DD105" t="s">
        <v>57</v>
      </c>
      <c r="DE105" t="s">
        <v>57</v>
      </c>
      <c r="DF105" t="s">
        <v>57</v>
      </c>
      <c r="DG105" t="s">
        <v>57</v>
      </c>
      <c r="DH105" t="s">
        <v>57</v>
      </c>
      <c r="DI105" t="s">
        <v>57</v>
      </c>
      <c r="DJ105" t="s">
        <v>57</v>
      </c>
      <c r="DK105" t="s">
        <v>175</v>
      </c>
      <c r="DL105" t="s">
        <v>57</v>
      </c>
      <c r="DM105" t="s">
        <v>57</v>
      </c>
      <c r="DN105" t="s">
        <v>57</v>
      </c>
      <c r="DO105" t="s">
        <v>57</v>
      </c>
      <c r="DP105" t="s">
        <v>57</v>
      </c>
      <c r="DQ105" t="s">
        <v>57</v>
      </c>
      <c r="DR105" t="s">
        <v>57</v>
      </c>
      <c r="DS105" t="s">
        <v>57</v>
      </c>
      <c r="DT105" t="s">
        <v>57</v>
      </c>
      <c r="DU105" t="s">
        <v>57</v>
      </c>
      <c r="DV105" t="s">
        <v>57</v>
      </c>
      <c r="DW105" t="s">
        <v>57</v>
      </c>
      <c r="DX105" t="s">
        <v>57</v>
      </c>
      <c r="DY105" t="s">
        <v>175</v>
      </c>
      <c r="DZ105" t="s">
        <v>57</v>
      </c>
      <c r="EA105" t="s">
        <v>57</v>
      </c>
      <c r="EB105" t="s">
        <v>57</v>
      </c>
      <c r="EC105" t="s">
        <v>57</v>
      </c>
      <c r="ED105" t="s">
        <v>57</v>
      </c>
      <c r="EE105" t="s">
        <v>57</v>
      </c>
      <c r="EF105" t="s">
        <v>57</v>
      </c>
      <c r="EG105" t="s">
        <v>57</v>
      </c>
      <c r="EH105" t="s">
        <v>57</v>
      </c>
      <c r="EI105" t="s">
        <v>57</v>
      </c>
      <c r="EJ105" t="s">
        <v>57</v>
      </c>
      <c r="EK105" t="s">
        <v>57</v>
      </c>
      <c r="EL105" t="s">
        <v>57</v>
      </c>
      <c r="EM105" t="s">
        <v>57</v>
      </c>
      <c r="EN105" t="s">
        <v>57</v>
      </c>
      <c r="EO105" t="s">
        <v>57</v>
      </c>
      <c r="EP105" t="s">
        <v>57</v>
      </c>
      <c r="EQ105" t="s">
        <v>57</v>
      </c>
      <c r="ER105" t="s">
        <v>57</v>
      </c>
      <c r="ES105" t="s">
        <v>57</v>
      </c>
      <c r="ET105" t="s">
        <v>57</v>
      </c>
      <c r="EU105" t="s">
        <v>57</v>
      </c>
      <c r="EV105" t="s">
        <v>57</v>
      </c>
      <c r="EW105" t="s">
        <v>57</v>
      </c>
      <c r="EX105" t="s">
        <v>57</v>
      </c>
      <c r="EY105" t="s">
        <v>57</v>
      </c>
      <c r="EZ105" t="s">
        <v>57</v>
      </c>
      <c r="FA105" t="s">
        <v>57</v>
      </c>
      <c r="FB105" t="s">
        <v>57</v>
      </c>
      <c r="FC105" t="s">
        <v>57</v>
      </c>
      <c r="FD105" t="s">
        <v>57</v>
      </c>
      <c r="FE105" t="s">
        <v>57</v>
      </c>
      <c r="FF105" t="s">
        <v>57</v>
      </c>
      <c r="FG105" t="s">
        <v>57</v>
      </c>
      <c r="FH105" t="s">
        <v>57</v>
      </c>
      <c r="FI105" t="s">
        <v>57</v>
      </c>
      <c r="FJ105" t="s">
        <v>57</v>
      </c>
      <c r="FK105" t="s">
        <v>57</v>
      </c>
      <c r="FL105" t="s">
        <v>57</v>
      </c>
      <c r="FM105" t="s">
        <v>57</v>
      </c>
      <c r="FN105" t="s">
        <v>57</v>
      </c>
      <c r="FO105" t="s">
        <v>57</v>
      </c>
      <c r="FP105" t="s">
        <v>57</v>
      </c>
      <c r="FQ105" t="s">
        <v>57</v>
      </c>
      <c r="FR105" t="s">
        <v>57</v>
      </c>
      <c r="FS105" t="s">
        <v>57</v>
      </c>
      <c r="FT105" t="s">
        <v>57</v>
      </c>
      <c r="FU105" t="s">
        <v>57</v>
      </c>
      <c r="FV105" t="s">
        <v>57</v>
      </c>
      <c r="FW105" t="s">
        <v>57</v>
      </c>
      <c r="FX105" t="s">
        <v>57</v>
      </c>
      <c r="FY105" t="s">
        <v>57</v>
      </c>
      <c r="FZ105" t="s">
        <v>57</v>
      </c>
      <c r="GA105" t="s">
        <v>57</v>
      </c>
      <c r="GB105" t="s">
        <v>57</v>
      </c>
      <c r="GC105" t="s">
        <v>57</v>
      </c>
      <c r="GD105" t="s">
        <v>57</v>
      </c>
      <c r="GE105" t="s">
        <v>57</v>
      </c>
      <c r="GF105" t="s">
        <v>57</v>
      </c>
      <c r="GG105" t="s">
        <v>175</v>
      </c>
      <c r="GH105" t="s">
        <v>57</v>
      </c>
      <c r="GI105" t="s">
        <v>57</v>
      </c>
      <c r="GJ105" t="s">
        <v>57</v>
      </c>
      <c r="GK105" t="s">
        <v>57</v>
      </c>
      <c r="GL105" t="s">
        <v>57</v>
      </c>
      <c r="GM105" t="s">
        <v>57</v>
      </c>
      <c r="GN105" t="s">
        <v>57</v>
      </c>
      <c r="GO105" t="s">
        <v>57</v>
      </c>
      <c r="GP105" t="s">
        <v>57</v>
      </c>
      <c r="GQ105" t="s">
        <v>57</v>
      </c>
      <c r="GR105" t="s">
        <v>57</v>
      </c>
      <c r="GS105" t="s">
        <v>57</v>
      </c>
      <c r="GT105" t="s">
        <v>57</v>
      </c>
      <c r="GU105" t="s">
        <v>57</v>
      </c>
      <c r="GV105" t="s">
        <v>175</v>
      </c>
      <c r="GW105" t="s">
        <v>57</v>
      </c>
      <c r="GX105" t="s">
        <v>57</v>
      </c>
      <c r="GY105" t="s">
        <v>57</v>
      </c>
      <c r="GZ105" t="s">
        <v>57</v>
      </c>
      <c r="HA105" t="s">
        <v>57</v>
      </c>
      <c r="HB105" t="s">
        <v>57</v>
      </c>
      <c r="HC105" t="s">
        <v>57</v>
      </c>
      <c r="HD105" t="s">
        <v>57</v>
      </c>
      <c r="HE105" t="s">
        <v>57</v>
      </c>
      <c r="HF105" t="s">
        <v>57</v>
      </c>
      <c r="HG105" t="s">
        <v>57</v>
      </c>
      <c r="HH105" t="s">
        <v>57</v>
      </c>
      <c r="HI105" t="s">
        <v>57</v>
      </c>
      <c r="HJ105" t="s">
        <v>57</v>
      </c>
      <c r="HK105" t="s">
        <v>57</v>
      </c>
      <c r="HL105" t="s">
        <v>57</v>
      </c>
      <c r="HM105" t="s">
        <v>57</v>
      </c>
      <c r="HN105" t="s">
        <v>57</v>
      </c>
      <c r="HO105" t="s">
        <v>57</v>
      </c>
      <c r="HP105" t="s">
        <v>57</v>
      </c>
      <c r="HQ105" t="s">
        <v>57</v>
      </c>
      <c r="HR105" t="s">
        <v>57</v>
      </c>
      <c r="HS105" t="s">
        <v>57</v>
      </c>
      <c r="HT105" t="s">
        <v>57</v>
      </c>
      <c r="HU105" t="s">
        <v>57</v>
      </c>
      <c r="HV105" t="s">
        <v>57</v>
      </c>
      <c r="HW105" t="s">
        <v>57</v>
      </c>
      <c r="HX105" t="s">
        <v>57</v>
      </c>
      <c r="HY105" t="s">
        <v>57</v>
      </c>
      <c r="HZ105" t="s">
        <v>57</v>
      </c>
      <c r="IA105" t="s">
        <v>464</v>
      </c>
      <c r="IB105" t="s">
        <v>57</v>
      </c>
      <c r="IC105" t="s">
        <v>57</v>
      </c>
      <c r="ID105" t="s">
        <v>57</v>
      </c>
      <c r="IE105" t="s">
        <v>57</v>
      </c>
      <c r="IF105" t="s">
        <v>123</v>
      </c>
      <c r="IG105" t="s">
        <v>124</v>
      </c>
      <c r="IH105" t="s">
        <v>123</v>
      </c>
      <c r="II105" t="s">
        <v>156</v>
      </c>
    </row>
    <row r="106" spans="1:243" x14ac:dyDescent="0.25">
      <c r="A106" s="111" t="str">
        <f>HYPERLINK("http://www.ofsted.gov.uk/inspection-reports/find-inspection-report/provider/ELS/131388 ","Ofsted School Webpage")</f>
        <v>Ofsted School Webpage</v>
      </c>
      <c r="B106">
        <v>131388</v>
      </c>
      <c r="C106">
        <v>2116387</v>
      </c>
      <c r="D106" t="s">
        <v>1461</v>
      </c>
      <c r="E106" t="s">
        <v>36</v>
      </c>
      <c r="F106" t="s">
        <v>166</v>
      </c>
      <c r="G106" t="s">
        <v>189</v>
      </c>
      <c r="H106" t="s">
        <v>189</v>
      </c>
      <c r="I106" t="s">
        <v>494</v>
      </c>
      <c r="J106" t="s">
        <v>1462</v>
      </c>
      <c r="K106" t="s">
        <v>142</v>
      </c>
      <c r="L106" t="s">
        <v>180</v>
      </c>
      <c r="M106" t="s">
        <v>2596</v>
      </c>
      <c r="N106" t="s">
        <v>143</v>
      </c>
      <c r="O106">
        <v>10038161</v>
      </c>
      <c r="P106" s="108">
        <v>43109</v>
      </c>
      <c r="Q106" s="108">
        <v>43111</v>
      </c>
      <c r="R106" s="108">
        <v>43157</v>
      </c>
      <c r="S106" t="s">
        <v>153</v>
      </c>
      <c r="T106" t="s">
        <v>154</v>
      </c>
      <c r="U106">
        <v>2</v>
      </c>
      <c r="V106">
        <v>2</v>
      </c>
      <c r="W106">
        <v>1</v>
      </c>
      <c r="X106">
        <v>2</v>
      </c>
      <c r="Y106">
        <v>2</v>
      </c>
      <c r="Z106" t="s">
        <v>2596</v>
      </c>
      <c r="AA106" t="s">
        <v>2596</v>
      </c>
      <c r="AB106" t="s">
        <v>123</v>
      </c>
      <c r="AC106" t="s">
        <v>2596</v>
      </c>
      <c r="AD106" t="s">
        <v>2598</v>
      </c>
      <c r="AE106" t="s">
        <v>57</v>
      </c>
      <c r="AF106" t="s">
        <v>57</v>
      </c>
      <c r="AG106" t="s">
        <v>57</v>
      </c>
      <c r="AH106" t="s">
        <v>57</v>
      </c>
      <c r="AI106" t="s">
        <v>57</v>
      </c>
      <c r="AJ106" t="s">
        <v>57</v>
      </c>
      <c r="AK106" t="s">
        <v>57</v>
      </c>
      <c r="AL106" t="s">
        <v>57</v>
      </c>
      <c r="AM106" t="s">
        <v>57</v>
      </c>
      <c r="AN106" t="s">
        <v>57</v>
      </c>
      <c r="AO106" t="s">
        <v>57</v>
      </c>
      <c r="AP106" t="s">
        <v>57</v>
      </c>
      <c r="AQ106" t="s">
        <v>57</v>
      </c>
      <c r="AR106" t="s">
        <v>57</v>
      </c>
      <c r="AS106" t="s">
        <v>57</v>
      </c>
      <c r="AT106" t="s">
        <v>57</v>
      </c>
      <c r="AU106" t="s">
        <v>57</v>
      </c>
      <c r="AV106" t="s">
        <v>57</v>
      </c>
      <c r="AW106" t="s">
        <v>57</v>
      </c>
      <c r="AX106" t="s">
        <v>57</v>
      </c>
      <c r="AY106" t="s">
        <v>57</v>
      </c>
      <c r="AZ106" t="s">
        <v>57</v>
      </c>
      <c r="BA106" t="s">
        <v>57</v>
      </c>
      <c r="BB106" t="s">
        <v>57</v>
      </c>
      <c r="BC106" t="s">
        <v>175</v>
      </c>
      <c r="BD106" t="s">
        <v>57</v>
      </c>
      <c r="BE106" t="s">
        <v>57</v>
      </c>
      <c r="BF106" t="s">
        <v>57</v>
      </c>
      <c r="BG106" t="s">
        <v>57</v>
      </c>
      <c r="BH106" t="s">
        <v>57</v>
      </c>
      <c r="BI106" t="s">
        <v>57</v>
      </c>
      <c r="BJ106" t="s">
        <v>57</v>
      </c>
      <c r="BK106" t="s">
        <v>57</v>
      </c>
      <c r="BL106" t="s">
        <v>57</v>
      </c>
      <c r="BM106" t="s">
        <v>57</v>
      </c>
      <c r="BN106" t="s">
        <v>57</v>
      </c>
      <c r="BO106" t="s">
        <v>57</v>
      </c>
      <c r="BP106" t="s">
        <v>57</v>
      </c>
      <c r="BQ106" t="s">
        <v>57</v>
      </c>
      <c r="BR106" t="s">
        <v>57</v>
      </c>
      <c r="BS106" t="s">
        <v>57</v>
      </c>
      <c r="BT106" t="s">
        <v>57</v>
      </c>
      <c r="BU106" t="s">
        <v>57</v>
      </c>
      <c r="BV106" t="s">
        <v>57</v>
      </c>
      <c r="BW106" t="s">
        <v>57</v>
      </c>
      <c r="BX106" t="s">
        <v>57</v>
      </c>
      <c r="BY106" t="s">
        <v>57</v>
      </c>
      <c r="BZ106" t="s">
        <v>57</v>
      </c>
      <c r="CA106" t="s">
        <v>57</v>
      </c>
      <c r="CB106" t="s">
        <v>57</v>
      </c>
      <c r="CC106" t="s">
        <v>57</v>
      </c>
      <c r="CD106" t="s">
        <v>57</v>
      </c>
      <c r="CE106" t="s">
        <v>57</v>
      </c>
      <c r="CF106" t="s">
        <v>57</v>
      </c>
      <c r="CG106" t="s">
        <v>57</v>
      </c>
      <c r="CH106" t="s">
        <v>57</v>
      </c>
      <c r="CI106" t="s">
        <v>57</v>
      </c>
      <c r="CJ106" t="s">
        <v>57</v>
      </c>
      <c r="CK106" t="s">
        <v>57</v>
      </c>
      <c r="CL106" t="s">
        <v>57</v>
      </c>
      <c r="CM106" t="s">
        <v>57</v>
      </c>
      <c r="CN106" t="s">
        <v>57</v>
      </c>
      <c r="CO106" t="s">
        <v>57</v>
      </c>
      <c r="CP106" t="s">
        <v>57</v>
      </c>
      <c r="CQ106" t="s">
        <v>57</v>
      </c>
      <c r="CR106" t="s">
        <v>57</v>
      </c>
      <c r="CS106" t="s">
        <v>57</v>
      </c>
      <c r="CT106" t="s">
        <v>57</v>
      </c>
      <c r="CU106" t="s">
        <v>57</v>
      </c>
      <c r="CV106" t="s">
        <v>57</v>
      </c>
      <c r="CW106" t="s">
        <v>57</v>
      </c>
      <c r="CX106" t="s">
        <v>57</v>
      </c>
      <c r="CY106" t="s">
        <v>57</v>
      </c>
      <c r="CZ106" t="s">
        <v>57</v>
      </c>
      <c r="DA106" t="s">
        <v>57</v>
      </c>
      <c r="DB106" t="s">
        <v>57</v>
      </c>
      <c r="DC106" t="s">
        <v>57</v>
      </c>
      <c r="DD106" t="s">
        <v>57</v>
      </c>
      <c r="DE106" t="s">
        <v>57</v>
      </c>
      <c r="DF106" t="s">
        <v>57</v>
      </c>
      <c r="DG106" t="s">
        <v>57</v>
      </c>
      <c r="DH106" t="s">
        <v>57</v>
      </c>
      <c r="DI106" t="s">
        <v>57</v>
      </c>
      <c r="DJ106" t="s">
        <v>57</v>
      </c>
      <c r="DK106" t="s">
        <v>175</v>
      </c>
      <c r="DL106" t="s">
        <v>57</v>
      </c>
      <c r="DM106" t="s">
        <v>57</v>
      </c>
      <c r="DN106" t="s">
        <v>57</v>
      </c>
      <c r="DO106" t="s">
        <v>57</v>
      </c>
      <c r="DP106" t="s">
        <v>57</v>
      </c>
      <c r="DQ106" t="s">
        <v>57</v>
      </c>
      <c r="DR106" t="s">
        <v>57</v>
      </c>
      <c r="DS106" t="s">
        <v>57</v>
      </c>
      <c r="DT106" t="s">
        <v>57</v>
      </c>
      <c r="DU106" t="s">
        <v>57</v>
      </c>
      <c r="DV106" t="s">
        <v>57</v>
      </c>
      <c r="DW106" t="s">
        <v>57</v>
      </c>
      <c r="DX106" t="s">
        <v>57</v>
      </c>
      <c r="DY106" t="s">
        <v>175</v>
      </c>
      <c r="DZ106" t="s">
        <v>175</v>
      </c>
      <c r="EA106" t="s">
        <v>57</v>
      </c>
      <c r="EB106" t="s">
        <v>57</v>
      </c>
      <c r="EC106" t="s">
        <v>57</v>
      </c>
      <c r="ED106" t="s">
        <v>57</v>
      </c>
      <c r="EE106" t="s">
        <v>57</v>
      </c>
      <c r="EF106" t="s">
        <v>57</v>
      </c>
      <c r="EG106" t="s">
        <v>57</v>
      </c>
      <c r="EH106" t="s">
        <v>57</v>
      </c>
      <c r="EI106" t="s">
        <v>57</v>
      </c>
      <c r="EJ106" t="s">
        <v>57</v>
      </c>
      <c r="EK106" t="s">
        <v>57</v>
      </c>
      <c r="EL106" t="s">
        <v>57</v>
      </c>
      <c r="EM106" t="s">
        <v>57</v>
      </c>
      <c r="EN106" t="s">
        <v>57</v>
      </c>
      <c r="EO106" t="s">
        <v>57</v>
      </c>
      <c r="EP106" t="s">
        <v>57</v>
      </c>
      <c r="EQ106" t="s">
        <v>57</v>
      </c>
      <c r="ER106" t="s">
        <v>57</v>
      </c>
      <c r="ES106" t="s">
        <v>57</v>
      </c>
      <c r="ET106" t="s">
        <v>57</v>
      </c>
      <c r="EU106" t="s">
        <v>57</v>
      </c>
      <c r="EV106" t="s">
        <v>57</v>
      </c>
      <c r="EW106" t="s">
        <v>57</v>
      </c>
      <c r="EX106" t="s">
        <v>57</v>
      </c>
      <c r="EY106" t="s">
        <v>57</v>
      </c>
      <c r="EZ106" t="s">
        <v>57</v>
      </c>
      <c r="FA106" t="s">
        <v>57</v>
      </c>
      <c r="FB106" t="s">
        <v>57</v>
      </c>
      <c r="FC106" t="s">
        <v>57</v>
      </c>
      <c r="FD106" t="s">
        <v>57</v>
      </c>
      <c r="FE106" t="s">
        <v>57</v>
      </c>
      <c r="FF106" t="s">
        <v>57</v>
      </c>
      <c r="FG106" t="s">
        <v>57</v>
      </c>
      <c r="FH106" t="s">
        <v>57</v>
      </c>
      <c r="FI106" t="s">
        <v>57</v>
      </c>
      <c r="FJ106" t="s">
        <v>57</v>
      </c>
      <c r="FK106" t="s">
        <v>57</v>
      </c>
      <c r="FL106" t="s">
        <v>57</v>
      </c>
      <c r="FM106" t="s">
        <v>57</v>
      </c>
      <c r="FN106" t="s">
        <v>57</v>
      </c>
      <c r="FO106" t="s">
        <v>57</v>
      </c>
      <c r="FP106" t="s">
        <v>57</v>
      </c>
      <c r="FQ106" t="s">
        <v>57</v>
      </c>
      <c r="FR106" t="s">
        <v>57</v>
      </c>
      <c r="FS106" t="s">
        <v>57</v>
      </c>
      <c r="FT106" t="s">
        <v>57</v>
      </c>
      <c r="FU106" t="s">
        <v>57</v>
      </c>
      <c r="FV106" t="s">
        <v>57</v>
      </c>
      <c r="FW106" t="s">
        <v>57</v>
      </c>
      <c r="FX106" t="s">
        <v>57</v>
      </c>
      <c r="FY106" t="s">
        <v>57</v>
      </c>
      <c r="FZ106" t="s">
        <v>57</v>
      </c>
      <c r="GA106" t="s">
        <v>57</v>
      </c>
      <c r="GB106" t="s">
        <v>57</v>
      </c>
      <c r="GC106" t="s">
        <v>57</v>
      </c>
      <c r="GD106" t="s">
        <v>57</v>
      </c>
      <c r="GE106" t="s">
        <v>57</v>
      </c>
      <c r="GF106" t="s">
        <v>57</v>
      </c>
      <c r="GG106" t="s">
        <v>175</v>
      </c>
      <c r="GH106" t="s">
        <v>57</v>
      </c>
      <c r="GI106" t="s">
        <v>57</v>
      </c>
      <c r="GJ106" t="s">
        <v>57</v>
      </c>
      <c r="GK106" t="s">
        <v>57</v>
      </c>
      <c r="GL106" t="s">
        <v>57</v>
      </c>
      <c r="GM106" t="s">
        <v>175</v>
      </c>
      <c r="GN106" t="s">
        <v>57</v>
      </c>
      <c r="GO106" t="s">
        <v>57</v>
      </c>
      <c r="GP106" t="s">
        <v>57</v>
      </c>
      <c r="GQ106" t="s">
        <v>57</v>
      </c>
      <c r="GR106" t="s">
        <v>57</v>
      </c>
      <c r="GS106" t="s">
        <v>57</v>
      </c>
      <c r="GT106" t="s">
        <v>57</v>
      </c>
      <c r="GU106" t="s">
        <v>57</v>
      </c>
      <c r="GV106" t="s">
        <v>57</v>
      </c>
      <c r="GW106" t="s">
        <v>57</v>
      </c>
      <c r="GX106" t="s">
        <v>57</v>
      </c>
      <c r="GY106" t="s">
        <v>57</v>
      </c>
      <c r="GZ106" t="s">
        <v>57</v>
      </c>
      <c r="HA106" t="s">
        <v>57</v>
      </c>
      <c r="HB106" t="s">
        <v>57</v>
      </c>
      <c r="HC106" t="s">
        <v>57</v>
      </c>
      <c r="HD106" t="s">
        <v>57</v>
      </c>
      <c r="HE106" t="s">
        <v>57</v>
      </c>
      <c r="HF106" t="s">
        <v>57</v>
      </c>
      <c r="HG106" t="s">
        <v>57</v>
      </c>
      <c r="HH106" t="s">
        <v>57</v>
      </c>
      <c r="HI106" t="s">
        <v>57</v>
      </c>
      <c r="HJ106" t="s">
        <v>57</v>
      </c>
      <c r="HK106" t="s">
        <v>57</v>
      </c>
      <c r="HL106" t="s">
        <v>57</v>
      </c>
      <c r="HM106" t="s">
        <v>57</v>
      </c>
      <c r="HN106" t="s">
        <v>57</v>
      </c>
      <c r="HO106" t="s">
        <v>57</v>
      </c>
      <c r="HP106" t="s">
        <v>57</v>
      </c>
      <c r="HQ106" t="s">
        <v>57</v>
      </c>
      <c r="HR106" t="s">
        <v>57</v>
      </c>
      <c r="HS106" t="s">
        <v>57</v>
      </c>
      <c r="HT106" t="s">
        <v>57</v>
      </c>
      <c r="HU106" t="s">
        <v>57</v>
      </c>
      <c r="HV106" t="s">
        <v>57</v>
      </c>
      <c r="HW106" t="s">
        <v>57</v>
      </c>
      <c r="HX106" t="s">
        <v>57</v>
      </c>
      <c r="HY106" t="s">
        <v>57</v>
      </c>
      <c r="HZ106" t="s">
        <v>57</v>
      </c>
      <c r="IA106" t="s">
        <v>57</v>
      </c>
      <c r="IB106" t="s">
        <v>57</v>
      </c>
      <c r="IC106" t="s">
        <v>57</v>
      </c>
      <c r="ID106" t="s">
        <v>57</v>
      </c>
      <c r="IE106" t="s">
        <v>57</v>
      </c>
      <c r="IF106" t="s">
        <v>124</v>
      </c>
      <c r="IG106" t="s">
        <v>148</v>
      </c>
      <c r="IH106" t="s">
        <v>123</v>
      </c>
      <c r="II106" t="s">
        <v>156</v>
      </c>
    </row>
    <row r="107" spans="1:243" x14ac:dyDescent="0.25">
      <c r="A107" s="111" t="str">
        <f>HYPERLINK("http://www.ofsted.gov.uk/inspection-reports/find-inspection-report/provider/ELS/131531 ","Ofsted School Webpage")</f>
        <v>Ofsted School Webpage</v>
      </c>
      <c r="B107">
        <v>131531</v>
      </c>
      <c r="C107">
        <v>8506085</v>
      </c>
      <c r="D107" t="s">
        <v>1494</v>
      </c>
      <c r="E107" t="s">
        <v>37</v>
      </c>
      <c r="F107" t="s">
        <v>138</v>
      </c>
      <c r="G107" t="s">
        <v>139</v>
      </c>
      <c r="H107" t="s">
        <v>139</v>
      </c>
      <c r="I107" t="s">
        <v>158</v>
      </c>
      <c r="J107" t="s">
        <v>1495</v>
      </c>
      <c r="K107" t="s">
        <v>142</v>
      </c>
      <c r="L107" t="s">
        <v>142</v>
      </c>
      <c r="M107" t="s">
        <v>2596</v>
      </c>
      <c r="N107" t="s">
        <v>143</v>
      </c>
      <c r="O107">
        <v>10025981</v>
      </c>
      <c r="P107" s="108">
        <v>43053</v>
      </c>
      <c r="Q107" s="108">
        <v>43055</v>
      </c>
      <c r="R107" s="108">
        <v>43075</v>
      </c>
      <c r="S107" t="s">
        <v>153</v>
      </c>
      <c r="T107" t="s">
        <v>154</v>
      </c>
      <c r="U107">
        <v>2</v>
      </c>
      <c r="V107">
        <v>2</v>
      </c>
      <c r="W107">
        <v>1</v>
      </c>
      <c r="X107">
        <v>2</v>
      </c>
      <c r="Y107">
        <v>2</v>
      </c>
      <c r="Z107" t="s">
        <v>2596</v>
      </c>
      <c r="AA107">
        <v>1</v>
      </c>
      <c r="AB107" t="s">
        <v>123</v>
      </c>
      <c r="AC107" t="s">
        <v>2596</v>
      </c>
      <c r="AD107" t="s">
        <v>2598</v>
      </c>
      <c r="AE107" t="s">
        <v>57</v>
      </c>
      <c r="AF107" t="s">
        <v>57</v>
      </c>
      <c r="AG107" t="s">
        <v>57</v>
      </c>
      <c r="AH107" t="s">
        <v>57</v>
      </c>
      <c r="AI107" t="s">
        <v>57</v>
      </c>
      <c r="AJ107" t="s">
        <v>57</v>
      </c>
      <c r="AK107" t="s">
        <v>57</v>
      </c>
      <c r="AL107" t="s">
        <v>57</v>
      </c>
      <c r="AM107" t="s">
        <v>57</v>
      </c>
      <c r="AN107" t="s">
        <v>57</v>
      </c>
      <c r="AO107" t="s">
        <v>57</v>
      </c>
      <c r="AP107" t="s">
        <v>57</v>
      </c>
      <c r="AQ107" t="s">
        <v>57</v>
      </c>
      <c r="AR107" t="s">
        <v>57</v>
      </c>
      <c r="AS107" t="s">
        <v>57</v>
      </c>
      <c r="AT107" t="s">
        <v>57</v>
      </c>
      <c r="AU107" t="s">
        <v>57</v>
      </c>
      <c r="AV107" t="s">
        <v>57</v>
      </c>
      <c r="AW107" t="s">
        <v>57</v>
      </c>
      <c r="AX107" t="s">
        <v>57</v>
      </c>
      <c r="AY107" t="s">
        <v>57</v>
      </c>
      <c r="AZ107" t="s">
        <v>57</v>
      </c>
      <c r="BA107" t="s">
        <v>57</v>
      </c>
      <c r="BB107" t="s">
        <v>57</v>
      </c>
      <c r="BC107" t="s">
        <v>57</v>
      </c>
      <c r="BD107" t="s">
        <v>57</v>
      </c>
      <c r="BE107" t="s">
        <v>57</v>
      </c>
      <c r="BF107" t="s">
        <v>57</v>
      </c>
      <c r="BG107" t="s">
        <v>57</v>
      </c>
      <c r="BH107" t="s">
        <v>57</v>
      </c>
      <c r="BI107" t="s">
        <v>57</v>
      </c>
      <c r="BJ107" t="s">
        <v>57</v>
      </c>
      <c r="BK107" t="s">
        <v>57</v>
      </c>
      <c r="BL107" t="s">
        <v>57</v>
      </c>
      <c r="BM107" t="s">
        <v>57</v>
      </c>
      <c r="BN107" t="s">
        <v>57</v>
      </c>
      <c r="BO107" t="s">
        <v>57</v>
      </c>
      <c r="BP107" t="s">
        <v>57</v>
      </c>
      <c r="BQ107" t="s">
        <v>57</v>
      </c>
      <c r="BR107" t="s">
        <v>57</v>
      </c>
      <c r="BS107" t="s">
        <v>57</v>
      </c>
      <c r="BT107" t="s">
        <v>57</v>
      </c>
      <c r="BU107" t="s">
        <v>57</v>
      </c>
      <c r="BV107" t="s">
        <v>57</v>
      </c>
      <c r="BW107" t="s">
        <v>57</v>
      </c>
      <c r="BX107" t="s">
        <v>57</v>
      </c>
      <c r="BY107" t="s">
        <v>57</v>
      </c>
      <c r="BZ107" t="s">
        <v>57</v>
      </c>
      <c r="CA107" t="s">
        <v>57</v>
      </c>
      <c r="CB107" t="s">
        <v>57</v>
      </c>
      <c r="CC107" t="s">
        <v>57</v>
      </c>
      <c r="CD107" t="s">
        <v>57</v>
      </c>
      <c r="CE107" t="s">
        <v>57</v>
      </c>
      <c r="CF107" t="s">
        <v>57</v>
      </c>
      <c r="CG107" t="s">
        <v>57</v>
      </c>
      <c r="CH107" t="s">
        <v>57</v>
      </c>
      <c r="CI107" t="s">
        <v>57</v>
      </c>
      <c r="CJ107" t="s">
        <v>57</v>
      </c>
      <c r="CK107" t="s">
        <v>148</v>
      </c>
      <c r="CL107" t="s">
        <v>148</v>
      </c>
      <c r="CM107" t="s">
        <v>148</v>
      </c>
      <c r="CN107" t="s">
        <v>57</v>
      </c>
      <c r="CO107" t="s">
        <v>57</v>
      </c>
      <c r="CP107" t="s">
        <v>57</v>
      </c>
      <c r="CQ107" t="s">
        <v>57</v>
      </c>
      <c r="CR107" t="s">
        <v>57</v>
      </c>
      <c r="CS107" t="s">
        <v>57</v>
      </c>
      <c r="CT107" t="s">
        <v>57</v>
      </c>
      <c r="CU107" t="s">
        <v>57</v>
      </c>
      <c r="CV107" t="s">
        <v>57</v>
      </c>
      <c r="CW107" t="s">
        <v>57</v>
      </c>
      <c r="CX107" t="s">
        <v>57</v>
      </c>
      <c r="CY107" t="s">
        <v>57</v>
      </c>
      <c r="CZ107" t="s">
        <v>57</v>
      </c>
      <c r="DA107" t="s">
        <v>57</v>
      </c>
      <c r="DB107" t="s">
        <v>57</v>
      </c>
      <c r="DC107" t="s">
        <v>57</v>
      </c>
      <c r="DD107" t="s">
        <v>57</v>
      </c>
      <c r="DE107" t="s">
        <v>57</v>
      </c>
      <c r="DF107" t="s">
        <v>57</v>
      </c>
      <c r="DG107" t="s">
        <v>57</v>
      </c>
      <c r="DH107" t="s">
        <v>57</v>
      </c>
      <c r="DI107" t="s">
        <v>57</v>
      </c>
      <c r="DJ107" t="s">
        <v>57</v>
      </c>
      <c r="DK107" t="s">
        <v>148</v>
      </c>
      <c r="DL107" t="s">
        <v>57</v>
      </c>
      <c r="DM107" t="s">
        <v>57</v>
      </c>
      <c r="DN107" t="s">
        <v>57</v>
      </c>
      <c r="DO107" t="s">
        <v>57</v>
      </c>
      <c r="DP107" t="s">
        <v>57</v>
      </c>
      <c r="DQ107" t="s">
        <v>57</v>
      </c>
      <c r="DR107" t="s">
        <v>57</v>
      </c>
      <c r="DS107" t="s">
        <v>57</v>
      </c>
      <c r="DT107" t="s">
        <v>57</v>
      </c>
      <c r="DU107" t="s">
        <v>57</v>
      </c>
      <c r="DV107" t="s">
        <v>57</v>
      </c>
      <c r="DW107" t="s">
        <v>57</v>
      </c>
      <c r="DX107" t="s">
        <v>57</v>
      </c>
      <c r="DY107" t="s">
        <v>148</v>
      </c>
      <c r="DZ107" t="s">
        <v>148</v>
      </c>
      <c r="EA107" t="s">
        <v>57</v>
      </c>
      <c r="EB107" t="s">
        <v>57</v>
      </c>
      <c r="EC107" t="s">
        <v>57</v>
      </c>
      <c r="ED107" t="s">
        <v>57</v>
      </c>
      <c r="EE107" t="s">
        <v>57</v>
      </c>
      <c r="EF107" t="s">
        <v>57</v>
      </c>
      <c r="EG107" t="s">
        <v>57</v>
      </c>
      <c r="EH107" t="s">
        <v>57</v>
      </c>
      <c r="EI107" t="s">
        <v>57</v>
      </c>
      <c r="EJ107" t="s">
        <v>57</v>
      </c>
      <c r="EK107" t="s">
        <v>57</v>
      </c>
      <c r="EL107" t="s">
        <v>57</v>
      </c>
      <c r="EM107" t="s">
        <v>57</v>
      </c>
      <c r="EN107" t="s">
        <v>57</v>
      </c>
      <c r="EO107" t="s">
        <v>57</v>
      </c>
      <c r="EP107" t="s">
        <v>57</v>
      </c>
      <c r="EQ107" t="s">
        <v>57</v>
      </c>
      <c r="ER107" t="s">
        <v>57</v>
      </c>
      <c r="ES107" t="s">
        <v>57</v>
      </c>
      <c r="ET107" t="s">
        <v>57</v>
      </c>
      <c r="EU107" t="s">
        <v>57</v>
      </c>
      <c r="EV107" t="s">
        <v>57</v>
      </c>
      <c r="EW107" t="s">
        <v>57</v>
      </c>
      <c r="EX107" t="s">
        <v>57</v>
      </c>
      <c r="EY107" t="s">
        <v>57</v>
      </c>
      <c r="EZ107" t="s">
        <v>57</v>
      </c>
      <c r="FA107" t="s">
        <v>57</v>
      </c>
      <c r="FB107" t="s">
        <v>57</v>
      </c>
      <c r="FC107" t="s">
        <v>57</v>
      </c>
      <c r="FD107" t="s">
        <v>57</v>
      </c>
      <c r="FE107" t="s">
        <v>57</v>
      </c>
      <c r="FF107" t="s">
        <v>57</v>
      </c>
      <c r="FG107" t="s">
        <v>57</v>
      </c>
      <c r="FH107" t="s">
        <v>57</v>
      </c>
      <c r="FI107" t="s">
        <v>57</v>
      </c>
      <c r="FJ107" t="s">
        <v>57</v>
      </c>
      <c r="FK107" t="s">
        <v>57</v>
      </c>
      <c r="FL107" t="s">
        <v>57</v>
      </c>
      <c r="FM107" t="s">
        <v>57</v>
      </c>
      <c r="FN107" t="s">
        <v>57</v>
      </c>
      <c r="FO107" t="s">
        <v>57</v>
      </c>
      <c r="FP107" t="s">
        <v>57</v>
      </c>
      <c r="FQ107" t="s">
        <v>57</v>
      </c>
      <c r="FR107" t="s">
        <v>57</v>
      </c>
      <c r="FS107" t="s">
        <v>57</v>
      </c>
      <c r="FT107" t="s">
        <v>57</v>
      </c>
      <c r="FU107" t="s">
        <v>57</v>
      </c>
      <c r="FV107" t="s">
        <v>57</v>
      </c>
      <c r="FW107" t="s">
        <v>57</v>
      </c>
      <c r="FX107" t="s">
        <v>57</v>
      </c>
      <c r="FY107" t="s">
        <v>57</v>
      </c>
      <c r="FZ107" t="s">
        <v>57</v>
      </c>
      <c r="GA107" t="s">
        <v>57</v>
      </c>
      <c r="GB107" t="s">
        <v>57</v>
      </c>
      <c r="GC107" t="s">
        <v>57</v>
      </c>
      <c r="GD107" t="s">
        <v>57</v>
      </c>
      <c r="GE107" t="s">
        <v>57</v>
      </c>
      <c r="GF107" t="s">
        <v>57</v>
      </c>
      <c r="GG107" t="s">
        <v>148</v>
      </c>
      <c r="GH107" t="s">
        <v>57</v>
      </c>
      <c r="GI107" t="s">
        <v>57</v>
      </c>
      <c r="GJ107" t="s">
        <v>57</v>
      </c>
      <c r="GK107" t="s">
        <v>57</v>
      </c>
      <c r="GL107" t="s">
        <v>57</v>
      </c>
      <c r="GM107" t="s">
        <v>57</v>
      </c>
      <c r="GN107" t="s">
        <v>57</v>
      </c>
      <c r="GO107" t="s">
        <v>57</v>
      </c>
      <c r="GP107" t="s">
        <v>57</v>
      </c>
      <c r="GQ107" t="s">
        <v>57</v>
      </c>
      <c r="GR107" t="s">
        <v>57</v>
      </c>
      <c r="GS107" t="s">
        <v>57</v>
      </c>
      <c r="GT107" t="s">
        <v>57</v>
      </c>
      <c r="GU107" t="s">
        <v>57</v>
      </c>
      <c r="GV107" t="s">
        <v>57</v>
      </c>
      <c r="GW107" t="s">
        <v>57</v>
      </c>
      <c r="GX107" t="s">
        <v>57</v>
      </c>
      <c r="GY107" t="s">
        <v>57</v>
      </c>
      <c r="GZ107" t="s">
        <v>57</v>
      </c>
      <c r="HA107" t="s">
        <v>57</v>
      </c>
      <c r="HB107" t="s">
        <v>57</v>
      </c>
      <c r="HC107" t="s">
        <v>57</v>
      </c>
      <c r="HD107" t="s">
        <v>57</v>
      </c>
      <c r="HE107" t="s">
        <v>57</v>
      </c>
      <c r="HF107" t="s">
        <v>57</v>
      </c>
      <c r="HG107" t="s">
        <v>57</v>
      </c>
      <c r="HH107" t="s">
        <v>57</v>
      </c>
      <c r="HI107" t="s">
        <v>57</v>
      </c>
      <c r="HJ107" t="s">
        <v>57</v>
      </c>
      <c r="HK107" t="s">
        <v>57</v>
      </c>
      <c r="HL107" t="s">
        <v>57</v>
      </c>
      <c r="HM107" t="s">
        <v>57</v>
      </c>
      <c r="HN107" t="s">
        <v>57</v>
      </c>
      <c r="HO107" t="s">
        <v>57</v>
      </c>
      <c r="HP107" t="s">
        <v>57</v>
      </c>
      <c r="HQ107" t="s">
        <v>57</v>
      </c>
      <c r="HR107" t="s">
        <v>57</v>
      </c>
      <c r="HS107" t="s">
        <v>57</v>
      </c>
      <c r="HT107" t="s">
        <v>57</v>
      </c>
      <c r="HU107" t="s">
        <v>57</v>
      </c>
      <c r="HV107" t="s">
        <v>57</v>
      </c>
      <c r="HW107" t="s">
        <v>57</v>
      </c>
      <c r="HX107" t="s">
        <v>57</v>
      </c>
      <c r="HY107" t="s">
        <v>57</v>
      </c>
      <c r="HZ107" t="s">
        <v>57</v>
      </c>
      <c r="IA107" t="s">
        <v>57</v>
      </c>
      <c r="IB107" t="s">
        <v>57</v>
      </c>
      <c r="IC107" t="s">
        <v>57</v>
      </c>
      <c r="ID107" t="s">
        <v>57</v>
      </c>
      <c r="IE107" t="s">
        <v>57</v>
      </c>
      <c r="IF107" t="s">
        <v>123</v>
      </c>
      <c r="IG107" t="s">
        <v>124</v>
      </c>
      <c r="IH107" t="s">
        <v>123</v>
      </c>
      <c r="II107" t="s">
        <v>156</v>
      </c>
    </row>
    <row r="108" spans="1:243" x14ac:dyDescent="0.25">
      <c r="A108" s="111" t="str">
        <f>HYPERLINK("http://www.ofsted.gov.uk/inspection-reports/find-inspection-report/provider/ELS/131563 ","Ofsted School Webpage")</f>
        <v>Ofsted School Webpage</v>
      </c>
      <c r="B108">
        <v>131563</v>
      </c>
      <c r="C108">
        <v>8886093</v>
      </c>
      <c r="D108" t="s">
        <v>417</v>
      </c>
      <c r="E108" t="s">
        <v>37</v>
      </c>
      <c r="F108" t="s">
        <v>138</v>
      </c>
      <c r="G108" t="s">
        <v>162</v>
      </c>
      <c r="H108" t="s">
        <v>162</v>
      </c>
      <c r="I108" t="s">
        <v>163</v>
      </c>
      <c r="J108" t="s">
        <v>418</v>
      </c>
      <c r="K108" t="s">
        <v>142</v>
      </c>
      <c r="L108" t="s">
        <v>142</v>
      </c>
      <c r="M108" t="s">
        <v>2596</v>
      </c>
      <c r="N108" t="s">
        <v>143</v>
      </c>
      <c r="O108">
        <v>10020824</v>
      </c>
      <c r="P108" s="108">
        <v>43025</v>
      </c>
      <c r="Q108" s="108">
        <v>43027</v>
      </c>
      <c r="R108" s="108">
        <v>43048</v>
      </c>
      <c r="S108" t="s">
        <v>153</v>
      </c>
      <c r="T108" t="s">
        <v>154</v>
      </c>
      <c r="U108">
        <v>2</v>
      </c>
      <c r="V108">
        <v>2</v>
      </c>
      <c r="W108">
        <v>2</v>
      </c>
      <c r="X108">
        <v>2</v>
      </c>
      <c r="Y108">
        <v>2</v>
      </c>
      <c r="Z108" t="s">
        <v>2596</v>
      </c>
      <c r="AA108" t="s">
        <v>2596</v>
      </c>
      <c r="AB108" t="s">
        <v>123</v>
      </c>
      <c r="AC108" t="s">
        <v>2596</v>
      </c>
      <c r="AD108" t="s">
        <v>2598</v>
      </c>
      <c r="AE108" t="s">
        <v>57</v>
      </c>
      <c r="AF108" t="s">
        <v>57</v>
      </c>
      <c r="AG108" t="s">
        <v>57</v>
      </c>
      <c r="AH108" t="s">
        <v>57</v>
      </c>
      <c r="AI108" t="s">
        <v>57</v>
      </c>
      <c r="AJ108" t="s">
        <v>57</v>
      </c>
      <c r="AK108" t="s">
        <v>57</v>
      </c>
      <c r="AL108" t="s">
        <v>57</v>
      </c>
      <c r="AM108" t="s">
        <v>57</v>
      </c>
      <c r="AN108" t="s">
        <v>57</v>
      </c>
      <c r="AO108" t="s">
        <v>57</v>
      </c>
      <c r="AP108" t="s">
        <v>57</v>
      </c>
      <c r="AQ108" t="s">
        <v>57</v>
      </c>
      <c r="AR108" t="s">
        <v>57</v>
      </c>
      <c r="AS108" t="s">
        <v>57</v>
      </c>
      <c r="AT108" t="s">
        <v>57</v>
      </c>
      <c r="AU108" t="s">
        <v>148</v>
      </c>
      <c r="AV108" t="s">
        <v>57</v>
      </c>
      <c r="AW108" t="s">
        <v>57</v>
      </c>
      <c r="AX108" t="s">
        <v>57</v>
      </c>
      <c r="AY108" t="s">
        <v>57</v>
      </c>
      <c r="AZ108" t="s">
        <v>57</v>
      </c>
      <c r="BA108" t="s">
        <v>57</v>
      </c>
      <c r="BB108" t="s">
        <v>57</v>
      </c>
      <c r="BC108" t="s">
        <v>148</v>
      </c>
      <c r="BD108" t="s">
        <v>148</v>
      </c>
      <c r="BE108" t="s">
        <v>57</v>
      </c>
      <c r="BF108" t="s">
        <v>57</v>
      </c>
      <c r="BG108" t="s">
        <v>57</v>
      </c>
      <c r="BH108" t="s">
        <v>57</v>
      </c>
      <c r="BI108" t="s">
        <v>57</v>
      </c>
      <c r="BJ108" t="s">
        <v>57</v>
      </c>
      <c r="BK108" t="s">
        <v>57</v>
      </c>
      <c r="BL108" t="s">
        <v>57</v>
      </c>
      <c r="BM108" t="s">
        <v>57</v>
      </c>
      <c r="BN108" t="s">
        <v>57</v>
      </c>
      <c r="BO108" t="s">
        <v>57</v>
      </c>
      <c r="BP108" t="s">
        <v>57</v>
      </c>
      <c r="BQ108" t="s">
        <v>57</v>
      </c>
      <c r="BR108" t="s">
        <v>57</v>
      </c>
      <c r="BS108" t="s">
        <v>57</v>
      </c>
      <c r="BT108" t="s">
        <v>57</v>
      </c>
      <c r="BU108" t="s">
        <v>57</v>
      </c>
      <c r="BV108" t="s">
        <v>57</v>
      </c>
      <c r="BW108" t="s">
        <v>57</v>
      </c>
      <c r="BX108" t="s">
        <v>57</v>
      </c>
      <c r="BY108" t="s">
        <v>57</v>
      </c>
      <c r="BZ108" t="s">
        <v>57</v>
      </c>
      <c r="CA108" t="s">
        <v>57</v>
      </c>
      <c r="CB108" t="s">
        <v>57</v>
      </c>
      <c r="CC108" t="s">
        <v>57</v>
      </c>
      <c r="CD108" t="s">
        <v>57</v>
      </c>
      <c r="CE108" t="s">
        <v>57</v>
      </c>
      <c r="CF108" t="s">
        <v>57</v>
      </c>
      <c r="CG108" t="s">
        <v>57</v>
      </c>
      <c r="CH108" t="s">
        <v>57</v>
      </c>
      <c r="CI108" t="s">
        <v>57</v>
      </c>
      <c r="CJ108" t="s">
        <v>57</v>
      </c>
      <c r="CK108" t="s">
        <v>148</v>
      </c>
      <c r="CL108" t="s">
        <v>148</v>
      </c>
      <c r="CM108" t="s">
        <v>148</v>
      </c>
      <c r="CN108" t="s">
        <v>57</v>
      </c>
      <c r="CO108" t="s">
        <v>57</v>
      </c>
      <c r="CP108" t="s">
        <v>57</v>
      </c>
      <c r="CQ108" t="s">
        <v>57</v>
      </c>
      <c r="CR108" t="s">
        <v>57</v>
      </c>
      <c r="CS108" t="s">
        <v>57</v>
      </c>
      <c r="CT108" t="s">
        <v>57</v>
      </c>
      <c r="CU108" t="s">
        <v>57</v>
      </c>
      <c r="CV108" t="s">
        <v>57</v>
      </c>
      <c r="CW108" t="s">
        <v>57</v>
      </c>
      <c r="CX108" t="s">
        <v>57</v>
      </c>
      <c r="CY108" t="s">
        <v>57</v>
      </c>
      <c r="CZ108" t="s">
        <v>57</v>
      </c>
      <c r="DA108" t="s">
        <v>57</v>
      </c>
      <c r="DB108" t="s">
        <v>57</v>
      </c>
      <c r="DC108" t="s">
        <v>57</v>
      </c>
      <c r="DD108" t="s">
        <v>57</v>
      </c>
      <c r="DE108" t="s">
        <v>57</v>
      </c>
      <c r="DF108" t="s">
        <v>57</v>
      </c>
      <c r="DG108" t="s">
        <v>57</v>
      </c>
      <c r="DH108" t="s">
        <v>57</v>
      </c>
      <c r="DI108" t="s">
        <v>57</v>
      </c>
      <c r="DJ108" t="s">
        <v>57</v>
      </c>
      <c r="DK108" t="s">
        <v>148</v>
      </c>
      <c r="DL108" t="s">
        <v>57</v>
      </c>
      <c r="DM108" t="s">
        <v>148</v>
      </c>
      <c r="DN108" t="s">
        <v>148</v>
      </c>
      <c r="DO108" t="s">
        <v>148</v>
      </c>
      <c r="DP108" t="s">
        <v>148</v>
      </c>
      <c r="DQ108" t="s">
        <v>148</v>
      </c>
      <c r="DR108" t="s">
        <v>148</v>
      </c>
      <c r="DS108" t="s">
        <v>148</v>
      </c>
      <c r="DT108" t="s">
        <v>148</v>
      </c>
      <c r="DU108" t="s">
        <v>148</v>
      </c>
      <c r="DV108" t="s">
        <v>148</v>
      </c>
      <c r="DW108" t="s">
        <v>148</v>
      </c>
      <c r="DX108" t="s">
        <v>148</v>
      </c>
      <c r="DY108" t="s">
        <v>148</v>
      </c>
      <c r="DZ108" t="s">
        <v>148</v>
      </c>
      <c r="EA108" t="s">
        <v>57</v>
      </c>
      <c r="EB108" t="s">
        <v>57</v>
      </c>
      <c r="EC108" t="s">
        <v>57</v>
      </c>
      <c r="ED108" t="s">
        <v>57</v>
      </c>
      <c r="EE108" t="s">
        <v>57</v>
      </c>
      <c r="EF108" t="s">
        <v>57</v>
      </c>
      <c r="EG108" t="s">
        <v>57</v>
      </c>
      <c r="EH108" t="s">
        <v>57</v>
      </c>
      <c r="EI108" t="s">
        <v>57</v>
      </c>
      <c r="EJ108" t="s">
        <v>57</v>
      </c>
      <c r="EK108" t="s">
        <v>57</v>
      </c>
      <c r="EL108" t="s">
        <v>57</v>
      </c>
      <c r="EM108" t="s">
        <v>57</v>
      </c>
      <c r="EN108" t="s">
        <v>57</v>
      </c>
      <c r="EO108" t="s">
        <v>57</v>
      </c>
      <c r="EP108" t="s">
        <v>57</v>
      </c>
      <c r="EQ108" t="s">
        <v>57</v>
      </c>
      <c r="ER108" t="s">
        <v>57</v>
      </c>
      <c r="ES108" t="s">
        <v>57</v>
      </c>
      <c r="ET108" t="s">
        <v>57</v>
      </c>
      <c r="EU108" t="s">
        <v>57</v>
      </c>
      <c r="EV108" t="s">
        <v>57</v>
      </c>
      <c r="EW108" t="s">
        <v>57</v>
      </c>
      <c r="EX108" t="s">
        <v>148</v>
      </c>
      <c r="EY108" t="s">
        <v>148</v>
      </c>
      <c r="EZ108" t="s">
        <v>148</v>
      </c>
      <c r="FA108" t="s">
        <v>148</v>
      </c>
      <c r="FB108" t="s">
        <v>148</v>
      </c>
      <c r="FC108" t="s">
        <v>148</v>
      </c>
      <c r="FD108" t="s">
        <v>148</v>
      </c>
      <c r="FE108" t="s">
        <v>148</v>
      </c>
      <c r="FF108" t="s">
        <v>148</v>
      </c>
      <c r="FG108" t="s">
        <v>148</v>
      </c>
      <c r="FH108" t="s">
        <v>57</v>
      </c>
      <c r="FI108" t="s">
        <v>57</v>
      </c>
      <c r="FJ108" t="s">
        <v>57</v>
      </c>
      <c r="FK108" t="s">
        <v>57</v>
      </c>
      <c r="FL108" t="s">
        <v>57</v>
      </c>
      <c r="FM108" t="s">
        <v>57</v>
      </c>
      <c r="FN108" t="s">
        <v>57</v>
      </c>
      <c r="FO108" t="s">
        <v>148</v>
      </c>
      <c r="FP108" t="s">
        <v>57</v>
      </c>
      <c r="FQ108" t="s">
        <v>57</v>
      </c>
      <c r="FR108" t="s">
        <v>57</v>
      </c>
      <c r="FS108" t="s">
        <v>57</v>
      </c>
      <c r="FT108" t="s">
        <v>57</v>
      </c>
      <c r="FU108" t="s">
        <v>57</v>
      </c>
      <c r="FV108" t="s">
        <v>57</v>
      </c>
      <c r="FW108" t="s">
        <v>57</v>
      </c>
      <c r="FX108" t="s">
        <v>57</v>
      </c>
      <c r="FY108" t="s">
        <v>57</v>
      </c>
      <c r="FZ108" t="s">
        <v>57</v>
      </c>
      <c r="GA108" t="s">
        <v>57</v>
      </c>
      <c r="GB108" t="s">
        <v>57</v>
      </c>
      <c r="GC108" t="s">
        <v>57</v>
      </c>
      <c r="GD108" t="s">
        <v>57</v>
      </c>
      <c r="GE108" t="s">
        <v>57</v>
      </c>
      <c r="GF108" t="s">
        <v>57</v>
      </c>
      <c r="GG108" t="s">
        <v>148</v>
      </c>
      <c r="GH108" t="s">
        <v>57</v>
      </c>
      <c r="GI108" t="s">
        <v>57</v>
      </c>
      <c r="GJ108" t="s">
        <v>57</v>
      </c>
      <c r="GK108" t="s">
        <v>57</v>
      </c>
      <c r="GL108" t="s">
        <v>57</v>
      </c>
      <c r="GM108" t="s">
        <v>148</v>
      </c>
      <c r="GN108" t="s">
        <v>57</v>
      </c>
      <c r="GO108" t="s">
        <v>57</v>
      </c>
      <c r="GP108" t="s">
        <v>57</v>
      </c>
      <c r="GQ108" t="s">
        <v>57</v>
      </c>
      <c r="GR108" t="s">
        <v>57</v>
      </c>
      <c r="GS108" t="s">
        <v>57</v>
      </c>
      <c r="GT108" t="s">
        <v>57</v>
      </c>
      <c r="GU108" t="s">
        <v>57</v>
      </c>
      <c r="GV108" t="s">
        <v>57</v>
      </c>
      <c r="GW108" t="s">
        <v>57</v>
      </c>
      <c r="GX108" t="s">
        <v>148</v>
      </c>
      <c r="GY108" t="s">
        <v>57</v>
      </c>
      <c r="GZ108" t="s">
        <v>57</v>
      </c>
      <c r="HA108" t="s">
        <v>57</v>
      </c>
      <c r="HB108" t="s">
        <v>57</v>
      </c>
      <c r="HC108" t="s">
        <v>57</v>
      </c>
      <c r="HD108" t="s">
        <v>57</v>
      </c>
      <c r="HE108" t="s">
        <v>57</v>
      </c>
      <c r="HF108" t="s">
        <v>57</v>
      </c>
      <c r="HG108" t="s">
        <v>57</v>
      </c>
      <c r="HH108" t="s">
        <v>148</v>
      </c>
      <c r="HI108" t="s">
        <v>148</v>
      </c>
      <c r="HJ108" t="s">
        <v>148</v>
      </c>
      <c r="HK108" t="s">
        <v>148</v>
      </c>
      <c r="HL108" t="s">
        <v>57</v>
      </c>
      <c r="HM108" t="s">
        <v>57</v>
      </c>
      <c r="HN108" t="s">
        <v>57</v>
      </c>
      <c r="HO108" t="s">
        <v>57</v>
      </c>
      <c r="HP108" t="s">
        <v>57</v>
      </c>
      <c r="HQ108" t="s">
        <v>57</v>
      </c>
      <c r="HR108" t="s">
        <v>57</v>
      </c>
      <c r="HS108" t="s">
        <v>57</v>
      </c>
      <c r="HT108" t="s">
        <v>57</v>
      </c>
      <c r="HU108" t="s">
        <v>57</v>
      </c>
      <c r="HV108" t="s">
        <v>57</v>
      </c>
      <c r="HW108" t="s">
        <v>57</v>
      </c>
      <c r="HX108" t="s">
        <v>57</v>
      </c>
      <c r="HY108" t="s">
        <v>57</v>
      </c>
      <c r="HZ108" t="s">
        <v>57</v>
      </c>
      <c r="IA108" t="s">
        <v>57</v>
      </c>
      <c r="IB108" t="s">
        <v>57</v>
      </c>
      <c r="IC108" t="s">
        <v>57</v>
      </c>
      <c r="ID108" t="s">
        <v>57</v>
      </c>
      <c r="IE108" t="s">
        <v>57</v>
      </c>
      <c r="IF108" t="s">
        <v>123</v>
      </c>
      <c r="IG108" t="s">
        <v>155</v>
      </c>
      <c r="IH108" t="s">
        <v>123</v>
      </c>
      <c r="II108" t="s">
        <v>156</v>
      </c>
    </row>
    <row r="109" spans="1:243" x14ac:dyDescent="0.25">
      <c r="A109" s="111" t="str">
        <f>HYPERLINK("http://www.ofsted.gov.uk/inspection-reports/find-inspection-report/provider/ELS/131745 ","Ofsted School Webpage")</f>
        <v>Ofsted School Webpage</v>
      </c>
      <c r="B109">
        <v>131745</v>
      </c>
      <c r="C109">
        <v>2116389</v>
      </c>
      <c r="D109" t="s">
        <v>2167</v>
      </c>
      <c r="E109" t="s">
        <v>36</v>
      </c>
      <c r="F109" t="s">
        <v>166</v>
      </c>
      <c r="G109" t="s">
        <v>189</v>
      </c>
      <c r="H109" t="s">
        <v>189</v>
      </c>
      <c r="I109" t="s">
        <v>494</v>
      </c>
      <c r="J109" t="s">
        <v>2168</v>
      </c>
      <c r="K109" t="s">
        <v>142</v>
      </c>
      <c r="L109" t="s">
        <v>180</v>
      </c>
      <c r="M109" t="s">
        <v>2596</v>
      </c>
      <c r="N109" t="s">
        <v>143</v>
      </c>
      <c r="O109">
        <v>10044537</v>
      </c>
      <c r="P109" s="108">
        <v>43137</v>
      </c>
      <c r="Q109" s="108">
        <v>43139</v>
      </c>
      <c r="R109" s="108">
        <v>43179</v>
      </c>
      <c r="S109" t="s">
        <v>153</v>
      </c>
      <c r="T109" t="s">
        <v>154</v>
      </c>
      <c r="U109">
        <v>4</v>
      </c>
      <c r="V109">
        <v>4</v>
      </c>
      <c r="W109">
        <v>4</v>
      </c>
      <c r="X109">
        <v>3</v>
      </c>
      <c r="Y109">
        <v>3</v>
      </c>
      <c r="Z109" t="s">
        <v>2596</v>
      </c>
      <c r="AA109">
        <v>4</v>
      </c>
      <c r="AB109" t="s">
        <v>124</v>
      </c>
      <c r="AC109" t="s">
        <v>2596</v>
      </c>
      <c r="AD109" t="s">
        <v>2599</v>
      </c>
      <c r="AE109" t="s">
        <v>57</v>
      </c>
      <c r="AF109" t="s">
        <v>57</v>
      </c>
      <c r="AG109" t="s">
        <v>58</v>
      </c>
      <c r="AH109" t="s">
        <v>57</v>
      </c>
      <c r="AI109" t="s">
        <v>57</v>
      </c>
      <c r="AJ109" t="s">
        <v>57</v>
      </c>
      <c r="AK109" t="s">
        <v>57</v>
      </c>
      <c r="AL109" t="s">
        <v>58</v>
      </c>
      <c r="AM109" t="s">
        <v>57</v>
      </c>
      <c r="AN109" t="s">
        <v>57</v>
      </c>
      <c r="AO109" t="s">
        <v>57</v>
      </c>
      <c r="AP109" t="s">
        <v>57</v>
      </c>
      <c r="AQ109" t="s">
        <v>57</v>
      </c>
      <c r="AR109" t="s">
        <v>57</v>
      </c>
      <c r="AS109" t="s">
        <v>57</v>
      </c>
      <c r="AT109" t="s">
        <v>57</v>
      </c>
      <c r="AU109" t="s">
        <v>175</v>
      </c>
      <c r="AV109" t="s">
        <v>57</v>
      </c>
      <c r="AW109" t="s">
        <v>57</v>
      </c>
      <c r="AX109" t="s">
        <v>57</v>
      </c>
      <c r="AY109" t="s">
        <v>57</v>
      </c>
      <c r="AZ109" t="s">
        <v>57</v>
      </c>
      <c r="BA109" t="s">
        <v>57</v>
      </c>
      <c r="BB109" t="s">
        <v>57</v>
      </c>
      <c r="BC109" t="s">
        <v>175</v>
      </c>
      <c r="BD109" t="s">
        <v>57</v>
      </c>
      <c r="BE109" t="s">
        <v>57</v>
      </c>
      <c r="BF109" t="s">
        <v>57</v>
      </c>
      <c r="BG109" t="s">
        <v>57</v>
      </c>
      <c r="BH109" t="s">
        <v>57</v>
      </c>
      <c r="BI109" t="s">
        <v>57</v>
      </c>
      <c r="BJ109" t="s">
        <v>57</v>
      </c>
      <c r="BK109" t="s">
        <v>57</v>
      </c>
      <c r="BL109" t="s">
        <v>57</v>
      </c>
      <c r="BM109" t="s">
        <v>57</v>
      </c>
      <c r="BN109" t="s">
        <v>57</v>
      </c>
      <c r="BO109" t="s">
        <v>57</v>
      </c>
      <c r="BP109" t="s">
        <v>57</v>
      </c>
      <c r="BQ109" t="s">
        <v>57</v>
      </c>
      <c r="BR109" t="s">
        <v>57</v>
      </c>
      <c r="BS109" t="s">
        <v>57</v>
      </c>
      <c r="BT109" t="s">
        <v>57</v>
      </c>
      <c r="BU109" t="s">
        <v>57</v>
      </c>
      <c r="BV109" t="s">
        <v>57</v>
      </c>
      <c r="BW109" t="s">
        <v>57</v>
      </c>
      <c r="BX109" t="s">
        <v>57</v>
      </c>
      <c r="BY109" t="s">
        <v>57</v>
      </c>
      <c r="BZ109" t="s">
        <v>57</v>
      </c>
      <c r="CA109" t="s">
        <v>57</v>
      </c>
      <c r="CB109" t="s">
        <v>57</v>
      </c>
      <c r="CC109" t="s">
        <v>57</v>
      </c>
      <c r="CD109" t="s">
        <v>57</v>
      </c>
      <c r="CE109" t="s">
        <v>57</v>
      </c>
      <c r="CF109" t="s">
        <v>57</v>
      </c>
      <c r="CG109" t="s">
        <v>57</v>
      </c>
      <c r="CH109" t="s">
        <v>58</v>
      </c>
      <c r="CI109" t="s">
        <v>58</v>
      </c>
      <c r="CJ109" t="s">
        <v>58</v>
      </c>
      <c r="CK109" t="s">
        <v>175</v>
      </c>
      <c r="CL109" t="s">
        <v>175</v>
      </c>
      <c r="CM109" t="s">
        <v>175</v>
      </c>
      <c r="CN109" t="s">
        <v>57</v>
      </c>
      <c r="CO109" t="s">
        <v>57</v>
      </c>
      <c r="CP109" t="s">
        <v>57</v>
      </c>
      <c r="CQ109" t="s">
        <v>57</v>
      </c>
      <c r="CR109" t="s">
        <v>57</v>
      </c>
      <c r="CS109" t="s">
        <v>57</v>
      </c>
      <c r="CT109" t="s">
        <v>57</v>
      </c>
      <c r="CU109" t="s">
        <v>57</v>
      </c>
      <c r="CV109" t="s">
        <v>57</v>
      </c>
      <c r="CW109" t="s">
        <v>57</v>
      </c>
      <c r="CX109" t="s">
        <v>57</v>
      </c>
      <c r="CY109" t="s">
        <v>57</v>
      </c>
      <c r="CZ109" t="s">
        <v>57</v>
      </c>
      <c r="DA109" t="s">
        <v>57</v>
      </c>
      <c r="DB109" t="s">
        <v>57</v>
      </c>
      <c r="DC109" t="s">
        <v>57</v>
      </c>
      <c r="DD109" t="s">
        <v>57</v>
      </c>
      <c r="DE109" t="s">
        <v>57</v>
      </c>
      <c r="DF109" t="s">
        <v>57</v>
      </c>
      <c r="DG109" t="s">
        <v>57</v>
      </c>
      <c r="DH109" t="s">
        <v>57</v>
      </c>
      <c r="DI109" t="s">
        <v>57</v>
      </c>
      <c r="DJ109" t="s">
        <v>57</v>
      </c>
      <c r="DK109" t="s">
        <v>175</v>
      </c>
      <c r="DL109" t="s">
        <v>57</v>
      </c>
      <c r="DM109" t="s">
        <v>175</v>
      </c>
      <c r="DN109" t="s">
        <v>175</v>
      </c>
      <c r="DO109" t="s">
        <v>175</v>
      </c>
      <c r="DP109" t="s">
        <v>175</v>
      </c>
      <c r="DQ109" t="s">
        <v>175</v>
      </c>
      <c r="DR109" t="s">
        <v>175</v>
      </c>
      <c r="DS109" t="s">
        <v>175</v>
      </c>
      <c r="DT109" t="s">
        <v>175</v>
      </c>
      <c r="DU109" t="s">
        <v>175</v>
      </c>
      <c r="DV109" t="s">
        <v>175</v>
      </c>
      <c r="DW109" t="s">
        <v>175</v>
      </c>
      <c r="DX109" t="s">
        <v>175</v>
      </c>
      <c r="DY109" t="s">
        <v>175</v>
      </c>
      <c r="DZ109" t="s">
        <v>57</v>
      </c>
      <c r="EA109" t="s">
        <v>175</v>
      </c>
      <c r="EB109" t="s">
        <v>175</v>
      </c>
      <c r="EC109" t="s">
        <v>175</v>
      </c>
      <c r="ED109" t="s">
        <v>175</v>
      </c>
      <c r="EE109" t="s">
        <v>175</v>
      </c>
      <c r="EF109" t="s">
        <v>175</v>
      </c>
      <c r="EG109" t="s">
        <v>175</v>
      </c>
      <c r="EH109" t="s">
        <v>175</v>
      </c>
      <c r="EI109" t="s">
        <v>175</v>
      </c>
      <c r="EJ109" t="s">
        <v>58</v>
      </c>
      <c r="EK109" t="s">
        <v>57</v>
      </c>
      <c r="EL109" t="s">
        <v>57</v>
      </c>
      <c r="EM109" t="s">
        <v>57</v>
      </c>
      <c r="EN109" t="s">
        <v>57</v>
      </c>
      <c r="EO109" t="s">
        <v>57</v>
      </c>
      <c r="EP109" t="s">
        <v>57</v>
      </c>
      <c r="EQ109" t="s">
        <v>57</v>
      </c>
      <c r="ER109" t="s">
        <v>57</v>
      </c>
      <c r="ES109" t="s">
        <v>57</v>
      </c>
      <c r="ET109" t="s">
        <v>57</v>
      </c>
      <c r="EU109" t="s">
        <v>57</v>
      </c>
      <c r="EV109" t="s">
        <v>57</v>
      </c>
      <c r="EW109" t="s">
        <v>57</v>
      </c>
      <c r="EX109" t="s">
        <v>175</v>
      </c>
      <c r="EY109" t="s">
        <v>175</v>
      </c>
      <c r="EZ109" t="s">
        <v>175</v>
      </c>
      <c r="FA109" t="s">
        <v>175</v>
      </c>
      <c r="FB109" t="s">
        <v>175</v>
      </c>
      <c r="FC109" t="s">
        <v>175</v>
      </c>
      <c r="FD109" t="s">
        <v>175</v>
      </c>
      <c r="FE109" t="s">
        <v>175</v>
      </c>
      <c r="FF109" t="s">
        <v>148</v>
      </c>
      <c r="FG109" t="s">
        <v>175</v>
      </c>
      <c r="FH109" t="s">
        <v>57</v>
      </c>
      <c r="FI109" t="s">
        <v>57</v>
      </c>
      <c r="FJ109" t="s">
        <v>57</v>
      </c>
      <c r="FK109" t="s">
        <v>57</v>
      </c>
      <c r="FL109" t="s">
        <v>57</v>
      </c>
      <c r="FM109" t="s">
        <v>57</v>
      </c>
      <c r="FN109" t="s">
        <v>57</v>
      </c>
      <c r="FO109" t="s">
        <v>175</v>
      </c>
      <c r="FP109" t="s">
        <v>57</v>
      </c>
      <c r="FQ109" t="s">
        <v>57</v>
      </c>
      <c r="FR109" t="s">
        <v>57</v>
      </c>
      <c r="FS109" t="s">
        <v>57</v>
      </c>
      <c r="FT109" t="s">
        <v>57</v>
      </c>
      <c r="FU109" t="s">
        <v>57</v>
      </c>
      <c r="FV109" t="s">
        <v>57</v>
      </c>
      <c r="FW109" t="s">
        <v>57</v>
      </c>
      <c r="FX109" t="s">
        <v>57</v>
      </c>
      <c r="FY109" t="s">
        <v>57</v>
      </c>
      <c r="FZ109" t="s">
        <v>57</v>
      </c>
      <c r="GA109" t="s">
        <v>57</v>
      </c>
      <c r="GB109" t="s">
        <v>57</v>
      </c>
      <c r="GC109" t="s">
        <v>57</v>
      </c>
      <c r="GD109" t="s">
        <v>57</v>
      </c>
      <c r="GE109" t="s">
        <v>57</v>
      </c>
      <c r="GF109" t="s">
        <v>57</v>
      </c>
      <c r="GG109" t="s">
        <v>175</v>
      </c>
      <c r="GH109" t="s">
        <v>57</v>
      </c>
      <c r="GI109" t="s">
        <v>57</v>
      </c>
      <c r="GJ109" t="s">
        <v>57</v>
      </c>
      <c r="GK109" t="s">
        <v>57</v>
      </c>
      <c r="GL109" t="s">
        <v>57</v>
      </c>
      <c r="GM109" t="s">
        <v>175</v>
      </c>
      <c r="GN109" t="s">
        <v>57</v>
      </c>
      <c r="GO109" t="s">
        <v>57</v>
      </c>
      <c r="GP109" t="s">
        <v>175</v>
      </c>
      <c r="GQ109" t="s">
        <v>175</v>
      </c>
      <c r="GR109" t="s">
        <v>57</v>
      </c>
      <c r="GS109" t="s">
        <v>57</v>
      </c>
      <c r="GT109" t="s">
        <v>57</v>
      </c>
      <c r="GU109" t="s">
        <v>57</v>
      </c>
      <c r="GV109" t="s">
        <v>57</v>
      </c>
      <c r="GW109" t="s">
        <v>175</v>
      </c>
      <c r="GX109" t="s">
        <v>57</v>
      </c>
      <c r="GY109" t="s">
        <v>57</v>
      </c>
      <c r="GZ109" t="s">
        <v>57</v>
      </c>
      <c r="HA109" t="s">
        <v>57</v>
      </c>
      <c r="HB109" t="s">
        <v>175</v>
      </c>
      <c r="HC109" t="s">
        <v>57</v>
      </c>
      <c r="HD109" t="s">
        <v>57</v>
      </c>
      <c r="HE109" t="s">
        <v>57</v>
      </c>
      <c r="HF109" t="s">
        <v>57</v>
      </c>
      <c r="HG109" t="s">
        <v>57</v>
      </c>
      <c r="HH109" t="s">
        <v>175</v>
      </c>
      <c r="HI109" t="s">
        <v>175</v>
      </c>
      <c r="HJ109" t="s">
        <v>175</v>
      </c>
      <c r="HK109" t="s">
        <v>175</v>
      </c>
      <c r="HL109" t="s">
        <v>57</v>
      </c>
      <c r="HM109" t="s">
        <v>57</v>
      </c>
      <c r="HN109" t="s">
        <v>57</v>
      </c>
      <c r="HO109" t="s">
        <v>57</v>
      </c>
      <c r="HP109" t="s">
        <v>57</v>
      </c>
      <c r="HQ109" t="s">
        <v>57</v>
      </c>
      <c r="HR109" t="s">
        <v>57</v>
      </c>
      <c r="HS109" t="s">
        <v>57</v>
      </c>
      <c r="HT109" t="s">
        <v>57</v>
      </c>
      <c r="HU109" t="s">
        <v>57</v>
      </c>
      <c r="HV109" t="s">
        <v>57</v>
      </c>
      <c r="HW109" t="s">
        <v>57</v>
      </c>
      <c r="HX109" t="s">
        <v>57</v>
      </c>
      <c r="HY109" t="s">
        <v>57</v>
      </c>
      <c r="HZ109" t="s">
        <v>57</v>
      </c>
      <c r="IA109" t="s">
        <v>57</v>
      </c>
      <c r="IB109" t="s">
        <v>58</v>
      </c>
      <c r="IC109" t="s">
        <v>58</v>
      </c>
      <c r="ID109" t="s">
        <v>58</v>
      </c>
      <c r="IE109" t="s">
        <v>58</v>
      </c>
      <c r="IF109" t="s">
        <v>124</v>
      </c>
      <c r="IG109" t="s">
        <v>148</v>
      </c>
      <c r="IH109" t="s">
        <v>123</v>
      </c>
      <c r="II109" t="s">
        <v>156</v>
      </c>
    </row>
    <row r="110" spans="1:243" x14ac:dyDescent="0.25">
      <c r="A110" s="111" t="str">
        <f>HYPERLINK("http://www.ofsted.gov.uk/inspection-reports/find-inspection-report/provider/ELS/131755 ","Ofsted School Webpage")</f>
        <v>Ofsted School Webpage</v>
      </c>
      <c r="B110">
        <v>131755</v>
      </c>
      <c r="C110">
        <v>3076079</v>
      </c>
      <c r="D110" t="s">
        <v>2251</v>
      </c>
      <c r="E110" t="s">
        <v>36</v>
      </c>
      <c r="F110" t="s">
        <v>166</v>
      </c>
      <c r="G110" t="s">
        <v>189</v>
      </c>
      <c r="H110" t="s">
        <v>189</v>
      </c>
      <c r="I110" t="s">
        <v>584</v>
      </c>
      <c r="J110" t="s">
        <v>2252</v>
      </c>
      <c r="K110" t="s">
        <v>142</v>
      </c>
      <c r="L110" t="s">
        <v>142</v>
      </c>
      <c r="M110" t="s">
        <v>2596</v>
      </c>
      <c r="N110" t="s">
        <v>143</v>
      </c>
      <c r="O110">
        <v>10026286</v>
      </c>
      <c r="P110" s="108">
        <v>43130</v>
      </c>
      <c r="Q110" s="108">
        <v>43132</v>
      </c>
      <c r="R110" s="108">
        <v>43159</v>
      </c>
      <c r="S110" t="s">
        <v>153</v>
      </c>
      <c r="T110" t="s">
        <v>154</v>
      </c>
      <c r="U110">
        <v>2</v>
      </c>
      <c r="V110">
        <v>2</v>
      </c>
      <c r="W110">
        <v>1</v>
      </c>
      <c r="X110">
        <v>2</v>
      </c>
      <c r="Y110">
        <v>2</v>
      </c>
      <c r="Z110" t="s">
        <v>2596</v>
      </c>
      <c r="AA110" t="s">
        <v>2596</v>
      </c>
      <c r="AB110" t="s">
        <v>123</v>
      </c>
      <c r="AC110" t="s">
        <v>2596</v>
      </c>
      <c r="AD110" t="s">
        <v>2598</v>
      </c>
      <c r="AE110" t="s">
        <v>57</v>
      </c>
      <c r="AF110" t="s">
        <v>57</v>
      </c>
      <c r="AG110" t="s">
        <v>57</v>
      </c>
      <c r="AH110" t="s">
        <v>57</v>
      </c>
      <c r="AI110" t="s">
        <v>57</v>
      </c>
      <c r="AJ110" t="s">
        <v>57</v>
      </c>
      <c r="AK110" t="s">
        <v>57</v>
      </c>
      <c r="AL110" t="s">
        <v>57</v>
      </c>
      <c r="AM110" t="s">
        <v>57</v>
      </c>
      <c r="AN110" t="s">
        <v>57</v>
      </c>
      <c r="AO110" t="s">
        <v>57</v>
      </c>
      <c r="AP110" t="s">
        <v>57</v>
      </c>
      <c r="AQ110" t="s">
        <v>57</v>
      </c>
      <c r="AR110" t="s">
        <v>57</v>
      </c>
      <c r="AS110" t="s">
        <v>57</v>
      </c>
      <c r="AT110" t="s">
        <v>57</v>
      </c>
      <c r="AU110" t="s">
        <v>57</v>
      </c>
      <c r="AV110" t="s">
        <v>57</v>
      </c>
      <c r="AW110" t="s">
        <v>57</v>
      </c>
      <c r="AX110" t="s">
        <v>57</v>
      </c>
      <c r="AY110" t="s">
        <v>57</v>
      </c>
      <c r="AZ110" t="s">
        <v>57</v>
      </c>
      <c r="BA110" t="s">
        <v>57</v>
      </c>
      <c r="BB110" t="s">
        <v>57</v>
      </c>
      <c r="BC110" t="s">
        <v>57</v>
      </c>
      <c r="BD110" t="s">
        <v>57</v>
      </c>
      <c r="BE110" t="s">
        <v>57</v>
      </c>
      <c r="BF110" t="s">
        <v>57</v>
      </c>
      <c r="BG110" t="s">
        <v>57</v>
      </c>
      <c r="BH110" t="s">
        <v>57</v>
      </c>
      <c r="BI110" t="s">
        <v>57</v>
      </c>
      <c r="BJ110" t="s">
        <v>57</v>
      </c>
      <c r="BK110" t="s">
        <v>57</v>
      </c>
      <c r="BL110" t="s">
        <v>57</v>
      </c>
      <c r="BM110" t="s">
        <v>57</v>
      </c>
      <c r="BN110" t="s">
        <v>57</v>
      </c>
      <c r="BO110" t="s">
        <v>57</v>
      </c>
      <c r="BP110" t="s">
        <v>57</v>
      </c>
      <c r="BQ110" t="s">
        <v>57</v>
      </c>
      <c r="BR110" t="s">
        <v>57</v>
      </c>
      <c r="BS110" t="s">
        <v>57</v>
      </c>
      <c r="BT110" t="s">
        <v>57</v>
      </c>
      <c r="BU110" t="s">
        <v>57</v>
      </c>
      <c r="BV110" t="s">
        <v>57</v>
      </c>
      <c r="BW110" t="s">
        <v>57</v>
      </c>
      <c r="BX110" t="s">
        <v>57</v>
      </c>
      <c r="BY110" t="s">
        <v>57</v>
      </c>
      <c r="BZ110" t="s">
        <v>57</v>
      </c>
      <c r="CA110" t="s">
        <v>57</v>
      </c>
      <c r="CB110" t="s">
        <v>57</v>
      </c>
      <c r="CC110" t="s">
        <v>57</v>
      </c>
      <c r="CD110" t="s">
        <v>57</v>
      </c>
      <c r="CE110" t="s">
        <v>57</v>
      </c>
      <c r="CF110" t="s">
        <v>57</v>
      </c>
      <c r="CG110" t="s">
        <v>57</v>
      </c>
      <c r="CH110" t="s">
        <v>57</v>
      </c>
      <c r="CI110" t="s">
        <v>57</v>
      </c>
      <c r="CJ110" t="s">
        <v>57</v>
      </c>
      <c r="CK110" t="s">
        <v>57</v>
      </c>
      <c r="CL110" t="s">
        <v>57</v>
      </c>
      <c r="CM110" t="s">
        <v>57</v>
      </c>
      <c r="CN110" t="s">
        <v>57</v>
      </c>
      <c r="CO110" t="s">
        <v>57</v>
      </c>
      <c r="CP110" t="s">
        <v>57</v>
      </c>
      <c r="CQ110" t="s">
        <v>57</v>
      </c>
      <c r="CR110" t="s">
        <v>57</v>
      </c>
      <c r="CS110" t="s">
        <v>57</v>
      </c>
      <c r="CT110" t="s">
        <v>57</v>
      </c>
      <c r="CU110" t="s">
        <v>57</v>
      </c>
      <c r="CV110" t="s">
        <v>57</v>
      </c>
      <c r="CW110" t="s">
        <v>57</v>
      </c>
      <c r="CX110" t="s">
        <v>57</v>
      </c>
      <c r="CY110" t="s">
        <v>57</v>
      </c>
      <c r="CZ110" t="s">
        <v>57</v>
      </c>
      <c r="DA110" t="s">
        <v>57</v>
      </c>
      <c r="DB110" t="s">
        <v>57</v>
      </c>
      <c r="DC110" t="s">
        <v>57</v>
      </c>
      <c r="DD110" t="s">
        <v>57</v>
      </c>
      <c r="DE110" t="s">
        <v>57</v>
      </c>
      <c r="DF110" t="s">
        <v>57</v>
      </c>
      <c r="DG110" t="s">
        <v>57</v>
      </c>
      <c r="DH110" t="s">
        <v>57</v>
      </c>
      <c r="DI110" t="s">
        <v>57</v>
      </c>
      <c r="DJ110" t="s">
        <v>57</v>
      </c>
      <c r="DK110" t="s">
        <v>57</v>
      </c>
      <c r="DL110" t="s">
        <v>57</v>
      </c>
      <c r="DM110" t="s">
        <v>175</v>
      </c>
      <c r="DN110" t="s">
        <v>175</v>
      </c>
      <c r="DO110" t="s">
        <v>175</v>
      </c>
      <c r="DP110" t="s">
        <v>175</v>
      </c>
      <c r="DQ110" t="s">
        <v>175</v>
      </c>
      <c r="DR110" t="s">
        <v>175</v>
      </c>
      <c r="DS110" t="s">
        <v>175</v>
      </c>
      <c r="DT110" t="s">
        <v>175</v>
      </c>
      <c r="DU110" t="s">
        <v>175</v>
      </c>
      <c r="DV110" t="s">
        <v>175</v>
      </c>
      <c r="DW110" t="s">
        <v>175</v>
      </c>
      <c r="DX110" t="s">
        <v>175</v>
      </c>
      <c r="DY110" t="s">
        <v>175</v>
      </c>
      <c r="DZ110" t="s">
        <v>175</v>
      </c>
      <c r="EA110" t="s">
        <v>57</v>
      </c>
      <c r="EB110" t="s">
        <v>57</v>
      </c>
      <c r="EC110" t="s">
        <v>57</v>
      </c>
      <c r="ED110" t="s">
        <v>57</v>
      </c>
      <c r="EE110" t="s">
        <v>57</v>
      </c>
      <c r="EF110" t="s">
        <v>57</v>
      </c>
      <c r="EG110" t="s">
        <v>57</v>
      </c>
      <c r="EH110" t="s">
        <v>57</v>
      </c>
      <c r="EI110" t="s">
        <v>57</v>
      </c>
      <c r="EJ110" t="s">
        <v>57</v>
      </c>
      <c r="EK110" t="s">
        <v>57</v>
      </c>
      <c r="EL110" t="s">
        <v>57</v>
      </c>
      <c r="EM110" t="s">
        <v>57</v>
      </c>
      <c r="EN110" t="s">
        <v>57</v>
      </c>
      <c r="EO110" t="s">
        <v>57</v>
      </c>
      <c r="EP110" t="s">
        <v>57</v>
      </c>
      <c r="EQ110" t="s">
        <v>57</v>
      </c>
      <c r="ER110" t="s">
        <v>57</v>
      </c>
      <c r="ES110" t="s">
        <v>57</v>
      </c>
      <c r="ET110" t="s">
        <v>57</v>
      </c>
      <c r="EU110" t="s">
        <v>57</v>
      </c>
      <c r="EV110" t="s">
        <v>57</v>
      </c>
      <c r="EW110" t="s">
        <v>57</v>
      </c>
      <c r="EX110" t="s">
        <v>57</v>
      </c>
      <c r="EY110" t="s">
        <v>57</v>
      </c>
      <c r="EZ110" t="s">
        <v>57</v>
      </c>
      <c r="FA110" t="s">
        <v>57</v>
      </c>
      <c r="FB110" t="s">
        <v>57</v>
      </c>
      <c r="FC110" t="s">
        <v>57</v>
      </c>
      <c r="FD110" t="s">
        <v>57</v>
      </c>
      <c r="FE110" t="s">
        <v>57</v>
      </c>
      <c r="FF110" t="s">
        <v>57</v>
      </c>
      <c r="FG110" t="s">
        <v>57</v>
      </c>
      <c r="FH110" t="s">
        <v>57</v>
      </c>
      <c r="FI110" t="s">
        <v>57</v>
      </c>
      <c r="FJ110" t="s">
        <v>175</v>
      </c>
      <c r="FK110" t="s">
        <v>175</v>
      </c>
      <c r="FL110" t="s">
        <v>57</v>
      </c>
      <c r="FM110" t="s">
        <v>57</v>
      </c>
      <c r="FN110" t="s">
        <v>57</v>
      </c>
      <c r="FO110" t="s">
        <v>57</v>
      </c>
      <c r="FP110" t="s">
        <v>57</v>
      </c>
      <c r="FQ110" t="s">
        <v>57</v>
      </c>
      <c r="FR110" t="s">
        <v>57</v>
      </c>
      <c r="FS110" t="s">
        <v>57</v>
      </c>
      <c r="FT110" t="s">
        <v>57</v>
      </c>
      <c r="FU110" t="s">
        <v>57</v>
      </c>
      <c r="FV110" t="s">
        <v>57</v>
      </c>
      <c r="FW110" t="s">
        <v>57</v>
      </c>
      <c r="FX110" t="s">
        <v>57</v>
      </c>
      <c r="FY110" t="s">
        <v>57</v>
      </c>
      <c r="FZ110" t="s">
        <v>57</v>
      </c>
      <c r="GA110" t="s">
        <v>57</v>
      </c>
      <c r="GB110" t="s">
        <v>57</v>
      </c>
      <c r="GC110" t="s">
        <v>57</v>
      </c>
      <c r="GD110" t="s">
        <v>57</v>
      </c>
      <c r="GE110" t="s">
        <v>57</v>
      </c>
      <c r="GF110" t="s">
        <v>57</v>
      </c>
      <c r="GG110" t="s">
        <v>175</v>
      </c>
      <c r="GH110" t="s">
        <v>57</v>
      </c>
      <c r="GI110" t="s">
        <v>57</v>
      </c>
      <c r="GJ110" t="s">
        <v>57</v>
      </c>
      <c r="GK110" t="s">
        <v>57</v>
      </c>
      <c r="GL110" t="s">
        <v>57</v>
      </c>
      <c r="GM110" t="s">
        <v>57</v>
      </c>
      <c r="GN110" t="s">
        <v>57</v>
      </c>
      <c r="GO110" t="s">
        <v>57</v>
      </c>
      <c r="GP110" t="s">
        <v>57</v>
      </c>
      <c r="GQ110" t="s">
        <v>57</v>
      </c>
      <c r="GR110" t="s">
        <v>57</v>
      </c>
      <c r="GS110" t="s">
        <v>57</v>
      </c>
      <c r="GT110" t="s">
        <v>57</v>
      </c>
      <c r="GU110" t="s">
        <v>57</v>
      </c>
      <c r="GV110" t="s">
        <v>57</v>
      </c>
      <c r="GW110" t="s">
        <v>57</v>
      </c>
      <c r="GX110" t="s">
        <v>57</v>
      </c>
      <c r="GY110" t="s">
        <v>57</v>
      </c>
      <c r="GZ110" t="s">
        <v>57</v>
      </c>
      <c r="HA110" t="s">
        <v>57</v>
      </c>
      <c r="HB110" t="s">
        <v>57</v>
      </c>
      <c r="HC110" t="s">
        <v>57</v>
      </c>
      <c r="HD110" t="s">
        <v>57</v>
      </c>
      <c r="HE110" t="s">
        <v>175</v>
      </c>
      <c r="HF110" t="s">
        <v>57</v>
      </c>
      <c r="HG110" t="s">
        <v>57</v>
      </c>
      <c r="HH110" t="s">
        <v>57</v>
      </c>
      <c r="HI110" t="s">
        <v>175</v>
      </c>
      <c r="HJ110" t="s">
        <v>175</v>
      </c>
      <c r="HK110" t="s">
        <v>175</v>
      </c>
      <c r="HL110" t="s">
        <v>57</v>
      </c>
      <c r="HM110" t="s">
        <v>57</v>
      </c>
      <c r="HN110" t="s">
        <v>57</v>
      </c>
      <c r="HO110" t="s">
        <v>57</v>
      </c>
      <c r="HP110" t="s">
        <v>57</v>
      </c>
      <c r="HQ110" t="s">
        <v>57</v>
      </c>
      <c r="HR110" t="s">
        <v>57</v>
      </c>
      <c r="HS110" t="s">
        <v>57</v>
      </c>
      <c r="HT110" t="s">
        <v>57</v>
      </c>
      <c r="HU110" t="s">
        <v>57</v>
      </c>
      <c r="HV110" t="s">
        <v>57</v>
      </c>
      <c r="HW110" t="s">
        <v>57</v>
      </c>
      <c r="HX110" t="s">
        <v>57</v>
      </c>
      <c r="HY110" t="s">
        <v>57</v>
      </c>
      <c r="HZ110" t="s">
        <v>57</v>
      </c>
      <c r="IA110" t="s">
        <v>57</v>
      </c>
      <c r="IB110" t="s">
        <v>57</v>
      </c>
      <c r="IC110" t="s">
        <v>57</v>
      </c>
      <c r="ID110" t="s">
        <v>57</v>
      </c>
      <c r="IE110" t="s">
        <v>57</v>
      </c>
      <c r="IF110" t="s">
        <v>124</v>
      </c>
      <c r="IG110" t="s">
        <v>148</v>
      </c>
      <c r="IH110" t="s">
        <v>123</v>
      </c>
      <c r="II110" t="s">
        <v>156</v>
      </c>
    </row>
    <row r="111" spans="1:243" x14ac:dyDescent="0.25">
      <c r="A111" s="111" t="str">
        <f>HYPERLINK("http://www.ofsted.gov.uk/inspection-reports/find-inspection-report/provider/ELS/131778 ","Ofsted School Webpage")</f>
        <v>Ofsted School Webpage</v>
      </c>
      <c r="B111">
        <v>131778</v>
      </c>
      <c r="C111">
        <v>2076396</v>
      </c>
      <c r="D111" t="s">
        <v>382</v>
      </c>
      <c r="E111" t="s">
        <v>36</v>
      </c>
      <c r="F111" t="s">
        <v>166</v>
      </c>
      <c r="G111" t="s">
        <v>189</v>
      </c>
      <c r="H111" t="s">
        <v>189</v>
      </c>
      <c r="I111" t="s">
        <v>251</v>
      </c>
      <c r="J111" t="s">
        <v>383</v>
      </c>
      <c r="K111" t="s">
        <v>169</v>
      </c>
      <c r="L111" t="s">
        <v>169</v>
      </c>
      <c r="M111" t="s">
        <v>2596</v>
      </c>
      <c r="N111" t="s">
        <v>143</v>
      </c>
      <c r="O111">
        <v>10020864</v>
      </c>
      <c r="P111" s="108">
        <v>43025</v>
      </c>
      <c r="Q111" s="108">
        <v>43027</v>
      </c>
      <c r="R111" s="108">
        <v>43067</v>
      </c>
      <c r="S111" t="s">
        <v>153</v>
      </c>
      <c r="T111" t="s">
        <v>154</v>
      </c>
      <c r="U111">
        <v>3</v>
      </c>
      <c r="V111">
        <v>3</v>
      </c>
      <c r="W111">
        <v>2</v>
      </c>
      <c r="X111">
        <v>2</v>
      </c>
      <c r="Y111">
        <v>2</v>
      </c>
      <c r="Z111">
        <v>2</v>
      </c>
      <c r="AA111" t="s">
        <v>2596</v>
      </c>
      <c r="AB111" t="s">
        <v>123</v>
      </c>
      <c r="AC111" t="s">
        <v>2596</v>
      </c>
      <c r="AD111" t="s">
        <v>2599</v>
      </c>
      <c r="AE111" t="s">
        <v>57</v>
      </c>
      <c r="AF111" t="s">
        <v>57</v>
      </c>
      <c r="AG111" t="s">
        <v>57</v>
      </c>
      <c r="AH111" t="s">
        <v>57</v>
      </c>
      <c r="AI111" t="s">
        <v>58</v>
      </c>
      <c r="AJ111" t="s">
        <v>57</v>
      </c>
      <c r="AK111" t="s">
        <v>57</v>
      </c>
      <c r="AL111" t="s">
        <v>58</v>
      </c>
      <c r="AM111" t="s">
        <v>57</v>
      </c>
      <c r="AN111" t="s">
        <v>57</v>
      </c>
      <c r="AO111" t="s">
        <v>57</v>
      </c>
      <c r="AP111" t="s">
        <v>57</v>
      </c>
      <c r="AQ111" t="s">
        <v>57</v>
      </c>
      <c r="AR111" t="s">
        <v>57</v>
      </c>
      <c r="AS111" t="s">
        <v>57</v>
      </c>
      <c r="AT111" t="s">
        <v>57</v>
      </c>
      <c r="AU111" t="s">
        <v>148</v>
      </c>
      <c r="AV111" t="s">
        <v>57</v>
      </c>
      <c r="AW111" t="s">
        <v>57</v>
      </c>
      <c r="AX111" t="s">
        <v>57</v>
      </c>
      <c r="AY111" t="s">
        <v>57</v>
      </c>
      <c r="AZ111" t="s">
        <v>57</v>
      </c>
      <c r="BA111" t="s">
        <v>57</v>
      </c>
      <c r="BB111" t="s">
        <v>57</v>
      </c>
      <c r="BC111" t="s">
        <v>148</v>
      </c>
      <c r="BD111" t="s">
        <v>148</v>
      </c>
      <c r="BE111" t="s">
        <v>57</v>
      </c>
      <c r="BF111" t="s">
        <v>57</v>
      </c>
      <c r="BG111" t="s">
        <v>57</v>
      </c>
      <c r="BH111" t="s">
        <v>57</v>
      </c>
      <c r="BI111" t="s">
        <v>57</v>
      </c>
      <c r="BJ111" t="s">
        <v>57</v>
      </c>
      <c r="BK111" t="s">
        <v>57</v>
      </c>
      <c r="BL111" t="s">
        <v>57</v>
      </c>
      <c r="BM111" t="s">
        <v>57</v>
      </c>
      <c r="BN111" t="s">
        <v>57</v>
      </c>
      <c r="BO111" t="s">
        <v>57</v>
      </c>
      <c r="BP111" t="s">
        <v>57</v>
      </c>
      <c r="BQ111" t="s">
        <v>57</v>
      </c>
      <c r="BR111" t="s">
        <v>57</v>
      </c>
      <c r="BS111" t="s">
        <v>57</v>
      </c>
      <c r="BT111" t="s">
        <v>57</v>
      </c>
      <c r="BU111" t="s">
        <v>57</v>
      </c>
      <c r="BV111" t="s">
        <v>57</v>
      </c>
      <c r="BW111" t="s">
        <v>57</v>
      </c>
      <c r="BX111" t="s">
        <v>57</v>
      </c>
      <c r="BY111" t="s">
        <v>57</v>
      </c>
      <c r="BZ111" t="s">
        <v>57</v>
      </c>
      <c r="CA111" t="s">
        <v>57</v>
      </c>
      <c r="CB111" t="s">
        <v>57</v>
      </c>
      <c r="CC111" t="s">
        <v>57</v>
      </c>
      <c r="CD111" t="s">
        <v>57</v>
      </c>
      <c r="CE111" t="s">
        <v>57</v>
      </c>
      <c r="CF111" t="s">
        <v>57</v>
      </c>
      <c r="CG111" t="s">
        <v>57</v>
      </c>
      <c r="CH111" t="s">
        <v>57</v>
      </c>
      <c r="CI111" t="s">
        <v>57</v>
      </c>
      <c r="CJ111" t="s">
        <v>57</v>
      </c>
      <c r="CK111" t="s">
        <v>148</v>
      </c>
      <c r="CL111" t="s">
        <v>148</v>
      </c>
      <c r="CM111" t="s">
        <v>148</v>
      </c>
      <c r="CN111" t="s">
        <v>57</v>
      </c>
      <c r="CO111" t="s">
        <v>57</v>
      </c>
      <c r="CP111" t="s">
        <v>57</v>
      </c>
      <c r="CQ111" t="s">
        <v>57</v>
      </c>
      <c r="CR111" t="s">
        <v>57</v>
      </c>
      <c r="CS111" t="s">
        <v>57</v>
      </c>
      <c r="CT111" t="s">
        <v>57</v>
      </c>
      <c r="CU111" t="s">
        <v>57</v>
      </c>
      <c r="CV111" t="s">
        <v>57</v>
      </c>
      <c r="CW111" t="s">
        <v>57</v>
      </c>
      <c r="CX111" t="s">
        <v>57</v>
      </c>
      <c r="CY111" t="s">
        <v>57</v>
      </c>
      <c r="CZ111" t="s">
        <v>57</v>
      </c>
      <c r="DA111" t="s">
        <v>57</v>
      </c>
      <c r="DB111" t="s">
        <v>57</v>
      </c>
      <c r="DC111" t="s">
        <v>57</v>
      </c>
      <c r="DD111" t="s">
        <v>57</v>
      </c>
      <c r="DE111" t="s">
        <v>57</v>
      </c>
      <c r="DF111" t="s">
        <v>57</v>
      </c>
      <c r="DG111" t="s">
        <v>57</v>
      </c>
      <c r="DH111" t="s">
        <v>57</v>
      </c>
      <c r="DI111" t="s">
        <v>57</v>
      </c>
      <c r="DJ111" t="s">
        <v>57</v>
      </c>
      <c r="DK111" t="s">
        <v>148</v>
      </c>
      <c r="DL111" t="s">
        <v>57</v>
      </c>
      <c r="DM111" t="s">
        <v>57</v>
      </c>
      <c r="DN111" t="s">
        <v>57</v>
      </c>
      <c r="DO111" t="s">
        <v>57</v>
      </c>
      <c r="DP111" t="s">
        <v>57</v>
      </c>
      <c r="DQ111" t="s">
        <v>57</v>
      </c>
      <c r="DR111" t="s">
        <v>57</v>
      </c>
      <c r="DS111" t="s">
        <v>57</v>
      </c>
      <c r="DT111" t="s">
        <v>57</v>
      </c>
      <c r="DU111" t="s">
        <v>57</v>
      </c>
      <c r="DV111" t="s">
        <v>57</v>
      </c>
      <c r="DW111" t="s">
        <v>57</v>
      </c>
      <c r="DX111" t="s">
        <v>57</v>
      </c>
      <c r="DY111" t="s">
        <v>148</v>
      </c>
      <c r="DZ111" t="s">
        <v>57</v>
      </c>
      <c r="EA111" t="s">
        <v>57</v>
      </c>
      <c r="EB111" t="s">
        <v>57</v>
      </c>
      <c r="EC111" t="s">
        <v>57</v>
      </c>
      <c r="ED111" t="s">
        <v>57</v>
      </c>
      <c r="EE111" t="s">
        <v>57</v>
      </c>
      <c r="EF111" t="s">
        <v>57</v>
      </c>
      <c r="EG111" t="s">
        <v>57</v>
      </c>
      <c r="EH111" t="s">
        <v>57</v>
      </c>
      <c r="EI111" t="s">
        <v>57</v>
      </c>
      <c r="EJ111" t="s">
        <v>57</v>
      </c>
      <c r="EK111" t="s">
        <v>57</v>
      </c>
      <c r="EL111" t="s">
        <v>57</v>
      </c>
      <c r="EM111" t="s">
        <v>57</v>
      </c>
      <c r="EN111" t="s">
        <v>57</v>
      </c>
      <c r="EO111" t="s">
        <v>57</v>
      </c>
      <c r="EP111" t="s">
        <v>57</v>
      </c>
      <c r="EQ111" t="s">
        <v>57</v>
      </c>
      <c r="ER111" t="s">
        <v>57</v>
      </c>
      <c r="ES111" t="s">
        <v>57</v>
      </c>
      <c r="ET111" t="s">
        <v>57</v>
      </c>
      <c r="EU111" t="s">
        <v>57</v>
      </c>
      <c r="EV111" t="s">
        <v>57</v>
      </c>
      <c r="EW111" t="s">
        <v>57</v>
      </c>
      <c r="EX111" t="s">
        <v>57</v>
      </c>
      <c r="EY111" t="s">
        <v>57</v>
      </c>
      <c r="EZ111" t="s">
        <v>57</v>
      </c>
      <c r="FA111" t="s">
        <v>57</v>
      </c>
      <c r="FB111" t="s">
        <v>57</v>
      </c>
      <c r="FC111" t="s">
        <v>57</v>
      </c>
      <c r="FD111" t="s">
        <v>57</v>
      </c>
      <c r="FE111" t="s">
        <v>57</v>
      </c>
      <c r="FF111" t="s">
        <v>57</v>
      </c>
      <c r="FG111" t="s">
        <v>57</v>
      </c>
      <c r="FH111" t="s">
        <v>58</v>
      </c>
      <c r="FI111" t="s">
        <v>57</v>
      </c>
      <c r="FJ111" t="s">
        <v>57</v>
      </c>
      <c r="FK111" t="s">
        <v>58</v>
      </c>
      <c r="FL111" t="s">
        <v>57</v>
      </c>
      <c r="FM111" t="s">
        <v>57</v>
      </c>
      <c r="FN111" t="s">
        <v>57</v>
      </c>
      <c r="FO111" t="s">
        <v>148</v>
      </c>
      <c r="FP111" t="s">
        <v>57</v>
      </c>
      <c r="FQ111" t="s">
        <v>57</v>
      </c>
      <c r="FR111" t="s">
        <v>57</v>
      </c>
      <c r="FS111" t="s">
        <v>57</v>
      </c>
      <c r="FT111" t="s">
        <v>57</v>
      </c>
      <c r="FU111" t="s">
        <v>57</v>
      </c>
      <c r="FV111" t="s">
        <v>57</v>
      </c>
      <c r="FW111" t="s">
        <v>57</v>
      </c>
      <c r="FX111" t="s">
        <v>57</v>
      </c>
      <c r="FY111" t="s">
        <v>57</v>
      </c>
      <c r="FZ111" t="s">
        <v>57</v>
      </c>
      <c r="GA111" t="s">
        <v>57</v>
      </c>
      <c r="GB111" t="s">
        <v>57</v>
      </c>
      <c r="GC111" t="s">
        <v>57</v>
      </c>
      <c r="GD111" t="s">
        <v>57</v>
      </c>
      <c r="GE111" t="s">
        <v>57</v>
      </c>
      <c r="GF111" t="s">
        <v>57</v>
      </c>
      <c r="GG111" t="s">
        <v>148</v>
      </c>
      <c r="GH111" t="s">
        <v>57</v>
      </c>
      <c r="GI111" t="s">
        <v>57</v>
      </c>
      <c r="GJ111" t="s">
        <v>57</v>
      </c>
      <c r="GK111" t="s">
        <v>57</v>
      </c>
      <c r="GL111" t="s">
        <v>57</v>
      </c>
      <c r="GM111" t="s">
        <v>57</v>
      </c>
      <c r="GN111" t="s">
        <v>57</v>
      </c>
      <c r="GO111" t="s">
        <v>57</v>
      </c>
      <c r="GP111" t="s">
        <v>148</v>
      </c>
      <c r="GQ111" t="s">
        <v>57</v>
      </c>
      <c r="GR111" t="s">
        <v>57</v>
      </c>
      <c r="GS111" t="s">
        <v>57</v>
      </c>
      <c r="GT111" t="s">
        <v>57</v>
      </c>
      <c r="GU111" t="s">
        <v>57</v>
      </c>
      <c r="GV111" t="s">
        <v>148</v>
      </c>
      <c r="GW111" t="s">
        <v>57</v>
      </c>
      <c r="GX111" t="s">
        <v>148</v>
      </c>
      <c r="GY111" t="s">
        <v>57</v>
      </c>
      <c r="GZ111" t="s">
        <v>57</v>
      </c>
      <c r="HA111" t="s">
        <v>57</v>
      </c>
      <c r="HB111" t="s">
        <v>57</v>
      </c>
      <c r="HC111" t="s">
        <v>57</v>
      </c>
      <c r="HD111" t="s">
        <v>57</v>
      </c>
      <c r="HE111" t="s">
        <v>57</v>
      </c>
      <c r="HF111" t="s">
        <v>57</v>
      </c>
      <c r="HG111" t="s">
        <v>57</v>
      </c>
      <c r="HH111" t="s">
        <v>148</v>
      </c>
      <c r="HI111" t="s">
        <v>148</v>
      </c>
      <c r="HJ111" t="s">
        <v>148</v>
      </c>
      <c r="HK111" t="s">
        <v>148</v>
      </c>
      <c r="HL111" t="s">
        <v>57</v>
      </c>
      <c r="HM111" t="s">
        <v>57</v>
      </c>
      <c r="HN111" t="s">
        <v>57</v>
      </c>
      <c r="HO111" t="s">
        <v>57</v>
      </c>
      <c r="HP111" t="s">
        <v>57</v>
      </c>
      <c r="HQ111" t="s">
        <v>57</v>
      </c>
      <c r="HR111" t="s">
        <v>57</v>
      </c>
      <c r="HS111" t="s">
        <v>57</v>
      </c>
      <c r="HT111" t="s">
        <v>57</v>
      </c>
      <c r="HU111" t="s">
        <v>57</v>
      </c>
      <c r="HV111" t="s">
        <v>57</v>
      </c>
      <c r="HW111" t="s">
        <v>57</v>
      </c>
      <c r="HX111" t="s">
        <v>57</v>
      </c>
      <c r="HY111" t="s">
        <v>57</v>
      </c>
      <c r="HZ111" t="s">
        <v>57</v>
      </c>
      <c r="IA111" t="s">
        <v>57</v>
      </c>
      <c r="IB111" t="s">
        <v>58</v>
      </c>
      <c r="IC111" t="s">
        <v>58</v>
      </c>
      <c r="ID111" t="s">
        <v>58</v>
      </c>
      <c r="IE111" t="s">
        <v>58</v>
      </c>
      <c r="IF111" t="s">
        <v>124</v>
      </c>
      <c r="IG111" t="s">
        <v>155</v>
      </c>
      <c r="IH111" t="s">
        <v>123</v>
      </c>
      <c r="II111" t="s">
        <v>156</v>
      </c>
    </row>
    <row r="112" spans="1:243" x14ac:dyDescent="0.25">
      <c r="A112" s="111" t="str">
        <f>HYPERLINK("http://www.ofsted.gov.uk/inspection-reports/find-inspection-report/provider/ELS/131788 ","Ofsted School Webpage")</f>
        <v>Ofsted School Webpage</v>
      </c>
      <c r="B112">
        <v>131788</v>
      </c>
      <c r="C112">
        <v>3076080</v>
      </c>
      <c r="D112" t="s">
        <v>1928</v>
      </c>
      <c r="E112" t="s">
        <v>36</v>
      </c>
      <c r="F112" t="s">
        <v>166</v>
      </c>
      <c r="G112" t="s">
        <v>189</v>
      </c>
      <c r="H112" t="s">
        <v>189</v>
      </c>
      <c r="I112" t="s">
        <v>584</v>
      </c>
      <c r="J112" t="s">
        <v>1930</v>
      </c>
      <c r="K112" t="s">
        <v>142</v>
      </c>
      <c r="L112" t="s">
        <v>1929</v>
      </c>
      <c r="M112" t="s">
        <v>2596</v>
      </c>
      <c r="N112" t="s">
        <v>143</v>
      </c>
      <c r="O112">
        <v>10035792</v>
      </c>
      <c r="P112" s="108">
        <v>43109</v>
      </c>
      <c r="Q112" s="108">
        <v>43111</v>
      </c>
      <c r="R112" s="108">
        <v>43138</v>
      </c>
      <c r="S112" t="s">
        <v>153</v>
      </c>
      <c r="T112" t="s">
        <v>154</v>
      </c>
      <c r="U112">
        <v>3</v>
      </c>
      <c r="V112">
        <v>3</v>
      </c>
      <c r="W112">
        <v>2</v>
      </c>
      <c r="X112">
        <v>2</v>
      </c>
      <c r="Y112">
        <v>2</v>
      </c>
      <c r="Z112">
        <v>2</v>
      </c>
      <c r="AA112" t="s">
        <v>2596</v>
      </c>
      <c r="AB112" t="s">
        <v>123</v>
      </c>
      <c r="AC112" t="s">
        <v>2596</v>
      </c>
      <c r="AD112" t="s">
        <v>2599</v>
      </c>
      <c r="AE112" t="s">
        <v>57</v>
      </c>
      <c r="AF112" t="s">
        <v>58</v>
      </c>
      <c r="AG112" t="s">
        <v>57</v>
      </c>
      <c r="AH112" t="s">
        <v>57</v>
      </c>
      <c r="AI112" t="s">
        <v>57</v>
      </c>
      <c r="AJ112" t="s">
        <v>58</v>
      </c>
      <c r="AK112" t="s">
        <v>58</v>
      </c>
      <c r="AL112" t="s">
        <v>58</v>
      </c>
      <c r="AM112" t="s">
        <v>57</v>
      </c>
      <c r="AN112" t="s">
        <v>57</v>
      </c>
      <c r="AO112" t="s">
        <v>57</v>
      </c>
      <c r="AP112" t="s">
        <v>57</v>
      </c>
      <c r="AQ112" t="s">
        <v>57</v>
      </c>
      <c r="AR112" t="s">
        <v>58</v>
      </c>
      <c r="AS112" t="s">
        <v>57</v>
      </c>
      <c r="AT112" t="s">
        <v>57</v>
      </c>
      <c r="AU112" t="s">
        <v>57</v>
      </c>
      <c r="AV112" t="s">
        <v>57</v>
      </c>
      <c r="AW112" t="s">
        <v>57</v>
      </c>
      <c r="AX112" t="s">
        <v>58</v>
      </c>
      <c r="AY112" t="s">
        <v>175</v>
      </c>
      <c r="AZ112" t="s">
        <v>175</v>
      </c>
      <c r="BA112" t="s">
        <v>175</v>
      </c>
      <c r="BB112" t="s">
        <v>175</v>
      </c>
      <c r="BC112" t="s">
        <v>57</v>
      </c>
      <c r="BD112" t="s">
        <v>175</v>
      </c>
      <c r="BE112" t="s">
        <v>57</v>
      </c>
      <c r="BF112" t="s">
        <v>58</v>
      </c>
      <c r="BG112" t="s">
        <v>57</v>
      </c>
      <c r="BH112" t="s">
        <v>57</v>
      </c>
      <c r="BI112" t="s">
        <v>57</v>
      </c>
      <c r="BJ112" t="s">
        <v>57</v>
      </c>
      <c r="BK112" t="s">
        <v>57</v>
      </c>
      <c r="BL112" t="s">
        <v>57</v>
      </c>
      <c r="BM112" t="s">
        <v>57</v>
      </c>
      <c r="BN112" t="s">
        <v>57</v>
      </c>
      <c r="BO112" t="s">
        <v>57</v>
      </c>
      <c r="BP112" t="s">
        <v>57</v>
      </c>
      <c r="BQ112" t="s">
        <v>57</v>
      </c>
      <c r="BR112" t="s">
        <v>57</v>
      </c>
      <c r="BS112" t="s">
        <v>58</v>
      </c>
      <c r="BT112" t="s">
        <v>58</v>
      </c>
      <c r="BU112" t="s">
        <v>58</v>
      </c>
      <c r="BV112" t="s">
        <v>57</v>
      </c>
      <c r="BW112" t="s">
        <v>57</v>
      </c>
      <c r="BX112" t="s">
        <v>57</v>
      </c>
      <c r="BY112" t="s">
        <v>57</v>
      </c>
      <c r="BZ112" t="s">
        <v>57</v>
      </c>
      <c r="CA112" t="s">
        <v>58</v>
      </c>
      <c r="CB112" t="s">
        <v>57</v>
      </c>
      <c r="CC112" t="s">
        <v>57</v>
      </c>
      <c r="CD112" t="s">
        <v>57</v>
      </c>
      <c r="CE112" t="s">
        <v>57</v>
      </c>
      <c r="CF112" t="s">
        <v>57</v>
      </c>
      <c r="CG112" t="s">
        <v>57</v>
      </c>
      <c r="CH112" t="s">
        <v>57</v>
      </c>
      <c r="CI112" t="s">
        <v>57</v>
      </c>
      <c r="CJ112" t="s">
        <v>57</v>
      </c>
      <c r="CK112" t="s">
        <v>175</v>
      </c>
      <c r="CL112" t="s">
        <v>175</v>
      </c>
      <c r="CM112" t="s">
        <v>175</v>
      </c>
      <c r="CN112" t="s">
        <v>57</v>
      </c>
      <c r="CO112" t="s">
        <v>57</v>
      </c>
      <c r="CP112" t="s">
        <v>57</v>
      </c>
      <c r="CQ112" t="s">
        <v>57</v>
      </c>
      <c r="CR112" t="s">
        <v>57</v>
      </c>
      <c r="CS112" t="s">
        <v>57</v>
      </c>
      <c r="CT112" t="s">
        <v>58</v>
      </c>
      <c r="CU112" t="s">
        <v>57</v>
      </c>
      <c r="CV112" t="s">
        <v>57</v>
      </c>
      <c r="CW112" t="s">
        <v>57</v>
      </c>
      <c r="CX112" t="s">
        <v>58</v>
      </c>
      <c r="CY112" t="s">
        <v>58</v>
      </c>
      <c r="CZ112" t="s">
        <v>58</v>
      </c>
      <c r="DA112" t="s">
        <v>57</v>
      </c>
      <c r="DB112" t="s">
        <v>57</v>
      </c>
      <c r="DC112" t="s">
        <v>57</v>
      </c>
      <c r="DD112" t="s">
        <v>57</v>
      </c>
      <c r="DE112" t="s">
        <v>57</v>
      </c>
      <c r="DF112" t="s">
        <v>57</v>
      </c>
      <c r="DG112" t="s">
        <v>57</v>
      </c>
      <c r="DH112" t="s">
        <v>57</v>
      </c>
      <c r="DI112" t="s">
        <v>57</v>
      </c>
      <c r="DJ112" t="s">
        <v>57</v>
      </c>
      <c r="DK112" t="s">
        <v>175</v>
      </c>
      <c r="DL112" t="s">
        <v>57</v>
      </c>
      <c r="DM112" t="s">
        <v>175</v>
      </c>
      <c r="DN112" t="s">
        <v>175</v>
      </c>
      <c r="DO112" t="s">
        <v>175</v>
      </c>
      <c r="DP112" t="s">
        <v>175</v>
      </c>
      <c r="DQ112" t="s">
        <v>175</v>
      </c>
      <c r="DR112" t="s">
        <v>175</v>
      </c>
      <c r="DS112" t="s">
        <v>175</v>
      </c>
      <c r="DT112" t="s">
        <v>175</v>
      </c>
      <c r="DU112" t="s">
        <v>175</v>
      </c>
      <c r="DV112" t="s">
        <v>175</v>
      </c>
      <c r="DW112" t="s">
        <v>175</v>
      </c>
      <c r="DX112" t="s">
        <v>175</v>
      </c>
      <c r="DY112" t="s">
        <v>175</v>
      </c>
      <c r="DZ112" t="s">
        <v>57</v>
      </c>
      <c r="EA112" t="s">
        <v>175</v>
      </c>
      <c r="EB112" t="s">
        <v>175</v>
      </c>
      <c r="EC112" t="s">
        <v>175</v>
      </c>
      <c r="ED112" t="s">
        <v>175</v>
      </c>
      <c r="EE112" t="s">
        <v>175</v>
      </c>
      <c r="EF112" t="s">
        <v>175</v>
      </c>
      <c r="EG112" t="s">
        <v>175</v>
      </c>
      <c r="EH112" t="s">
        <v>175</v>
      </c>
      <c r="EI112" t="s">
        <v>57</v>
      </c>
      <c r="EJ112" t="s">
        <v>57</v>
      </c>
      <c r="EK112" t="s">
        <v>57</v>
      </c>
      <c r="EL112" t="s">
        <v>57</v>
      </c>
      <c r="EM112" t="s">
        <v>57</v>
      </c>
      <c r="EN112" t="s">
        <v>57</v>
      </c>
      <c r="EO112" t="s">
        <v>57</v>
      </c>
      <c r="EP112" t="s">
        <v>57</v>
      </c>
      <c r="EQ112" t="s">
        <v>57</v>
      </c>
      <c r="ER112" t="s">
        <v>57</v>
      </c>
      <c r="ES112" t="s">
        <v>57</v>
      </c>
      <c r="ET112" t="s">
        <v>57</v>
      </c>
      <c r="EU112" t="s">
        <v>57</v>
      </c>
      <c r="EV112" t="s">
        <v>57</v>
      </c>
      <c r="EW112" t="s">
        <v>175</v>
      </c>
      <c r="EX112" t="s">
        <v>175</v>
      </c>
      <c r="EY112" t="s">
        <v>175</v>
      </c>
      <c r="EZ112" t="s">
        <v>175</v>
      </c>
      <c r="FA112" t="s">
        <v>175</v>
      </c>
      <c r="FB112" t="s">
        <v>175</v>
      </c>
      <c r="FC112" t="s">
        <v>175</v>
      </c>
      <c r="FD112" t="s">
        <v>175</v>
      </c>
      <c r="FE112" t="s">
        <v>175</v>
      </c>
      <c r="FF112" t="s">
        <v>148</v>
      </c>
      <c r="FG112" t="s">
        <v>175</v>
      </c>
      <c r="FH112" t="s">
        <v>57</v>
      </c>
      <c r="FI112" t="s">
        <v>57</v>
      </c>
      <c r="FJ112" t="s">
        <v>57</v>
      </c>
      <c r="FK112" t="s">
        <v>175</v>
      </c>
      <c r="FL112" t="s">
        <v>57</v>
      </c>
      <c r="FM112" t="s">
        <v>57</v>
      </c>
      <c r="FN112" t="s">
        <v>57</v>
      </c>
      <c r="FO112" t="s">
        <v>175</v>
      </c>
      <c r="FP112" t="s">
        <v>57</v>
      </c>
      <c r="FQ112" t="s">
        <v>57</v>
      </c>
      <c r="FR112" t="s">
        <v>57</v>
      </c>
      <c r="FS112" t="s">
        <v>57</v>
      </c>
      <c r="FT112" t="s">
        <v>57</v>
      </c>
      <c r="FU112" t="s">
        <v>57</v>
      </c>
      <c r="FV112" t="s">
        <v>57</v>
      </c>
      <c r="FW112" t="s">
        <v>57</v>
      </c>
      <c r="FX112" t="s">
        <v>57</v>
      </c>
      <c r="FY112" t="s">
        <v>57</v>
      </c>
      <c r="FZ112" t="s">
        <v>57</v>
      </c>
      <c r="GA112" t="s">
        <v>57</v>
      </c>
      <c r="GB112" t="s">
        <v>57</v>
      </c>
      <c r="GC112" t="s">
        <v>57</v>
      </c>
      <c r="GD112" t="s">
        <v>57</v>
      </c>
      <c r="GE112" t="s">
        <v>57</v>
      </c>
      <c r="GF112" t="s">
        <v>57</v>
      </c>
      <c r="GG112" t="s">
        <v>175</v>
      </c>
      <c r="GH112" t="s">
        <v>58</v>
      </c>
      <c r="GI112" t="s">
        <v>58</v>
      </c>
      <c r="GJ112" t="s">
        <v>58</v>
      </c>
      <c r="GK112" t="s">
        <v>58</v>
      </c>
      <c r="GL112" t="s">
        <v>58</v>
      </c>
      <c r="GM112" t="s">
        <v>175</v>
      </c>
      <c r="GN112" t="s">
        <v>57</v>
      </c>
      <c r="GO112" t="s">
        <v>57</v>
      </c>
      <c r="GP112" t="s">
        <v>175</v>
      </c>
      <c r="GQ112" t="s">
        <v>175</v>
      </c>
      <c r="GR112" t="s">
        <v>58</v>
      </c>
      <c r="GS112" t="s">
        <v>58</v>
      </c>
      <c r="GT112" t="s">
        <v>58</v>
      </c>
      <c r="GU112" t="s">
        <v>58</v>
      </c>
      <c r="GV112" t="s">
        <v>175</v>
      </c>
      <c r="GW112" t="s">
        <v>58</v>
      </c>
      <c r="GX112" t="s">
        <v>175</v>
      </c>
      <c r="GY112" t="s">
        <v>57</v>
      </c>
      <c r="GZ112" t="s">
        <v>58</v>
      </c>
      <c r="HA112" t="s">
        <v>58</v>
      </c>
      <c r="HB112" t="s">
        <v>175</v>
      </c>
      <c r="HC112" t="s">
        <v>58</v>
      </c>
      <c r="HD112" t="s">
        <v>58</v>
      </c>
      <c r="HE112" t="s">
        <v>58</v>
      </c>
      <c r="HF112" t="s">
        <v>58</v>
      </c>
      <c r="HG112" t="s">
        <v>58</v>
      </c>
      <c r="HH112" t="s">
        <v>175</v>
      </c>
      <c r="HI112" t="s">
        <v>175</v>
      </c>
      <c r="HJ112" t="s">
        <v>175</v>
      </c>
      <c r="HK112" t="s">
        <v>175</v>
      </c>
      <c r="HL112" t="s">
        <v>58</v>
      </c>
      <c r="HM112" t="s">
        <v>57</v>
      </c>
      <c r="HN112" t="s">
        <v>58</v>
      </c>
      <c r="HO112" t="s">
        <v>57</v>
      </c>
      <c r="HP112" t="s">
        <v>57</v>
      </c>
      <c r="HQ112" t="s">
        <v>57</v>
      </c>
      <c r="HR112" t="s">
        <v>57</v>
      </c>
      <c r="HS112" t="s">
        <v>57</v>
      </c>
      <c r="HT112" t="s">
        <v>57</v>
      </c>
      <c r="HU112" t="s">
        <v>57</v>
      </c>
      <c r="HV112" t="s">
        <v>57</v>
      </c>
      <c r="HW112" t="s">
        <v>57</v>
      </c>
      <c r="HX112" t="s">
        <v>57</v>
      </c>
      <c r="HY112" t="s">
        <v>57</v>
      </c>
      <c r="HZ112" t="s">
        <v>57</v>
      </c>
      <c r="IA112" t="s">
        <v>57</v>
      </c>
      <c r="IB112" t="s">
        <v>58</v>
      </c>
      <c r="IC112" t="s">
        <v>58</v>
      </c>
      <c r="ID112" t="s">
        <v>58</v>
      </c>
      <c r="IE112" t="s">
        <v>57</v>
      </c>
      <c r="IF112" t="s">
        <v>124</v>
      </c>
      <c r="IG112" t="s">
        <v>148</v>
      </c>
      <c r="IH112" t="s">
        <v>123</v>
      </c>
      <c r="II112" t="s">
        <v>363</v>
      </c>
    </row>
    <row r="113" spans="1:243" x14ac:dyDescent="0.25">
      <c r="A113" s="111" t="str">
        <f>HYPERLINK("http://www.ofsted.gov.uk/inspection-reports/find-inspection-report/provider/ELS/131952 ","Ofsted School Webpage")</f>
        <v>Ofsted School Webpage</v>
      </c>
      <c r="B113">
        <v>131952</v>
      </c>
      <c r="C113">
        <v>3046112</v>
      </c>
      <c r="D113" t="s">
        <v>722</v>
      </c>
      <c r="E113" t="s">
        <v>36</v>
      </c>
      <c r="F113" t="s">
        <v>166</v>
      </c>
      <c r="G113" t="s">
        <v>189</v>
      </c>
      <c r="H113" t="s">
        <v>189</v>
      </c>
      <c r="I113" t="s">
        <v>702</v>
      </c>
      <c r="J113" t="s">
        <v>723</v>
      </c>
      <c r="K113" t="s">
        <v>142</v>
      </c>
      <c r="L113" t="s">
        <v>275</v>
      </c>
      <c r="M113" t="s">
        <v>2596</v>
      </c>
      <c r="N113" t="s">
        <v>143</v>
      </c>
      <c r="O113">
        <v>10022431</v>
      </c>
      <c r="P113" s="108">
        <v>43130</v>
      </c>
      <c r="Q113" s="108">
        <v>43132</v>
      </c>
      <c r="R113" s="108">
        <v>43157</v>
      </c>
      <c r="S113" t="s">
        <v>153</v>
      </c>
      <c r="T113" t="s">
        <v>154</v>
      </c>
      <c r="U113">
        <v>2</v>
      </c>
      <c r="V113">
        <v>2</v>
      </c>
      <c r="W113">
        <v>1</v>
      </c>
      <c r="X113">
        <v>2</v>
      </c>
      <c r="Y113">
        <v>2</v>
      </c>
      <c r="Z113">
        <v>2</v>
      </c>
      <c r="AA113" t="s">
        <v>2596</v>
      </c>
      <c r="AB113" t="s">
        <v>123</v>
      </c>
      <c r="AC113" t="s">
        <v>2596</v>
      </c>
      <c r="AD113" t="s">
        <v>2598</v>
      </c>
      <c r="AE113" t="s">
        <v>57</v>
      </c>
      <c r="AF113" t="s">
        <v>57</v>
      </c>
      <c r="AG113" t="s">
        <v>57</v>
      </c>
      <c r="AH113" t="s">
        <v>57</v>
      </c>
      <c r="AI113" t="s">
        <v>57</v>
      </c>
      <c r="AJ113" t="s">
        <v>57</v>
      </c>
      <c r="AK113" t="s">
        <v>57</v>
      </c>
      <c r="AL113" t="s">
        <v>57</v>
      </c>
      <c r="AM113" t="s">
        <v>57</v>
      </c>
      <c r="AN113" t="s">
        <v>57</v>
      </c>
      <c r="AO113" t="s">
        <v>57</v>
      </c>
      <c r="AP113" t="s">
        <v>57</v>
      </c>
      <c r="AQ113" t="s">
        <v>57</v>
      </c>
      <c r="AR113" t="s">
        <v>57</v>
      </c>
      <c r="AS113" t="s">
        <v>57</v>
      </c>
      <c r="AT113" t="s">
        <v>57</v>
      </c>
      <c r="AU113" t="s">
        <v>148</v>
      </c>
      <c r="AV113" t="s">
        <v>57</v>
      </c>
      <c r="AW113" t="s">
        <v>57</v>
      </c>
      <c r="AX113" t="s">
        <v>57</v>
      </c>
      <c r="AY113" t="s">
        <v>148</v>
      </c>
      <c r="AZ113" t="s">
        <v>148</v>
      </c>
      <c r="BA113" t="s">
        <v>148</v>
      </c>
      <c r="BB113" t="s">
        <v>148</v>
      </c>
      <c r="BC113" t="s">
        <v>57</v>
      </c>
      <c r="BD113" t="s">
        <v>148</v>
      </c>
      <c r="BE113" t="s">
        <v>57</v>
      </c>
      <c r="BF113" t="s">
        <v>57</v>
      </c>
      <c r="BG113" t="s">
        <v>57</v>
      </c>
      <c r="BH113" t="s">
        <v>57</v>
      </c>
      <c r="BI113" t="s">
        <v>57</v>
      </c>
      <c r="BJ113" t="s">
        <v>57</v>
      </c>
      <c r="BK113" t="s">
        <v>57</v>
      </c>
      <c r="BL113" t="s">
        <v>57</v>
      </c>
      <c r="BM113" t="s">
        <v>57</v>
      </c>
      <c r="BN113" t="s">
        <v>57</v>
      </c>
      <c r="BO113" t="s">
        <v>57</v>
      </c>
      <c r="BP113" t="s">
        <v>57</v>
      </c>
      <c r="BQ113" t="s">
        <v>57</v>
      </c>
      <c r="BR113" t="s">
        <v>57</v>
      </c>
      <c r="BS113" t="s">
        <v>57</v>
      </c>
      <c r="BT113" t="s">
        <v>57</v>
      </c>
      <c r="BU113" t="s">
        <v>57</v>
      </c>
      <c r="BV113" t="s">
        <v>57</v>
      </c>
      <c r="BW113" t="s">
        <v>57</v>
      </c>
      <c r="BX113" t="s">
        <v>57</v>
      </c>
      <c r="BY113" t="s">
        <v>57</v>
      </c>
      <c r="BZ113" t="s">
        <v>57</v>
      </c>
      <c r="CA113" t="s">
        <v>57</v>
      </c>
      <c r="CB113" t="s">
        <v>57</v>
      </c>
      <c r="CC113" t="s">
        <v>57</v>
      </c>
      <c r="CD113" t="s">
        <v>57</v>
      </c>
      <c r="CE113" t="s">
        <v>57</v>
      </c>
      <c r="CF113" t="s">
        <v>57</v>
      </c>
      <c r="CG113" t="s">
        <v>57</v>
      </c>
      <c r="CH113" t="s">
        <v>57</v>
      </c>
      <c r="CI113" t="s">
        <v>57</v>
      </c>
      <c r="CJ113" t="s">
        <v>57</v>
      </c>
      <c r="CK113" t="s">
        <v>148</v>
      </c>
      <c r="CL113" t="s">
        <v>148</v>
      </c>
      <c r="CM113" t="s">
        <v>148</v>
      </c>
      <c r="CN113" t="s">
        <v>57</v>
      </c>
      <c r="CO113" t="s">
        <v>57</v>
      </c>
      <c r="CP113" t="s">
        <v>57</v>
      </c>
      <c r="CQ113" t="s">
        <v>57</v>
      </c>
      <c r="CR113" t="s">
        <v>57</v>
      </c>
      <c r="CS113" t="s">
        <v>57</v>
      </c>
      <c r="CT113" t="s">
        <v>57</v>
      </c>
      <c r="CU113" t="s">
        <v>57</v>
      </c>
      <c r="CV113" t="s">
        <v>57</v>
      </c>
      <c r="CW113" t="s">
        <v>57</v>
      </c>
      <c r="CX113" t="s">
        <v>57</v>
      </c>
      <c r="CY113" t="s">
        <v>57</v>
      </c>
      <c r="CZ113" t="s">
        <v>57</v>
      </c>
      <c r="DA113" t="s">
        <v>57</v>
      </c>
      <c r="DB113" t="s">
        <v>57</v>
      </c>
      <c r="DC113" t="s">
        <v>57</v>
      </c>
      <c r="DD113" t="s">
        <v>57</v>
      </c>
      <c r="DE113" t="s">
        <v>57</v>
      </c>
      <c r="DF113" t="s">
        <v>57</v>
      </c>
      <c r="DG113" t="s">
        <v>57</v>
      </c>
      <c r="DH113" t="s">
        <v>57</v>
      </c>
      <c r="DI113" t="s">
        <v>57</v>
      </c>
      <c r="DJ113" t="s">
        <v>57</v>
      </c>
      <c r="DK113" t="s">
        <v>148</v>
      </c>
      <c r="DL113" t="s">
        <v>57</v>
      </c>
      <c r="DM113" t="s">
        <v>57</v>
      </c>
      <c r="DN113" t="s">
        <v>57</v>
      </c>
      <c r="DO113" t="s">
        <v>57</v>
      </c>
      <c r="DP113" t="s">
        <v>57</v>
      </c>
      <c r="DQ113" t="s">
        <v>57</v>
      </c>
      <c r="DR113" t="s">
        <v>57</v>
      </c>
      <c r="DS113" t="s">
        <v>57</v>
      </c>
      <c r="DT113" t="s">
        <v>57</v>
      </c>
      <c r="DU113" t="s">
        <v>57</v>
      </c>
      <c r="DV113" t="s">
        <v>57</v>
      </c>
      <c r="DW113" t="s">
        <v>57</v>
      </c>
      <c r="DX113" t="s">
        <v>57</v>
      </c>
      <c r="DY113" t="s">
        <v>148</v>
      </c>
      <c r="DZ113" t="s">
        <v>57</v>
      </c>
      <c r="EA113" t="s">
        <v>148</v>
      </c>
      <c r="EB113" t="s">
        <v>148</v>
      </c>
      <c r="EC113" t="s">
        <v>148</v>
      </c>
      <c r="ED113" t="s">
        <v>148</v>
      </c>
      <c r="EE113" t="s">
        <v>148</v>
      </c>
      <c r="EF113" t="s">
        <v>148</v>
      </c>
      <c r="EG113" t="s">
        <v>148</v>
      </c>
      <c r="EH113" t="s">
        <v>148</v>
      </c>
      <c r="EI113" t="s">
        <v>57</v>
      </c>
      <c r="EJ113" t="s">
        <v>57</v>
      </c>
      <c r="EK113" t="s">
        <v>57</v>
      </c>
      <c r="EL113" t="s">
        <v>57</v>
      </c>
      <c r="EM113" t="s">
        <v>57</v>
      </c>
      <c r="EN113" t="s">
        <v>57</v>
      </c>
      <c r="EO113" t="s">
        <v>57</v>
      </c>
      <c r="EP113" t="s">
        <v>57</v>
      </c>
      <c r="EQ113" t="s">
        <v>57</v>
      </c>
      <c r="ER113" t="s">
        <v>57</v>
      </c>
      <c r="ES113" t="s">
        <v>57</v>
      </c>
      <c r="ET113" t="s">
        <v>57</v>
      </c>
      <c r="EU113" t="s">
        <v>57</v>
      </c>
      <c r="EV113" t="s">
        <v>57</v>
      </c>
      <c r="EW113" t="s">
        <v>57</v>
      </c>
      <c r="EX113" t="s">
        <v>57</v>
      </c>
      <c r="EY113" t="s">
        <v>57</v>
      </c>
      <c r="EZ113" t="s">
        <v>57</v>
      </c>
      <c r="FA113" t="s">
        <v>57</v>
      </c>
      <c r="FB113" t="s">
        <v>57</v>
      </c>
      <c r="FC113" t="s">
        <v>57</v>
      </c>
      <c r="FD113" t="s">
        <v>148</v>
      </c>
      <c r="FE113" t="s">
        <v>148</v>
      </c>
      <c r="FF113" t="s">
        <v>148</v>
      </c>
      <c r="FG113" t="s">
        <v>148</v>
      </c>
      <c r="FH113" t="s">
        <v>57</v>
      </c>
      <c r="FI113" t="s">
        <v>57</v>
      </c>
      <c r="FJ113" t="s">
        <v>57</v>
      </c>
      <c r="FK113" t="s">
        <v>148</v>
      </c>
      <c r="FL113" t="s">
        <v>57</v>
      </c>
      <c r="FM113" t="s">
        <v>57</v>
      </c>
      <c r="FN113" t="s">
        <v>57</v>
      </c>
      <c r="FO113" t="s">
        <v>148</v>
      </c>
      <c r="FP113" t="s">
        <v>57</v>
      </c>
      <c r="FQ113" t="s">
        <v>57</v>
      </c>
      <c r="FR113" t="s">
        <v>57</v>
      </c>
      <c r="FS113" t="s">
        <v>57</v>
      </c>
      <c r="FT113" t="s">
        <v>57</v>
      </c>
      <c r="FU113" t="s">
        <v>57</v>
      </c>
      <c r="FV113" t="s">
        <v>57</v>
      </c>
      <c r="FW113" t="s">
        <v>57</v>
      </c>
      <c r="FX113" t="s">
        <v>57</v>
      </c>
      <c r="FY113" t="s">
        <v>57</v>
      </c>
      <c r="FZ113" t="s">
        <v>57</v>
      </c>
      <c r="GA113" t="s">
        <v>57</v>
      </c>
      <c r="GB113" t="s">
        <v>57</v>
      </c>
      <c r="GC113" t="s">
        <v>57</v>
      </c>
      <c r="GD113" t="s">
        <v>57</v>
      </c>
      <c r="GE113" t="s">
        <v>57</v>
      </c>
      <c r="GF113" t="s">
        <v>57</v>
      </c>
      <c r="GG113" t="s">
        <v>148</v>
      </c>
      <c r="GH113" t="s">
        <v>57</v>
      </c>
      <c r="GI113" t="s">
        <v>57</v>
      </c>
      <c r="GJ113" t="s">
        <v>57</v>
      </c>
      <c r="GK113" t="s">
        <v>57</v>
      </c>
      <c r="GL113" t="s">
        <v>57</v>
      </c>
      <c r="GM113" t="s">
        <v>148</v>
      </c>
      <c r="GN113" t="s">
        <v>57</v>
      </c>
      <c r="GO113" t="s">
        <v>57</v>
      </c>
      <c r="GP113" t="s">
        <v>148</v>
      </c>
      <c r="GQ113" t="s">
        <v>148</v>
      </c>
      <c r="GR113" t="s">
        <v>57</v>
      </c>
      <c r="GS113" t="s">
        <v>57</v>
      </c>
      <c r="GT113" t="s">
        <v>57</v>
      </c>
      <c r="GU113" t="s">
        <v>57</v>
      </c>
      <c r="GV113" t="s">
        <v>57</v>
      </c>
      <c r="GW113" t="s">
        <v>148</v>
      </c>
      <c r="GX113" t="s">
        <v>57</v>
      </c>
      <c r="GY113" t="s">
        <v>57</v>
      </c>
      <c r="GZ113" t="s">
        <v>57</v>
      </c>
      <c r="HA113" t="s">
        <v>57</v>
      </c>
      <c r="HB113" t="s">
        <v>57</v>
      </c>
      <c r="HC113" t="s">
        <v>57</v>
      </c>
      <c r="HD113" t="s">
        <v>57</v>
      </c>
      <c r="HE113" t="s">
        <v>57</v>
      </c>
      <c r="HF113" t="s">
        <v>57</v>
      </c>
      <c r="HG113" t="s">
        <v>57</v>
      </c>
      <c r="HH113" t="s">
        <v>148</v>
      </c>
      <c r="HI113" t="s">
        <v>148</v>
      </c>
      <c r="HJ113" t="s">
        <v>148</v>
      </c>
      <c r="HK113" t="s">
        <v>148</v>
      </c>
      <c r="HL113" t="s">
        <v>57</v>
      </c>
      <c r="HM113" t="s">
        <v>57</v>
      </c>
      <c r="HN113" t="s">
        <v>57</v>
      </c>
      <c r="HO113" t="s">
        <v>57</v>
      </c>
      <c r="HP113" t="s">
        <v>57</v>
      </c>
      <c r="HQ113" t="s">
        <v>57</v>
      </c>
      <c r="HR113" t="s">
        <v>57</v>
      </c>
      <c r="HS113" t="s">
        <v>57</v>
      </c>
      <c r="HT113" t="s">
        <v>57</v>
      </c>
      <c r="HU113" t="s">
        <v>57</v>
      </c>
      <c r="HV113" t="s">
        <v>57</v>
      </c>
      <c r="HW113" t="s">
        <v>57</v>
      </c>
      <c r="HX113" t="s">
        <v>57</v>
      </c>
      <c r="HY113" t="s">
        <v>57</v>
      </c>
      <c r="HZ113" t="s">
        <v>57</v>
      </c>
      <c r="IA113" t="s">
        <v>57</v>
      </c>
      <c r="IB113" t="s">
        <v>57</v>
      </c>
      <c r="IC113" t="s">
        <v>57</v>
      </c>
      <c r="ID113" t="s">
        <v>57</v>
      </c>
      <c r="IE113" t="s">
        <v>57</v>
      </c>
      <c r="IF113" t="s">
        <v>124</v>
      </c>
      <c r="IG113" t="s">
        <v>155</v>
      </c>
      <c r="IH113" t="s">
        <v>123</v>
      </c>
      <c r="II113" t="s">
        <v>156</v>
      </c>
    </row>
    <row r="114" spans="1:243" x14ac:dyDescent="0.25">
      <c r="A114" s="111" t="str">
        <f>HYPERLINK("http://www.ofsted.gov.uk/inspection-reports/find-inspection-report/provider/ELS/131978 ","Ofsted School Webpage")</f>
        <v>Ofsted School Webpage</v>
      </c>
      <c r="B114">
        <v>131978</v>
      </c>
      <c r="C114">
        <v>2026399</v>
      </c>
      <c r="D114" t="s">
        <v>1596</v>
      </c>
      <c r="E114" t="s">
        <v>36</v>
      </c>
      <c r="F114" t="s">
        <v>166</v>
      </c>
      <c r="G114" t="s">
        <v>189</v>
      </c>
      <c r="H114" t="s">
        <v>189</v>
      </c>
      <c r="I114" t="s">
        <v>491</v>
      </c>
      <c r="J114" t="s">
        <v>1597</v>
      </c>
      <c r="K114" t="s">
        <v>142</v>
      </c>
      <c r="L114" t="s">
        <v>142</v>
      </c>
      <c r="M114" t="s">
        <v>2596</v>
      </c>
      <c r="N114" t="s">
        <v>143</v>
      </c>
      <c r="O114">
        <v>10035794</v>
      </c>
      <c r="P114" s="108">
        <v>43081</v>
      </c>
      <c r="Q114" s="108">
        <v>43083</v>
      </c>
      <c r="R114" s="108">
        <v>43122</v>
      </c>
      <c r="S114" t="s">
        <v>153</v>
      </c>
      <c r="T114" t="s">
        <v>154</v>
      </c>
      <c r="U114">
        <v>2</v>
      </c>
      <c r="V114">
        <v>2</v>
      </c>
      <c r="W114">
        <v>1</v>
      </c>
      <c r="X114">
        <v>2</v>
      </c>
      <c r="Y114">
        <v>2</v>
      </c>
      <c r="Z114">
        <v>2</v>
      </c>
      <c r="AA114" t="s">
        <v>2596</v>
      </c>
      <c r="AB114" t="s">
        <v>123</v>
      </c>
      <c r="AC114" t="s">
        <v>2596</v>
      </c>
      <c r="AD114" t="s">
        <v>2598</v>
      </c>
      <c r="AE114" t="s">
        <v>57</v>
      </c>
      <c r="AF114" t="s">
        <v>57</v>
      </c>
      <c r="AG114" t="s">
        <v>57</v>
      </c>
      <c r="AH114" t="s">
        <v>57</v>
      </c>
      <c r="AI114" t="s">
        <v>57</v>
      </c>
      <c r="AJ114" t="s">
        <v>57</v>
      </c>
      <c r="AK114" t="s">
        <v>57</v>
      </c>
      <c r="AL114" t="s">
        <v>57</v>
      </c>
      <c r="AM114" t="s">
        <v>57</v>
      </c>
      <c r="AN114" t="s">
        <v>57</v>
      </c>
      <c r="AO114" t="s">
        <v>57</v>
      </c>
      <c r="AP114" t="s">
        <v>57</v>
      </c>
      <c r="AQ114" t="s">
        <v>57</v>
      </c>
      <c r="AR114" t="s">
        <v>57</v>
      </c>
      <c r="AS114" t="s">
        <v>57</v>
      </c>
      <c r="AT114" t="s">
        <v>57</v>
      </c>
      <c r="AU114" t="s">
        <v>175</v>
      </c>
      <c r="AV114" t="s">
        <v>57</v>
      </c>
      <c r="AW114" t="s">
        <v>57</v>
      </c>
      <c r="AX114" t="s">
        <v>57</v>
      </c>
      <c r="AY114" t="s">
        <v>175</v>
      </c>
      <c r="AZ114" t="s">
        <v>175</v>
      </c>
      <c r="BA114" t="s">
        <v>175</v>
      </c>
      <c r="BB114" t="s">
        <v>175</v>
      </c>
      <c r="BC114" t="s">
        <v>57</v>
      </c>
      <c r="BD114" t="s">
        <v>57</v>
      </c>
      <c r="BE114" t="s">
        <v>57</v>
      </c>
      <c r="BF114" t="s">
        <v>57</v>
      </c>
      <c r="BG114" t="s">
        <v>57</v>
      </c>
      <c r="BH114" t="s">
        <v>57</v>
      </c>
      <c r="BI114" t="s">
        <v>57</v>
      </c>
      <c r="BJ114" t="s">
        <v>57</v>
      </c>
      <c r="BK114" t="s">
        <v>57</v>
      </c>
      <c r="BL114" t="s">
        <v>57</v>
      </c>
      <c r="BM114" t="s">
        <v>57</v>
      </c>
      <c r="BN114" t="s">
        <v>57</v>
      </c>
      <c r="BO114" t="s">
        <v>57</v>
      </c>
      <c r="BP114" t="s">
        <v>57</v>
      </c>
      <c r="BQ114" t="s">
        <v>57</v>
      </c>
      <c r="BR114" t="s">
        <v>57</v>
      </c>
      <c r="BS114" t="s">
        <v>57</v>
      </c>
      <c r="BT114" t="s">
        <v>57</v>
      </c>
      <c r="BU114" t="s">
        <v>57</v>
      </c>
      <c r="BV114" t="s">
        <v>57</v>
      </c>
      <c r="BW114" t="s">
        <v>57</v>
      </c>
      <c r="BX114" t="s">
        <v>57</v>
      </c>
      <c r="BY114" t="s">
        <v>57</v>
      </c>
      <c r="BZ114" t="s">
        <v>57</v>
      </c>
      <c r="CA114" t="s">
        <v>57</v>
      </c>
      <c r="CB114" t="s">
        <v>57</v>
      </c>
      <c r="CC114" t="s">
        <v>57</v>
      </c>
      <c r="CD114" t="s">
        <v>57</v>
      </c>
      <c r="CE114" t="s">
        <v>57</v>
      </c>
      <c r="CF114" t="s">
        <v>57</v>
      </c>
      <c r="CG114" t="s">
        <v>57</v>
      </c>
      <c r="CH114" t="s">
        <v>57</v>
      </c>
      <c r="CI114" t="s">
        <v>57</v>
      </c>
      <c r="CJ114" t="s">
        <v>57</v>
      </c>
      <c r="CK114" t="s">
        <v>175</v>
      </c>
      <c r="CL114" t="s">
        <v>175</v>
      </c>
      <c r="CM114" t="s">
        <v>175</v>
      </c>
      <c r="CN114" t="s">
        <v>57</v>
      </c>
      <c r="CO114" t="s">
        <v>57</v>
      </c>
      <c r="CP114" t="s">
        <v>57</v>
      </c>
      <c r="CQ114" t="s">
        <v>57</v>
      </c>
      <c r="CR114" t="s">
        <v>57</v>
      </c>
      <c r="CS114" t="s">
        <v>57</v>
      </c>
      <c r="CT114" t="s">
        <v>57</v>
      </c>
      <c r="CU114" t="s">
        <v>57</v>
      </c>
      <c r="CV114" t="s">
        <v>57</v>
      </c>
      <c r="CW114" t="s">
        <v>57</v>
      </c>
      <c r="CX114" t="s">
        <v>57</v>
      </c>
      <c r="CY114" t="s">
        <v>57</v>
      </c>
      <c r="CZ114" t="s">
        <v>57</v>
      </c>
      <c r="DA114" t="s">
        <v>57</v>
      </c>
      <c r="DB114" t="s">
        <v>57</v>
      </c>
      <c r="DC114" t="s">
        <v>57</v>
      </c>
      <c r="DD114" t="s">
        <v>57</v>
      </c>
      <c r="DE114" t="s">
        <v>57</v>
      </c>
      <c r="DF114" t="s">
        <v>57</v>
      </c>
      <c r="DG114" t="s">
        <v>57</v>
      </c>
      <c r="DH114" t="s">
        <v>57</v>
      </c>
      <c r="DI114" t="s">
        <v>57</v>
      </c>
      <c r="DJ114" t="s">
        <v>57</v>
      </c>
      <c r="DK114" t="s">
        <v>175</v>
      </c>
      <c r="DL114" t="s">
        <v>57</v>
      </c>
      <c r="DM114" t="s">
        <v>57</v>
      </c>
      <c r="DN114" t="s">
        <v>57</v>
      </c>
      <c r="DO114" t="s">
        <v>57</v>
      </c>
      <c r="DP114" t="s">
        <v>57</v>
      </c>
      <c r="DQ114" t="s">
        <v>57</v>
      </c>
      <c r="DR114" t="s">
        <v>57</v>
      </c>
      <c r="DS114" t="s">
        <v>57</v>
      </c>
      <c r="DT114" t="s">
        <v>57</v>
      </c>
      <c r="DU114" t="s">
        <v>57</v>
      </c>
      <c r="DV114" t="s">
        <v>57</v>
      </c>
      <c r="DW114" t="s">
        <v>57</v>
      </c>
      <c r="DX114" t="s">
        <v>57</v>
      </c>
      <c r="DY114" t="s">
        <v>175</v>
      </c>
      <c r="DZ114" t="s">
        <v>57</v>
      </c>
      <c r="EA114" t="s">
        <v>57</v>
      </c>
      <c r="EB114" t="s">
        <v>57</v>
      </c>
      <c r="EC114" t="s">
        <v>57</v>
      </c>
      <c r="ED114" t="s">
        <v>57</v>
      </c>
      <c r="EE114" t="s">
        <v>57</v>
      </c>
      <c r="EF114" t="s">
        <v>57</v>
      </c>
      <c r="EG114" t="s">
        <v>57</v>
      </c>
      <c r="EH114" t="s">
        <v>57</v>
      </c>
      <c r="EI114" t="s">
        <v>57</v>
      </c>
      <c r="EJ114" t="s">
        <v>57</v>
      </c>
      <c r="EK114" t="s">
        <v>57</v>
      </c>
      <c r="EL114" t="s">
        <v>57</v>
      </c>
      <c r="EM114" t="s">
        <v>57</v>
      </c>
      <c r="EN114" t="s">
        <v>57</v>
      </c>
      <c r="EO114" t="s">
        <v>57</v>
      </c>
      <c r="EP114" t="s">
        <v>57</v>
      </c>
      <c r="EQ114" t="s">
        <v>57</v>
      </c>
      <c r="ER114" t="s">
        <v>57</v>
      </c>
      <c r="ES114" t="s">
        <v>57</v>
      </c>
      <c r="ET114" t="s">
        <v>57</v>
      </c>
      <c r="EU114" t="s">
        <v>57</v>
      </c>
      <c r="EV114" t="s">
        <v>57</v>
      </c>
      <c r="EW114" t="s">
        <v>57</v>
      </c>
      <c r="EX114" t="s">
        <v>57</v>
      </c>
      <c r="EY114" t="s">
        <v>57</v>
      </c>
      <c r="EZ114" t="s">
        <v>57</v>
      </c>
      <c r="FA114" t="s">
        <v>57</v>
      </c>
      <c r="FB114" t="s">
        <v>57</v>
      </c>
      <c r="FC114" t="s">
        <v>57</v>
      </c>
      <c r="FD114" t="s">
        <v>57</v>
      </c>
      <c r="FE114" t="s">
        <v>57</v>
      </c>
      <c r="FF114" t="s">
        <v>57</v>
      </c>
      <c r="FG114" t="s">
        <v>57</v>
      </c>
      <c r="FH114" t="s">
        <v>57</v>
      </c>
      <c r="FI114" t="s">
        <v>57</v>
      </c>
      <c r="FJ114" t="s">
        <v>57</v>
      </c>
      <c r="FK114" t="s">
        <v>175</v>
      </c>
      <c r="FL114" t="s">
        <v>57</v>
      </c>
      <c r="FM114" t="s">
        <v>57</v>
      </c>
      <c r="FN114" t="s">
        <v>57</v>
      </c>
      <c r="FO114" t="s">
        <v>175</v>
      </c>
      <c r="FP114" t="s">
        <v>57</v>
      </c>
      <c r="FQ114" t="s">
        <v>57</v>
      </c>
      <c r="FR114" t="s">
        <v>57</v>
      </c>
      <c r="FS114" t="s">
        <v>57</v>
      </c>
      <c r="FT114" t="s">
        <v>57</v>
      </c>
      <c r="FU114" t="s">
        <v>57</v>
      </c>
      <c r="FV114" t="s">
        <v>57</v>
      </c>
      <c r="FW114" t="s">
        <v>57</v>
      </c>
      <c r="FX114" t="s">
        <v>57</v>
      </c>
      <c r="FY114" t="s">
        <v>57</v>
      </c>
      <c r="FZ114" t="s">
        <v>57</v>
      </c>
      <c r="GA114" t="s">
        <v>57</v>
      </c>
      <c r="GB114" t="s">
        <v>57</v>
      </c>
      <c r="GC114" t="s">
        <v>57</v>
      </c>
      <c r="GD114" t="s">
        <v>57</v>
      </c>
      <c r="GE114" t="s">
        <v>57</v>
      </c>
      <c r="GF114" t="s">
        <v>57</v>
      </c>
      <c r="GG114" t="s">
        <v>175</v>
      </c>
      <c r="GH114" t="s">
        <v>57</v>
      </c>
      <c r="GI114" t="s">
        <v>57</v>
      </c>
      <c r="GJ114" t="s">
        <v>57</v>
      </c>
      <c r="GK114" t="s">
        <v>57</v>
      </c>
      <c r="GL114" t="s">
        <v>57</v>
      </c>
      <c r="GM114" t="s">
        <v>175</v>
      </c>
      <c r="GN114" t="s">
        <v>57</v>
      </c>
      <c r="GO114" t="s">
        <v>57</v>
      </c>
      <c r="GP114" t="s">
        <v>175</v>
      </c>
      <c r="GQ114" t="s">
        <v>175</v>
      </c>
      <c r="GR114" t="s">
        <v>57</v>
      </c>
      <c r="GS114" t="s">
        <v>57</v>
      </c>
      <c r="GT114" t="s">
        <v>57</v>
      </c>
      <c r="GU114" t="s">
        <v>57</v>
      </c>
      <c r="GV114" t="s">
        <v>175</v>
      </c>
      <c r="GW114" t="s">
        <v>57</v>
      </c>
      <c r="GX114" t="s">
        <v>57</v>
      </c>
      <c r="GY114" t="s">
        <v>57</v>
      </c>
      <c r="GZ114" t="s">
        <v>57</v>
      </c>
      <c r="HA114" t="s">
        <v>57</v>
      </c>
      <c r="HB114" t="s">
        <v>175</v>
      </c>
      <c r="HC114" t="s">
        <v>57</v>
      </c>
      <c r="HD114" t="s">
        <v>57</v>
      </c>
      <c r="HE114" t="s">
        <v>57</v>
      </c>
      <c r="HF114" t="s">
        <v>57</v>
      </c>
      <c r="HG114" t="s">
        <v>57</v>
      </c>
      <c r="HH114" t="s">
        <v>175</v>
      </c>
      <c r="HI114" t="s">
        <v>175</v>
      </c>
      <c r="HJ114" t="s">
        <v>175</v>
      </c>
      <c r="HK114" t="s">
        <v>175</v>
      </c>
      <c r="HL114" t="s">
        <v>57</v>
      </c>
      <c r="HM114" t="s">
        <v>57</v>
      </c>
      <c r="HN114" t="s">
        <v>57</v>
      </c>
      <c r="HO114" t="s">
        <v>57</v>
      </c>
      <c r="HP114" t="s">
        <v>57</v>
      </c>
      <c r="HQ114" t="s">
        <v>57</v>
      </c>
      <c r="HR114" t="s">
        <v>57</v>
      </c>
      <c r="HS114" t="s">
        <v>57</v>
      </c>
      <c r="HT114" t="s">
        <v>57</v>
      </c>
      <c r="HU114" t="s">
        <v>57</v>
      </c>
      <c r="HV114" t="s">
        <v>57</v>
      </c>
      <c r="HW114" t="s">
        <v>57</v>
      </c>
      <c r="HX114" t="s">
        <v>57</v>
      </c>
      <c r="HY114" t="s">
        <v>57</v>
      </c>
      <c r="HZ114" t="s">
        <v>57</v>
      </c>
      <c r="IA114" t="s">
        <v>57</v>
      </c>
      <c r="IB114" t="s">
        <v>57</v>
      </c>
      <c r="IC114" t="s">
        <v>57</v>
      </c>
      <c r="ID114" t="s">
        <v>57</v>
      </c>
      <c r="IE114" t="s">
        <v>57</v>
      </c>
      <c r="IF114" t="s">
        <v>124</v>
      </c>
      <c r="IG114" t="s">
        <v>148</v>
      </c>
      <c r="IH114" t="s">
        <v>123</v>
      </c>
      <c r="II114" t="s">
        <v>156</v>
      </c>
    </row>
    <row r="115" spans="1:243" x14ac:dyDescent="0.25">
      <c r="A115" s="111" t="str">
        <f>HYPERLINK("http://www.ofsted.gov.uk/inspection-reports/find-inspection-report/provider/ELS/132003 ","Ofsted School Webpage")</f>
        <v>Ofsted School Webpage</v>
      </c>
      <c r="B115">
        <v>132003</v>
      </c>
      <c r="C115">
        <v>8696014</v>
      </c>
      <c r="D115" t="s">
        <v>551</v>
      </c>
      <c r="E115" t="s">
        <v>37</v>
      </c>
      <c r="F115" t="s">
        <v>138</v>
      </c>
      <c r="G115" t="s">
        <v>139</v>
      </c>
      <c r="H115" t="s">
        <v>139</v>
      </c>
      <c r="I115" t="s">
        <v>552</v>
      </c>
      <c r="J115" t="s">
        <v>553</v>
      </c>
      <c r="K115" t="s">
        <v>142</v>
      </c>
      <c r="L115" t="s">
        <v>142</v>
      </c>
      <c r="M115" t="s">
        <v>2596</v>
      </c>
      <c r="N115" t="s">
        <v>143</v>
      </c>
      <c r="O115">
        <v>10020923</v>
      </c>
      <c r="P115" s="108">
        <v>43060</v>
      </c>
      <c r="Q115" s="108">
        <v>43062</v>
      </c>
      <c r="R115" s="108">
        <v>43117</v>
      </c>
      <c r="S115" t="s">
        <v>3005</v>
      </c>
      <c r="T115" t="s">
        <v>154</v>
      </c>
      <c r="U115">
        <v>1</v>
      </c>
      <c r="V115">
        <v>1</v>
      </c>
      <c r="W115">
        <v>1</v>
      </c>
      <c r="X115">
        <v>1</v>
      </c>
      <c r="Y115">
        <v>1</v>
      </c>
      <c r="Z115" t="s">
        <v>2596</v>
      </c>
      <c r="AA115">
        <v>1</v>
      </c>
      <c r="AB115" t="s">
        <v>123</v>
      </c>
      <c r="AC115" t="s">
        <v>2596</v>
      </c>
      <c r="AD115" t="s">
        <v>2598</v>
      </c>
      <c r="AE115" t="s">
        <v>57</v>
      </c>
      <c r="AF115" t="s">
        <v>57</v>
      </c>
      <c r="AG115" t="s">
        <v>57</v>
      </c>
      <c r="AH115" t="s">
        <v>57</v>
      </c>
      <c r="AI115" t="s">
        <v>57</v>
      </c>
      <c r="AJ115" t="s">
        <v>57</v>
      </c>
      <c r="AK115" t="s">
        <v>57</v>
      </c>
      <c r="AL115" t="s">
        <v>57</v>
      </c>
      <c r="AM115" t="s">
        <v>57</v>
      </c>
      <c r="AN115" t="s">
        <v>57</v>
      </c>
      <c r="AO115" t="s">
        <v>57</v>
      </c>
      <c r="AP115" t="s">
        <v>57</v>
      </c>
      <c r="AQ115" t="s">
        <v>57</v>
      </c>
      <c r="AR115" t="s">
        <v>57</v>
      </c>
      <c r="AS115" t="s">
        <v>57</v>
      </c>
      <c r="AT115" t="s">
        <v>57</v>
      </c>
      <c r="AU115" t="s">
        <v>148</v>
      </c>
      <c r="AV115" t="s">
        <v>57</v>
      </c>
      <c r="AW115" t="s">
        <v>57</v>
      </c>
      <c r="AX115" t="s">
        <v>57</v>
      </c>
      <c r="AY115" t="s">
        <v>57</v>
      </c>
      <c r="AZ115" t="s">
        <v>57</v>
      </c>
      <c r="BA115" t="s">
        <v>57</v>
      </c>
      <c r="BB115" t="s">
        <v>57</v>
      </c>
      <c r="BC115" t="s">
        <v>148</v>
      </c>
      <c r="BD115" t="s">
        <v>57</v>
      </c>
      <c r="BE115" t="s">
        <v>57</v>
      </c>
      <c r="BF115" t="s">
        <v>57</v>
      </c>
      <c r="BG115" t="s">
        <v>57</v>
      </c>
      <c r="BH115" t="s">
        <v>57</v>
      </c>
      <c r="BI115" t="s">
        <v>57</v>
      </c>
      <c r="BJ115" t="s">
        <v>57</v>
      </c>
      <c r="BK115" t="s">
        <v>57</v>
      </c>
      <c r="BL115" t="s">
        <v>57</v>
      </c>
      <c r="BM115" t="s">
        <v>57</v>
      </c>
      <c r="BN115" t="s">
        <v>57</v>
      </c>
      <c r="BO115" t="s">
        <v>57</v>
      </c>
      <c r="BP115" t="s">
        <v>57</v>
      </c>
      <c r="BQ115" t="s">
        <v>57</v>
      </c>
      <c r="BR115" t="s">
        <v>57</v>
      </c>
      <c r="BS115" t="s">
        <v>57</v>
      </c>
      <c r="BT115" t="s">
        <v>57</v>
      </c>
      <c r="BU115" t="s">
        <v>57</v>
      </c>
      <c r="BV115" t="s">
        <v>57</v>
      </c>
      <c r="BW115" t="s">
        <v>57</v>
      </c>
      <c r="BX115" t="s">
        <v>57</v>
      </c>
      <c r="BY115" t="s">
        <v>57</v>
      </c>
      <c r="BZ115" t="s">
        <v>57</v>
      </c>
      <c r="CA115" t="s">
        <v>57</v>
      </c>
      <c r="CB115" t="s">
        <v>57</v>
      </c>
      <c r="CC115" t="s">
        <v>57</v>
      </c>
      <c r="CD115" t="s">
        <v>57</v>
      </c>
      <c r="CE115" t="s">
        <v>57</v>
      </c>
      <c r="CF115" t="s">
        <v>57</v>
      </c>
      <c r="CG115" t="s">
        <v>57</v>
      </c>
      <c r="CH115" t="s">
        <v>57</v>
      </c>
      <c r="CI115" t="s">
        <v>57</v>
      </c>
      <c r="CJ115" t="s">
        <v>57</v>
      </c>
      <c r="CK115" t="s">
        <v>57</v>
      </c>
      <c r="CL115" t="s">
        <v>57</v>
      </c>
      <c r="CM115" t="s">
        <v>57</v>
      </c>
      <c r="CN115" t="s">
        <v>57</v>
      </c>
      <c r="CO115" t="s">
        <v>57</v>
      </c>
      <c r="CP115" t="s">
        <v>57</v>
      </c>
      <c r="CQ115" t="s">
        <v>57</v>
      </c>
      <c r="CR115" t="s">
        <v>57</v>
      </c>
      <c r="CS115" t="s">
        <v>57</v>
      </c>
      <c r="CT115" t="s">
        <v>57</v>
      </c>
      <c r="CU115" t="s">
        <v>57</v>
      </c>
      <c r="CV115" t="s">
        <v>57</v>
      </c>
      <c r="CW115" t="s">
        <v>57</v>
      </c>
      <c r="CX115" t="s">
        <v>57</v>
      </c>
      <c r="CY115" t="s">
        <v>57</v>
      </c>
      <c r="CZ115" t="s">
        <v>57</v>
      </c>
      <c r="DA115" t="s">
        <v>57</v>
      </c>
      <c r="DB115" t="s">
        <v>57</v>
      </c>
      <c r="DC115" t="s">
        <v>57</v>
      </c>
      <c r="DD115" t="s">
        <v>57</v>
      </c>
      <c r="DE115" t="s">
        <v>57</v>
      </c>
      <c r="DF115" t="s">
        <v>57</v>
      </c>
      <c r="DG115" t="s">
        <v>57</v>
      </c>
      <c r="DH115" t="s">
        <v>57</v>
      </c>
      <c r="DI115" t="s">
        <v>57</v>
      </c>
      <c r="DJ115" t="s">
        <v>57</v>
      </c>
      <c r="DK115" t="s">
        <v>57</v>
      </c>
      <c r="DL115" t="s">
        <v>57</v>
      </c>
      <c r="DM115" t="s">
        <v>57</v>
      </c>
      <c r="DN115" t="s">
        <v>57</v>
      </c>
      <c r="DO115" t="s">
        <v>57</v>
      </c>
      <c r="DP115" t="s">
        <v>57</v>
      </c>
      <c r="DQ115" t="s">
        <v>57</v>
      </c>
      <c r="DR115" t="s">
        <v>57</v>
      </c>
      <c r="DS115" t="s">
        <v>57</v>
      </c>
      <c r="DT115" t="s">
        <v>57</v>
      </c>
      <c r="DU115" t="s">
        <v>57</v>
      </c>
      <c r="DV115" t="s">
        <v>57</v>
      </c>
      <c r="DW115" t="s">
        <v>57</v>
      </c>
      <c r="DX115" t="s">
        <v>57</v>
      </c>
      <c r="DY115" t="s">
        <v>57</v>
      </c>
      <c r="DZ115" t="s">
        <v>57</v>
      </c>
      <c r="EA115" t="s">
        <v>57</v>
      </c>
      <c r="EB115" t="s">
        <v>57</v>
      </c>
      <c r="EC115" t="s">
        <v>57</v>
      </c>
      <c r="ED115" t="s">
        <v>57</v>
      </c>
      <c r="EE115" t="s">
        <v>57</v>
      </c>
      <c r="EF115" t="s">
        <v>57</v>
      </c>
      <c r="EG115" t="s">
        <v>57</v>
      </c>
      <c r="EH115" t="s">
        <v>57</v>
      </c>
      <c r="EI115" t="s">
        <v>57</v>
      </c>
      <c r="EJ115" t="s">
        <v>57</v>
      </c>
      <c r="EK115" t="s">
        <v>57</v>
      </c>
      <c r="EL115" t="s">
        <v>57</v>
      </c>
      <c r="EM115" t="s">
        <v>57</v>
      </c>
      <c r="EN115" t="s">
        <v>57</v>
      </c>
      <c r="EO115" t="s">
        <v>57</v>
      </c>
      <c r="EP115" t="s">
        <v>57</v>
      </c>
      <c r="EQ115" t="s">
        <v>57</v>
      </c>
      <c r="ER115" t="s">
        <v>57</v>
      </c>
      <c r="ES115" t="s">
        <v>57</v>
      </c>
      <c r="ET115" t="s">
        <v>57</v>
      </c>
      <c r="EU115" t="s">
        <v>57</v>
      </c>
      <c r="EV115" t="s">
        <v>57</v>
      </c>
      <c r="EW115" t="s">
        <v>57</v>
      </c>
      <c r="EX115" t="s">
        <v>57</v>
      </c>
      <c r="EY115" t="s">
        <v>57</v>
      </c>
      <c r="EZ115" t="s">
        <v>57</v>
      </c>
      <c r="FA115" t="s">
        <v>57</v>
      </c>
      <c r="FB115" t="s">
        <v>57</v>
      </c>
      <c r="FC115" t="s">
        <v>57</v>
      </c>
      <c r="FD115" t="s">
        <v>57</v>
      </c>
      <c r="FE115" t="s">
        <v>57</v>
      </c>
      <c r="FF115" t="s">
        <v>57</v>
      </c>
      <c r="FG115" t="s">
        <v>57</v>
      </c>
      <c r="FH115" t="s">
        <v>57</v>
      </c>
      <c r="FI115" t="s">
        <v>57</v>
      </c>
      <c r="FJ115" t="s">
        <v>57</v>
      </c>
      <c r="FK115" t="s">
        <v>57</v>
      </c>
      <c r="FL115" t="s">
        <v>57</v>
      </c>
      <c r="FM115" t="s">
        <v>57</v>
      </c>
      <c r="FN115" t="s">
        <v>57</v>
      </c>
      <c r="FO115" t="s">
        <v>57</v>
      </c>
      <c r="FP115" t="s">
        <v>57</v>
      </c>
      <c r="FQ115" t="s">
        <v>57</v>
      </c>
      <c r="FR115" t="s">
        <v>57</v>
      </c>
      <c r="FS115" t="s">
        <v>57</v>
      </c>
      <c r="FT115" t="s">
        <v>57</v>
      </c>
      <c r="FU115" t="s">
        <v>57</v>
      </c>
      <c r="FV115" t="s">
        <v>57</v>
      </c>
      <c r="FW115" t="s">
        <v>57</v>
      </c>
      <c r="FX115" t="s">
        <v>57</v>
      </c>
      <c r="FY115" t="s">
        <v>57</v>
      </c>
      <c r="FZ115" t="s">
        <v>57</v>
      </c>
      <c r="GA115" t="s">
        <v>57</v>
      </c>
      <c r="GB115" t="s">
        <v>57</v>
      </c>
      <c r="GC115" t="s">
        <v>57</v>
      </c>
      <c r="GD115" t="s">
        <v>57</v>
      </c>
      <c r="GE115" t="s">
        <v>57</v>
      </c>
      <c r="GF115" t="s">
        <v>57</v>
      </c>
      <c r="GG115" t="s">
        <v>57</v>
      </c>
      <c r="GH115" t="s">
        <v>57</v>
      </c>
      <c r="GI115" t="s">
        <v>57</v>
      </c>
      <c r="GJ115" t="s">
        <v>57</v>
      </c>
      <c r="GK115" t="s">
        <v>57</v>
      </c>
      <c r="GL115" t="s">
        <v>57</v>
      </c>
      <c r="GM115" t="s">
        <v>57</v>
      </c>
      <c r="GN115" t="s">
        <v>57</v>
      </c>
      <c r="GO115" t="s">
        <v>57</v>
      </c>
      <c r="GP115" t="s">
        <v>57</v>
      </c>
      <c r="GQ115" t="s">
        <v>57</v>
      </c>
      <c r="GR115" t="s">
        <v>57</v>
      </c>
      <c r="GS115" t="s">
        <v>57</v>
      </c>
      <c r="GT115" t="s">
        <v>57</v>
      </c>
      <c r="GU115" t="s">
        <v>57</v>
      </c>
      <c r="GV115" t="s">
        <v>57</v>
      </c>
      <c r="GW115" t="s">
        <v>57</v>
      </c>
      <c r="GX115" t="s">
        <v>57</v>
      </c>
      <c r="GY115" t="s">
        <v>57</v>
      </c>
      <c r="GZ115" t="s">
        <v>57</v>
      </c>
      <c r="HA115" t="s">
        <v>57</v>
      </c>
      <c r="HB115" t="s">
        <v>57</v>
      </c>
      <c r="HC115" t="s">
        <v>57</v>
      </c>
      <c r="HD115" t="s">
        <v>57</v>
      </c>
      <c r="HE115" t="s">
        <v>57</v>
      </c>
      <c r="HF115" t="s">
        <v>57</v>
      </c>
      <c r="HG115" t="s">
        <v>57</v>
      </c>
      <c r="HH115" t="s">
        <v>57</v>
      </c>
      <c r="HI115" t="s">
        <v>57</v>
      </c>
      <c r="HJ115" t="s">
        <v>57</v>
      </c>
      <c r="HK115" t="s">
        <v>57</v>
      </c>
      <c r="HL115" t="s">
        <v>57</v>
      </c>
      <c r="HM115" t="s">
        <v>57</v>
      </c>
      <c r="HN115" t="s">
        <v>57</v>
      </c>
      <c r="HO115" t="s">
        <v>57</v>
      </c>
      <c r="HP115" t="s">
        <v>57</v>
      </c>
      <c r="HQ115" t="s">
        <v>57</v>
      </c>
      <c r="HR115" t="s">
        <v>57</v>
      </c>
      <c r="HS115" t="s">
        <v>57</v>
      </c>
      <c r="HT115" t="s">
        <v>57</v>
      </c>
      <c r="HU115" t="s">
        <v>57</v>
      </c>
      <c r="HV115" t="s">
        <v>57</v>
      </c>
      <c r="HW115" t="s">
        <v>57</v>
      </c>
      <c r="HX115" t="s">
        <v>57</v>
      </c>
      <c r="HY115" t="s">
        <v>57</v>
      </c>
      <c r="HZ115" t="s">
        <v>57</v>
      </c>
      <c r="IA115" t="s">
        <v>57</v>
      </c>
      <c r="IB115" t="s">
        <v>57</v>
      </c>
      <c r="IC115" t="s">
        <v>57</v>
      </c>
      <c r="ID115" t="s">
        <v>57</v>
      </c>
      <c r="IE115" t="s">
        <v>57</v>
      </c>
      <c r="IF115" t="s">
        <v>123</v>
      </c>
      <c r="IG115" t="s">
        <v>123</v>
      </c>
      <c r="IH115" t="s">
        <v>123</v>
      </c>
      <c r="II115" t="s">
        <v>156</v>
      </c>
    </row>
    <row r="116" spans="1:243" x14ac:dyDescent="0.25">
      <c r="A116" s="111" t="str">
        <f>HYPERLINK("http://www.ofsted.gov.uk/inspection-reports/find-inspection-report/provider/ELS/132069 ","Ofsted School Webpage")</f>
        <v>Ofsted School Webpage</v>
      </c>
      <c r="B116">
        <v>132069</v>
      </c>
      <c r="C116">
        <v>9386258</v>
      </c>
      <c r="D116" t="s">
        <v>1013</v>
      </c>
      <c r="E116" t="s">
        <v>37</v>
      </c>
      <c r="F116" t="s">
        <v>138</v>
      </c>
      <c r="G116" t="s">
        <v>139</v>
      </c>
      <c r="H116" t="s">
        <v>139</v>
      </c>
      <c r="I116" t="s">
        <v>351</v>
      </c>
      <c r="J116" t="s">
        <v>1014</v>
      </c>
      <c r="K116" t="s">
        <v>142</v>
      </c>
      <c r="L116" t="s">
        <v>142</v>
      </c>
      <c r="M116" t="s">
        <v>2596</v>
      </c>
      <c r="N116" t="s">
        <v>143</v>
      </c>
      <c r="O116">
        <v>10026017</v>
      </c>
      <c r="P116" s="108">
        <v>43067</v>
      </c>
      <c r="Q116" s="108">
        <v>43069</v>
      </c>
      <c r="R116" s="108">
        <v>43126</v>
      </c>
      <c r="S116" t="s">
        <v>3005</v>
      </c>
      <c r="T116" t="s">
        <v>154</v>
      </c>
      <c r="U116">
        <v>1</v>
      </c>
      <c r="V116">
        <v>1</v>
      </c>
      <c r="W116">
        <v>1</v>
      </c>
      <c r="X116">
        <v>1</v>
      </c>
      <c r="Y116">
        <v>1</v>
      </c>
      <c r="Z116" t="s">
        <v>2596</v>
      </c>
      <c r="AA116">
        <v>1</v>
      </c>
      <c r="AB116" t="s">
        <v>123</v>
      </c>
      <c r="AC116" t="s">
        <v>2596</v>
      </c>
      <c r="AD116" t="s">
        <v>2598</v>
      </c>
      <c r="AE116" t="s">
        <v>57</v>
      </c>
      <c r="AF116" t="s">
        <v>57</v>
      </c>
      <c r="AG116" t="s">
        <v>57</v>
      </c>
      <c r="AH116" t="s">
        <v>57</v>
      </c>
      <c r="AI116" t="s">
        <v>57</v>
      </c>
      <c r="AJ116" t="s">
        <v>57</v>
      </c>
      <c r="AK116" t="s">
        <v>57</v>
      </c>
      <c r="AL116" t="s">
        <v>57</v>
      </c>
      <c r="AM116" t="s">
        <v>57</v>
      </c>
      <c r="AN116" t="s">
        <v>57</v>
      </c>
      <c r="AO116" t="s">
        <v>57</v>
      </c>
      <c r="AP116" t="s">
        <v>57</v>
      </c>
      <c r="AQ116" t="s">
        <v>57</v>
      </c>
      <c r="AR116" t="s">
        <v>57</v>
      </c>
      <c r="AS116" t="s">
        <v>57</v>
      </c>
      <c r="AT116" t="s">
        <v>57</v>
      </c>
      <c r="AU116" t="s">
        <v>175</v>
      </c>
      <c r="AV116" t="s">
        <v>57</v>
      </c>
      <c r="AW116" t="s">
        <v>57</v>
      </c>
      <c r="AX116" t="s">
        <v>57</v>
      </c>
      <c r="AY116" t="s">
        <v>57</v>
      </c>
      <c r="AZ116" t="s">
        <v>57</v>
      </c>
      <c r="BA116" t="s">
        <v>57</v>
      </c>
      <c r="BB116" t="s">
        <v>57</v>
      </c>
      <c r="BC116" t="s">
        <v>175</v>
      </c>
      <c r="BD116" t="s">
        <v>57</v>
      </c>
      <c r="BE116" t="s">
        <v>57</v>
      </c>
      <c r="BF116" t="s">
        <v>57</v>
      </c>
      <c r="BG116" t="s">
        <v>57</v>
      </c>
      <c r="BH116" t="s">
        <v>57</v>
      </c>
      <c r="BI116" t="s">
        <v>57</v>
      </c>
      <c r="BJ116" t="s">
        <v>57</v>
      </c>
      <c r="BK116" t="s">
        <v>57</v>
      </c>
      <c r="BL116" t="s">
        <v>57</v>
      </c>
      <c r="BM116" t="s">
        <v>57</v>
      </c>
      <c r="BN116" t="s">
        <v>57</v>
      </c>
      <c r="BO116" t="s">
        <v>57</v>
      </c>
      <c r="BP116" t="s">
        <v>57</v>
      </c>
      <c r="BQ116" t="s">
        <v>57</v>
      </c>
      <c r="BR116" t="s">
        <v>57</v>
      </c>
      <c r="BS116" t="s">
        <v>57</v>
      </c>
      <c r="BT116" t="s">
        <v>57</v>
      </c>
      <c r="BU116" t="s">
        <v>57</v>
      </c>
      <c r="BV116" t="s">
        <v>57</v>
      </c>
      <c r="BW116" t="s">
        <v>57</v>
      </c>
      <c r="BX116" t="s">
        <v>57</v>
      </c>
      <c r="BY116" t="s">
        <v>57</v>
      </c>
      <c r="BZ116" t="s">
        <v>57</v>
      </c>
      <c r="CA116" t="s">
        <v>57</v>
      </c>
      <c r="CB116" t="s">
        <v>57</v>
      </c>
      <c r="CC116" t="s">
        <v>57</v>
      </c>
      <c r="CD116" t="s">
        <v>57</v>
      </c>
      <c r="CE116" t="s">
        <v>57</v>
      </c>
      <c r="CF116" t="s">
        <v>57</v>
      </c>
      <c r="CG116" t="s">
        <v>57</v>
      </c>
      <c r="CH116" t="s">
        <v>57</v>
      </c>
      <c r="CI116" t="s">
        <v>57</v>
      </c>
      <c r="CJ116" t="s">
        <v>57</v>
      </c>
      <c r="CK116" t="s">
        <v>57</v>
      </c>
      <c r="CL116" t="s">
        <v>175</v>
      </c>
      <c r="CM116" t="s">
        <v>175</v>
      </c>
      <c r="CN116" t="s">
        <v>57</v>
      </c>
      <c r="CO116" t="s">
        <v>57</v>
      </c>
      <c r="CP116" t="s">
        <v>57</v>
      </c>
      <c r="CQ116" t="s">
        <v>57</v>
      </c>
      <c r="CR116" t="s">
        <v>57</v>
      </c>
      <c r="CS116" t="s">
        <v>57</v>
      </c>
      <c r="CT116" t="s">
        <v>57</v>
      </c>
      <c r="CU116" t="s">
        <v>57</v>
      </c>
      <c r="CV116" t="s">
        <v>57</v>
      </c>
      <c r="CW116" t="s">
        <v>57</v>
      </c>
      <c r="CX116" t="s">
        <v>57</v>
      </c>
      <c r="CY116" t="s">
        <v>57</v>
      </c>
      <c r="CZ116" t="s">
        <v>57</v>
      </c>
      <c r="DA116" t="s">
        <v>57</v>
      </c>
      <c r="DB116" t="s">
        <v>57</v>
      </c>
      <c r="DC116" t="s">
        <v>57</v>
      </c>
      <c r="DD116" t="s">
        <v>57</v>
      </c>
      <c r="DE116" t="s">
        <v>57</v>
      </c>
      <c r="DF116" t="s">
        <v>57</v>
      </c>
      <c r="DG116" t="s">
        <v>57</v>
      </c>
      <c r="DH116" t="s">
        <v>57</v>
      </c>
      <c r="DI116" t="s">
        <v>57</v>
      </c>
      <c r="DJ116" t="s">
        <v>57</v>
      </c>
      <c r="DK116" t="s">
        <v>175</v>
      </c>
      <c r="DL116" t="s">
        <v>57</v>
      </c>
      <c r="DM116" t="s">
        <v>57</v>
      </c>
      <c r="DN116" t="s">
        <v>57</v>
      </c>
      <c r="DO116" t="s">
        <v>57</v>
      </c>
      <c r="DP116" t="s">
        <v>57</v>
      </c>
      <c r="DQ116" t="s">
        <v>57</v>
      </c>
      <c r="DR116" t="s">
        <v>57</v>
      </c>
      <c r="DS116" t="s">
        <v>57</v>
      </c>
      <c r="DT116" t="s">
        <v>57</v>
      </c>
      <c r="DU116" t="s">
        <v>57</v>
      </c>
      <c r="DV116" t="s">
        <v>57</v>
      </c>
      <c r="DW116" t="s">
        <v>57</v>
      </c>
      <c r="DX116" t="s">
        <v>57</v>
      </c>
      <c r="DY116" t="s">
        <v>175</v>
      </c>
      <c r="DZ116" t="s">
        <v>175</v>
      </c>
      <c r="EA116" t="s">
        <v>57</v>
      </c>
      <c r="EB116" t="s">
        <v>57</v>
      </c>
      <c r="EC116" t="s">
        <v>57</v>
      </c>
      <c r="ED116" t="s">
        <v>57</v>
      </c>
      <c r="EE116" t="s">
        <v>57</v>
      </c>
      <c r="EF116" t="s">
        <v>57</v>
      </c>
      <c r="EG116" t="s">
        <v>57</v>
      </c>
      <c r="EH116" t="s">
        <v>57</v>
      </c>
      <c r="EI116" t="s">
        <v>57</v>
      </c>
      <c r="EJ116" t="s">
        <v>57</v>
      </c>
      <c r="EK116" t="s">
        <v>57</v>
      </c>
      <c r="EL116" t="s">
        <v>57</v>
      </c>
      <c r="EM116" t="s">
        <v>57</v>
      </c>
      <c r="EN116" t="s">
        <v>57</v>
      </c>
      <c r="EO116" t="s">
        <v>57</v>
      </c>
      <c r="EP116" t="s">
        <v>57</v>
      </c>
      <c r="EQ116" t="s">
        <v>57</v>
      </c>
      <c r="ER116" t="s">
        <v>57</v>
      </c>
      <c r="ES116" t="s">
        <v>57</v>
      </c>
      <c r="ET116" t="s">
        <v>57</v>
      </c>
      <c r="EU116" t="s">
        <v>57</v>
      </c>
      <c r="EV116" t="s">
        <v>57</v>
      </c>
      <c r="EW116" t="s">
        <v>57</v>
      </c>
      <c r="EX116" t="s">
        <v>57</v>
      </c>
      <c r="EY116" t="s">
        <v>57</v>
      </c>
      <c r="EZ116" t="s">
        <v>57</v>
      </c>
      <c r="FA116" t="s">
        <v>57</v>
      </c>
      <c r="FB116" t="s">
        <v>57</v>
      </c>
      <c r="FC116" t="s">
        <v>57</v>
      </c>
      <c r="FD116" t="s">
        <v>57</v>
      </c>
      <c r="FE116" t="s">
        <v>57</v>
      </c>
      <c r="FF116" t="s">
        <v>57</v>
      </c>
      <c r="FG116" t="s">
        <v>57</v>
      </c>
      <c r="FH116" t="s">
        <v>57</v>
      </c>
      <c r="FI116" t="s">
        <v>57</v>
      </c>
      <c r="FJ116" t="s">
        <v>175</v>
      </c>
      <c r="FK116" t="s">
        <v>57</v>
      </c>
      <c r="FL116" t="s">
        <v>57</v>
      </c>
      <c r="FM116" t="s">
        <v>57</v>
      </c>
      <c r="FN116" t="s">
        <v>57</v>
      </c>
      <c r="FO116" t="s">
        <v>175</v>
      </c>
      <c r="FP116" t="s">
        <v>57</v>
      </c>
      <c r="FQ116" t="s">
        <v>57</v>
      </c>
      <c r="FR116" t="s">
        <v>57</v>
      </c>
      <c r="FS116" t="s">
        <v>57</v>
      </c>
      <c r="FT116" t="s">
        <v>57</v>
      </c>
      <c r="FU116" t="s">
        <v>57</v>
      </c>
      <c r="FV116" t="s">
        <v>57</v>
      </c>
      <c r="FW116" t="s">
        <v>57</v>
      </c>
      <c r="FX116" t="s">
        <v>57</v>
      </c>
      <c r="FY116" t="s">
        <v>57</v>
      </c>
      <c r="FZ116" t="s">
        <v>57</v>
      </c>
      <c r="GA116" t="s">
        <v>57</v>
      </c>
      <c r="GB116" t="s">
        <v>57</v>
      </c>
      <c r="GC116" t="s">
        <v>57</v>
      </c>
      <c r="GD116" t="s">
        <v>57</v>
      </c>
      <c r="GE116" t="s">
        <v>57</v>
      </c>
      <c r="GF116" t="s">
        <v>57</v>
      </c>
      <c r="GG116" t="s">
        <v>175</v>
      </c>
      <c r="GH116" t="s">
        <v>57</v>
      </c>
      <c r="GI116" t="s">
        <v>57</v>
      </c>
      <c r="GJ116" t="s">
        <v>57</v>
      </c>
      <c r="GK116" t="s">
        <v>57</v>
      </c>
      <c r="GL116" t="s">
        <v>57</v>
      </c>
      <c r="GM116" t="s">
        <v>175</v>
      </c>
      <c r="GN116" t="s">
        <v>57</v>
      </c>
      <c r="GO116" t="s">
        <v>57</v>
      </c>
      <c r="GP116" t="s">
        <v>57</v>
      </c>
      <c r="GQ116" t="s">
        <v>57</v>
      </c>
      <c r="GR116" t="s">
        <v>57</v>
      </c>
      <c r="GS116" t="s">
        <v>57</v>
      </c>
      <c r="GT116" t="s">
        <v>175</v>
      </c>
      <c r="GU116" t="s">
        <v>57</v>
      </c>
      <c r="GV116" t="s">
        <v>57</v>
      </c>
      <c r="GW116" t="s">
        <v>57</v>
      </c>
      <c r="GX116" t="s">
        <v>175</v>
      </c>
      <c r="GY116" t="s">
        <v>57</v>
      </c>
      <c r="GZ116" t="s">
        <v>57</v>
      </c>
      <c r="HA116" t="s">
        <v>57</v>
      </c>
      <c r="HB116" t="s">
        <v>57</v>
      </c>
      <c r="HC116" t="s">
        <v>57</v>
      </c>
      <c r="HD116" t="s">
        <v>57</v>
      </c>
      <c r="HE116" t="s">
        <v>57</v>
      </c>
      <c r="HF116" t="s">
        <v>57</v>
      </c>
      <c r="HG116" t="s">
        <v>57</v>
      </c>
      <c r="HH116" t="s">
        <v>57</v>
      </c>
      <c r="HI116" t="s">
        <v>175</v>
      </c>
      <c r="HJ116" t="s">
        <v>175</v>
      </c>
      <c r="HK116" t="s">
        <v>175</v>
      </c>
      <c r="HL116" t="s">
        <v>57</v>
      </c>
      <c r="HM116" t="s">
        <v>57</v>
      </c>
      <c r="HN116" t="s">
        <v>57</v>
      </c>
      <c r="HO116" t="s">
        <v>57</v>
      </c>
      <c r="HP116" t="s">
        <v>57</v>
      </c>
      <c r="HQ116" t="s">
        <v>57</v>
      </c>
      <c r="HR116" t="s">
        <v>57</v>
      </c>
      <c r="HS116" t="s">
        <v>57</v>
      </c>
      <c r="HT116" t="s">
        <v>57</v>
      </c>
      <c r="HU116" t="s">
        <v>57</v>
      </c>
      <c r="HV116" t="s">
        <v>57</v>
      </c>
      <c r="HW116" t="s">
        <v>57</v>
      </c>
      <c r="HX116" t="s">
        <v>57</v>
      </c>
      <c r="HY116" t="s">
        <v>57</v>
      </c>
      <c r="HZ116" t="s">
        <v>57</v>
      </c>
      <c r="IA116" t="s">
        <v>57</v>
      </c>
      <c r="IB116" t="s">
        <v>57</v>
      </c>
      <c r="IC116" t="s">
        <v>57</v>
      </c>
      <c r="ID116" t="s">
        <v>57</v>
      </c>
      <c r="IE116" t="s">
        <v>57</v>
      </c>
      <c r="IF116" t="s">
        <v>124</v>
      </c>
      <c r="IG116" t="s">
        <v>148</v>
      </c>
      <c r="IH116" t="s">
        <v>123</v>
      </c>
      <c r="II116" t="s">
        <v>156</v>
      </c>
    </row>
    <row r="117" spans="1:243" x14ac:dyDescent="0.25">
      <c r="A117" s="111" t="str">
        <f>HYPERLINK("http://www.ofsted.gov.uk/inspection-reports/find-inspection-report/provider/ELS/132735 ","Ofsted School Webpage")</f>
        <v>Ofsted School Webpage</v>
      </c>
      <c r="B117">
        <v>132735</v>
      </c>
      <c r="C117">
        <v>8606024</v>
      </c>
      <c r="D117" t="s">
        <v>284</v>
      </c>
      <c r="E117" t="s">
        <v>37</v>
      </c>
      <c r="F117" t="s">
        <v>138</v>
      </c>
      <c r="G117" t="s">
        <v>150</v>
      </c>
      <c r="H117" t="s">
        <v>150</v>
      </c>
      <c r="I117" t="s">
        <v>271</v>
      </c>
      <c r="J117" t="s">
        <v>285</v>
      </c>
      <c r="K117" t="s">
        <v>142</v>
      </c>
      <c r="L117" t="s">
        <v>142</v>
      </c>
      <c r="M117" t="s">
        <v>2596</v>
      </c>
      <c r="N117" t="s">
        <v>143</v>
      </c>
      <c r="O117">
        <v>10040663</v>
      </c>
      <c r="P117" s="108">
        <v>43018</v>
      </c>
      <c r="Q117" s="108">
        <v>43020</v>
      </c>
      <c r="R117" s="108">
        <v>43048</v>
      </c>
      <c r="S117" t="s">
        <v>153</v>
      </c>
      <c r="T117" t="s">
        <v>154</v>
      </c>
      <c r="U117">
        <v>3</v>
      </c>
      <c r="V117">
        <v>3</v>
      </c>
      <c r="W117">
        <v>2</v>
      </c>
      <c r="X117">
        <v>3</v>
      </c>
      <c r="Y117">
        <v>3</v>
      </c>
      <c r="Z117" t="s">
        <v>2596</v>
      </c>
      <c r="AA117">
        <v>3</v>
      </c>
      <c r="AB117" t="s">
        <v>123</v>
      </c>
      <c r="AC117" t="s">
        <v>2596</v>
      </c>
      <c r="AD117" t="s">
        <v>2598</v>
      </c>
      <c r="AE117" t="s">
        <v>57</v>
      </c>
      <c r="AF117" t="s">
        <v>57</v>
      </c>
      <c r="AG117" t="s">
        <v>57</v>
      </c>
      <c r="AH117" t="s">
        <v>57</v>
      </c>
      <c r="AI117" t="s">
        <v>57</v>
      </c>
      <c r="AJ117" t="s">
        <v>57</v>
      </c>
      <c r="AK117" t="s">
        <v>57</v>
      </c>
      <c r="AL117" t="s">
        <v>57</v>
      </c>
      <c r="AM117" t="s">
        <v>57</v>
      </c>
      <c r="AN117" t="s">
        <v>57</v>
      </c>
      <c r="AO117" t="s">
        <v>57</v>
      </c>
      <c r="AP117" t="s">
        <v>57</v>
      </c>
      <c r="AQ117" t="s">
        <v>57</v>
      </c>
      <c r="AR117" t="s">
        <v>57</v>
      </c>
      <c r="AS117" t="s">
        <v>57</v>
      </c>
      <c r="AT117" t="s">
        <v>57</v>
      </c>
      <c r="AU117" t="s">
        <v>175</v>
      </c>
      <c r="AV117" t="s">
        <v>57</v>
      </c>
      <c r="AW117" t="s">
        <v>57</v>
      </c>
      <c r="AX117" t="s">
        <v>57</v>
      </c>
      <c r="AY117" t="s">
        <v>57</v>
      </c>
      <c r="AZ117" t="s">
        <v>57</v>
      </c>
      <c r="BA117" t="s">
        <v>57</v>
      </c>
      <c r="BB117" t="s">
        <v>57</v>
      </c>
      <c r="BC117" t="s">
        <v>175</v>
      </c>
      <c r="BD117" t="s">
        <v>57</v>
      </c>
      <c r="BE117" t="s">
        <v>57</v>
      </c>
      <c r="BF117" t="s">
        <v>57</v>
      </c>
      <c r="BG117" t="s">
        <v>57</v>
      </c>
      <c r="BH117" t="s">
        <v>57</v>
      </c>
      <c r="BI117" t="s">
        <v>57</v>
      </c>
      <c r="BJ117" t="s">
        <v>57</v>
      </c>
      <c r="BK117" t="s">
        <v>57</v>
      </c>
      <c r="BL117" t="s">
        <v>57</v>
      </c>
      <c r="BM117" t="s">
        <v>57</v>
      </c>
      <c r="BN117" t="s">
        <v>57</v>
      </c>
      <c r="BO117" t="s">
        <v>57</v>
      </c>
      <c r="BP117" t="s">
        <v>57</v>
      </c>
      <c r="BQ117" t="s">
        <v>57</v>
      </c>
      <c r="BR117" t="s">
        <v>57</v>
      </c>
      <c r="BS117" t="s">
        <v>57</v>
      </c>
      <c r="BT117" t="s">
        <v>57</v>
      </c>
      <c r="BU117" t="s">
        <v>57</v>
      </c>
      <c r="BV117" t="s">
        <v>57</v>
      </c>
      <c r="BW117" t="s">
        <v>57</v>
      </c>
      <c r="BX117" t="s">
        <v>57</v>
      </c>
      <c r="BY117" t="s">
        <v>57</v>
      </c>
      <c r="BZ117" t="s">
        <v>57</v>
      </c>
      <c r="CA117" t="s">
        <v>57</v>
      </c>
      <c r="CB117" t="s">
        <v>57</v>
      </c>
      <c r="CC117" t="s">
        <v>57</v>
      </c>
      <c r="CD117" t="s">
        <v>57</v>
      </c>
      <c r="CE117" t="s">
        <v>57</v>
      </c>
      <c r="CF117" t="s">
        <v>57</v>
      </c>
      <c r="CG117" t="s">
        <v>57</v>
      </c>
      <c r="CH117" t="s">
        <v>57</v>
      </c>
      <c r="CI117" t="s">
        <v>57</v>
      </c>
      <c r="CJ117" t="s">
        <v>57</v>
      </c>
      <c r="CK117" t="s">
        <v>175</v>
      </c>
      <c r="CL117" t="s">
        <v>175</v>
      </c>
      <c r="CM117" t="s">
        <v>175</v>
      </c>
      <c r="CN117" t="s">
        <v>57</v>
      </c>
      <c r="CO117" t="s">
        <v>57</v>
      </c>
      <c r="CP117" t="s">
        <v>57</v>
      </c>
      <c r="CQ117" t="s">
        <v>57</v>
      </c>
      <c r="CR117" t="s">
        <v>57</v>
      </c>
      <c r="CS117" t="s">
        <v>57</v>
      </c>
      <c r="CT117" t="s">
        <v>57</v>
      </c>
      <c r="CU117" t="s">
        <v>57</v>
      </c>
      <c r="CV117" t="s">
        <v>57</v>
      </c>
      <c r="CW117" t="s">
        <v>57</v>
      </c>
      <c r="CX117" t="s">
        <v>57</v>
      </c>
      <c r="CY117" t="s">
        <v>57</v>
      </c>
      <c r="CZ117" t="s">
        <v>57</v>
      </c>
      <c r="DA117" t="s">
        <v>57</v>
      </c>
      <c r="DB117" t="s">
        <v>57</v>
      </c>
      <c r="DC117" t="s">
        <v>57</v>
      </c>
      <c r="DD117" t="s">
        <v>57</v>
      </c>
      <c r="DE117" t="s">
        <v>57</v>
      </c>
      <c r="DF117" t="s">
        <v>57</v>
      </c>
      <c r="DG117" t="s">
        <v>57</v>
      </c>
      <c r="DH117" t="s">
        <v>57</v>
      </c>
      <c r="DI117" t="s">
        <v>57</v>
      </c>
      <c r="DJ117" t="s">
        <v>175</v>
      </c>
      <c r="DK117" t="s">
        <v>175</v>
      </c>
      <c r="DL117" t="s">
        <v>57</v>
      </c>
      <c r="DM117" t="s">
        <v>57</v>
      </c>
      <c r="DN117" t="s">
        <v>57</v>
      </c>
      <c r="DO117" t="s">
        <v>57</v>
      </c>
      <c r="DP117" t="s">
        <v>57</v>
      </c>
      <c r="DQ117" t="s">
        <v>57</v>
      </c>
      <c r="DR117" t="s">
        <v>57</v>
      </c>
      <c r="DS117" t="s">
        <v>57</v>
      </c>
      <c r="DT117" t="s">
        <v>57</v>
      </c>
      <c r="DU117" t="s">
        <v>57</v>
      </c>
      <c r="DV117" t="s">
        <v>57</v>
      </c>
      <c r="DW117" t="s">
        <v>57</v>
      </c>
      <c r="DX117" t="s">
        <v>57</v>
      </c>
      <c r="DY117" t="s">
        <v>175</v>
      </c>
      <c r="DZ117" t="s">
        <v>57</v>
      </c>
      <c r="EA117" t="s">
        <v>57</v>
      </c>
      <c r="EB117" t="s">
        <v>57</v>
      </c>
      <c r="EC117" t="s">
        <v>57</v>
      </c>
      <c r="ED117" t="s">
        <v>57</v>
      </c>
      <c r="EE117" t="s">
        <v>57</v>
      </c>
      <c r="EF117" t="s">
        <v>57</v>
      </c>
      <c r="EG117" t="s">
        <v>57</v>
      </c>
      <c r="EH117" t="s">
        <v>57</v>
      </c>
      <c r="EI117" t="s">
        <v>57</v>
      </c>
      <c r="EJ117" t="s">
        <v>57</v>
      </c>
      <c r="EK117" t="s">
        <v>57</v>
      </c>
      <c r="EL117" t="s">
        <v>57</v>
      </c>
      <c r="EM117" t="s">
        <v>57</v>
      </c>
      <c r="EN117" t="s">
        <v>57</v>
      </c>
      <c r="EO117" t="s">
        <v>57</v>
      </c>
      <c r="EP117" t="s">
        <v>57</v>
      </c>
      <c r="EQ117" t="s">
        <v>57</v>
      </c>
      <c r="ER117" t="s">
        <v>57</v>
      </c>
      <c r="ES117" t="s">
        <v>57</v>
      </c>
      <c r="ET117" t="s">
        <v>57</v>
      </c>
      <c r="EU117" t="s">
        <v>57</v>
      </c>
      <c r="EV117" t="s">
        <v>57</v>
      </c>
      <c r="EW117" t="s">
        <v>57</v>
      </c>
      <c r="EX117" t="s">
        <v>57</v>
      </c>
      <c r="EY117" t="s">
        <v>57</v>
      </c>
      <c r="EZ117" t="s">
        <v>57</v>
      </c>
      <c r="FA117" t="s">
        <v>57</v>
      </c>
      <c r="FB117" t="s">
        <v>57</v>
      </c>
      <c r="FC117" t="s">
        <v>57</v>
      </c>
      <c r="FD117" t="s">
        <v>57</v>
      </c>
      <c r="FE117" t="s">
        <v>175</v>
      </c>
      <c r="FF117" t="s">
        <v>57</v>
      </c>
      <c r="FG117" t="s">
        <v>57</v>
      </c>
      <c r="FH117" t="s">
        <v>57</v>
      </c>
      <c r="FI117" t="s">
        <v>57</v>
      </c>
      <c r="FJ117" t="s">
        <v>57</v>
      </c>
      <c r="FK117" t="s">
        <v>57</v>
      </c>
      <c r="FL117" t="s">
        <v>57</v>
      </c>
      <c r="FM117" t="s">
        <v>57</v>
      </c>
      <c r="FN117" t="s">
        <v>57</v>
      </c>
      <c r="FO117" t="s">
        <v>57</v>
      </c>
      <c r="FP117" t="s">
        <v>57</v>
      </c>
      <c r="FQ117" t="s">
        <v>57</v>
      </c>
      <c r="FR117" t="s">
        <v>57</v>
      </c>
      <c r="FS117" t="s">
        <v>57</v>
      </c>
      <c r="FT117" t="s">
        <v>57</v>
      </c>
      <c r="FU117" t="s">
        <v>57</v>
      </c>
      <c r="FV117" t="s">
        <v>57</v>
      </c>
      <c r="FW117" t="s">
        <v>57</v>
      </c>
      <c r="FX117" t="s">
        <v>57</v>
      </c>
      <c r="FY117" t="s">
        <v>57</v>
      </c>
      <c r="FZ117" t="s">
        <v>57</v>
      </c>
      <c r="GA117" t="s">
        <v>57</v>
      </c>
      <c r="GB117" t="s">
        <v>57</v>
      </c>
      <c r="GC117" t="s">
        <v>57</v>
      </c>
      <c r="GD117" t="s">
        <v>57</v>
      </c>
      <c r="GE117" t="s">
        <v>57</v>
      </c>
      <c r="GF117" t="s">
        <v>57</v>
      </c>
      <c r="GG117" t="s">
        <v>175</v>
      </c>
      <c r="GH117" t="s">
        <v>57</v>
      </c>
      <c r="GI117" t="s">
        <v>57</v>
      </c>
      <c r="GJ117" t="s">
        <v>57</v>
      </c>
      <c r="GK117" t="s">
        <v>57</v>
      </c>
      <c r="GL117" t="s">
        <v>57</v>
      </c>
      <c r="GM117" t="s">
        <v>57</v>
      </c>
      <c r="GN117" t="s">
        <v>57</v>
      </c>
      <c r="GO117" t="s">
        <v>57</v>
      </c>
      <c r="GP117" t="s">
        <v>57</v>
      </c>
      <c r="GQ117" t="s">
        <v>57</v>
      </c>
      <c r="GR117" t="s">
        <v>57</v>
      </c>
      <c r="GS117" t="s">
        <v>57</v>
      </c>
      <c r="GT117" t="s">
        <v>57</v>
      </c>
      <c r="GU117" t="s">
        <v>57</v>
      </c>
      <c r="GV117" t="s">
        <v>175</v>
      </c>
      <c r="GW117" t="s">
        <v>57</v>
      </c>
      <c r="GX117" t="s">
        <v>57</v>
      </c>
      <c r="GY117" t="s">
        <v>57</v>
      </c>
      <c r="GZ117" t="s">
        <v>57</v>
      </c>
      <c r="HA117" t="s">
        <v>57</v>
      </c>
      <c r="HB117" t="s">
        <v>57</v>
      </c>
      <c r="HC117" t="s">
        <v>57</v>
      </c>
      <c r="HD117" t="s">
        <v>57</v>
      </c>
      <c r="HE117" t="s">
        <v>57</v>
      </c>
      <c r="HF117" t="s">
        <v>57</v>
      </c>
      <c r="HG117" t="s">
        <v>57</v>
      </c>
      <c r="HH117" t="s">
        <v>57</v>
      </c>
      <c r="HI117" t="s">
        <v>175</v>
      </c>
      <c r="HJ117" t="s">
        <v>175</v>
      </c>
      <c r="HK117" t="s">
        <v>175</v>
      </c>
      <c r="HL117" t="s">
        <v>57</v>
      </c>
      <c r="HM117" t="s">
        <v>57</v>
      </c>
      <c r="HN117" t="s">
        <v>57</v>
      </c>
      <c r="HO117" t="s">
        <v>57</v>
      </c>
      <c r="HP117" t="s">
        <v>57</v>
      </c>
      <c r="HQ117" t="s">
        <v>57</v>
      </c>
      <c r="HR117" t="s">
        <v>57</v>
      </c>
      <c r="HS117" t="s">
        <v>57</v>
      </c>
      <c r="HT117" t="s">
        <v>57</v>
      </c>
      <c r="HU117" t="s">
        <v>57</v>
      </c>
      <c r="HV117" t="s">
        <v>57</v>
      </c>
      <c r="HW117" t="s">
        <v>57</v>
      </c>
      <c r="HX117" t="s">
        <v>57</v>
      </c>
      <c r="HY117" t="s">
        <v>57</v>
      </c>
      <c r="HZ117" t="s">
        <v>57</v>
      </c>
      <c r="IA117" t="s">
        <v>57</v>
      </c>
      <c r="IB117" t="s">
        <v>57</v>
      </c>
      <c r="IC117" t="s">
        <v>57</v>
      </c>
      <c r="ID117" t="s">
        <v>57</v>
      </c>
      <c r="IE117" t="s">
        <v>57</v>
      </c>
      <c r="IF117" t="s">
        <v>124</v>
      </c>
      <c r="IG117" t="s">
        <v>148</v>
      </c>
      <c r="IH117" t="s">
        <v>123</v>
      </c>
      <c r="II117" t="s">
        <v>156</v>
      </c>
    </row>
    <row r="118" spans="1:243" x14ac:dyDescent="0.25">
      <c r="A118" s="111" t="str">
        <f>HYPERLINK("http://www.ofsted.gov.uk/inspection-reports/find-inspection-report/provider/ELS/132750 ","Ofsted School Webpage")</f>
        <v>Ofsted School Webpage</v>
      </c>
      <c r="B118">
        <v>132750</v>
      </c>
      <c r="C118">
        <v>3356010</v>
      </c>
      <c r="D118" t="s">
        <v>1519</v>
      </c>
      <c r="E118" t="s">
        <v>36</v>
      </c>
      <c r="F118" t="s">
        <v>166</v>
      </c>
      <c r="G118" t="s">
        <v>150</v>
      </c>
      <c r="H118" t="s">
        <v>150</v>
      </c>
      <c r="I118" t="s">
        <v>1452</v>
      </c>
      <c r="J118" t="s">
        <v>1520</v>
      </c>
      <c r="K118" t="s">
        <v>142</v>
      </c>
      <c r="L118" t="s">
        <v>180</v>
      </c>
      <c r="M118" t="s">
        <v>2596</v>
      </c>
      <c r="N118" t="s">
        <v>143</v>
      </c>
      <c r="O118">
        <v>10038830</v>
      </c>
      <c r="P118" s="108">
        <v>43116</v>
      </c>
      <c r="Q118" s="108">
        <v>43118</v>
      </c>
      <c r="R118" s="108">
        <v>43139</v>
      </c>
      <c r="S118" t="s">
        <v>153</v>
      </c>
      <c r="T118" t="s">
        <v>154</v>
      </c>
      <c r="U118">
        <v>2</v>
      </c>
      <c r="V118">
        <v>2</v>
      </c>
      <c r="W118">
        <v>1</v>
      </c>
      <c r="X118">
        <v>2</v>
      </c>
      <c r="Y118">
        <v>2</v>
      </c>
      <c r="Z118">
        <v>2</v>
      </c>
      <c r="AA118" t="s">
        <v>2596</v>
      </c>
      <c r="AB118" t="s">
        <v>123</v>
      </c>
      <c r="AC118" t="s">
        <v>2596</v>
      </c>
      <c r="AD118" t="s">
        <v>2598</v>
      </c>
      <c r="AE118" t="s">
        <v>57</v>
      </c>
      <c r="AF118" t="s">
        <v>57</v>
      </c>
      <c r="AG118" t="s">
        <v>57</v>
      </c>
      <c r="AH118" t="s">
        <v>57</v>
      </c>
      <c r="AI118" t="s">
        <v>57</v>
      </c>
      <c r="AJ118" t="s">
        <v>57</v>
      </c>
      <c r="AK118" t="s">
        <v>57</v>
      </c>
      <c r="AL118" t="s">
        <v>57</v>
      </c>
      <c r="AM118" t="s">
        <v>57</v>
      </c>
      <c r="AN118" t="s">
        <v>57</v>
      </c>
      <c r="AO118" t="s">
        <v>57</v>
      </c>
      <c r="AP118" t="s">
        <v>57</v>
      </c>
      <c r="AQ118" t="s">
        <v>57</v>
      </c>
      <c r="AR118" t="s">
        <v>57</v>
      </c>
      <c r="AS118" t="s">
        <v>57</v>
      </c>
      <c r="AT118" t="s">
        <v>57</v>
      </c>
      <c r="AU118" t="s">
        <v>175</v>
      </c>
      <c r="AV118" t="s">
        <v>57</v>
      </c>
      <c r="AW118" t="s">
        <v>57</v>
      </c>
      <c r="AX118" t="s">
        <v>57</v>
      </c>
      <c r="AY118" t="s">
        <v>57</v>
      </c>
      <c r="AZ118" t="s">
        <v>57</v>
      </c>
      <c r="BA118" t="s">
        <v>57</v>
      </c>
      <c r="BB118" t="s">
        <v>57</v>
      </c>
      <c r="BC118" t="s">
        <v>57</v>
      </c>
      <c r="BD118" t="s">
        <v>175</v>
      </c>
      <c r="BE118" t="s">
        <v>57</v>
      </c>
      <c r="BF118" t="s">
        <v>57</v>
      </c>
      <c r="BG118" t="s">
        <v>57</v>
      </c>
      <c r="BH118" t="s">
        <v>57</v>
      </c>
      <c r="BI118" t="s">
        <v>57</v>
      </c>
      <c r="BJ118" t="s">
        <v>57</v>
      </c>
      <c r="BK118" t="s">
        <v>57</v>
      </c>
      <c r="BL118" t="s">
        <v>57</v>
      </c>
      <c r="BM118" t="s">
        <v>57</v>
      </c>
      <c r="BN118" t="s">
        <v>57</v>
      </c>
      <c r="BO118" t="s">
        <v>57</v>
      </c>
      <c r="BP118" t="s">
        <v>57</v>
      </c>
      <c r="BQ118" t="s">
        <v>57</v>
      </c>
      <c r="BR118" t="s">
        <v>57</v>
      </c>
      <c r="BS118" t="s">
        <v>57</v>
      </c>
      <c r="BT118" t="s">
        <v>57</v>
      </c>
      <c r="BU118" t="s">
        <v>57</v>
      </c>
      <c r="BV118" t="s">
        <v>57</v>
      </c>
      <c r="BW118" t="s">
        <v>57</v>
      </c>
      <c r="BX118" t="s">
        <v>57</v>
      </c>
      <c r="BY118" t="s">
        <v>57</v>
      </c>
      <c r="BZ118" t="s">
        <v>57</v>
      </c>
      <c r="CA118" t="s">
        <v>57</v>
      </c>
      <c r="CB118" t="s">
        <v>57</v>
      </c>
      <c r="CC118" t="s">
        <v>57</v>
      </c>
      <c r="CD118" t="s">
        <v>57</v>
      </c>
      <c r="CE118" t="s">
        <v>57</v>
      </c>
      <c r="CF118" t="s">
        <v>57</v>
      </c>
      <c r="CG118" t="s">
        <v>57</v>
      </c>
      <c r="CH118" t="s">
        <v>57</v>
      </c>
      <c r="CI118" t="s">
        <v>57</v>
      </c>
      <c r="CJ118" t="s">
        <v>57</v>
      </c>
      <c r="CK118" t="s">
        <v>175</v>
      </c>
      <c r="CL118" t="s">
        <v>175</v>
      </c>
      <c r="CM118" t="s">
        <v>175</v>
      </c>
      <c r="CN118" t="s">
        <v>57</v>
      </c>
      <c r="CO118" t="s">
        <v>57</v>
      </c>
      <c r="CP118" t="s">
        <v>57</v>
      </c>
      <c r="CQ118" t="s">
        <v>57</v>
      </c>
      <c r="CR118" t="s">
        <v>57</v>
      </c>
      <c r="CS118" t="s">
        <v>57</v>
      </c>
      <c r="CT118" t="s">
        <v>57</v>
      </c>
      <c r="CU118" t="s">
        <v>57</v>
      </c>
      <c r="CV118" t="s">
        <v>57</v>
      </c>
      <c r="CW118" t="s">
        <v>57</v>
      </c>
      <c r="CX118" t="s">
        <v>57</v>
      </c>
      <c r="CY118" t="s">
        <v>57</v>
      </c>
      <c r="CZ118" t="s">
        <v>57</v>
      </c>
      <c r="DA118" t="s">
        <v>57</v>
      </c>
      <c r="DB118" t="s">
        <v>57</v>
      </c>
      <c r="DC118" t="s">
        <v>57</v>
      </c>
      <c r="DD118" t="s">
        <v>57</v>
      </c>
      <c r="DE118" t="s">
        <v>57</v>
      </c>
      <c r="DF118" t="s">
        <v>57</v>
      </c>
      <c r="DG118" t="s">
        <v>57</v>
      </c>
      <c r="DH118" t="s">
        <v>57</v>
      </c>
      <c r="DI118" t="s">
        <v>57</v>
      </c>
      <c r="DJ118" t="s">
        <v>57</v>
      </c>
      <c r="DK118" t="s">
        <v>175</v>
      </c>
      <c r="DL118" t="s">
        <v>57</v>
      </c>
      <c r="DM118" t="s">
        <v>175</v>
      </c>
      <c r="DN118" t="s">
        <v>175</v>
      </c>
      <c r="DO118" t="s">
        <v>175</v>
      </c>
      <c r="DP118" t="s">
        <v>175</v>
      </c>
      <c r="DQ118" t="s">
        <v>175</v>
      </c>
      <c r="DR118" t="s">
        <v>175</v>
      </c>
      <c r="DS118" t="s">
        <v>175</v>
      </c>
      <c r="DT118" t="s">
        <v>175</v>
      </c>
      <c r="DU118" t="s">
        <v>175</v>
      </c>
      <c r="DV118" t="s">
        <v>175</v>
      </c>
      <c r="DW118" t="s">
        <v>175</v>
      </c>
      <c r="DX118" t="s">
        <v>175</v>
      </c>
      <c r="DY118" t="s">
        <v>175</v>
      </c>
      <c r="DZ118" t="s">
        <v>175</v>
      </c>
      <c r="EA118" t="s">
        <v>57</v>
      </c>
      <c r="EB118" t="s">
        <v>57</v>
      </c>
      <c r="EC118" t="s">
        <v>57</v>
      </c>
      <c r="ED118" t="s">
        <v>57</v>
      </c>
      <c r="EE118" t="s">
        <v>57</v>
      </c>
      <c r="EF118" t="s">
        <v>57</v>
      </c>
      <c r="EG118" t="s">
        <v>57</v>
      </c>
      <c r="EH118" t="s">
        <v>57</v>
      </c>
      <c r="EI118" t="s">
        <v>57</v>
      </c>
      <c r="EJ118" t="s">
        <v>57</v>
      </c>
      <c r="EK118" t="s">
        <v>57</v>
      </c>
      <c r="EL118" t="s">
        <v>57</v>
      </c>
      <c r="EM118" t="s">
        <v>57</v>
      </c>
      <c r="EN118" t="s">
        <v>57</v>
      </c>
      <c r="EO118" t="s">
        <v>57</v>
      </c>
      <c r="EP118" t="s">
        <v>57</v>
      </c>
      <c r="EQ118" t="s">
        <v>57</v>
      </c>
      <c r="ER118" t="s">
        <v>57</v>
      </c>
      <c r="ES118" t="s">
        <v>57</v>
      </c>
      <c r="ET118" t="s">
        <v>57</v>
      </c>
      <c r="EU118" t="s">
        <v>57</v>
      </c>
      <c r="EV118" t="s">
        <v>57</v>
      </c>
      <c r="EW118" t="s">
        <v>57</v>
      </c>
      <c r="EX118" t="s">
        <v>57</v>
      </c>
      <c r="EY118" t="s">
        <v>57</v>
      </c>
      <c r="EZ118" t="s">
        <v>57</v>
      </c>
      <c r="FA118" t="s">
        <v>57</v>
      </c>
      <c r="FB118" t="s">
        <v>57</v>
      </c>
      <c r="FC118" t="s">
        <v>57</v>
      </c>
      <c r="FD118" t="s">
        <v>57</v>
      </c>
      <c r="FE118" t="s">
        <v>57</v>
      </c>
      <c r="FF118" t="s">
        <v>57</v>
      </c>
      <c r="FG118" t="s">
        <v>57</v>
      </c>
      <c r="FH118" t="s">
        <v>57</v>
      </c>
      <c r="FI118" t="s">
        <v>57</v>
      </c>
      <c r="FJ118" t="s">
        <v>57</v>
      </c>
      <c r="FK118" t="s">
        <v>57</v>
      </c>
      <c r="FL118" t="s">
        <v>57</v>
      </c>
      <c r="FM118" t="s">
        <v>57</v>
      </c>
      <c r="FN118" t="s">
        <v>57</v>
      </c>
      <c r="FO118" t="s">
        <v>175</v>
      </c>
      <c r="FP118" t="s">
        <v>57</v>
      </c>
      <c r="FQ118" t="s">
        <v>57</v>
      </c>
      <c r="FR118" t="s">
        <v>57</v>
      </c>
      <c r="FS118" t="s">
        <v>57</v>
      </c>
      <c r="FT118" t="s">
        <v>57</v>
      </c>
      <c r="FU118" t="s">
        <v>57</v>
      </c>
      <c r="FV118" t="s">
        <v>57</v>
      </c>
      <c r="FW118" t="s">
        <v>57</v>
      </c>
      <c r="FX118" t="s">
        <v>57</v>
      </c>
      <c r="FY118" t="s">
        <v>57</v>
      </c>
      <c r="FZ118" t="s">
        <v>57</v>
      </c>
      <c r="GA118" t="s">
        <v>57</v>
      </c>
      <c r="GB118" t="s">
        <v>57</v>
      </c>
      <c r="GC118" t="s">
        <v>57</v>
      </c>
      <c r="GD118" t="s">
        <v>57</v>
      </c>
      <c r="GE118" t="s">
        <v>57</v>
      </c>
      <c r="GF118" t="s">
        <v>57</v>
      </c>
      <c r="GG118" t="s">
        <v>175</v>
      </c>
      <c r="GH118" t="s">
        <v>57</v>
      </c>
      <c r="GI118" t="s">
        <v>57</v>
      </c>
      <c r="GJ118" t="s">
        <v>57</v>
      </c>
      <c r="GK118" t="s">
        <v>57</v>
      </c>
      <c r="GL118" t="s">
        <v>57</v>
      </c>
      <c r="GM118" t="s">
        <v>57</v>
      </c>
      <c r="GN118" t="s">
        <v>57</v>
      </c>
      <c r="GO118" t="s">
        <v>57</v>
      </c>
      <c r="GP118" t="s">
        <v>57</v>
      </c>
      <c r="GQ118" t="s">
        <v>57</v>
      </c>
      <c r="GR118" t="s">
        <v>57</v>
      </c>
      <c r="GS118" t="s">
        <v>57</v>
      </c>
      <c r="GT118" t="s">
        <v>57</v>
      </c>
      <c r="GU118" t="s">
        <v>57</v>
      </c>
      <c r="GV118" t="s">
        <v>57</v>
      </c>
      <c r="GW118" t="s">
        <v>57</v>
      </c>
      <c r="GX118" t="s">
        <v>57</v>
      </c>
      <c r="GY118" t="s">
        <v>57</v>
      </c>
      <c r="GZ118" t="s">
        <v>57</v>
      </c>
      <c r="HA118" t="s">
        <v>57</v>
      </c>
      <c r="HB118" t="s">
        <v>57</v>
      </c>
      <c r="HC118" t="s">
        <v>57</v>
      </c>
      <c r="HD118" t="s">
        <v>57</v>
      </c>
      <c r="HE118" t="s">
        <v>57</v>
      </c>
      <c r="HF118" t="s">
        <v>57</v>
      </c>
      <c r="HG118" t="s">
        <v>57</v>
      </c>
      <c r="HH118" t="s">
        <v>175</v>
      </c>
      <c r="HI118" t="s">
        <v>175</v>
      </c>
      <c r="HJ118" t="s">
        <v>175</v>
      </c>
      <c r="HK118" t="s">
        <v>175</v>
      </c>
      <c r="HL118" t="s">
        <v>57</v>
      </c>
      <c r="HM118" t="s">
        <v>57</v>
      </c>
      <c r="HN118" t="s">
        <v>57</v>
      </c>
      <c r="HO118" t="s">
        <v>57</v>
      </c>
      <c r="HP118" t="s">
        <v>57</v>
      </c>
      <c r="HQ118" t="s">
        <v>57</v>
      </c>
      <c r="HR118" t="s">
        <v>57</v>
      </c>
      <c r="HS118" t="s">
        <v>57</v>
      </c>
      <c r="HT118" t="s">
        <v>57</v>
      </c>
      <c r="HU118" t="s">
        <v>57</v>
      </c>
      <c r="HV118" t="s">
        <v>57</v>
      </c>
      <c r="HW118" t="s">
        <v>57</v>
      </c>
      <c r="HX118" t="s">
        <v>57</v>
      </c>
      <c r="HY118" t="s">
        <v>57</v>
      </c>
      <c r="HZ118" t="s">
        <v>57</v>
      </c>
      <c r="IA118" t="s">
        <v>57</v>
      </c>
      <c r="IB118" t="s">
        <v>57</v>
      </c>
      <c r="IC118" t="s">
        <v>57</v>
      </c>
      <c r="ID118" t="s">
        <v>57</v>
      </c>
      <c r="IE118" t="s">
        <v>57</v>
      </c>
      <c r="IF118" t="s">
        <v>124</v>
      </c>
      <c r="IG118" t="s">
        <v>148</v>
      </c>
      <c r="IH118" t="s">
        <v>123</v>
      </c>
      <c r="II118" t="s">
        <v>156</v>
      </c>
    </row>
    <row r="119" spans="1:243" x14ac:dyDescent="0.25">
      <c r="A119" s="111" t="str">
        <f>HYPERLINK("http://www.ofsted.gov.uk/inspection-reports/find-inspection-report/provider/ELS/132788 ","Ofsted School Webpage")</f>
        <v>Ofsted School Webpage</v>
      </c>
      <c r="B119">
        <v>132788</v>
      </c>
      <c r="C119">
        <v>2076399</v>
      </c>
      <c r="D119" t="s">
        <v>250</v>
      </c>
      <c r="E119" t="s">
        <v>36</v>
      </c>
      <c r="F119" t="s">
        <v>166</v>
      </c>
      <c r="G119" t="s">
        <v>189</v>
      </c>
      <c r="H119" t="s">
        <v>189</v>
      </c>
      <c r="I119" t="s">
        <v>251</v>
      </c>
      <c r="J119" t="s">
        <v>252</v>
      </c>
      <c r="K119" t="s">
        <v>142</v>
      </c>
      <c r="L119" t="s">
        <v>142</v>
      </c>
      <c r="M119" t="s">
        <v>2596</v>
      </c>
      <c r="N119" t="s">
        <v>143</v>
      </c>
      <c r="O119">
        <v>10026288</v>
      </c>
      <c r="P119" s="108">
        <v>43039</v>
      </c>
      <c r="Q119" s="108">
        <v>43041</v>
      </c>
      <c r="R119" s="108">
        <v>43067</v>
      </c>
      <c r="S119" t="s">
        <v>153</v>
      </c>
      <c r="T119" t="s">
        <v>154</v>
      </c>
      <c r="U119">
        <v>2</v>
      </c>
      <c r="V119">
        <v>2</v>
      </c>
      <c r="W119">
        <v>2</v>
      </c>
      <c r="X119">
        <v>2</v>
      </c>
      <c r="Y119">
        <v>2</v>
      </c>
      <c r="Z119" t="s">
        <v>2596</v>
      </c>
      <c r="AA119" t="s">
        <v>2596</v>
      </c>
      <c r="AB119" t="s">
        <v>123</v>
      </c>
      <c r="AC119" t="s">
        <v>2596</v>
      </c>
      <c r="AD119" t="s">
        <v>2598</v>
      </c>
      <c r="AE119" t="s">
        <v>57</v>
      </c>
      <c r="AF119" t="s">
        <v>57</v>
      </c>
      <c r="AG119" t="s">
        <v>57</v>
      </c>
      <c r="AH119" t="s">
        <v>57</v>
      </c>
      <c r="AI119" t="s">
        <v>57</v>
      </c>
      <c r="AJ119" t="s">
        <v>57</v>
      </c>
      <c r="AK119" t="s">
        <v>57</v>
      </c>
      <c r="AL119" t="s">
        <v>57</v>
      </c>
      <c r="AM119" t="s">
        <v>57</v>
      </c>
      <c r="AN119" t="s">
        <v>57</v>
      </c>
      <c r="AO119" t="s">
        <v>57</v>
      </c>
      <c r="AP119" t="s">
        <v>57</v>
      </c>
      <c r="AQ119" t="s">
        <v>57</v>
      </c>
      <c r="AR119" t="s">
        <v>57</v>
      </c>
      <c r="AS119" t="s">
        <v>57</v>
      </c>
      <c r="AT119" t="s">
        <v>57</v>
      </c>
      <c r="AU119" t="s">
        <v>175</v>
      </c>
      <c r="AV119" t="s">
        <v>57</v>
      </c>
      <c r="AW119" t="s">
        <v>57</v>
      </c>
      <c r="AX119" t="s">
        <v>57</v>
      </c>
      <c r="AY119" t="s">
        <v>57</v>
      </c>
      <c r="AZ119" t="s">
        <v>57</v>
      </c>
      <c r="BA119" t="s">
        <v>57</v>
      </c>
      <c r="BB119" t="s">
        <v>57</v>
      </c>
      <c r="BC119" t="s">
        <v>57</v>
      </c>
      <c r="BD119" t="s">
        <v>175</v>
      </c>
      <c r="BE119" t="s">
        <v>57</v>
      </c>
      <c r="BF119" t="s">
        <v>57</v>
      </c>
      <c r="BG119" t="s">
        <v>57</v>
      </c>
      <c r="BH119" t="s">
        <v>57</v>
      </c>
      <c r="BI119" t="s">
        <v>57</v>
      </c>
      <c r="BJ119" t="s">
        <v>57</v>
      </c>
      <c r="BK119" t="s">
        <v>57</v>
      </c>
      <c r="BL119" t="s">
        <v>57</v>
      </c>
      <c r="BM119" t="s">
        <v>57</v>
      </c>
      <c r="BN119" t="s">
        <v>57</v>
      </c>
      <c r="BO119" t="s">
        <v>57</v>
      </c>
      <c r="BP119" t="s">
        <v>57</v>
      </c>
      <c r="BQ119" t="s">
        <v>57</v>
      </c>
      <c r="BR119" t="s">
        <v>57</v>
      </c>
      <c r="BS119" t="s">
        <v>57</v>
      </c>
      <c r="BT119" t="s">
        <v>57</v>
      </c>
      <c r="BU119" t="s">
        <v>57</v>
      </c>
      <c r="BV119" t="s">
        <v>57</v>
      </c>
      <c r="BW119" t="s">
        <v>57</v>
      </c>
      <c r="BX119" t="s">
        <v>57</v>
      </c>
      <c r="BY119" t="s">
        <v>57</v>
      </c>
      <c r="BZ119" t="s">
        <v>57</v>
      </c>
      <c r="CA119" t="s">
        <v>57</v>
      </c>
      <c r="CB119" t="s">
        <v>57</v>
      </c>
      <c r="CC119" t="s">
        <v>57</v>
      </c>
      <c r="CD119" t="s">
        <v>57</v>
      </c>
      <c r="CE119" t="s">
        <v>57</v>
      </c>
      <c r="CF119" t="s">
        <v>57</v>
      </c>
      <c r="CG119" t="s">
        <v>57</v>
      </c>
      <c r="CH119" t="s">
        <v>57</v>
      </c>
      <c r="CI119" t="s">
        <v>57</v>
      </c>
      <c r="CJ119" t="s">
        <v>57</v>
      </c>
      <c r="CK119" t="s">
        <v>57</v>
      </c>
      <c r="CL119" t="s">
        <v>175</v>
      </c>
      <c r="CM119" t="s">
        <v>175</v>
      </c>
      <c r="CN119" t="s">
        <v>57</v>
      </c>
      <c r="CO119" t="s">
        <v>57</v>
      </c>
      <c r="CP119" t="s">
        <v>57</v>
      </c>
      <c r="CQ119" t="s">
        <v>57</v>
      </c>
      <c r="CR119" t="s">
        <v>57</v>
      </c>
      <c r="CS119" t="s">
        <v>57</v>
      </c>
      <c r="CT119" t="s">
        <v>57</v>
      </c>
      <c r="CU119" t="s">
        <v>57</v>
      </c>
      <c r="CV119" t="s">
        <v>57</v>
      </c>
      <c r="CW119" t="s">
        <v>57</v>
      </c>
      <c r="CX119" t="s">
        <v>57</v>
      </c>
      <c r="CY119" t="s">
        <v>57</v>
      </c>
      <c r="CZ119" t="s">
        <v>57</v>
      </c>
      <c r="DA119" t="s">
        <v>57</v>
      </c>
      <c r="DB119" t="s">
        <v>57</v>
      </c>
      <c r="DC119" t="s">
        <v>57</v>
      </c>
      <c r="DD119" t="s">
        <v>57</v>
      </c>
      <c r="DE119" t="s">
        <v>57</v>
      </c>
      <c r="DF119" t="s">
        <v>57</v>
      </c>
      <c r="DG119" t="s">
        <v>57</v>
      </c>
      <c r="DH119" t="s">
        <v>57</v>
      </c>
      <c r="DI119" t="s">
        <v>57</v>
      </c>
      <c r="DJ119" t="s">
        <v>57</v>
      </c>
      <c r="DK119" t="s">
        <v>175</v>
      </c>
      <c r="DL119" t="s">
        <v>57</v>
      </c>
      <c r="DM119" t="s">
        <v>57</v>
      </c>
      <c r="DN119" t="s">
        <v>57</v>
      </c>
      <c r="DO119" t="s">
        <v>57</v>
      </c>
      <c r="DP119" t="s">
        <v>57</v>
      </c>
      <c r="DQ119" t="s">
        <v>57</v>
      </c>
      <c r="DR119" t="s">
        <v>57</v>
      </c>
      <c r="DS119" t="s">
        <v>57</v>
      </c>
      <c r="DT119" t="s">
        <v>57</v>
      </c>
      <c r="DU119" t="s">
        <v>57</v>
      </c>
      <c r="DV119" t="s">
        <v>57</v>
      </c>
      <c r="DW119" t="s">
        <v>57</v>
      </c>
      <c r="DX119" t="s">
        <v>57</v>
      </c>
      <c r="DY119" t="s">
        <v>175</v>
      </c>
      <c r="DZ119" t="s">
        <v>57</v>
      </c>
      <c r="EA119" t="s">
        <v>57</v>
      </c>
      <c r="EB119" t="s">
        <v>57</v>
      </c>
      <c r="EC119" t="s">
        <v>57</v>
      </c>
      <c r="ED119" t="s">
        <v>57</v>
      </c>
      <c r="EE119" t="s">
        <v>57</v>
      </c>
      <c r="EF119" t="s">
        <v>57</v>
      </c>
      <c r="EG119" t="s">
        <v>57</v>
      </c>
      <c r="EH119" t="s">
        <v>57</v>
      </c>
      <c r="EI119" t="s">
        <v>57</v>
      </c>
      <c r="EJ119" t="s">
        <v>57</v>
      </c>
      <c r="EK119" t="s">
        <v>57</v>
      </c>
      <c r="EL119" t="s">
        <v>57</v>
      </c>
      <c r="EM119" t="s">
        <v>57</v>
      </c>
      <c r="EN119" t="s">
        <v>57</v>
      </c>
      <c r="EO119" t="s">
        <v>57</v>
      </c>
      <c r="EP119" t="s">
        <v>57</v>
      </c>
      <c r="EQ119" t="s">
        <v>57</v>
      </c>
      <c r="ER119" t="s">
        <v>57</v>
      </c>
      <c r="ES119" t="s">
        <v>57</v>
      </c>
      <c r="ET119" t="s">
        <v>57</v>
      </c>
      <c r="EU119" t="s">
        <v>57</v>
      </c>
      <c r="EV119" t="s">
        <v>57</v>
      </c>
      <c r="EW119" t="s">
        <v>57</v>
      </c>
      <c r="EX119" t="s">
        <v>57</v>
      </c>
      <c r="EY119" t="s">
        <v>57</v>
      </c>
      <c r="EZ119" t="s">
        <v>57</v>
      </c>
      <c r="FA119" t="s">
        <v>57</v>
      </c>
      <c r="FB119" t="s">
        <v>57</v>
      </c>
      <c r="FC119" t="s">
        <v>57</v>
      </c>
      <c r="FD119" t="s">
        <v>57</v>
      </c>
      <c r="FE119" t="s">
        <v>57</v>
      </c>
      <c r="FF119" t="s">
        <v>57</v>
      </c>
      <c r="FG119" t="s">
        <v>57</v>
      </c>
      <c r="FH119" t="s">
        <v>57</v>
      </c>
      <c r="FI119" t="s">
        <v>57</v>
      </c>
      <c r="FJ119" t="s">
        <v>57</v>
      </c>
      <c r="FK119" t="s">
        <v>57</v>
      </c>
      <c r="FL119" t="s">
        <v>57</v>
      </c>
      <c r="FM119" t="s">
        <v>57</v>
      </c>
      <c r="FN119" t="s">
        <v>57</v>
      </c>
      <c r="FO119" t="s">
        <v>57</v>
      </c>
      <c r="FP119" t="s">
        <v>57</v>
      </c>
      <c r="FQ119" t="s">
        <v>57</v>
      </c>
      <c r="FR119" t="s">
        <v>57</v>
      </c>
      <c r="FS119" t="s">
        <v>57</v>
      </c>
      <c r="FT119" t="s">
        <v>57</v>
      </c>
      <c r="FU119" t="s">
        <v>57</v>
      </c>
      <c r="FV119" t="s">
        <v>57</v>
      </c>
      <c r="FW119" t="s">
        <v>57</v>
      </c>
      <c r="FX119" t="s">
        <v>57</v>
      </c>
      <c r="FY119" t="s">
        <v>57</v>
      </c>
      <c r="FZ119" t="s">
        <v>57</v>
      </c>
      <c r="GA119" t="s">
        <v>57</v>
      </c>
      <c r="GB119" t="s">
        <v>57</v>
      </c>
      <c r="GC119" t="s">
        <v>57</v>
      </c>
      <c r="GD119" t="s">
        <v>57</v>
      </c>
      <c r="GE119" t="s">
        <v>57</v>
      </c>
      <c r="GF119" t="s">
        <v>57</v>
      </c>
      <c r="GG119" t="s">
        <v>175</v>
      </c>
      <c r="GH119" t="s">
        <v>57</v>
      </c>
      <c r="GI119" t="s">
        <v>57</v>
      </c>
      <c r="GJ119" t="s">
        <v>57</v>
      </c>
      <c r="GK119" t="s">
        <v>57</v>
      </c>
      <c r="GL119" t="s">
        <v>57</v>
      </c>
      <c r="GM119" t="s">
        <v>57</v>
      </c>
      <c r="GN119" t="s">
        <v>57</v>
      </c>
      <c r="GO119" t="s">
        <v>57</v>
      </c>
      <c r="GP119" t="s">
        <v>57</v>
      </c>
      <c r="GQ119" t="s">
        <v>57</v>
      </c>
      <c r="GR119" t="s">
        <v>57</v>
      </c>
      <c r="GS119" t="s">
        <v>57</v>
      </c>
      <c r="GT119" t="s">
        <v>57</v>
      </c>
      <c r="GU119" t="s">
        <v>57</v>
      </c>
      <c r="GV119" t="s">
        <v>57</v>
      </c>
      <c r="GW119" t="s">
        <v>175</v>
      </c>
      <c r="GX119" t="s">
        <v>175</v>
      </c>
      <c r="GY119" t="s">
        <v>57</v>
      </c>
      <c r="GZ119" t="s">
        <v>57</v>
      </c>
      <c r="HA119" t="s">
        <v>57</v>
      </c>
      <c r="HB119" t="s">
        <v>57</v>
      </c>
      <c r="HC119" t="s">
        <v>57</v>
      </c>
      <c r="HD119" t="s">
        <v>57</v>
      </c>
      <c r="HE119" t="s">
        <v>57</v>
      </c>
      <c r="HF119" t="s">
        <v>57</v>
      </c>
      <c r="HG119" t="s">
        <v>57</v>
      </c>
      <c r="HH119" t="s">
        <v>57</v>
      </c>
      <c r="HI119" t="s">
        <v>57</v>
      </c>
      <c r="HJ119" t="s">
        <v>57</v>
      </c>
      <c r="HK119" t="s">
        <v>57</v>
      </c>
      <c r="HL119" t="s">
        <v>57</v>
      </c>
      <c r="HM119" t="s">
        <v>57</v>
      </c>
      <c r="HN119" t="s">
        <v>57</v>
      </c>
      <c r="HO119" t="s">
        <v>57</v>
      </c>
      <c r="HP119" t="s">
        <v>57</v>
      </c>
      <c r="HQ119" t="s">
        <v>57</v>
      </c>
      <c r="HR119" t="s">
        <v>57</v>
      </c>
      <c r="HS119" t="s">
        <v>57</v>
      </c>
      <c r="HT119" t="s">
        <v>57</v>
      </c>
      <c r="HU119" t="s">
        <v>57</v>
      </c>
      <c r="HV119" t="s">
        <v>57</v>
      </c>
      <c r="HW119" t="s">
        <v>57</v>
      </c>
      <c r="HX119" t="s">
        <v>57</v>
      </c>
      <c r="HY119" t="s">
        <v>57</v>
      </c>
      <c r="HZ119" t="s">
        <v>57</v>
      </c>
      <c r="IA119" t="s">
        <v>57</v>
      </c>
      <c r="IB119" t="s">
        <v>57</v>
      </c>
      <c r="IC119" t="s">
        <v>57</v>
      </c>
      <c r="ID119" t="s">
        <v>57</v>
      </c>
      <c r="IE119" t="s">
        <v>57</v>
      </c>
      <c r="IF119" t="s">
        <v>124</v>
      </c>
      <c r="IG119" t="s">
        <v>148</v>
      </c>
      <c r="IH119" t="s">
        <v>123</v>
      </c>
      <c r="II119" t="s">
        <v>156</v>
      </c>
    </row>
    <row r="120" spans="1:243" x14ac:dyDescent="0.25">
      <c r="A120" s="111" t="str">
        <f>HYPERLINK("http://www.ofsted.gov.uk/inspection-reports/find-inspection-report/provider/ELS/132848 ","Ofsted School Webpage")</f>
        <v>Ofsted School Webpage</v>
      </c>
      <c r="B120">
        <v>132848</v>
      </c>
      <c r="C120">
        <v>3206501</v>
      </c>
      <c r="D120" t="s">
        <v>661</v>
      </c>
      <c r="E120" t="s">
        <v>36</v>
      </c>
      <c r="F120" t="s">
        <v>166</v>
      </c>
      <c r="G120" t="s">
        <v>189</v>
      </c>
      <c r="H120" t="s">
        <v>189</v>
      </c>
      <c r="I120" t="s">
        <v>662</v>
      </c>
      <c r="J120" t="s">
        <v>663</v>
      </c>
      <c r="K120" t="s">
        <v>180</v>
      </c>
      <c r="L120" t="s">
        <v>261</v>
      </c>
      <c r="M120" t="s">
        <v>2596</v>
      </c>
      <c r="N120" t="s">
        <v>143</v>
      </c>
      <c r="O120">
        <v>10043179</v>
      </c>
      <c r="P120" s="108">
        <v>43081</v>
      </c>
      <c r="Q120" s="108">
        <v>43083</v>
      </c>
      <c r="R120" s="108">
        <v>43129</v>
      </c>
      <c r="S120" t="s">
        <v>153</v>
      </c>
      <c r="T120" t="s">
        <v>154</v>
      </c>
      <c r="U120">
        <v>3</v>
      </c>
      <c r="V120">
        <v>3</v>
      </c>
      <c r="W120">
        <v>3</v>
      </c>
      <c r="X120">
        <v>3</v>
      </c>
      <c r="Y120">
        <v>3</v>
      </c>
      <c r="Z120" t="s">
        <v>2596</v>
      </c>
      <c r="AA120" t="s">
        <v>2596</v>
      </c>
      <c r="AB120" t="s">
        <v>123</v>
      </c>
      <c r="AC120" t="s">
        <v>2596</v>
      </c>
      <c r="AD120" t="s">
        <v>2598</v>
      </c>
      <c r="AE120" t="s">
        <v>57</v>
      </c>
      <c r="AF120" t="s">
        <v>57</v>
      </c>
      <c r="AG120" t="s">
        <v>57</v>
      </c>
      <c r="AH120" t="s">
        <v>57</v>
      </c>
      <c r="AI120" t="s">
        <v>57</v>
      </c>
      <c r="AJ120" t="s">
        <v>57</v>
      </c>
      <c r="AK120" t="s">
        <v>57</v>
      </c>
      <c r="AL120" t="s">
        <v>57</v>
      </c>
      <c r="AM120" t="s">
        <v>57</v>
      </c>
      <c r="AN120" t="s">
        <v>57</v>
      </c>
      <c r="AO120" t="s">
        <v>57</v>
      </c>
      <c r="AP120" t="s">
        <v>57</v>
      </c>
      <c r="AQ120" t="s">
        <v>57</v>
      </c>
      <c r="AR120" t="s">
        <v>57</v>
      </c>
      <c r="AS120" t="s">
        <v>57</v>
      </c>
      <c r="AT120" t="s">
        <v>57</v>
      </c>
      <c r="AU120" t="s">
        <v>175</v>
      </c>
      <c r="AV120" t="s">
        <v>57</v>
      </c>
      <c r="AW120" t="s">
        <v>57</v>
      </c>
      <c r="AX120" t="s">
        <v>57</v>
      </c>
      <c r="AY120" t="s">
        <v>57</v>
      </c>
      <c r="AZ120" t="s">
        <v>57</v>
      </c>
      <c r="BA120" t="s">
        <v>57</v>
      </c>
      <c r="BB120" t="s">
        <v>57</v>
      </c>
      <c r="BC120" t="s">
        <v>175</v>
      </c>
      <c r="BD120" t="s">
        <v>175</v>
      </c>
      <c r="BE120" t="s">
        <v>57</v>
      </c>
      <c r="BF120" t="s">
        <v>57</v>
      </c>
      <c r="BG120" t="s">
        <v>57</v>
      </c>
      <c r="BH120" t="s">
        <v>57</v>
      </c>
      <c r="BI120" t="s">
        <v>57</v>
      </c>
      <c r="BJ120" t="s">
        <v>57</v>
      </c>
      <c r="BK120" t="s">
        <v>57</v>
      </c>
      <c r="BL120" t="s">
        <v>57</v>
      </c>
      <c r="BM120" t="s">
        <v>57</v>
      </c>
      <c r="BN120" t="s">
        <v>57</v>
      </c>
      <c r="BO120" t="s">
        <v>57</v>
      </c>
      <c r="BP120" t="s">
        <v>57</v>
      </c>
      <c r="BQ120" t="s">
        <v>57</v>
      </c>
      <c r="BR120" t="s">
        <v>57</v>
      </c>
      <c r="BS120" t="s">
        <v>57</v>
      </c>
      <c r="BT120" t="s">
        <v>57</v>
      </c>
      <c r="BU120" t="s">
        <v>57</v>
      </c>
      <c r="BV120" t="s">
        <v>57</v>
      </c>
      <c r="BW120" t="s">
        <v>57</v>
      </c>
      <c r="BX120" t="s">
        <v>57</v>
      </c>
      <c r="BY120" t="s">
        <v>57</v>
      </c>
      <c r="BZ120" t="s">
        <v>57</v>
      </c>
      <c r="CA120" t="s">
        <v>57</v>
      </c>
      <c r="CB120" t="s">
        <v>57</v>
      </c>
      <c r="CC120" t="s">
        <v>57</v>
      </c>
      <c r="CD120" t="s">
        <v>57</v>
      </c>
      <c r="CE120" t="s">
        <v>57</v>
      </c>
      <c r="CF120" t="s">
        <v>57</v>
      </c>
      <c r="CG120" t="s">
        <v>57</v>
      </c>
      <c r="CH120" t="s">
        <v>57</v>
      </c>
      <c r="CI120" t="s">
        <v>57</v>
      </c>
      <c r="CJ120" t="s">
        <v>57</v>
      </c>
      <c r="CK120" t="s">
        <v>57</v>
      </c>
      <c r="CL120" t="s">
        <v>175</v>
      </c>
      <c r="CM120" t="s">
        <v>175</v>
      </c>
      <c r="CN120" t="s">
        <v>57</v>
      </c>
      <c r="CO120" t="s">
        <v>57</v>
      </c>
      <c r="CP120" t="s">
        <v>57</v>
      </c>
      <c r="CQ120" t="s">
        <v>57</v>
      </c>
      <c r="CR120" t="s">
        <v>57</v>
      </c>
      <c r="CS120" t="s">
        <v>57</v>
      </c>
      <c r="CT120" t="s">
        <v>57</v>
      </c>
      <c r="CU120" t="s">
        <v>57</v>
      </c>
      <c r="CV120" t="s">
        <v>57</v>
      </c>
      <c r="CW120" t="s">
        <v>57</v>
      </c>
      <c r="CX120" t="s">
        <v>57</v>
      </c>
      <c r="CY120" t="s">
        <v>57</v>
      </c>
      <c r="CZ120" t="s">
        <v>57</v>
      </c>
      <c r="DA120" t="s">
        <v>57</v>
      </c>
      <c r="DB120" t="s">
        <v>57</v>
      </c>
      <c r="DC120" t="s">
        <v>57</v>
      </c>
      <c r="DD120" t="s">
        <v>57</v>
      </c>
      <c r="DE120" t="s">
        <v>57</v>
      </c>
      <c r="DF120" t="s">
        <v>57</v>
      </c>
      <c r="DG120" t="s">
        <v>57</v>
      </c>
      <c r="DH120" t="s">
        <v>57</v>
      </c>
      <c r="DI120" t="s">
        <v>57</v>
      </c>
      <c r="DJ120" t="s">
        <v>57</v>
      </c>
      <c r="DK120" t="s">
        <v>175</v>
      </c>
      <c r="DL120" t="s">
        <v>57</v>
      </c>
      <c r="DM120" t="s">
        <v>57</v>
      </c>
      <c r="DN120" t="s">
        <v>57</v>
      </c>
      <c r="DO120" t="s">
        <v>57</v>
      </c>
      <c r="DP120" t="s">
        <v>57</v>
      </c>
      <c r="DQ120" t="s">
        <v>57</v>
      </c>
      <c r="DR120" t="s">
        <v>57</v>
      </c>
      <c r="DS120" t="s">
        <v>57</v>
      </c>
      <c r="DT120" t="s">
        <v>57</v>
      </c>
      <c r="DU120" t="s">
        <v>57</v>
      </c>
      <c r="DV120" t="s">
        <v>57</v>
      </c>
      <c r="DW120" t="s">
        <v>57</v>
      </c>
      <c r="DX120" t="s">
        <v>57</v>
      </c>
      <c r="DY120" t="s">
        <v>175</v>
      </c>
      <c r="DZ120" t="s">
        <v>57</v>
      </c>
      <c r="EA120" t="s">
        <v>57</v>
      </c>
      <c r="EB120" t="s">
        <v>57</v>
      </c>
      <c r="EC120" t="s">
        <v>57</v>
      </c>
      <c r="ED120" t="s">
        <v>57</v>
      </c>
      <c r="EE120" t="s">
        <v>57</v>
      </c>
      <c r="EF120" t="s">
        <v>57</v>
      </c>
      <c r="EG120" t="s">
        <v>57</v>
      </c>
      <c r="EH120" t="s">
        <v>57</v>
      </c>
      <c r="EI120" t="s">
        <v>57</v>
      </c>
      <c r="EJ120" t="s">
        <v>57</v>
      </c>
      <c r="EK120" t="s">
        <v>57</v>
      </c>
      <c r="EL120" t="s">
        <v>57</v>
      </c>
      <c r="EM120" t="s">
        <v>57</v>
      </c>
      <c r="EN120" t="s">
        <v>57</v>
      </c>
      <c r="EO120" t="s">
        <v>57</v>
      </c>
      <c r="EP120" t="s">
        <v>57</v>
      </c>
      <c r="EQ120" t="s">
        <v>57</v>
      </c>
      <c r="ER120" t="s">
        <v>57</v>
      </c>
      <c r="ES120" t="s">
        <v>57</v>
      </c>
      <c r="ET120" t="s">
        <v>57</v>
      </c>
      <c r="EU120" t="s">
        <v>57</v>
      </c>
      <c r="EV120" t="s">
        <v>57</v>
      </c>
      <c r="EW120" t="s">
        <v>57</v>
      </c>
      <c r="EX120" t="s">
        <v>57</v>
      </c>
      <c r="EY120" t="s">
        <v>57</v>
      </c>
      <c r="EZ120" t="s">
        <v>57</v>
      </c>
      <c r="FA120" t="s">
        <v>57</v>
      </c>
      <c r="FB120" t="s">
        <v>57</v>
      </c>
      <c r="FC120" t="s">
        <v>57</v>
      </c>
      <c r="FD120" t="s">
        <v>57</v>
      </c>
      <c r="FE120" t="s">
        <v>57</v>
      </c>
      <c r="FF120" t="s">
        <v>57</v>
      </c>
      <c r="FG120" t="s">
        <v>57</v>
      </c>
      <c r="FH120" t="s">
        <v>57</v>
      </c>
      <c r="FI120" t="s">
        <v>57</v>
      </c>
      <c r="FJ120" t="s">
        <v>57</v>
      </c>
      <c r="FK120" t="s">
        <v>57</v>
      </c>
      <c r="FL120" t="s">
        <v>57</v>
      </c>
      <c r="FM120" t="s">
        <v>57</v>
      </c>
      <c r="FN120" t="s">
        <v>57</v>
      </c>
      <c r="FO120" t="s">
        <v>175</v>
      </c>
      <c r="FP120" t="s">
        <v>57</v>
      </c>
      <c r="FQ120" t="s">
        <v>57</v>
      </c>
      <c r="FR120" t="s">
        <v>57</v>
      </c>
      <c r="FS120" t="s">
        <v>57</v>
      </c>
      <c r="FT120" t="s">
        <v>57</v>
      </c>
      <c r="FU120" t="s">
        <v>57</v>
      </c>
      <c r="FV120" t="s">
        <v>57</v>
      </c>
      <c r="FW120" t="s">
        <v>57</v>
      </c>
      <c r="FX120" t="s">
        <v>57</v>
      </c>
      <c r="FY120" t="s">
        <v>57</v>
      </c>
      <c r="FZ120" t="s">
        <v>57</v>
      </c>
      <c r="GA120" t="s">
        <v>57</v>
      </c>
      <c r="GB120" t="s">
        <v>57</v>
      </c>
      <c r="GC120" t="s">
        <v>57</v>
      </c>
      <c r="GD120" t="s">
        <v>57</v>
      </c>
      <c r="GE120" t="s">
        <v>57</v>
      </c>
      <c r="GF120" t="s">
        <v>57</v>
      </c>
      <c r="GG120" t="s">
        <v>175</v>
      </c>
      <c r="GH120" t="s">
        <v>57</v>
      </c>
      <c r="GI120" t="s">
        <v>57</v>
      </c>
      <c r="GJ120" t="s">
        <v>57</v>
      </c>
      <c r="GK120" t="s">
        <v>57</v>
      </c>
      <c r="GL120" t="s">
        <v>57</v>
      </c>
      <c r="GM120" t="s">
        <v>57</v>
      </c>
      <c r="GN120" t="s">
        <v>57</v>
      </c>
      <c r="GO120" t="s">
        <v>57</v>
      </c>
      <c r="GP120" t="s">
        <v>57</v>
      </c>
      <c r="GQ120" t="s">
        <v>175</v>
      </c>
      <c r="GR120" t="s">
        <v>57</v>
      </c>
      <c r="GS120" t="s">
        <v>57</v>
      </c>
      <c r="GT120" t="s">
        <v>57</v>
      </c>
      <c r="GU120" t="s">
        <v>57</v>
      </c>
      <c r="GV120" t="s">
        <v>175</v>
      </c>
      <c r="GW120" t="s">
        <v>57</v>
      </c>
      <c r="GX120" t="s">
        <v>57</v>
      </c>
      <c r="GY120" t="s">
        <v>57</v>
      </c>
      <c r="GZ120" t="s">
        <v>57</v>
      </c>
      <c r="HA120" t="s">
        <v>57</v>
      </c>
      <c r="HB120" t="s">
        <v>57</v>
      </c>
      <c r="HC120" t="s">
        <v>57</v>
      </c>
      <c r="HD120" t="s">
        <v>57</v>
      </c>
      <c r="HE120" t="s">
        <v>57</v>
      </c>
      <c r="HF120" t="s">
        <v>57</v>
      </c>
      <c r="HG120" t="s">
        <v>57</v>
      </c>
      <c r="HH120" t="s">
        <v>175</v>
      </c>
      <c r="HI120" t="s">
        <v>175</v>
      </c>
      <c r="HJ120" t="s">
        <v>175</v>
      </c>
      <c r="HK120" t="s">
        <v>175</v>
      </c>
      <c r="HL120" t="s">
        <v>57</v>
      </c>
      <c r="HM120" t="s">
        <v>57</v>
      </c>
      <c r="HN120" t="s">
        <v>57</v>
      </c>
      <c r="HO120" t="s">
        <v>57</v>
      </c>
      <c r="HP120" t="s">
        <v>57</v>
      </c>
      <c r="HQ120" t="s">
        <v>57</v>
      </c>
      <c r="HR120" t="s">
        <v>57</v>
      </c>
      <c r="HS120" t="s">
        <v>57</v>
      </c>
      <c r="HT120" t="s">
        <v>57</v>
      </c>
      <c r="HU120" t="s">
        <v>57</v>
      </c>
      <c r="HV120" t="s">
        <v>57</v>
      </c>
      <c r="HW120" t="s">
        <v>57</v>
      </c>
      <c r="HX120" t="s">
        <v>57</v>
      </c>
      <c r="HY120" t="s">
        <v>57</v>
      </c>
      <c r="HZ120" t="s">
        <v>57</v>
      </c>
      <c r="IA120" t="s">
        <v>57</v>
      </c>
      <c r="IB120" t="s">
        <v>57</v>
      </c>
      <c r="IC120" t="s">
        <v>57</v>
      </c>
      <c r="ID120" t="s">
        <v>57</v>
      </c>
      <c r="IE120" t="s">
        <v>57</v>
      </c>
      <c r="IF120" t="s">
        <v>124</v>
      </c>
      <c r="IG120" t="s">
        <v>148</v>
      </c>
      <c r="IH120" t="s">
        <v>123</v>
      </c>
      <c r="II120" t="s">
        <v>156</v>
      </c>
    </row>
    <row r="121" spans="1:243" x14ac:dyDescent="0.25">
      <c r="A121" s="111" t="str">
        <f>HYPERLINK("http://www.ofsted.gov.uk/inspection-reports/find-inspection-report/provider/ELS/133307 ","Ofsted School Webpage")</f>
        <v>Ofsted School Webpage</v>
      </c>
      <c r="B121">
        <v>133307</v>
      </c>
      <c r="C121">
        <v>2116391</v>
      </c>
      <c r="D121" t="s">
        <v>1603</v>
      </c>
      <c r="E121" t="s">
        <v>36</v>
      </c>
      <c r="F121" t="s">
        <v>166</v>
      </c>
      <c r="G121" t="s">
        <v>189</v>
      </c>
      <c r="H121" t="s">
        <v>189</v>
      </c>
      <c r="I121" t="s">
        <v>494</v>
      </c>
      <c r="J121" t="s">
        <v>1604</v>
      </c>
      <c r="K121" t="s">
        <v>142</v>
      </c>
      <c r="L121" t="s">
        <v>261</v>
      </c>
      <c r="M121" t="s">
        <v>2596</v>
      </c>
      <c r="N121" t="s">
        <v>143</v>
      </c>
      <c r="O121">
        <v>10026290</v>
      </c>
      <c r="P121" s="108">
        <v>43011</v>
      </c>
      <c r="Q121" s="108">
        <v>43013</v>
      </c>
      <c r="R121" s="108">
        <v>43077</v>
      </c>
      <c r="S121" t="s">
        <v>153</v>
      </c>
      <c r="T121" t="s">
        <v>154</v>
      </c>
      <c r="U121">
        <v>4</v>
      </c>
      <c r="V121">
        <v>4</v>
      </c>
      <c r="W121">
        <v>4</v>
      </c>
      <c r="X121">
        <v>3</v>
      </c>
      <c r="Y121">
        <v>3</v>
      </c>
      <c r="Z121" t="s">
        <v>2596</v>
      </c>
      <c r="AA121" t="s">
        <v>2596</v>
      </c>
      <c r="AB121" t="s">
        <v>124</v>
      </c>
      <c r="AC121" t="s">
        <v>2596</v>
      </c>
      <c r="AD121" t="s">
        <v>2599</v>
      </c>
      <c r="AE121" t="s">
        <v>57</v>
      </c>
      <c r="AF121" t="s">
        <v>57</v>
      </c>
      <c r="AG121" t="s">
        <v>58</v>
      </c>
      <c r="AH121" t="s">
        <v>57</v>
      </c>
      <c r="AI121" t="s">
        <v>57</v>
      </c>
      <c r="AJ121" t="s">
        <v>57</v>
      </c>
      <c r="AK121" t="s">
        <v>57</v>
      </c>
      <c r="AL121" t="s">
        <v>58</v>
      </c>
      <c r="AM121" t="s">
        <v>57</v>
      </c>
      <c r="AN121" t="s">
        <v>57</v>
      </c>
      <c r="AO121" t="s">
        <v>57</v>
      </c>
      <c r="AP121" t="s">
        <v>57</v>
      </c>
      <c r="AQ121" t="s">
        <v>57</v>
      </c>
      <c r="AR121" t="s">
        <v>57</v>
      </c>
      <c r="AS121" t="s">
        <v>57</v>
      </c>
      <c r="AT121" t="s">
        <v>57</v>
      </c>
      <c r="AU121" t="s">
        <v>175</v>
      </c>
      <c r="AV121" t="s">
        <v>57</v>
      </c>
      <c r="AW121" t="s">
        <v>57</v>
      </c>
      <c r="AX121" t="s">
        <v>57</v>
      </c>
      <c r="AY121" t="s">
        <v>57</v>
      </c>
      <c r="AZ121" t="s">
        <v>57</v>
      </c>
      <c r="BA121" t="s">
        <v>57</v>
      </c>
      <c r="BB121" t="s">
        <v>57</v>
      </c>
      <c r="BC121" t="s">
        <v>175</v>
      </c>
      <c r="BD121" t="s">
        <v>175</v>
      </c>
      <c r="BE121" t="s">
        <v>57</v>
      </c>
      <c r="BF121" t="s">
        <v>57</v>
      </c>
      <c r="BG121" t="s">
        <v>58</v>
      </c>
      <c r="BH121" t="s">
        <v>58</v>
      </c>
      <c r="BI121" t="s">
        <v>57</v>
      </c>
      <c r="BJ121" t="s">
        <v>58</v>
      </c>
      <c r="BK121" t="s">
        <v>58</v>
      </c>
      <c r="BL121" t="s">
        <v>57</v>
      </c>
      <c r="BM121" t="s">
        <v>58</v>
      </c>
      <c r="BN121" t="s">
        <v>57</v>
      </c>
      <c r="BO121" t="s">
        <v>58</v>
      </c>
      <c r="BP121" t="s">
        <v>57</v>
      </c>
      <c r="BQ121" t="s">
        <v>57</v>
      </c>
      <c r="BR121" t="s">
        <v>57</v>
      </c>
      <c r="BS121" t="s">
        <v>57</v>
      </c>
      <c r="BT121" t="s">
        <v>57</v>
      </c>
      <c r="BU121" t="s">
        <v>57</v>
      </c>
      <c r="BV121" t="s">
        <v>57</v>
      </c>
      <c r="BW121" t="s">
        <v>57</v>
      </c>
      <c r="BX121" t="s">
        <v>57</v>
      </c>
      <c r="BY121" t="s">
        <v>57</v>
      </c>
      <c r="BZ121" t="s">
        <v>57</v>
      </c>
      <c r="CA121" t="s">
        <v>57</v>
      </c>
      <c r="CB121" t="s">
        <v>57</v>
      </c>
      <c r="CC121" t="s">
        <v>57</v>
      </c>
      <c r="CD121" t="s">
        <v>57</v>
      </c>
      <c r="CE121" t="s">
        <v>57</v>
      </c>
      <c r="CF121" t="s">
        <v>57</v>
      </c>
      <c r="CG121" t="s">
        <v>57</v>
      </c>
      <c r="CH121" t="s">
        <v>58</v>
      </c>
      <c r="CI121" t="s">
        <v>58</v>
      </c>
      <c r="CJ121" t="s">
        <v>58</v>
      </c>
      <c r="CK121" t="s">
        <v>175</v>
      </c>
      <c r="CL121" t="s">
        <v>175</v>
      </c>
      <c r="CM121" t="s">
        <v>175</v>
      </c>
      <c r="CN121" t="s">
        <v>58</v>
      </c>
      <c r="CO121" t="s">
        <v>57</v>
      </c>
      <c r="CP121" t="s">
        <v>58</v>
      </c>
      <c r="CQ121" t="s">
        <v>57</v>
      </c>
      <c r="CR121" t="s">
        <v>58</v>
      </c>
      <c r="CS121" t="s">
        <v>57</v>
      </c>
      <c r="CT121" t="s">
        <v>57</v>
      </c>
      <c r="CU121" t="s">
        <v>57</v>
      </c>
      <c r="CV121" t="s">
        <v>57</v>
      </c>
      <c r="CW121" t="s">
        <v>57</v>
      </c>
      <c r="CX121" t="s">
        <v>58</v>
      </c>
      <c r="CY121" t="s">
        <v>58</v>
      </c>
      <c r="CZ121" t="s">
        <v>58</v>
      </c>
      <c r="DA121" t="s">
        <v>57</v>
      </c>
      <c r="DB121" t="s">
        <v>57</v>
      </c>
      <c r="DC121" t="s">
        <v>57</v>
      </c>
      <c r="DD121" t="s">
        <v>57</v>
      </c>
      <c r="DE121" t="s">
        <v>57</v>
      </c>
      <c r="DF121" t="s">
        <v>57</v>
      </c>
      <c r="DG121" t="s">
        <v>57</v>
      </c>
      <c r="DH121" t="s">
        <v>57</v>
      </c>
      <c r="DI121" t="s">
        <v>57</v>
      </c>
      <c r="DJ121" t="s">
        <v>57</v>
      </c>
      <c r="DK121" t="s">
        <v>175</v>
      </c>
      <c r="DL121" t="s">
        <v>57</v>
      </c>
      <c r="DM121" t="s">
        <v>57</v>
      </c>
      <c r="DN121" t="s">
        <v>57</v>
      </c>
      <c r="DO121" t="s">
        <v>57</v>
      </c>
      <c r="DP121" t="s">
        <v>57</v>
      </c>
      <c r="DQ121" t="s">
        <v>57</v>
      </c>
      <c r="DR121" t="s">
        <v>57</v>
      </c>
      <c r="DS121" t="s">
        <v>57</v>
      </c>
      <c r="DT121" t="s">
        <v>57</v>
      </c>
      <c r="DU121" t="s">
        <v>57</v>
      </c>
      <c r="DV121" t="s">
        <v>57</v>
      </c>
      <c r="DW121" t="s">
        <v>57</v>
      </c>
      <c r="DX121" t="s">
        <v>57</v>
      </c>
      <c r="DY121" t="s">
        <v>175</v>
      </c>
      <c r="DZ121" t="s">
        <v>57</v>
      </c>
      <c r="EA121" t="s">
        <v>57</v>
      </c>
      <c r="EB121" t="s">
        <v>57</v>
      </c>
      <c r="EC121" t="s">
        <v>57</v>
      </c>
      <c r="ED121" t="s">
        <v>57</v>
      </c>
      <c r="EE121" t="s">
        <v>57</v>
      </c>
      <c r="EF121" t="s">
        <v>57</v>
      </c>
      <c r="EG121" t="s">
        <v>57</v>
      </c>
      <c r="EH121" t="s">
        <v>57</v>
      </c>
      <c r="EI121" t="s">
        <v>57</v>
      </c>
      <c r="EJ121" t="s">
        <v>57</v>
      </c>
      <c r="EK121" t="s">
        <v>57</v>
      </c>
      <c r="EL121" t="s">
        <v>57</v>
      </c>
      <c r="EM121" t="s">
        <v>57</v>
      </c>
      <c r="EN121" t="s">
        <v>57</v>
      </c>
      <c r="EO121" t="s">
        <v>57</v>
      </c>
      <c r="EP121" t="s">
        <v>57</v>
      </c>
      <c r="EQ121" t="s">
        <v>57</v>
      </c>
      <c r="ER121" t="s">
        <v>57</v>
      </c>
      <c r="ES121" t="s">
        <v>57</v>
      </c>
      <c r="ET121" t="s">
        <v>57</v>
      </c>
      <c r="EU121" t="s">
        <v>57</v>
      </c>
      <c r="EV121" t="s">
        <v>57</v>
      </c>
      <c r="EW121" t="s">
        <v>57</v>
      </c>
      <c r="EX121" t="s">
        <v>57</v>
      </c>
      <c r="EY121" t="s">
        <v>57</v>
      </c>
      <c r="EZ121" t="s">
        <v>57</v>
      </c>
      <c r="FA121" t="s">
        <v>57</v>
      </c>
      <c r="FB121" t="s">
        <v>57</v>
      </c>
      <c r="FC121" t="s">
        <v>57</v>
      </c>
      <c r="FD121" t="s">
        <v>57</v>
      </c>
      <c r="FE121" t="s">
        <v>57</v>
      </c>
      <c r="FF121" t="s">
        <v>57</v>
      </c>
      <c r="FG121" t="s">
        <v>57</v>
      </c>
      <c r="FH121" t="s">
        <v>57</v>
      </c>
      <c r="FI121" t="s">
        <v>57</v>
      </c>
      <c r="FJ121" t="s">
        <v>57</v>
      </c>
      <c r="FK121" t="s">
        <v>57</v>
      </c>
      <c r="FL121" t="s">
        <v>57</v>
      </c>
      <c r="FM121" t="s">
        <v>57</v>
      </c>
      <c r="FN121" t="s">
        <v>57</v>
      </c>
      <c r="FO121" t="s">
        <v>175</v>
      </c>
      <c r="FP121" t="s">
        <v>57</v>
      </c>
      <c r="FQ121" t="s">
        <v>57</v>
      </c>
      <c r="FR121" t="s">
        <v>57</v>
      </c>
      <c r="FS121" t="s">
        <v>57</v>
      </c>
      <c r="FT121" t="s">
        <v>57</v>
      </c>
      <c r="FU121" t="s">
        <v>57</v>
      </c>
      <c r="FV121" t="s">
        <v>57</v>
      </c>
      <c r="FW121" t="s">
        <v>57</v>
      </c>
      <c r="FX121" t="s">
        <v>57</v>
      </c>
      <c r="FY121" t="s">
        <v>57</v>
      </c>
      <c r="FZ121" t="s">
        <v>57</v>
      </c>
      <c r="GA121" t="s">
        <v>57</v>
      </c>
      <c r="GB121" t="s">
        <v>57</v>
      </c>
      <c r="GC121" t="s">
        <v>57</v>
      </c>
      <c r="GD121" t="s">
        <v>57</v>
      </c>
      <c r="GE121" t="s">
        <v>57</v>
      </c>
      <c r="GF121" t="s">
        <v>57</v>
      </c>
      <c r="GG121" t="s">
        <v>175</v>
      </c>
      <c r="GH121" t="s">
        <v>57</v>
      </c>
      <c r="GI121" t="s">
        <v>57</v>
      </c>
      <c r="GJ121" t="s">
        <v>57</v>
      </c>
      <c r="GK121" t="s">
        <v>57</v>
      </c>
      <c r="GL121" t="s">
        <v>57</v>
      </c>
      <c r="GM121" t="s">
        <v>175</v>
      </c>
      <c r="GN121" t="s">
        <v>57</v>
      </c>
      <c r="GO121" t="s">
        <v>57</v>
      </c>
      <c r="GP121" t="s">
        <v>175</v>
      </c>
      <c r="GQ121" t="s">
        <v>175</v>
      </c>
      <c r="GR121" t="s">
        <v>57</v>
      </c>
      <c r="GS121" t="s">
        <v>57</v>
      </c>
      <c r="GT121" t="s">
        <v>57</v>
      </c>
      <c r="GU121" t="s">
        <v>57</v>
      </c>
      <c r="GV121" t="s">
        <v>175</v>
      </c>
      <c r="GW121" t="s">
        <v>57</v>
      </c>
      <c r="GX121" t="s">
        <v>175</v>
      </c>
      <c r="GY121" t="s">
        <v>57</v>
      </c>
      <c r="GZ121" t="s">
        <v>57</v>
      </c>
      <c r="HA121" t="s">
        <v>57</v>
      </c>
      <c r="HB121" t="s">
        <v>57</v>
      </c>
      <c r="HC121" t="s">
        <v>57</v>
      </c>
      <c r="HD121" t="s">
        <v>57</v>
      </c>
      <c r="HE121" t="s">
        <v>57</v>
      </c>
      <c r="HF121" t="s">
        <v>57</v>
      </c>
      <c r="HG121" t="s">
        <v>57</v>
      </c>
      <c r="HH121" t="s">
        <v>175</v>
      </c>
      <c r="HI121" t="s">
        <v>175</v>
      </c>
      <c r="HJ121" t="s">
        <v>175</v>
      </c>
      <c r="HK121" t="s">
        <v>175</v>
      </c>
      <c r="HL121" t="s">
        <v>57</v>
      </c>
      <c r="HM121" t="s">
        <v>57</v>
      </c>
      <c r="HN121" t="s">
        <v>57</v>
      </c>
      <c r="HO121" t="s">
        <v>57</v>
      </c>
      <c r="HP121" t="s">
        <v>57</v>
      </c>
      <c r="HQ121" t="s">
        <v>57</v>
      </c>
      <c r="HR121" t="s">
        <v>57</v>
      </c>
      <c r="HS121" t="s">
        <v>57</v>
      </c>
      <c r="HT121" t="s">
        <v>57</v>
      </c>
      <c r="HU121" t="s">
        <v>57</v>
      </c>
      <c r="HV121" t="s">
        <v>57</v>
      </c>
      <c r="HW121" t="s">
        <v>57</v>
      </c>
      <c r="HX121" t="s">
        <v>57</v>
      </c>
      <c r="HY121" t="s">
        <v>57</v>
      </c>
      <c r="HZ121" t="s">
        <v>57</v>
      </c>
      <c r="IA121" t="s">
        <v>57</v>
      </c>
      <c r="IB121" t="s">
        <v>58</v>
      </c>
      <c r="IC121" t="s">
        <v>58</v>
      </c>
      <c r="ID121" t="s">
        <v>58</v>
      </c>
      <c r="IE121" t="s">
        <v>58</v>
      </c>
      <c r="IF121" t="s">
        <v>124</v>
      </c>
      <c r="IG121" t="s">
        <v>148</v>
      </c>
      <c r="IH121" t="s">
        <v>123</v>
      </c>
      <c r="II121" t="s">
        <v>363</v>
      </c>
    </row>
    <row r="122" spans="1:243" x14ac:dyDescent="0.25">
      <c r="A122" s="111" t="str">
        <f>HYPERLINK("http://www.ofsted.gov.uk/inspection-reports/find-inspection-report/provider/ELS/133349 ","Ofsted School Webpage")</f>
        <v>Ofsted School Webpage</v>
      </c>
      <c r="B122">
        <v>133349</v>
      </c>
      <c r="C122">
        <v>8566015</v>
      </c>
      <c r="D122" t="s">
        <v>312</v>
      </c>
      <c r="E122" t="s">
        <v>36</v>
      </c>
      <c r="F122" t="s">
        <v>166</v>
      </c>
      <c r="G122" t="s">
        <v>171</v>
      </c>
      <c r="H122" t="s">
        <v>171</v>
      </c>
      <c r="I122" t="s">
        <v>287</v>
      </c>
      <c r="J122" t="s">
        <v>313</v>
      </c>
      <c r="K122" t="s">
        <v>180</v>
      </c>
      <c r="L122" t="s">
        <v>180</v>
      </c>
      <c r="M122" t="s">
        <v>2596</v>
      </c>
      <c r="N122" t="s">
        <v>143</v>
      </c>
      <c r="O122">
        <v>10039184</v>
      </c>
      <c r="P122" s="108">
        <v>43018</v>
      </c>
      <c r="Q122" s="108">
        <v>43020</v>
      </c>
      <c r="R122" s="108">
        <v>43052</v>
      </c>
      <c r="S122" t="s">
        <v>153</v>
      </c>
      <c r="T122" t="s">
        <v>154</v>
      </c>
      <c r="U122">
        <v>2</v>
      </c>
      <c r="V122">
        <v>2</v>
      </c>
      <c r="W122">
        <v>1</v>
      </c>
      <c r="X122">
        <v>2</v>
      </c>
      <c r="Y122">
        <v>2</v>
      </c>
      <c r="Z122" t="s">
        <v>2596</v>
      </c>
      <c r="AA122" t="s">
        <v>2596</v>
      </c>
      <c r="AB122" t="s">
        <v>123</v>
      </c>
      <c r="AC122" t="s">
        <v>2596</v>
      </c>
      <c r="AD122" t="s">
        <v>2598</v>
      </c>
      <c r="AE122" t="s">
        <v>57</v>
      </c>
      <c r="AF122" t="s">
        <v>57</v>
      </c>
      <c r="AG122" t="s">
        <v>57</v>
      </c>
      <c r="AH122" t="s">
        <v>57</v>
      </c>
      <c r="AI122" t="s">
        <v>57</v>
      </c>
      <c r="AJ122" t="s">
        <v>57</v>
      </c>
      <c r="AK122" t="s">
        <v>57</v>
      </c>
      <c r="AL122" t="s">
        <v>57</v>
      </c>
      <c r="AM122" t="s">
        <v>57</v>
      </c>
      <c r="AN122" t="s">
        <v>57</v>
      </c>
      <c r="AO122" t="s">
        <v>57</v>
      </c>
      <c r="AP122" t="s">
        <v>57</v>
      </c>
      <c r="AQ122" t="s">
        <v>57</v>
      </c>
      <c r="AR122" t="s">
        <v>57</v>
      </c>
      <c r="AS122" t="s">
        <v>57</v>
      </c>
      <c r="AT122" t="s">
        <v>57</v>
      </c>
      <c r="AU122" t="s">
        <v>175</v>
      </c>
      <c r="AV122" t="s">
        <v>57</v>
      </c>
      <c r="AW122" t="s">
        <v>57</v>
      </c>
      <c r="AX122" t="s">
        <v>57</v>
      </c>
      <c r="AY122" t="s">
        <v>57</v>
      </c>
      <c r="AZ122" t="s">
        <v>57</v>
      </c>
      <c r="BA122" t="s">
        <v>57</v>
      </c>
      <c r="BB122" t="s">
        <v>57</v>
      </c>
      <c r="BC122" t="s">
        <v>175</v>
      </c>
      <c r="BD122" t="s">
        <v>175</v>
      </c>
      <c r="BE122" t="s">
        <v>57</v>
      </c>
      <c r="BF122" t="s">
        <v>57</v>
      </c>
      <c r="BG122" t="s">
        <v>57</v>
      </c>
      <c r="BH122" t="s">
        <v>57</v>
      </c>
      <c r="BI122" t="s">
        <v>57</v>
      </c>
      <c r="BJ122" t="s">
        <v>57</v>
      </c>
      <c r="BK122" t="s">
        <v>57</v>
      </c>
      <c r="BL122" t="s">
        <v>57</v>
      </c>
      <c r="BM122" t="s">
        <v>57</v>
      </c>
      <c r="BN122" t="s">
        <v>57</v>
      </c>
      <c r="BO122" t="s">
        <v>57</v>
      </c>
      <c r="BP122" t="s">
        <v>57</v>
      </c>
      <c r="BQ122" t="s">
        <v>57</v>
      </c>
      <c r="BR122" t="s">
        <v>57</v>
      </c>
      <c r="BS122" t="s">
        <v>57</v>
      </c>
      <c r="BT122" t="s">
        <v>57</v>
      </c>
      <c r="BU122" t="s">
        <v>57</v>
      </c>
      <c r="BV122" t="s">
        <v>57</v>
      </c>
      <c r="BW122" t="s">
        <v>57</v>
      </c>
      <c r="BX122" t="s">
        <v>57</v>
      </c>
      <c r="BY122" t="s">
        <v>57</v>
      </c>
      <c r="BZ122" t="s">
        <v>57</v>
      </c>
      <c r="CA122" t="s">
        <v>57</v>
      </c>
      <c r="CB122" t="s">
        <v>57</v>
      </c>
      <c r="CC122" t="s">
        <v>57</v>
      </c>
      <c r="CD122" t="s">
        <v>57</v>
      </c>
      <c r="CE122" t="s">
        <v>57</v>
      </c>
      <c r="CF122" t="s">
        <v>57</v>
      </c>
      <c r="CG122" t="s">
        <v>57</v>
      </c>
      <c r="CH122" t="s">
        <v>57</v>
      </c>
      <c r="CI122" t="s">
        <v>57</v>
      </c>
      <c r="CJ122" t="s">
        <v>57</v>
      </c>
      <c r="CK122" t="s">
        <v>175</v>
      </c>
      <c r="CL122" t="s">
        <v>175</v>
      </c>
      <c r="CM122" t="s">
        <v>175</v>
      </c>
      <c r="CN122" t="s">
        <v>57</v>
      </c>
      <c r="CO122" t="s">
        <v>57</v>
      </c>
      <c r="CP122" t="s">
        <v>57</v>
      </c>
      <c r="CQ122" t="s">
        <v>57</v>
      </c>
      <c r="CR122" t="s">
        <v>57</v>
      </c>
      <c r="CS122" t="s">
        <v>57</v>
      </c>
      <c r="CT122" t="s">
        <v>57</v>
      </c>
      <c r="CU122" t="s">
        <v>57</v>
      </c>
      <c r="CV122" t="s">
        <v>57</v>
      </c>
      <c r="CW122" t="s">
        <v>57</v>
      </c>
      <c r="CX122" t="s">
        <v>57</v>
      </c>
      <c r="CY122" t="s">
        <v>57</v>
      </c>
      <c r="CZ122" t="s">
        <v>57</v>
      </c>
      <c r="DA122" t="s">
        <v>57</v>
      </c>
      <c r="DB122" t="s">
        <v>57</v>
      </c>
      <c r="DC122" t="s">
        <v>57</v>
      </c>
      <c r="DD122" t="s">
        <v>57</v>
      </c>
      <c r="DE122" t="s">
        <v>57</v>
      </c>
      <c r="DF122" t="s">
        <v>57</v>
      </c>
      <c r="DG122" t="s">
        <v>57</v>
      </c>
      <c r="DH122" t="s">
        <v>57</v>
      </c>
      <c r="DI122" t="s">
        <v>57</v>
      </c>
      <c r="DJ122" t="s">
        <v>57</v>
      </c>
      <c r="DK122" t="s">
        <v>175</v>
      </c>
      <c r="DL122" t="s">
        <v>57</v>
      </c>
      <c r="DM122" t="s">
        <v>57</v>
      </c>
      <c r="DN122" t="s">
        <v>57</v>
      </c>
      <c r="DO122" t="s">
        <v>57</v>
      </c>
      <c r="DP122" t="s">
        <v>57</v>
      </c>
      <c r="DQ122" t="s">
        <v>57</v>
      </c>
      <c r="DR122" t="s">
        <v>57</v>
      </c>
      <c r="DS122" t="s">
        <v>57</v>
      </c>
      <c r="DT122" t="s">
        <v>57</v>
      </c>
      <c r="DU122" t="s">
        <v>57</v>
      </c>
      <c r="DV122" t="s">
        <v>57</v>
      </c>
      <c r="DW122" t="s">
        <v>57</v>
      </c>
      <c r="DX122" t="s">
        <v>57</v>
      </c>
      <c r="DY122" t="s">
        <v>175</v>
      </c>
      <c r="DZ122" t="s">
        <v>57</v>
      </c>
      <c r="EA122" t="s">
        <v>57</v>
      </c>
      <c r="EB122" t="s">
        <v>57</v>
      </c>
      <c r="EC122" t="s">
        <v>57</v>
      </c>
      <c r="ED122" t="s">
        <v>57</v>
      </c>
      <c r="EE122" t="s">
        <v>57</v>
      </c>
      <c r="EF122" t="s">
        <v>57</v>
      </c>
      <c r="EG122" t="s">
        <v>57</v>
      </c>
      <c r="EH122" t="s">
        <v>57</v>
      </c>
      <c r="EI122" t="s">
        <v>175</v>
      </c>
      <c r="EJ122" t="s">
        <v>57</v>
      </c>
      <c r="EK122" t="s">
        <v>57</v>
      </c>
      <c r="EL122" t="s">
        <v>57</v>
      </c>
      <c r="EM122" t="s">
        <v>57</v>
      </c>
      <c r="EN122" t="s">
        <v>57</v>
      </c>
      <c r="EO122" t="s">
        <v>57</v>
      </c>
      <c r="EP122" t="s">
        <v>57</v>
      </c>
      <c r="EQ122" t="s">
        <v>57</v>
      </c>
      <c r="ER122" t="s">
        <v>57</v>
      </c>
      <c r="ES122" t="s">
        <v>57</v>
      </c>
      <c r="ET122" t="s">
        <v>57</v>
      </c>
      <c r="EU122" t="s">
        <v>57</v>
      </c>
      <c r="EV122" t="s">
        <v>57</v>
      </c>
      <c r="EW122" t="s">
        <v>57</v>
      </c>
      <c r="EX122" t="s">
        <v>57</v>
      </c>
      <c r="EY122" t="s">
        <v>57</v>
      </c>
      <c r="EZ122" t="s">
        <v>57</v>
      </c>
      <c r="FA122" t="s">
        <v>57</v>
      </c>
      <c r="FB122" t="s">
        <v>57</v>
      </c>
      <c r="FC122" t="s">
        <v>57</v>
      </c>
      <c r="FD122" t="s">
        <v>57</v>
      </c>
      <c r="FE122" t="s">
        <v>57</v>
      </c>
      <c r="FF122" t="s">
        <v>57</v>
      </c>
      <c r="FG122" t="s">
        <v>57</v>
      </c>
      <c r="FH122" t="s">
        <v>57</v>
      </c>
      <c r="FI122" t="s">
        <v>57</v>
      </c>
      <c r="FJ122" t="s">
        <v>57</v>
      </c>
      <c r="FK122" t="s">
        <v>57</v>
      </c>
      <c r="FL122" t="s">
        <v>57</v>
      </c>
      <c r="FM122" t="s">
        <v>57</v>
      </c>
      <c r="FN122" t="s">
        <v>57</v>
      </c>
      <c r="FO122" t="s">
        <v>175</v>
      </c>
      <c r="FP122" t="s">
        <v>57</v>
      </c>
      <c r="FQ122" t="s">
        <v>57</v>
      </c>
      <c r="FR122" t="s">
        <v>57</v>
      </c>
      <c r="FS122" t="s">
        <v>57</v>
      </c>
      <c r="FT122" t="s">
        <v>57</v>
      </c>
      <c r="FU122" t="s">
        <v>57</v>
      </c>
      <c r="FV122" t="s">
        <v>57</v>
      </c>
      <c r="FW122" t="s">
        <v>57</v>
      </c>
      <c r="FX122" t="s">
        <v>57</v>
      </c>
      <c r="FY122" t="s">
        <v>57</v>
      </c>
      <c r="FZ122" t="s">
        <v>57</v>
      </c>
      <c r="GA122" t="s">
        <v>57</v>
      </c>
      <c r="GB122" t="s">
        <v>57</v>
      </c>
      <c r="GC122" t="s">
        <v>57</v>
      </c>
      <c r="GD122" t="s">
        <v>57</v>
      </c>
      <c r="GE122" t="s">
        <v>57</v>
      </c>
      <c r="GF122" t="s">
        <v>57</v>
      </c>
      <c r="GG122" t="s">
        <v>175</v>
      </c>
      <c r="GH122" t="s">
        <v>57</v>
      </c>
      <c r="GI122" t="s">
        <v>57</v>
      </c>
      <c r="GJ122" t="s">
        <v>57</v>
      </c>
      <c r="GK122" t="s">
        <v>57</v>
      </c>
      <c r="GL122" t="s">
        <v>57</v>
      </c>
      <c r="GM122" t="s">
        <v>175</v>
      </c>
      <c r="GN122" t="s">
        <v>57</v>
      </c>
      <c r="GO122" t="s">
        <v>57</v>
      </c>
      <c r="GP122" t="s">
        <v>175</v>
      </c>
      <c r="GQ122" t="s">
        <v>175</v>
      </c>
      <c r="GR122" t="s">
        <v>175</v>
      </c>
      <c r="GS122" t="s">
        <v>57</v>
      </c>
      <c r="GT122" t="s">
        <v>57</v>
      </c>
      <c r="GU122" t="s">
        <v>57</v>
      </c>
      <c r="GV122" t="s">
        <v>175</v>
      </c>
      <c r="GW122" t="s">
        <v>57</v>
      </c>
      <c r="GX122" t="s">
        <v>57</v>
      </c>
      <c r="GY122" t="s">
        <v>57</v>
      </c>
      <c r="GZ122" t="s">
        <v>57</v>
      </c>
      <c r="HA122" t="s">
        <v>57</v>
      </c>
      <c r="HB122" t="s">
        <v>57</v>
      </c>
      <c r="HC122" t="s">
        <v>57</v>
      </c>
      <c r="HD122" t="s">
        <v>57</v>
      </c>
      <c r="HE122" t="s">
        <v>57</v>
      </c>
      <c r="HF122" t="s">
        <v>57</v>
      </c>
      <c r="HG122" t="s">
        <v>57</v>
      </c>
      <c r="HH122" t="s">
        <v>175</v>
      </c>
      <c r="HI122" t="s">
        <v>175</v>
      </c>
      <c r="HJ122" t="s">
        <v>175</v>
      </c>
      <c r="HK122" t="s">
        <v>175</v>
      </c>
      <c r="HL122" t="s">
        <v>57</v>
      </c>
      <c r="HM122" t="s">
        <v>57</v>
      </c>
      <c r="HN122" t="s">
        <v>57</v>
      </c>
      <c r="HO122" t="s">
        <v>57</v>
      </c>
      <c r="HP122" t="s">
        <v>57</v>
      </c>
      <c r="HQ122" t="s">
        <v>57</v>
      </c>
      <c r="HR122" t="s">
        <v>57</v>
      </c>
      <c r="HS122" t="s">
        <v>57</v>
      </c>
      <c r="HT122" t="s">
        <v>57</v>
      </c>
      <c r="HU122" t="s">
        <v>57</v>
      </c>
      <c r="HV122" t="s">
        <v>57</v>
      </c>
      <c r="HW122" t="s">
        <v>57</v>
      </c>
      <c r="HX122" t="s">
        <v>57</v>
      </c>
      <c r="HY122" t="s">
        <v>57</v>
      </c>
      <c r="HZ122" t="s">
        <v>57</v>
      </c>
      <c r="IA122" t="s">
        <v>57</v>
      </c>
      <c r="IB122" t="s">
        <v>57</v>
      </c>
      <c r="IC122" t="s">
        <v>57</v>
      </c>
      <c r="ID122" t="s">
        <v>57</v>
      </c>
      <c r="IE122" t="s">
        <v>57</v>
      </c>
      <c r="IF122" t="s">
        <v>124</v>
      </c>
      <c r="IG122" t="s">
        <v>148</v>
      </c>
      <c r="IH122" t="s">
        <v>123</v>
      </c>
      <c r="II122" t="s">
        <v>156</v>
      </c>
    </row>
    <row r="123" spans="1:243" x14ac:dyDescent="0.25">
      <c r="A123" s="111" t="str">
        <f>HYPERLINK("http://www.ofsted.gov.uk/inspection-reports/find-inspection-report/provider/ELS/133439 ","Ofsted School Webpage")</f>
        <v>Ofsted School Webpage</v>
      </c>
      <c r="B123">
        <v>133439</v>
      </c>
      <c r="C123">
        <v>2046409</v>
      </c>
      <c r="D123" t="s">
        <v>1061</v>
      </c>
      <c r="E123" t="s">
        <v>37</v>
      </c>
      <c r="F123" t="s">
        <v>138</v>
      </c>
      <c r="G123" t="s">
        <v>189</v>
      </c>
      <c r="H123" t="s">
        <v>189</v>
      </c>
      <c r="I123" t="s">
        <v>434</v>
      </c>
      <c r="J123" t="s">
        <v>1062</v>
      </c>
      <c r="K123" t="s">
        <v>142</v>
      </c>
      <c r="L123" t="s">
        <v>275</v>
      </c>
      <c r="M123" t="s">
        <v>2596</v>
      </c>
      <c r="N123" t="s">
        <v>143</v>
      </c>
      <c r="O123">
        <v>10038165</v>
      </c>
      <c r="P123" s="108">
        <v>43165</v>
      </c>
      <c r="Q123" s="108">
        <v>43167</v>
      </c>
      <c r="R123" s="108">
        <v>43185</v>
      </c>
      <c r="S123" t="s">
        <v>153</v>
      </c>
      <c r="T123" t="s">
        <v>154</v>
      </c>
      <c r="U123">
        <v>2</v>
      </c>
      <c r="V123">
        <v>2</v>
      </c>
      <c r="W123">
        <v>2</v>
      </c>
      <c r="X123">
        <v>2</v>
      </c>
      <c r="Y123">
        <v>2</v>
      </c>
      <c r="Z123">
        <v>2</v>
      </c>
      <c r="AA123" t="s">
        <v>2596</v>
      </c>
      <c r="AB123" t="s">
        <v>123</v>
      </c>
      <c r="AC123" t="s">
        <v>2596</v>
      </c>
      <c r="AD123" t="s">
        <v>2598</v>
      </c>
      <c r="AE123" t="s">
        <v>57</v>
      </c>
      <c r="AF123" t="s">
        <v>57</v>
      </c>
      <c r="AG123" t="s">
        <v>57</v>
      </c>
      <c r="AH123" t="s">
        <v>57</v>
      </c>
      <c r="AI123" t="s">
        <v>57</v>
      </c>
      <c r="AJ123" t="s">
        <v>57</v>
      </c>
      <c r="AK123" t="s">
        <v>57</v>
      </c>
      <c r="AL123" t="s">
        <v>57</v>
      </c>
      <c r="AM123" t="s">
        <v>57</v>
      </c>
      <c r="AN123" t="s">
        <v>57</v>
      </c>
      <c r="AO123" t="s">
        <v>57</v>
      </c>
      <c r="AP123" t="s">
        <v>57</v>
      </c>
      <c r="AQ123" t="s">
        <v>57</v>
      </c>
      <c r="AR123" t="s">
        <v>57</v>
      </c>
      <c r="AS123" t="s">
        <v>57</v>
      </c>
      <c r="AT123" t="s">
        <v>57</v>
      </c>
      <c r="AU123" t="s">
        <v>175</v>
      </c>
      <c r="AV123" t="s">
        <v>57</v>
      </c>
      <c r="AW123" t="s">
        <v>57</v>
      </c>
      <c r="AX123" t="s">
        <v>57</v>
      </c>
      <c r="AY123" t="s">
        <v>57</v>
      </c>
      <c r="AZ123" t="s">
        <v>57</v>
      </c>
      <c r="BA123" t="s">
        <v>57</v>
      </c>
      <c r="BB123" t="s">
        <v>57</v>
      </c>
      <c r="BC123" t="s">
        <v>57</v>
      </c>
      <c r="BD123" t="s">
        <v>57</v>
      </c>
      <c r="BE123" t="s">
        <v>57</v>
      </c>
      <c r="BF123" t="s">
        <v>57</v>
      </c>
      <c r="BG123" t="s">
        <v>57</v>
      </c>
      <c r="BH123" t="s">
        <v>57</v>
      </c>
      <c r="BI123" t="s">
        <v>57</v>
      </c>
      <c r="BJ123" t="s">
        <v>57</v>
      </c>
      <c r="BK123" t="s">
        <v>57</v>
      </c>
      <c r="BL123" t="s">
        <v>57</v>
      </c>
      <c r="BM123" t="s">
        <v>57</v>
      </c>
      <c r="BN123" t="s">
        <v>57</v>
      </c>
      <c r="BO123" t="s">
        <v>57</v>
      </c>
      <c r="BP123" t="s">
        <v>57</v>
      </c>
      <c r="BQ123" t="s">
        <v>57</v>
      </c>
      <c r="BR123" t="s">
        <v>57</v>
      </c>
      <c r="BS123" t="s">
        <v>57</v>
      </c>
      <c r="BT123" t="s">
        <v>57</v>
      </c>
      <c r="BU123" t="s">
        <v>57</v>
      </c>
      <c r="BV123" t="s">
        <v>57</v>
      </c>
      <c r="BW123" t="s">
        <v>57</v>
      </c>
      <c r="BX123" t="s">
        <v>57</v>
      </c>
      <c r="BY123" t="s">
        <v>57</v>
      </c>
      <c r="BZ123" t="s">
        <v>57</v>
      </c>
      <c r="CA123" t="s">
        <v>57</v>
      </c>
      <c r="CB123" t="s">
        <v>57</v>
      </c>
      <c r="CC123" t="s">
        <v>57</v>
      </c>
      <c r="CD123" t="s">
        <v>57</v>
      </c>
      <c r="CE123" t="s">
        <v>57</v>
      </c>
      <c r="CF123" t="s">
        <v>57</v>
      </c>
      <c r="CG123" t="s">
        <v>57</v>
      </c>
      <c r="CH123" t="s">
        <v>57</v>
      </c>
      <c r="CI123" t="s">
        <v>57</v>
      </c>
      <c r="CJ123" t="s">
        <v>57</v>
      </c>
      <c r="CK123" t="s">
        <v>175</v>
      </c>
      <c r="CL123" t="s">
        <v>175</v>
      </c>
      <c r="CM123" t="s">
        <v>175</v>
      </c>
      <c r="CN123" t="s">
        <v>57</v>
      </c>
      <c r="CO123" t="s">
        <v>57</v>
      </c>
      <c r="CP123" t="s">
        <v>57</v>
      </c>
      <c r="CQ123" t="s">
        <v>57</v>
      </c>
      <c r="CR123" t="s">
        <v>57</v>
      </c>
      <c r="CS123" t="s">
        <v>57</v>
      </c>
      <c r="CT123" t="s">
        <v>57</v>
      </c>
      <c r="CU123" t="s">
        <v>57</v>
      </c>
      <c r="CV123" t="s">
        <v>57</v>
      </c>
      <c r="CW123" t="s">
        <v>57</v>
      </c>
      <c r="CX123" t="s">
        <v>57</v>
      </c>
      <c r="CY123" t="s">
        <v>57</v>
      </c>
      <c r="CZ123" t="s">
        <v>57</v>
      </c>
      <c r="DA123" t="s">
        <v>57</v>
      </c>
      <c r="DB123" t="s">
        <v>57</v>
      </c>
      <c r="DC123" t="s">
        <v>57</v>
      </c>
      <c r="DD123" t="s">
        <v>57</v>
      </c>
      <c r="DE123" t="s">
        <v>57</v>
      </c>
      <c r="DF123" t="s">
        <v>57</v>
      </c>
      <c r="DG123" t="s">
        <v>57</v>
      </c>
      <c r="DH123" t="s">
        <v>57</v>
      </c>
      <c r="DI123" t="s">
        <v>57</v>
      </c>
      <c r="DJ123" t="s">
        <v>57</v>
      </c>
      <c r="DK123" t="s">
        <v>175</v>
      </c>
      <c r="DL123" t="s">
        <v>57</v>
      </c>
      <c r="DM123" t="s">
        <v>57</v>
      </c>
      <c r="DN123" t="s">
        <v>57</v>
      </c>
      <c r="DO123" t="s">
        <v>57</v>
      </c>
      <c r="DP123" t="s">
        <v>57</v>
      </c>
      <c r="DQ123" t="s">
        <v>57</v>
      </c>
      <c r="DR123" t="s">
        <v>57</v>
      </c>
      <c r="DS123" t="s">
        <v>57</v>
      </c>
      <c r="DT123" t="s">
        <v>57</v>
      </c>
      <c r="DU123" t="s">
        <v>57</v>
      </c>
      <c r="DV123" t="s">
        <v>57</v>
      </c>
      <c r="DW123" t="s">
        <v>57</v>
      </c>
      <c r="DX123" t="s">
        <v>57</v>
      </c>
      <c r="DY123" t="s">
        <v>175</v>
      </c>
      <c r="DZ123" t="s">
        <v>57</v>
      </c>
      <c r="EA123" t="s">
        <v>57</v>
      </c>
      <c r="EB123" t="s">
        <v>57</v>
      </c>
      <c r="EC123" t="s">
        <v>57</v>
      </c>
      <c r="ED123" t="s">
        <v>57</v>
      </c>
      <c r="EE123" t="s">
        <v>57</v>
      </c>
      <c r="EF123" t="s">
        <v>57</v>
      </c>
      <c r="EG123" t="s">
        <v>57</v>
      </c>
      <c r="EH123" t="s">
        <v>57</v>
      </c>
      <c r="EI123" t="s">
        <v>57</v>
      </c>
      <c r="EJ123" t="s">
        <v>57</v>
      </c>
      <c r="EK123" t="s">
        <v>57</v>
      </c>
      <c r="EL123" t="s">
        <v>57</v>
      </c>
      <c r="EM123" t="s">
        <v>57</v>
      </c>
      <c r="EN123" t="s">
        <v>57</v>
      </c>
      <c r="EO123" t="s">
        <v>57</v>
      </c>
      <c r="EP123" t="s">
        <v>57</v>
      </c>
      <c r="EQ123" t="s">
        <v>57</v>
      </c>
      <c r="ER123" t="s">
        <v>57</v>
      </c>
      <c r="ES123" t="s">
        <v>57</v>
      </c>
      <c r="ET123" t="s">
        <v>57</v>
      </c>
      <c r="EU123" t="s">
        <v>57</v>
      </c>
      <c r="EV123" t="s">
        <v>57</v>
      </c>
      <c r="EW123" t="s">
        <v>57</v>
      </c>
      <c r="EX123" t="s">
        <v>57</v>
      </c>
      <c r="EY123" t="s">
        <v>57</v>
      </c>
      <c r="EZ123" t="s">
        <v>57</v>
      </c>
      <c r="FA123" t="s">
        <v>57</v>
      </c>
      <c r="FB123" t="s">
        <v>57</v>
      </c>
      <c r="FC123" t="s">
        <v>57</v>
      </c>
      <c r="FD123" t="s">
        <v>57</v>
      </c>
      <c r="FE123" t="s">
        <v>57</v>
      </c>
      <c r="FF123" t="s">
        <v>57</v>
      </c>
      <c r="FG123" t="s">
        <v>57</v>
      </c>
      <c r="FH123" t="s">
        <v>57</v>
      </c>
      <c r="FI123" t="s">
        <v>57</v>
      </c>
      <c r="FJ123" t="s">
        <v>57</v>
      </c>
      <c r="FK123" t="s">
        <v>57</v>
      </c>
      <c r="FL123" t="s">
        <v>57</v>
      </c>
      <c r="FM123" t="s">
        <v>57</v>
      </c>
      <c r="FN123" t="s">
        <v>57</v>
      </c>
      <c r="FO123" t="s">
        <v>57</v>
      </c>
      <c r="FP123" t="s">
        <v>57</v>
      </c>
      <c r="FQ123" t="s">
        <v>57</v>
      </c>
      <c r="FR123" t="s">
        <v>57</v>
      </c>
      <c r="FS123" t="s">
        <v>57</v>
      </c>
      <c r="FT123" t="s">
        <v>57</v>
      </c>
      <c r="FU123" t="s">
        <v>57</v>
      </c>
      <c r="FV123" t="s">
        <v>57</v>
      </c>
      <c r="FW123" t="s">
        <v>57</v>
      </c>
      <c r="FX123" t="s">
        <v>57</v>
      </c>
      <c r="FY123" t="s">
        <v>57</v>
      </c>
      <c r="FZ123" t="s">
        <v>57</v>
      </c>
      <c r="GA123" t="s">
        <v>57</v>
      </c>
      <c r="GB123" t="s">
        <v>57</v>
      </c>
      <c r="GC123" t="s">
        <v>57</v>
      </c>
      <c r="GD123" t="s">
        <v>57</v>
      </c>
      <c r="GE123" t="s">
        <v>57</v>
      </c>
      <c r="GF123" t="s">
        <v>57</v>
      </c>
      <c r="GG123" t="s">
        <v>175</v>
      </c>
      <c r="GH123" t="s">
        <v>57</v>
      </c>
      <c r="GI123" t="s">
        <v>57</v>
      </c>
      <c r="GJ123" t="s">
        <v>57</v>
      </c>
      <c r="GK123" t="s">
        <v>57</v>
      </c>
      <c r="GL123" t="s">
        <v>57</v>
      </c>
      <c r="GM123" t="s">
        <v>175</v>
      </c>
      <c r="GN123" t="s">
        <v>57</v>
      </c>
      <c r="GO123" t="s">
        <v>57</v>
      </c>
      <c r="GP123" t="s">
        <v>57</v>
      </c>
      <c r="GQ123" t="s">
        <v>57</v>
      </c>
      <c r="GR123" t="s">
        <v>57</v>
      </c>
      <c r="GS123" t="s">
        <v>57</v>
      </c>
      <c r="GT123" t="s">
        <v>57</v>
      </c>
      <c r="GU123" t="s">
        <v>57</v>
      </c>
      <c r="GV123" t="s">
        <v>175</v>
      </c>
      <c r="GW123" t="s">
        <v>57</v>
      </c>
      <c r="GX123" t="s">
        <v>57</v>
      </c>
      <c r="GY123" t="s">
        <v>57</v>
      </c>
      <c r="GZ123" t="s">
        <v>57</v>
      </c>
      <c r="HA123" t="s">
        <v>57</v>
      </c>
      <c r="HB123" t="s">
        <v>57</v>
      </c>
      <c r="HC123" t="s">
        <v>57</v>
      </c>
      <c r="HD123" t="s">
        <v>57</v>
      </c>
      <c r="HE123" t="s">
        <v>175</v>
      </c>
      <c r="HF123" t="s">
        <v>57</v>
      </c>
      <c r="HG123" t="s">
        <v>57</v>
      </c>
      <c r="HH123" t="s">
        <v>175</v>
      </c>
      <c r="HI123" t="s">
        <v>175</v>
      </c>
      <c r="HJ123" t="s">
        <v>175</v>
      </c>
      <c r="HK123" t="s">
        <v>175</v>
      </c>
      <c r="HL123" t="s">
        <v>57</v>
      </c>
      <c r="HM123" t="s">
        <v>57</v>
      </c>
      <c r="HN123" t="s">
        <v>57</v>
      </c>
      <c r="HO123" t="s">
        <v>57</v>
      </c>
      <c r="HP123" t="s">
        <v>57</v>
      </c>
      <c r="HQ123" t="s">
        <v>57</v>
      </c>
      <c r="HR123" t="s">
        <v>57</v>
      </c>
      <c r="HS123" t="s">
        <v>57</v>
      </c>
      <c r="HT123" t="s">
        <v>57</v>
      </c>
      <c r="HU123" t="s">
        <v>57</v>
      </c>
      <c r="HV123" t="s">
        <v>57</v>
      </c>
      <c r="HW123" t="s">
        <v>57</v>
      </c>
      <c r="HX123" t="s">
        <v>57</v>
      </c>
      <c r="HY123" t="s">
        <v>57</v>
      </c>
      <c r="HZ123" t="s">
        <v>57</v>
      </c>
      <c r="IA123" t="s">
        <v>57</v>
      </c>
      <c r="IB123" t="s">
        <v>57</v>
      </c>
      <c r="IC123" t="s">
        <v>57</v>
      </c>
      <c r="ID123" t="s">
        <v>57</v>
      </c>
      <c r="IE123" t="s">
        <v>57</v>
      </c>
      <c r="IF123" t="s">
        <v>124</v>
      </c>
      <c r="IG123" t="s">
        <v>148</v>
      </c>
      <c r="IH123" t="s">
        <v>123</v>
      </c>
      <c r="II123" t="s">
        <v>156</v>
      </c>
    </row>
    <row r="124" spans="1:243" x14ac:dyDescent="0.25">
      <c r="A124" s="111" t="str">
        <f>HYPERLINK("http://www.ofsted.gov.uk/inspection-reports/find-inspection-report/provider/ELS/133447 ","Ofsted School Webpage")</f>
        <v>Ofsted School Webpage</v>
      </c>
      <c r="B124">
        <v>133447</v>
      </c>
      <c r="C124">
        <v>2096361</v>
      </c>
      <c r="D124" t="s">
        <v>1588</v>
      </c>
      <c r="E124" t="s">
        <v>36</v>
      </c>
      <c r="F124" t="s">
        <v>166</v>
      </c>
      <c r="G124" t="s">
        <v>189</v>
      </c>
      <c r="H124" t="s">
        <v>189</v>
      </c>
      <c r="I124" t="s">
        <v>484</v>
      </c>
      <c r="J124" t="s">
        <v>1589</v>
      </c>
      <c r="K124" t="s">
        <v>142</v>
      </c>
      <c r="L124" t="s">
        <v>169</v>
      </c>
      <c r="M124" t="s">
        <v>2596</v>
      </c>
      <c r="N124" t="s">
        <v>143</v>
      </c>
      <c r="O124">
        <v>10035796</v>
      </c>
      <c r="P124" s="108">
        <v>43067</v>
      </c>
      <c r="Q124" s="108">
        <v>43069</v>
      </c>
      <c r="R124" s="108">
        <v>43136</v>
      </c>
      <c r="S124" t="s">
        <v>153</v>
      </c>
      <c r="T124" t="s">
        <v>154</v>
      </c>
      <c r="U124">
        <v>4</v>
      </c>
      <c r="V124">
        <v>4</v>
      </c>
      <c r="W124">
        <v>3</v>
      </c>
      <c r="X124">
        <v>4</v>
      </c>
      <c r="Y124">
        <v>4</v>
      </c>
      <c r="Z124">
        <v>4</v>
      </c>
      <c r="AA124" t="s">
        <v>2596</v>
      </c>
      <c r="AB124" t="s">
        <v>123</v>
      </c>
      <c r="AC124" t="s">
        <v>2596</v>
      </c>
      <c r="AD124" t="s">
        <v>2599</v>
      </c>
      <c r="AE124" t="s">
        <v>58</v>
      </c>
      <c r="AF124" t="s">
        <v>58</v>
      </c>
      <c r="AG124" t="s">
        <v>57</v>
      </c>
      <c r="AH124" t="s">
        <v>57</v>
      </c>
      <c r="AI124" t="s">
        <v>58</v>
      </c>
      <c r="AJ124" t="s">
        <v>57</v>
      </c>
      <c r="AK124" t="s">
        <v>57</v>
      </c>
      <c r="AL124" t="s">
        <v>58</v>
      </c>
      <c r="AM124" t="s">
        <v>58</v>
      </c>
      <c r="AN124" t="s">
        <v>58</v>
      </c>
      <c r="AO124" t="s">
        <v>58</v>
      </c>
      <c r="AP124" t="s">
        <v>58</v>
      </c>
      <c r="AQ124" t="s">
        <v>57</v>
      </c>
      <c r="AR124" t="s">
        <v>58</v>
      </c>
      <c r="AS124" t="s">
        <v>58</v>
      </c>
      <c r="AT124" t="s">
        <v>57</v>
      </c>
      <c r="AU124" t="s">
        <v>175</v>
      </c>
      <c r="AV124" t="s">
        <v>58</v>
      </c>
      <c r="AW124" t="s">
        <v>57</v>
      </c>
      <c r="AX124" t="s">
        <v>58</v>
      </c>
      <c r="AY124" t="s">
        <v>175</v>
      </c>
      <c r="AZ124" t="s">
        <v>175</v>
      </c>
      <c r="BA124" t="s">
        <v>175</v>
      </c>
      <c r="BB124" t="s">
        <v>175</v>
      </c>
      <c r="BC124" t="s">
        <v>57</v>
      </c>
      <c r="BD124" t="s">
        <v>175</v>
      </c>
      <c r="BE124" t="s">
        <v>57</v>
      </c>
      <c r="BF124" t="s">
        <v>57</v>
      </c>
      <c r="BG124" t="s">
        <v>58</v>
      </c>
      <c r="BH124" t="s">
        <v>58</v>
      </c>
      <c r="BI124" t="s">
        <v>57</v>
      </c>
      <c r="BJ124" t="s">
        <v>58</v>
      </c>
      <c r="BK124" t="s">
        <v>58</v>
      </c>
      <c r="BL124" t="s">
        <v>57</v>
      </c>
      <c r="BM124" t="s">
        <v>57</v>
      </c>
      <c r="BN124" t="s">
        <v>58</v>
      </c>
      <c r="BO124" t="s">
        <v>57</v>
      </c>
      <c r="BP124" t="s">
        <v>57</v>
      </c>
      <c r="BQ124" t="s">
        <v>57</v>
      </c>
      <c r="BR124" t="s">
        <v>57</v>
      </c>
      <c r="BS124" t="s">
        <v>58</v>
      </c>
      <c r="BT124" t="s">
        <v>58</v>
      </c>
      <c r="BU124" t="s">
        <v>58</v>
      </c>
      <c r="BV124" t="s">
        <v>57</v>
      </c>
      <c r="BW124" t="s">
        <v>57</v>
      </c>
      <c r="BX124" t="s">
        <v>57</v>
      </c>
      <c r="BY124" t="s">
        <v>57</v>
      </c>
      <c r="BZ124" t="s">
        <v>58</v>
      </c>
      <c r="CA124" t="s">
        <v>58</v>
      </c>
      <c r="CB124" t="s">
        <v>57</v>
      </c>
      <c r="CC124" t="s">
        <v>57</v>
      </c>
      <c r="CD124" t="s">
        <v>57</v>
      </c>
      <c r="CE124" t="s">
        <v>57</v>
      </c>
      <c r="CF124" t="s">
        <v>57</v>
      </c>
      <c r="CG124" t="s">
        <v>57</v>
      </c>
      <c r="CH124" t="s">
        <v>57</v>
      </c>
      <c r="CI124" t="s">
        <v>57</v>
      </c>
      <c r="CJ124" t="s">
        <v>57</v>
      </c>
      <c r="CK124" t="s">
        <v>175</v>
      </c>
      <c r="CL124" t="s">
        <v>175</v>
      </c>
      <c r="CM124" t="s">
        <v>175</v>
      </c>
      <c r="CN124" t="s">
        <v>57</v>
      </c>
      <c r="CO124" t="s">
        <v>57</v>
      </c>
      <c r="CP124" t="s">
        <v>57</v>
      </c>
      <c r="CQ124" t="s">
        <v>57</v>
      </c>
      <c r="CR124" t="s">
        <v>57</v>
      </c>
      <c r="CS124" t="s">
        <v>57</v>
      </c>
      <c r="CT124" t="s">
        <v>57</v>
      </c>
      <c r="CU124" t="s">
        <v>57</v>
      </c>
      <c r="CV124" t="s">
        <v>57</v>
      </c>
      <c r="CW124" t="s">
        <v>57</v>
      </c>
      <c r="CX124" t="s">
        <v>57</v>
      </c>
      <c r="CY124" t="s">
        <v>57</v>
      </c>
      <c r="CZ124" t="s">
        <v>57</v>
      </c>
      <c r="DA124" t="s">
        <v>57</v>
      </c>
      <c r="DB124" t="s">
        <v>57</v>
      </c>
      <c r="DC124" t="s">
        <v>57</v>
      </c>
      <c r="DD124" t="s">
        <v>57</v>
      </c>
      <c r="DE124" t="s">
        <v>57</v>
      </c>
      <c r="DF124" t="s">
        <v>57</v>
      </c>
      <c r="DG124" t="s">
        <v>57</v>
      </c>
      <c r="DH124" t="s">
        <v>57</v>
      </c>
      <c r="DI124" t="s">
        <v>57</v>
      </c>
      <c r="DJ124" t="s">
        <v>57</v>
      </c>
      <c r="DK124" t="s">
        <v>175</v>
      </c>
      <c r="DL124" t="s">
        <v>57</v>
      </c>
      <c r="DM124" t="s">
        <v>57</v>
      </c>
      <c r="DN124" t="s">
        <v>57</v>
      </c>
      <c r="DO124" t="s">
        <v>57</v>
      </c>
      <c r="DP124" t="s">
        <v>57</v>
      </c>
      <c r="DQ124" t="s">
        <v>57</v>
      </c>
      <c r="DR124" t="s">
        <v>57</v>
      </c>
      <c r="DS124" t="s">
        <v>57</v>
      </c>
      <c r="DT124" t="s">
        <v>57</v>
      </c>
      <c r="DU124" t="s">
        <v>57</v>
      </c>
      <c r="DV124" t="s">
        <v>57</v>
      </c>
      <c r="DW124" t="s">
        <v>57</v>
      </c>
      <c r="DX124" t="s">
        <v>57</v>
      </c>
      <c r="DY124" t="s">
        <v>175</v>
      </c>
      <c r="DZ124" t="s">
        <v>57</v>
      </c>
      <c r="EA124" t="s">
        <v>57</v>
      </c>
      <c r="EB124" t="s">
        <v>57</v>
      </c>
      <c r="EC124" t="s">
        <v>57</v>
      </c>
      <c r="ED124" t="s">
        <v>57</v>
      </c>
      <c r="EE124" t="s">
        <v>57</v>
      </c>
      <c r="EF124" t="s">
        <v>57</v>
      </c>
      <c r="EG124" t="s">
        <v>57</v>
      </c>
      <c r="EH124" t="s">
        <v>57</v>
      </c>
      <c r="EI124" t="s">
        <v>57</v>
      </c>
      <c r="EJ124" t="s">
        <v>57</v>
      </c>
      <c r="EK124" t="s">
        <v>57</v>
      </c>
      <c r="EL124" t="s">
        <v>57</v>
      </c>
      <c r="EM124" t="s">
        <v>57</v>
      </c>
      <c r="EN124" t="s">
        <v>57</v>
      </c>
      <c r="EO124" t="s">
        <v>57</v>
      </c>
      <c r="EP124" t="s">
        <v>57</v>
      </c>
      <c r="EQ124" t="s">
        <v>57</v>
      </c>
      <c r="ER124" t="s">
        <v>57</v>
      </c>
      <c r="ES124" t="s">
        <v>57</v>
      </c>
      <c r="ET124" t="s">
        <v>57</v>
      </c>
      <c r="EU124" t="s">
        <v>57</v>
      </c>
      <c r="EV124" t="s">
        <v>57</v>
      </c>
      <c r="EW124" t="s">
        <v>57</v>
      </c>
      <c r="EX124" t="s">
        <v>57</v>
      </c>
      <c r="EY124" t="s">
        <v>57</v>
      </c>
      <c r="EZ124" t="s">
        <v>57</v>
      </c>
      <c r="FA124" t="s">
        <v>57</v>
      </c>
      <c r="FB124" t="s">
        <v>57</v>
      </c>
      <c r="FC124" t="s">
        <v>57</v>
      </c>
      <c r="FD124" t="s">
        <v>57</v>
      </c>
      <c r="FE124" t="s">
        <v>57</v>
      </c>
      <c r="FF124" t="s">
        <v>57</v>
      </c>
      <c r="FG124" t="s">
        <v>57</v>
      </c>
      <c r="FH124" t="s">
        <v>58</v>
      </c>
      <c r="FI124" t="s">
        <v>57</v>
      </c>
      <c r="FJ124" t="s">
        <v>58</v>
      </c>
      <c r="FK124" t="s">
        <v>175</v>
      </c>
      <c r="FL124" t="s">
        <v>57</v>
      </c>
      <c r="FM124" t="s">
        <v>57</v>
      </c>
      <c r="FN124" t="s">
        <v>57</v>
      </c>
      <c r="FO124" t="s">
        <v>175</v>
      </c>
      <c r="FP124" t="s">
        <v>57</v>
      </c>
      <c r="FQ124" t="s">
        <v>57</v>
      </c>
      <c r="FR124" t="s">
        <v>57</v>
      </c>
      <c r="FS124" t="s">
        <v>57</v>
      </c>
      <c r="FT124" t="s">
        <v>57</v>
      </c>
      <c r="FU124" t="s">
        <v>57</v>
      </c>
      <c r="FV124" t="s">
        <v>58</v>
      </c>
      <c r="FW124" t="s">
        <v>57</v>
      </c>
      <c r="FX124" t="s">
        <v>57</v>
      </c>
      <c r="FY124" t="s">
        <v>57</v>
      </c>
      <c r="FZ124" t="s">
        <v>58</v>
      </c>
      <c r="GA124" t="s">
        <v>57</v>
      </c>
      <c r="GB124" t="s">
        <v>57</v>
      </c>
      <c r="GC124" t="s">
        <v>57</v>
      </c>
      <c r="GD124" t="s">
        <v>57</v>
      </c>
      <c r="GE124" t="s">
        <v>57</v>
      </c>
      <c r="GF124" t="s">
        <v>57</v>
      </c>
      <c r="GG124" t="s">
        <v>175</v>
      </c>
      <c r="GH124" t="s">
        <v>57</v>
      </c>
      <c r="GI124" t="s">
        <v>57</v>
      </c>
      <c r="GJ124" t="s">
        <v>57</v>
      </c>
      <c r="GK124" t="s">
        <v>57</v>
      </c>
      <c r="GL124" t="s">
        <v>57</v>
      </c>
      <c r="GM124" t="s">
        <v>175</v>
      </c>
      <c r="GN124" t="s">
        <v>57</v>
      </c>
      <c r="GO124" t="s">
        <v>57</v>
      </c>
      <c r="GP124" t="s">
        <v>57</v>
      </c>
      <c r="GQ124" t="s">
        <v>57</v>
      </c>
      <c r="GR124" t="s">
        <v>57</v>
      </c>
      <c r="GS124" t="s">
        <v>57</v>
      </c>
      <c r="GT124" t="s">
        <v>57</v>
      </c>
      <c r="GU124" t="s">
        <v>57</v>
      </c>
      <c r="GV124" t="s">
        <v>57</v>
      </c>
      <c r="GW124" t="s">
        <v>57</v>
      </c>
      <c r="GX124" t="s">
        <v>57</v>
      </c>
      <c r="GY124" t="s">
        <v>57</v>
      </c>
      <c r="GZ124" t="s">
        <v>57</v>
      </c>
      <c r="HA124" t="s">
        <v>57</v>
      </c>
      <c r="HB124" t="s">
        <v>57</v>
      </c>
      <c r="HC124" t="s">
        <v>57</v>
      </c>
      <c r="HD124" t="s">
        <v>57</v>
      </c>
      <c r="HE124" t="s">
        <v>57</v>
      </c>
      <c r="HF124" t="s">
        <v>57</v>
      </c>
      <c r="HG124" t="s">
        <v>57</v>
      </c>
      <c r="HH124" t="s">
        <v>57</v>
      </c>
      <c r="HI124" t="s">
        <v>57</v>
      </c>
      <c r="HJ124" t="s">
        <v>57</v>
      </c>
      <c r="HK124" t="s">
        <v>57</v>
      </c>
      <c r="HL124" t="s">
        <v>57</v>
      </c>
      <c r="HM124" t="s">
        <v>57</v>
      </c>
      <c r="HN124" t="s">
        <v>57</v>
      </c>
      <c r="HO124" t="s">
        <v>57</v>
      </c>
      <c r="HP124" t="s">
        <v>57</v>
      </c>
      <c r="HQ124" t="s">
        <v>57</v>
      </c>
      <c r="HR124" t="s">
        <v>57</v>
      </c>
      <c r="HS124" t="s">
        <v>57</v>
      </c>
      <c r="HT124" t="s">
        <v>57</v>
      </c>
      <c r="HU124" t="s">
        <v>57</v>
      </c>
      <c r="HV124" t="s">
        <v>57</v>
      </c>
      <c r="HW124" t="s">
        <v>57</v>
      </c>
      <c r="HX124" t="s">
        <v>57</v>
      </c>
      <c r="HY124" t="s">
        <v>57</v>
      </c>
      <c r="HZ124" t="s">
        <v>57</v>
      </c>
      <c r="IA124" t="s">
        <v>57</v>
      </c>
      <c r="IB124" t="s">
        <v>58</v>
      </c>
      <c r="IC124" t="s">
        <v>58</v>
      </c>
      <c r="ID124" t="s">
        <v>58</v>
      </c>
      <c r="IE124" t="s">
        <v>57</v>
      </c>
      <c r="IF124" t="s">
        <v>124</v>
      </c>
      <c r="IG124" t="s">
        <v>148</v>
      </c>
      <c r="IH124" t="s">
        <v>123</v>
      </c>
      <c r="II124" t="s">
        <v>156</v>
      </c>
    </row>
    <row r="125" spans="1:243" x14ac:dyDescent="0.25">
      <c r="A125" s="111" t="str">
        <f>HYPERLINK("http://www.ofsted.gov.uk/inspection-reports/find-inspection-report/provider/ELS/133477 ","Ofsted School Webpage")</f>
        <v>Ofsted School Webpage</v>
      </c>
      <c r="B125">
        <v>133477</v>
      </c>
      <c r="C125">
        <v>9366581</v>
      </c>
      <c r="D125" t="s">
        <v>1309</v>
      </c>
      <c r="E125" t="s">
        <v>37</v>
      </c>
      <c r="F125" t="s">
        <v>138</v>
      </c>
      <c r="G125" t="s">
        <v>139</v>
      </c>
      <c r="H125" t="s">
        <v>139</v>
      </c>
      <c r="I125" t="s">
        <v>535</v>
      </c>
      <c r="J125" t="s">
        <v>1310</v>
      </c>
      <c r="K125" t="s">
        <v>142</v>
      </c>
      <c r="L125" t="s">
        <v>169</v>
      </c>
      <c r="M125" t="s">
        <v>2596</v>
      </c>
      <c r="N125" t="s">
        <v>143</v>
      </c>
      <c r="O125">
        <v>10026023</v>
      </c>
      <c r="P125" s="108">
        <v>43158</v>
      </c>
      <c r="Q125" s="108">
        <v>43160</v>
      </c>
      <c r="R125" s="108">
        <v>43185</v>
      </c>
      <c r="S125" t="s">
        <v>153</v>
      </c>
      <c r="T125" t="s">
        <v>154</v>
      </c>
      <c r="U125">
        <v>2</v>
      </c>
      <c r="V125">
        <v>2</v>
      </c>
      <c r="W125">
        <v>2</v>
      </c>
      <c r="X125">
        <v>2</v>
      </c>
      <c r="Y125">
        <v>2</v>
      </c>
      <c r="Z125" t="s">
        <v>2596</v>
      </c>
      <c r="AA125">
        <v>2</v>
      </c>
      <c r="AB125" t="s">
        <v>123</v>
      </c>
      <c r="AC125" t="s">
        <v>2596</v>
      </c>
      <c r="AD125" t="s">
        <v>2598</v>
      </c>
      <c r="AE125" t="s">
        <v>57</v>
      </c>
      <c r="AF125" t="s">
        <v>57</v>
      </c>
      <c r="AG125" t="s">
        <v>57</v>
      </c>
      <c r="AH125" t="s">
        <v>57</v>
      </c>
      <c r="AI125" t="s">
        <v>57</v>
      </c>
      <c r="AJ125" t="s">
        <v>57</v>
      </c>
      <c r="AK125" t="s">
        <v>57</v>
      </c>
      <c r="AL125" t="s">
        <v>57</v>
      </c>
      <c r="AM125" t="s">
        <v>57</v>
      </c>
      <c r="AN125" t="s">
        <v>57</v>
      </c>
      <c r="AO125" t="s">
        <v>57</v>
      </c>
      <c r="AP125" t="s">
        <v>57</v>
      </c>
      <c r="AQ125" t="s">
        <v>57</v>
      </c>
      <c r="AR125" t="s">
        <v>57</v>
      </c>
      <c r="AS125" t="s">
        <v>57</v>
      </c>
      <c r="AT125" t="s">
        <v>57</v>
      </c>
      <c r="AU125" t="s">
        <v>175</v>
      </c>
      <c r="AV125" t="s">
        <v>57</v>
      </c>
      <c r="AW125" t="s">
        <v>57</v>
      </c>
      <c r="AX125" t="s">
        <v>57</v>
      </c>
      <c r="AY125" t="s">
        <v>57</v>
      </c>
      <c r="AZ125" t="s">
        <v>57</v>
      </c>
      <c r="BA125" t="s">
        <v>57</v>
      </c>
      <c r="BB125" t="s">
        <v>57</v>
      </c>
      <c r="BC125" t="s">
        <v>175</v>
      </c>
      <c r="BD125" t="s">
        <v>57</v>
      </c>
      <c r="BE125" t="s">
        <v>57</v>
      </c>
      <c r="BF125" t="s">
        <v>57</v>
      </c>
      <c r="BG125" t="s">
        <v>57</v>
      </c>
      <c r="BH125" t="s">
        <v>57</v>
      </c>
      <c r="BI125" t="s">
        <v>57</v>
      </c>
      <c r="BJ125" t="s">
        <v>57</v>
      </c>
      <c r="BK125" t="s">
        <v>57</v>
      </c>
      <c r="BL125" t="s">
        <v>57</v>
      </c>
      <c r="BM125" t="s">
        <v>57</v>
      </c>
      <c r="BN125" t="s">
        <v>57</v>
      </c>
      <c r="BO125" t="s">
        <v>57</v>
      </c>
      <c r="BP125" t="s">
        <v>57</v>
      </c>
      <c r="BQ125" t="s">
        <v>57</v>
      </c>
      <c r="BR125" t="s">
        <v>57</v>
      </c>
      <c r="BS125" t="s">
        <v>57</v>
      </c>
      <c r="BT125" t="s">
        <v>57</v>
      </c>
      <c r="BU125" t="s">
        <v>57</v>
      </c>
      <c r="BV125" t="s">
        <v>57</v>
      </c>
      <c r="BW125" t="s">
        <v>57</v>
      </c>
      <c r="BX125" t="s">
        <v>57</v>
      </c>
      <c r="BY125" t="s">
        <v>57</v>
      </c>
      <c r="BZ125" t="s">
        <v>57</v>
      </c>
      <c r="CA125" t="s">
        <v>57</v>
      </c>
      <c r="CB125" t="s">
        <v>57</v>
      </c>
      <c r="CC125" t="s">
        <v>57</v>
      </c>
      <c r="CD125" t="s">
        <v>57</v>
      </c>
      <c r="CE125" t="s">
        <v>57</v>
      </c>
      <c r="CF125" t="s">
        <v>57</v>
      </c>
      <c r="CG125" t="s">
        <v>57</v>
      </c>
      <c r="CH125" t="s">
        <v>57</v>
      </c>
      <c r="CI125" t="s">
        <v>57</v>
      </c>
      <c r="CJ125" t="s">
        <v>57</v>
      </c>
      <c r="CK125" t="s">
        <v>175</v>
      </c>
      <c r="CL125" t="s">
        <v>175</v>
      </c>
      <c r="CM125" t="s">
        <v>175</v>
      </c>
      <c r="CN125" t="s">
        <v>57</v>
      </c>
      <c r="CO125" t="s">
        <v>57</v>
      </c>
      <c r="CP125" t="s">
        <v>57</v>
      </c>
      <c r="CQ125" t="s">
        <v>57</v>
      </c>
      <c r="CR125" t="s">
        <v>57</v>
      </c>
      <c r="CS125" t="s">
        <v>57</v>
      </c>
      <c r="CT125" t="s">
        <v>57</v>
      </c>
      <c r="CU125" t="s">
        <v>57</v>
      </c>
      <c r="CV125" t="s">
        <v>57</v>
      </c>
      <c r="CW125" t="s">
        <v>57</v>
      </c>
      <c r="CX125" t="s">
        <v>57</v>
      </c>
      <c r="CY125" t="s">
        <v>57</v>
      </c>
      <c r="CZ125" t="s">
        <v>57</v>
      </c>
      <c r="DA125" t="s">
        <v>57</v>
      </c>
      <c r="DB125" t="s">
        <v>57</v>
      </c>
      <c r="DC125" t="s">
        <v>57</v>
      </c>
      <c r="DD125" t="s">
        <v>57</v>
      </c>
      <c r="DE125" t="s">
        <v>57</v>
      </c>
      <c r="DF125" t="s">
        <v>57</v>
      </c>
      <c r="DG125" t="s">
        <v>57</v>
      </c>
      <c r="DH125" t="s">
        <v>57</v>
      </c>
      <c r="DI125" t="s">
        <v>57</v>
      </c>
      <c r="DJ125" t="s">
        <v>57</v>
      </c>
      <c r="DK125" t="s">
        <v>175</v>
      </c>
      <c r="DL125" t="s">
        <v>57</v>
      </c>
      <c r="DM125" t="s">
        <v>57</v>
      </c>
      <c r="DN125" t="s">
        <v>57</v>
      </c>
      <c r="DO125" t="s">
        <v>57</v>
      </c>
      <c r="DP125" t="s">
        <v>57</v>
      </c>
      <c r="DQ125" t="s">
        <v>57</v>
      </c>
      <c r="DR125" t="s">
        <v>57</v>
      </c>
      <c r="DS125" t="s">
        <v>57</v>
      </c>
      <c r="DT125" t="s">
        <v>57</v>
      </c>
      <c r="DU125" t="s">
        <v>57</v>
      </c>
      <c r="DV125" t="s">
        <v>57</v>
      </c>
      <c r="DW125" t="s">
        <v>57</v>
      </c>
      <c r="DX125" t="s">
        <v>57</v>
      </c>
      <c r="DY125" t="s">
        <v>175</v>
      </c>
      <c r="DZ125" t="s">
        <v>57</v>
      </c>
      <c r="EA125" t="s">
        <v>57</v>
      </c>
      <c r="EB125" t="s">
        <v>57</v>
      </c>
      <c r="EC125" t="s">
        <v>57</v>
      </c>
      <c r="ED125" t="s">
        <v>57</v>
      </c>
      <c r="EE125" t="s">
        <v>57</v>
      </c>
      <c r="EF125" t="s">
        <v>57</v>
      </c>
      <c r="EG125" t="s">
        <v>57</v>
      </c>
      <c r="EH125" t="s">
        <v>57</v>
      </c>
      <c r="EI125" t="s">
        <v>57</v>
      </c>
      <c r="EJ125" t="s">
        <v>57</v>
      </c>
      <c r="EK125" t="s">
        <v>57</v>
      </c>
      <c r="EL125" t="s">
        <v>57</v>
      </c>
      <c r="EM125" t="s">
        <v>57</v>
      </c>
      <c r="EN125" t="s">
        <v>57</v>
      </c>
      <c r="EO125" t="s">
        <v>57</v>
      </c>
      <c r="EP125" t="s">
        <v>57</v>
      </c>
      <c r="EQ125" t="s">
        <v>57</v>
      </c>
      <c r="ER125" t="s">
        <v>57</v>
      </c>
      <c r="ES125" t="s">
        <v>57</v>
      </c>
      <c r="ET125" t="s">
        <v>57</v>
      </c>
      <c r="EU125" t="s">
        <v>57</v>
      </c>
      <c r="EV125" t="s">
        <v>57</v>
      </c>
      <c r="EW125" t="s">
        <v>57</v>
      </c>
      <c r="EX125" t="s">
        <v>57</v>
      </c>
      <c r="EY125" t="s">
        <v>57</v>
      </c>
      <c r="EZ125" t="s">
        <v>57</v>
      </c>
      <c r="FA125" t="s">
        <v>57</v>
      </c>
      <c r="FB125" t="s">
        <v>57</v>
      </c>
      <c r="FC125" t="s">
        <v>57</v>
      </c>
      <c r="FD125" t="s">
        <v>57</v>
      </c>
      <c r="FE125" t="s">
        <v>57</v>
      </c>
      <c r="FF125" t="s">
        <v>57</v>
      </c>
      <c r="FG125" t="s">
        <v>57</v>
      </c>
      <c r="FH125" t="s">
        <v>57</v>
      </c>
      <c r="FI125" t="s">
        <v>57</v>
      </c>
      <c r="FJ125" t="s">
        <v>57</v>
      </c>
      <c r="FK125" t="s">
        <v>57</v>
      </c>
      <c r="FL125" t="s">
        <v>57</v>
      </c>
      <c r="FM125" t="s">
        <v>57</v>
      </c>
      <c r="FN125" t="s">
        <v>57</v>
      </c>
      <c r="FO125" t="s">
        <v>175</v>
      </c>
      <c r="FP125" t="s">
        <v>57</v>
      </c>
      <c r="FQ125" t="s">
        <v>57</v>
      </c>
      <c r="FR125" t="s">
        <v>57</v>
      </c>
      <c r="FS125" t="s">
        <v>57</v>
      </c>
      <c r="FT125" t="s">
        <v>57</v>
      </c>
      <c r="FU125" t="s">
        <v>57</v>
      </c>
      <c r="FV125" t="s">
        <v>57</v>
      </c>
      <c r="FW125" t="s">
        <v>57</v>
      </c>
      <c r="FX125" t="s">
        <v>57</v>
      </c>
      <c r="FY125" t="s">
        <v>57</v>
      </c>
      <c r="FZ125" t="s">
        <v>57</v>
      </c>
      <c r="GA125" t="s">
        <v>57</v>
      </c>
      <c r="GB125" t="s">
        <v>57</v>
      </c>
      <c r="GC125" t="s">
        <v>57</v>
      </c>
      <c r="GD125" t="s">
        <v>57</v>
      </c>
      <c r="GE125" t="s">
        <v>57</v>
      </c>
      <c r="GF125" t="s">
        <v>57</v>
      </c>
      <c r="GG125" t="s">
        <v>175</v>
      </c>
      <c r="GH125" t="s">
        <v>57</v>
      </c>
      <c r="GI125" t="s">
        <v>57</v>
      </c>
      <c r="GJ125" t="s">
        <v>57</v>
      </c>
      <c r="GK125" t="s">
        <v>57</v>
      </c>
      <c r="GL125" t="s">
        <v>57</v>
      </c>
      <c r="GM125" t="s">
        <v>57</v>
      </c>
      <c r="GN125" t="s">
        <v>57</v>
      </c>
      <c r="GO125" t="s">
        <v>57</v>
      </c>
      <c r="GP125" t="s">
        <v>57</v>
      </c>
      <c r="GQ125" t="s">
        <v>57</v>
      </c>
      <c r="GR125" t="s">
        <v>57</v>
      </c>
      <c r="GS125" t="s">
        <v>57</v>
      </c>
      <c r="GT125" t="s">
        <v>57</v>
      </c>
      <c r="GU125" t="s">
        <v>57</v>
      </c>
      <c r="GV125" t="s">
        <v>57</v>
      </c>
      <c r="GW125" t="s">
        <v>175</v>
      </c>
      <c r="GX125" t="s">
        <v>175</v>
      </c>
      <c r="GY125" t="s">
        <v>57</v>
      </c>
      <c r="GZ125" t="s">
        <v>57</v>
      </c>
      <c r="HA125" t="s">
        <v>57</v>
      </c>
      <c r="HB125" t="s">
        <v>57</v>
      </c>
      <c r="HC125" t="s">
        <v>57</v>
      </c>
      <c r="HD125" t="s">
        <v>57</v>
      </c>
      <c r="HE125" t="s">
        <v>57</v>
      </c>
      <c r="HF125" t="s">
        <v>57</v>
      </c>
      <c r="HG125" t="s">
        <v>57</v>
      </c>
      <c r="HH125" t="s">
        <v>57</v>
      </c>
      <c r="HI125" t="s">
        <v>175</v>
      </c>
      <c r="HJ125" t="s">
        <v>175</v>
      </c>
      <c r="HK125" t="s">
        <v>175</v>
      </c>
      <c r="HL125" t="s">
        <v>57</v>
      </c>
      <c r="HM125" t="s">
        <v>57</v>
      </c>
      <c r="HN125" t="s">
        <v>57</v>
      </c>
      <c r="HO125" t="s">
        <v>57</v>
      </c>
      <c r="HP125" t="s">
        <v>57</v>
      </c>
      <c r="HQ125" t="s">
        <v>57</v>
      </c>
      <c r="HR125" t="s">
        <v>57</v>
      </c>
      <c r="HS125" t="s">
        <v>57</v>
      </c>
      <c r="HT125" t="s">
        <v>57</v>
      </c>
      <c r="HU125" t="s">
        <v>57</v>
      </c>
      <c r="HV125" t="s">
        <v>57</v>
      </c>
      <c r="HW125" t="s">
        <v>57</v>
      </c>
      <c r="HX125" t="s">
        <v>57</v>
      </c>
      <c r="HY125" t="s">
        <v>57</v>
      </c>
      <c r="HZ125" t="s">
        <v>57</v>
      </c>
      <c r="IA125" t="s">
        <v>57</v>
      </c>
      <c r="IB125" t="s">
        <v>57</v>
      </c>
      <c r="IC125" t="s">
        <v>57</v>
      </c>
      <c r="ID125" t="s">
        <v>57</v>
      </c>
      <c r="IE125" t="s">
        <v>57</v>
      </c>
      <c r="IF125" t="s">
        <v>124</v>
      </c>
      <c r="IG125" t="s">
        <v>148</v>
      </c>
      <c r="IH125" t="s">
        <v>123</v>
      </c>
      <c r="II125" t="s">
        <v>156</v>
      </c>
    </row>
    <row r="126" spans="1:243" x14ac:dyDescent="0.25">
      <c r="A126" s="111" t="str">
        <f>HYPERLINK("http://www.ofsted.gov.uk/inspection-reports/find-inspection-report/provider/ELS/133517 ","Ofsted School Webpage")</f>
        <v>Ofsted School Webpage</v>
      </c>
      <c r="B126">
        <v>133517</v>
      </c>
      <c r="C126">
        <v>3206061</v>
      </c>
      <c r="D126" t="s">
        <v>2264</v>
      </c>
      <c r="E126" t="s">
        <v>36</v>
      </c>
      <c r="F126" t="s">
        <v>166</v>
      </c>
      <c r="G126" t="s">
        <v>189</v>
      </c>
      <c r="H126" t="s">
        <v>189</v>
      </c>
      <c r="I126" t="s">
        <v>662</v>
      </c>
      <c r="J126" t="s">
        <v>2265</v>
      </c>
      <c r="K126" t="s">
        <v>261</v>
      </c>
      <c r="L126" t="s">
        <v>180</v>
      </c>
      <c r="M126" t="s">
        <v>2596</v>
      </c>
      <c r="N126" t="s">
        <v>143</v>
      </c>
      <c r="O126">
        <v>10012847</v>
      </c>
      <c r="P126" s="108">
        <v>43116</v>
      </c>
      <c r="Q126" s="108">
        <v>43118</v>
      </c>
      <c r="R126" s="108">
        <v>43171</v>
      </c>
      <c r="S126" t="s">
        <v>153</v>
      </c>
      <c r="T126" t="s">
        <v>154</v>
      </c>
      <c r="U126">
        <v>2</v>
      </c>
      <c r="V126">
        <v>2</v>
      </c>
      <c r="W126">
        <v>2</v>
      </c>
      <c r="X126">
        <v>2</v>
      </c>
      <c r="Y126">
        <v>2</v>
      </c>
      <c r="Z126">
        <v>2</v>
      </c>
      <c r="AA126" t="s">
        <v>2596</v>
      </c>
      <c r="AB126" t="s">
        <v>123</v>
      </c>
      <c r="AC126" t="s">
        <v>2596</v>
      </c>
      <c r="AD126" t="s">
        <v>2598</v>
      </c>
      <c r="AE126" t="s">
        <v>57</v>
      </c>
      <c r="AF126" t="s">
        <v>57</v>
      </c>
      <c r="AG126" t="s">
        <v>57</v>
      </c>
      <c r="AH126" t="s">
        <v>57</v>
      </c>
      <c r="AI126" t="s">
        <v>57</v>
      </c>
      <c r="AJ126" t="s">
        <v>57</v>
      </c>
      <c r="AK126" t="s">
        <v>57</v>
      </c>
      <c r="AL126" t="s">
        <v>57</v>
      </c>
      <c r="AM126" t="s">
        <v>57</v>
      </c>
      <c r="AN126" t="s">
        <v>57</v>
      </c>
      <c r="AO126" t="s">
        <v>57</v>
      </c>
      <c r="AP126" t="s">
        <v>57</v>
      </c>
      <c r="AQ126" t="s">
        <v>57</v>
      </c>
      <c r="AR126" t="s">
        <v>57</v>
      </c>
      <c r="AS126" t="s">
        <v>57</v>
      </c>
      <c r="AT126" t="s">
        <v>57</v>
      </c>
      <c r="AU126" t="s">
        <v>175</v>
      </c>
      <c r="AV126" t="s">
        <v>57</v>
      </c>
      <c r="AW126" t="s">
        <v>57</v>
      </c>
      <c r="AX126" t="s">
        <v>57</v>
      </c>
      <c r="AY126" t="s">
        <v>175</v>
      </c>
      <c r="AZ126" t="s">
        <v>175</v>
      </c>
      <c r="BA126" t="s">
        <v>175</v>
      </c>
      <c r="BB126" t="s">
        <v>175</v>
      </c>
      <c r="BC126" t="s">
        <v>175</v>
      </c>
      <c r="BD126" t="s">
        <v>175</v>
      </c>
      <c r="BE126" t="s">
        <v>57</v>
      </c>
      <c r="BF126" t="s">
        <v>57</v>
      </c>
      <c r="BG126" t="s">
        <v>57</v>
      </c>
      <c r="BH126" t="s">
        <v>57</v>
      </c>
      <c r="BI126" t="s">
        <v>57</v>
      </c>
      <c r="BJ126" t="s">
        <v>57</v>
      </c>
      <c r="BK126" t="s">
        <v>57</v>
      </c>
      <c r="BL126" t="s">
        <v>57</v>
      </c>
      <c r="BM126" t="s">
        <v>57</v>
      </c>
      <c r="BN126" t="s">
        <v>57</v>
      </c>
      <c r="BO126" t="s">
        <v>57</v>
      </c>
      <c r="BP126" t="s">
        <v>57</v>
      </c>
      <c r="BQ126" t="s">
        <v>57</v>
      </c>
      <c r="BR126" t="s">
        <v>57</v>
      </c>
      <c r="BS126" t="s">
        <v>57</v>
      </c>
      <c r="BT126" t="s">
        <v>57</v>
      </c>
      <c r="BU126" t="s">
        <v>57</v>
      </c>
      <c r="BV126" t="s">
        <v>57</v>
      </c>
      <c r="BW126" t="s">
        <v>57</v>
      </c>
      <c r="BX126" t="s">
        <v>57</v>
      </c>
      <c r="BY126" t="s">
        <v>57</v>
      </c>
      <c r="BZ126" t="s">
        <v>57</v>
      </c>
      <c r="CA126" t="s">
        <v>57</v>
      </c>
      <c r="CB126" t="s">
        <v>57</v>
      </c>
      <c r="CC126" t="s">
        <v>57</v>
      </c>
      <c r="CD126" t="s">
        <v>57</v>
      </c>
      <c r="CE126" t="s">
        <v>57</v>
      </c>
      <c r="CF126" t="s">
        <v>57</v>
      </c>
      <c r="CG126" t="s">
        <v>57</v>
      </c>
      <c r="CH126" t="s">
        <v>57</v>
      </c>
      <c r="CI126" t="s">
        <v>57</v>
      </c>
      <c r="CJ126" t="s">
        <v>57</v>
      </c>
      <c r="CK126" t="s">
        <v>175</v>
      </c>
      <c r="CL126" t="s">
        <v>175</v>
      </c>
      <c r="CM126" t="s">
        <v>175</v>
      </c>
      <c r="CN126" t="s">
        <v>57</v>
      </c>
      <c r="CO126" t="s">
        <v>57</v>
      </c>
      <c r="CP126" t="s">
        <v>57</v>
      </c>
      <c r="CQ126" t="s">
        <v>57</v>
      </c>
      <c r="CR126" t="s">
        <v>57</v>
      </c>
      <c r="CS126" t="s">
        <v>57</v>
      </c>
      <c r="CT126" t="s">
        <v>57</v>
      </c>
      <c r="CU126" t="s">
        <v>57</v>
      </c>
      <c r="CV126" t="s">
        <v>57</v>
      </c>
      <c r="CW126" t="s">
        <v>57</v>
      </c>
      <c r="CX126" t="s">
        <v>57</v>
      </c>
      <c r="CY126" t="s">
        <v>57</v>
      </c>
      <c r="CZ126" t="s">
        <v>57</v>
      </c>
      <c r="DA126" t="s">
        <v>57</v>
      </c>
      <c r="DB126" t="s">
        <v>57</v>
      </c>
      <c r="DC126" t="s">
        <v>57</v>
      </c>
      <c r="DD126" t="s">
        <v>57</v>
      </c>
      <c r="DE126" t="s">
        <v>57</v>
      </c>
      <c r="DF126" t="s">
        <v>57</v>
      </c>
      <c r="DG126" t="s">
        <v>57</v>
      </c>
      <c r="DH126" t="s">
        <v>57</v>
      </c>
      <c r="DI126" t="s">
        <v>57</v>
      </c>
      <c r="DJ126" t="s">
        <v>57</v>
      </c>
      <c r="DK126" t="s">
        <v>175</v>
      </c>
      <c r="DL126" t="s">
        <v>57</v>
      </c>
      <c r="DM126" t="s">
        <v>175</v>
      </c>
      <c r="DN126" t="s">
        <v>175</v>
      </c>
      <c r="DO126" t="s">
        <v>175</v>
      </c>
      <c r="DP126" t="s">
        <v>175</v>
      </c>
      <c r="DQ126" t="s">
        <v>175</v>
      </c>
      <c r="DR126" t="s">
        <v>175</v>
      </c>
      <c r="DS126" t="s">
        <v>175</v>
      </c>
      <c r="DT126" t="s">
        <v>175</v>
      </c>
      <c r="DU126" t="s">
        <v>175</v>
      </c>
      <c r="DV126" t="s">
        <v>175</v>
      </c>
      <c r="DW126" t="s">
        <v>175</v>
      </c>
      <c r="DX126" t="s">
        <v>175</v>
      </c>
      <c r="DY126" t="s">
        <v>175</v>
      </c>
      <c r="DZ126" t="s">
        <v>57</v>
      </c>
      <c r="EA126" t="s">
        <v>57</v>
      </c>
      <c r="EB126" t="s">
        <v>57</v>
      </c>
      <c r="EC126" t="s">
        <v>57</v>
      </c>
      <c r="ED126" t="s">
        <v>57</v>
      </c>
      <c r="EE126" t="s">
        <v>57</v>
      </c>
      <c r="EF126" t="s">
        <v>57</v>
      </c>
      <c r="EG126" t="s">
        <v>57</v>
      </c>
      <c r="EH126" t="s">
        <v>175</v>
      </c>
      <c r="EI126" t="s">
        <v>57</v>
      </c>
      <c r="EJ126" t="s">
        <v>57</v>
      </c>
      <c r="EK126" t="s">
        <v>57</v>
      </c>
      <c r="EL126" t="s">
        <v>57</v>
      </c>
      <c r="EM126" t="s">
        <v>57</v>
      </c>
      <c r="EN126" t="s">
        <v>57</v>
      </c>
      <c r="EO126" t="s">
        <v>57</v>
      </c>
      <c r="EP126" t="s">
        <v>57</v>
      </c>
      <c r="EQ126" t="s">
        <v>57</v>
      </c>
      <c r="ER126" t="s">
        <v>57</v>
      </c>
      <c r="ES126" t="s">
        <v>57</v>
      </c>
      <c r="ET126" t="s">
        <v>57</v>
      </c>
      <c r="EU126" t="s">
        <v>57</v>
      </c>
      <c r="EV126" t="s">
        <v>57</v>
      </c>
      <c r="EW126" t="s">
        <v>57</v>
      </c>
      <c r="EX126" t="s">
        <v>175</v>
      </c>
      <c r="EY126" t="s">
        <v>175</v>
      </c>
      <c r="EZ126" t="s">
        <v>175</v>
      </c>
      <c r="FA126" t="s">
        <v>175</v>
      </c>
      <c r="FB126" t="s">
        <v>175</v>
      </c>
      <c r="FC126" t="s">
        <v>175</v>
      </c>
      <c r="FD126" t="s">
        <v>175</v>
      </c>
      <c r="FE126" t="s">
        <v>175</v>
      </c>
      <c r="FF126" t="s">
        <v>148</v>
      </c>
      <c r="FG126" t="s">
        <v>175</v>
      </c>
      <c r="FH126" t="s">
        <v>57</v>
      </c>
      <c r="FI126" t="s">
        <v>57</v>
      </c>
      <c r="FJ126" t="s">
        <v>57</v>
      </c>
      <c r="FK126" t="s">
        <v>175</v>
      </c>
      <c r="FL126" t="s">
        <v>57</v>
      </c>
      <c r="FM126" t="s">
        <v>57</v>
      </c>
      <c r="FN126" t="s">
        <v>57</v>
      </c>
      <c r="FO126" t="s">
        <v>175</v>
      </c>
      <c r="FP126" t="s">
        <v>57</v>
      </c>
      <c r="FQ126" t="s">
        <v>57</v>
      </c>
      <c r="FR126" t="s">
        <v>57</v>
      </c>
      <c r="FS126" t="s">
        <v>57</v>
      </c>
      <c r="FT126" t="s">
        <v>57</v>
      </c>
      <c r="FU126" t="s">
        <v>57</v>
      </c>
      <c r="FV126" t="s">
        <v>57</v>
      </c>
      <c r="FW126" t="s">
        <v>57</v>
      </c>
      <c r="FX126" t="s">
        <v>57</v>
      </c>
      <c r="FY126" t="s">
        <v>57</v>
      </c>
      <c r="FZ126" t="s">
        <v>57</v>
      </c>
      <c r="GA126" t="s">
        <v>57</v>
      </c>
      <c r="GB126" t="s">
        <v>57</v>
      </c>
      <c r="GC126" t="s">
        <v>57</v>
      </c>
      <c r="GD126" t="s">
        <v>57</v>
      </c>
      <c r="GE126" t="s">
        <v>57</v>
      </c>
      <c r="GF126" t="s">
        <v>57</v>
      </c>
      <c r="GG126" t="s">
        <v>175</v>
      </c>
      <c r="GH126" t="s">
        <v>57</v>
      </c>
      <c r="GI126" t="s">
        <v>57</v>
      </c>
      <c r="GJ126" t="s">
        <v>57</v>
      </c>
      <c r="GK126" t="s">
        <v>57</v>
      </c>
      <c r="GL126" t="s">
        <v>57</v>
      </c>
      <c r="GM126" t="s">
        <v>175</v>
      </c>
      <c r="GN126" t="s">
        <v>57</v>
      </c>
      <c r="GO126" t="s">
        <v>57</v>
      </c>
      <c r="GP126" t="s">
        <v>175</v>
      </c>
      <c r="GQ126" t="s">
        <v>57</v>
      </c>
      <c r="GR126" t="s">
        <v>57</v>
      </c>
      <c r="GS126" t="s">
        <v>57</v>
      </c>
      <c r="GT126" t="s">
        <v>57</v>
      </c>
      <c r="GU126" t="s">
        <v>57</v>
      </c>
      <c r="GV126" t="s">
        <v>57</v>
      </c>
      <c r="GW126" t="s">
        <v>175</v>
      </c>
      <c r="GX126" t="s">
        <v>57</v>
      </c>
      <c r="GY126" t="s">
        <v>57</v>
      </c>
      <c r="GZ126" t="s">
        <v>57</v>
      </c>
      <c r="HA126" t="s">
        <v>57</v>
      </c>
      <c r="HB126" t="s">
        <v>57</v>
      </c>
      <c r="HC126" t="s">
        <v>57</v>
      </c>
      <c r="HD126" t="s">
        <v>57</v>
      </c>
      <c r="HE126" t="s">
        <v>57</v>
      </c>
      <c r="HF126" t="s">
        <v>57</v>
      </c>
      <c r="HG126" t="s">
        <v>57</v>
      </c>
      <c r="HH126" t="s">
        <v>175</v>
      </c>
      <c r="HI126" t="s">
        <v>175</v>
      </c>
      <c r="HJ126" t="s">
        <v>175</v>
      </c>
      <c r="HK126" t="s">
        <v>175</v>
      </c>
      <c r="HL126" t="s">
        <v>57</v>
      </c>
      <c r="HM126" t="s">
        <v>57</v>
      </c>
      <c r="HN126" t="s">
        <v>57</v>
      </c>
      <c r="HO126" t="s">
        <v>57</v>
      </c>
      <c r="HP126" t="s">
        <v>57</v>
      </c>
      <c r="HQ126" t="s">
        <v>57</v>
      </c>
      <c r="HR126" t="s">
        <v>57</v>
      </c>
      <c r="HS126" t="s">
        <v>57</v>
      </c>
      <c r="HT126" t="s">
        <v>57</v>
      </c>
      <c r="HU126" t="s">
        <v>57</v>
      </c>
      <c r="HV126" t="s">
        <v>57</v>
      </c>
      <c r="HW126" t="s">
        <v>57</v>
      </c>
      <c r="HX126" t="s">
        <v>57</v>
      </c>
      <c r="HY126" t="s">
        <v>57</v>
      </c>
      <c r="HZ126" t="s">
        <v>57</v>
      </c>
      <c r="IA126" t="s">
        <v>57</v>
      </c>
      <c r="IB126" t="s">
        <v>57</v>
      </c>
      <c r="IC126" t="s">
        <v>57</v>
      </c>
      <c r="ID126" t="s">
        <v>57</v>
      </c>
      <c r="IE126" t="s">
        <v>57</v>
      </c>
      <c r="IF126" t="s">
        <v>124</v>
      </c>
      <c r="IG126" t="s">
        <v>148</v>
      </c>
      <c r="IH126" t="s">
        <v>123</v>
      </c>
      <c r="II126" t="s">
        <v>156</v>
      </c>
    </row>
    <row r="127" spans="1:243" x14ac:dyDescent="0.25">
      <c r="A127" s="111" t="str">
        <f>HYPERLINK("http://www.ofsted.gov.uk/inspection-reports/find-inspection-report/provider/ELS/133521 ","Ofsted School Webpage")</f>
        <v>Ofsted School Webpage</v>
      </c>
      <c r="B127">
        <v>133521</v>
      </c>
      <c r="C127">
        <v>3306102</v>
      </c>
      <c r="D127" t="s">
        <v>265</v>
      </c>
      <c r="E127" t="s">
        <v>36</v>
      </c>
      <c r="F127" t="s">
        <v>166</v>
      </c>
      <c r="G127" t="s">
        <v>150</v>
      </c>
      <c r="H127" t="s">
        <v>150</v>
      </c>
      <c r="I127" t="s">
        <v>167</v>
      </c>
      <c r="J127" t="s">
        <v>266</v>
      </c>
      <c r="K127" t="s">
        <v>142</v>
      </c>
      <c r="L127" t="s">
        <v>180</v>
      </c>
      <c r="M127" t="s">
        <v>2596</v>
      </c>
      <c r="N127" t="s">
        <v>143</v>
      </c>
      <c r="O127">
        <v>10040956</v>
      </c>
      <c r="P127" s="108">
        <v>43025</v>
      </c>
      <c r="Q127" s="108">
        <v>43027</v>
      </c>
      <c r="R127" s="108">
        <v>43062</v>
      </c>
      <c r="S127" t="s">
        <v>153</v>
      </c>
      <c r="T127" t="s">
        <v>154</v>
      </c>
      <c r="U127">
        <v>4</v>
      </c>
      <c r="V127">
        <v>4</v>
      </c>
      <c r="W127">
        <v>2</v>
      </c>
      <c r="X127">
        <v>3</v>
      </c>
      <c r="Y127">
        <v>3</v>
      </c>
      <c r="Z127">
        <v>2</v>
      </c>
      <c r="AA127" t="s">
        <v>2596</v>
      </c>
      <c r="AB127" t="s">
        <v>123</v>
      </c>
      <c r="AC127" t="s">
        <v>2596</v>
      </c>
      <c r="AD127" t="s">
        <v>2599</v>
      </c>
      <c r="AE127" t="s">
        <v>57</v>
      </c>
      <c r="AF127" t="s">
        <v>57</v>
      </c>
      <c r="AG127" t="s">
        <v>57</v>
      </c>
      <c r="AH127" t="s">
        <v>57</v>
      </c>
      <c r="AI127" t="s">
        <v>57</v>
      </c>
      <c r="AJ127" t="s">
        <v>58</v>
      </c>
      <c r="AK127" t="s">
        <v>57</v>
      </c>
      <c r="AL127" t="s">
        <v>58</v>
      </c>
      <c r="AM127" t="s">
        <v>57</v>
      </c>
      <c r="AN127" t="s">
        <v>57</v>
      </c>
      <c r="AO127" t="s">
        <v>57</v>
      </c>
      <c r="AP127" t="s">
        <v>57</v>
      </c>
      <c r="AQ127" t="s">
        <v>57</v>
      </c>
      <c r="AR127" t="s">
        <v>57</v>
      </c>
      <c r="AS127" t="s">
        <v>57</v>
      </c>
      <c r="AT127" t="s">
        <v>57</v>
      </c>
      <c r="AU127" t="s">
        <v>175</v>
      </c>
      <c r="AV127" t="s">
        <v>57</v>
      </c>
      <c r="AW127" t="s">
        <v>57</v>
      </c>
      <c r="AX127" t="s">
        <v>57</v>
      </c>
      <c r="AY127" t="s">
        <v>175</v>
      </c>
      <c r="AZ127" t="s">
        <v>175</v>
      </c>
      <c r="BA127" t="s">
        <v>175</v>
      </c>
      <c r="BB127" t="s">
        <v>175</v>
      </c>
      <c r="BC127" t="s">
        <v>57</v>
      </c>
      <c r="BD127" t="s">
        <v>175</v>
      </c>
      <c r="BE127" t="s">
        <v>57</v>
      </c>
      <c r="BF127" t="s">
        <v>57</v>
      </c>
      <c r="BG127" t="s">
        <v>58</v>
      </c>
      <c r="BH127" t="s">
        <v>58</v>
      </c>
      <c r="BI127" t="s">
        <v>57</v>
      </c>
      <c r="BJ127" t="s">
        <v>58</v>
      </c>
      <c r="BK127" t="s">
        <v>57</v>
      </c>
      <c r="BL127" t="s">
        <v>57</v>
      </c>
      <c r="BM127" t="s">
        <v>57</v>
      </c>
      <c r="BN127" t="s">
        <v>57</v>
      </c>
      <c r="BO127" t="s">
        <v>57</v>
      </c>
      <c r="BP127" t="s">
        <v>57</v>
      </c>
      <c r="BQ127" t="s">
        <v>57</v>
      </c>
      <c r="BR127" t="s">
        <v>57</v>
      </c>
      <c r="BS127" t="s">
        <v>57</v>
      </c>
      <c r="BT127" t="s">
        <v>57</v>
      </c>
      <c r="BU127" t="s">
        <v>57</v>
      </c>
      <c r="BV127" t="s">
        <v>57</v>
      </c>
      <c r="BW127" t="s">
        <v>57</v>
      </c>
      <c r="BX127" t="s">
        <v>57</v>
      </c>
      <c r="BY127" t="s">
        <v>57</v>
      </c>
      <c r="BZ127" t="s">
        <v>57</v>
      </c>
      <c r="CA127" t="s">
        <v>57</v>
      </c>
      <c r="CB127" t="s">
        <v>57</v>
      </c>
      <c r="CC127" t="s">
        <v>57</v>
      </c>
      <c r="CD127" t="s">
        <v>57</v>
      </c>
      <c r="CE127" t="s">
        <v>57</v>
      </c>
      <c r="CF127" t="s">
        <v>57</v>
      </c>
      <c r="CG127" t="s">
        <v>57</v>
      </c>
      <c r="CH127" t="s">
        <v>57</v>
      </c>
      <c r="CI127" t="s">
        <v>57</v>
      </c>
      <c r="CJ127" t="s">
        <v>57</v>
      </c>
      <c r="CK127" t="s">
        <v>175</v>
      </c>
      <c r="CL127" t="s">
        <v>175</v>
      </c>
      <c r="CM127" t="s">
        <v>175</v>
      </c>
      <c r="CN127" t="s">
        <v>57</v>
      </c>
      <c r="CO127" t="s">
        <v>57</v>
      </c>
      <c r="CP127" t="s">
        <v>57</v>
      </c>
      <c r="CQ127" t="s">
        <v>57</v>
      </c>
      <c r="CR127" t="s">
        <v>57</v>
      </c>
      <c r="CS127" t="s">
        <v>57</v>
      </c>
      <c r="CT127" t="s">
        <v>57</v>
      </c>
      <c r="CU127" t="s">
        <v>57</v>
      </c>
      <c r="CV127" t="s">
        <v>57</v>
      </c>
      <c r="CW127" t="s">
        <v>57</v>
      </c>
      <c r="CX127" t="s">
        <v>57</v>
      </c>
      <c r="CY127" t="s">
        <v>57</v>
      </c>
      <c r="CZ127" t="s">
        <v>57</v>
      </c>
      <c r="DA127" t="s">
        <v>57</v>
      </c>
      <c r="DB127" t="s">
        <v>57</v>
      </c>
      <c r="DC127" t="s">
        <v>57</v>
      </c>
      <c r="DD127" t="s">
        <v>57</v>
      </c>
      <c r="DE127" t="s">
        <v>57</v>
      </c>
      <c r="DF127" t="s">
        <v>57</v>
      </c>
      <c r="DG127" t="s">
        <v>57</v>
      </c>
      <c r="DH127" t="s">
        <v>57</v>
      </c>
      <c r="DI127" t="s">
        <v>57</v>
      </c>
      <c r="DJ127" t="s">
        <v>57</v>
      </c>
      <c r="DK127" t="s">
        <v>175</v>
      </c>
      <c r="DL127" t="s">
        <v>57</v>
      </c>
      <c r="DM127" t="s">
        <v>57</v>
      </c>
      <c r="DN127" t="s">
        <v>57</v>
      </c>
      <c r="DO127" t="s">
        <v>57</v>
      </c>
      <c r="DP127" t="s">
        <v>57</v>
      </c>
      <c r="DQ127" t="s">
        <v>57</v>
      </c>
      <c r="DR127" t="s">
        <v>57</v>
      </c>
      <c r="DS127" t="s">
        <v>57</v>
      </c>
      <c r="DT127" t="s">
        <v>57</v>
      </c>
      <c r="DU127" t="s">
        <v>57</v>
      </c>
      <c r="DV127" t="s">
        <v>57</v>
      </c>
      <c r="DW127" t="s">
        <v>57</v>
      </c>
      <c r="DX127" t="s">
        <v>57</v>
      </c>
      <c r="DY127" t="s">
        <v>175</v>
      </c>
      <c r="DZ127" t="s">
        <v>175</v>
      </c>
      <c r="EA127" t="s">
        <v>57</v>
      </c>
      <c r="EB127" t="s">
        <v>57</v>
      </c>
      <c r="EC127" t="s">
        <v>57</v>
      </c>
      <c r="ED127" t="s">
        <v>57</v>
      </c>
      <c r="EE127" t="s">
        <v>57</v>
      </c>
      <c r="EF127" t="s">
        <v>57</v>
      </c>
      <c r="EG127" t="s">
        <v>57</v>
      </c>
      <c r="EH127" t="s">
        <v>57</v>
      </c>
      <c r="EI127" t="s">
        <v>57</v>
      </c>
      <c r="EJ127" t="s">
        <v>57</v>
      </c>
      <c r="EK127" t="s">
        <v>57</v>
      </c>
      <c r="EL127" t="s">
        <v>57</v>
      </c>
      <c r="EM127" t="s">
        <v>57</v>
      </c>
      <c r="EN127" t="s">
        <v>57</v>
      </c>
      <c r="EO127" t="s">
        <v>57</v>
      </c>
      <c r="EP127" t="s">
        <v>57</v>
      </c>
      <c r="EQ127" t="s">
        <v>57</v>
      </c>
      <c r="ER127" t="s">
        <v>57</v>
      </c>
      <c r="ES127" t="s">
        <v>57</v>
      </c>
      <c r="ET127" t="s">
        <v>57</v>
      </c>
      <c r="EU127" t="s">
        <v>57</v>
      </c>
      <c r="EV127" t="s">
        <v>57</v>
      </c>
      <c r="EW127" t="s">
        <v>57</v>
      </c>
      <c r="EX127" t="s">
        <v>57</v>
      </c>
      <c r="EY127" t="s">
        <v>57</v>
      </c>
      <c r="EZ127" t="s">
        <v>57</v>
      </c>
      <c r="FA127" t="s">
        <v>57</v>
      </c>
      <c r="FB127" t="s">
        <v>57</v>
      </c>
      <c r="FC127" t="s">
        <v>57</v>
      </c>
      <c r="FD127" t="s">
        <v>57</v>
      </c>
      <c r="FE127" t="s">
        <v>57</v>
      </c>
      <c r="FF127" t="s">
        <v>57</v>
      </c>
      <c r="FG127" t="s">
        <v>57</v>
      </c>
      <c r="FH127" t="s">
        <v>57</v>
      </c>
      <c r="FI127" t="s">
        <v>57</v>
      </c>
      <c r="FJ127" t="s">
        <v>57</v>
      </c>
      <c r="FK127" t="s">
        <v>175</v>
      </c>
      <c r="FL127" t="s">
        <v>57</v>
      </c>
      <c r="FM127" t="s">
        <v>57</v>
      </c>
      <c r="FN127" t="s">
        <v>57</v>
      </c>
      <c r="FO127" t="s">
        <v>175</v>
      </c>
      <c r="FP127" t="s">
        <v>57</v>
      </c>
      <c r="FQ127" t="s">
        <v>57</v>
      </c>
      <c r="FR127" t="s">
        <v>57</v>
      </c>
      <c r="FS127" t="s">
        <v>57</v>
      </c>
      <c r="FT127" t="s">
        <v>57</v>
      </c>
      <c r="FU127" t="s">
        <v>57</v>
      </c>
      <c r="FV127" t="s">
        <v>57</v>
      </c>
      <c r="FW127" t="s">
        <v>57</v>
      </c>
      <c r="FX127" t="s">
        <v>57</v>
      </c>
      <c r="FY127" t="s">
        <v>57</v>
      </c>
      <c r="FZ127" t="s">
        <v>57</v>
      </c>
      <c r="GA127" t="s">
        <v>57</v>
      </c>
      <c r="GB127" t="s">
        <v>57</v>
      </c>
      <c r="GC127" t="s">
        <v>57</v>
      </c>
      <c r="GD127" t="s">
        <v>57</v>
      </c>
      <c r="GE127" t="s">
        <v>57</v>
      </c>
      <c r="GF127" t="s">
        <v>57</v>
      </c>
      <c r="GG127" t="s">
        <v>175</v>
      </c>
      <c r="GH127" t="s">
        <v>58</v>
      </c>
      <c r="GI127" t="s">
        <v>58</v>
      </c>
      <c r="GJ127" t="s">
        <v>58</v>
      </c>
      <c r="GK127" t="s">
        <v>58</v>
      </c>
      <c r="GL127" t="s">
        <v>58</v>
      </c>
      <c r="GM127" t="s">
        <v>175</v>
      </c>
      <c r="GN127" t="s">
        <v>57</v>
      </c>
      <c r="GO127" t="s">
        <v>57</v>
      </c>
      <c r="GP127" t="s">
        <v>175</v>
      </c>
      <c r="GQ127" t="s">
        <v>175</v>
      </c>
      <c r="GR127" t="s">
        <v>175</v>
      </c>
      <c r="GS127" t="s">
        <v>58</v>
      </c>
      <c r="GT127" t="s">
        <v>58</v>
      </c>
      <c r="GU127" t="s">
        <v>58</v>
      </c>
      <c r="GV127" t="s">
        <v>175</v>
      </c>
      <c r="GW127" t="s">
        <v>58</v>
      </c>
      <c r="GX127" t="s">
        <v>58</v>
      </c>
      <c r="GY127" t="s">
        <v>58</v>
      </c>
      <c r="GZ127" t="s">
        <v>58</v>
      </c>
      <c r="HA127" t="s">
        <v>58</v>
      </c>
      <c r="HB127" t="s">
        <v>58</v>
      </c>
      <c r="HC127" t="s">
        <v>58</v>
      </c>
      <c r="HD127" t="s">
        <v>58</v>
      </c>
      <c r="HE127" t="s">
        <v>58</v>
      </c>
      <c r="HF127" t="s">
        <v>57</v>
      </c>
      <c r="HG127" t="s">
        <v>58</v>
      </c>
      <c r="HH127" t="s">
        <v>175</v>
      </c>
      <c r="HI127" t="s">
        <v>175</v>
      </c>
      <c r="HJ127" t="s">
        <v>175</v>
      </c>
      <c r="HK127" t="s">
        <v>175</v>
      </c>
      <c r="HL127" t="s">
        <v>57</v>
      </c>
      <c r="HM127" t="s">
        <v>57</v>
      </c>
      <c r="HN127" t="s">
        <v>57</v>
      </c>
      <c r="HO127" t="s">
        <v>57</v>
      </c>
      <c r="HP127" t="s">
        <v>57</v>
      </c>
      <c r="HQ127" t="s">
        <v>57</v>
      </c>
      <c r="HR127" t="s">
        <v>57</v>
      </c>
      <c r="HS127" t="s">
        <v>57</v>
      </c>
      <c r="HT127" t="s">
        <v>57</v>
      </c>
      <c r="HU127" t="s">
        <v>57</v>
      </c>
      <c r="HV127" t="s">
        <v>57</v>
      </c>
      <c r="HW127" t="s">
        <v>57</v>
      </c>
      <c r="HX127" t="s">
        <v>57</v>
      </c>
      <c r="HY127" t="s">
        <v>57</v>
      </c>
      <c r="HZ127" t="s">
        <v>57</v>
      </c>
      <c r="IA127" t="s">
        <v>57</v>
      </c>
      <c r="IB127" t="s">
        <v>58</v>
      </c>
      <c r="IC127" t="s">
        <v>58</v>
      </c>
      <c r="ID127" t="s">
        <v>58</v>
      </c>
      <c r="IE127" t="s">
        <v>57</v>
      </c>
      <c r="IF127" t="s">
        <v>124</v>
      </c>
      <c r="IG127" t="s">
        <v>148</v>
      </c>
      <c r="IH127" t="s">
        <v>123</v>
      </c>
      <c r="II127" t="s">
        <v>156</v>
      </c>
    </row>
    <row r="128" spans="1:243" x14ac:dyDescent="0.25">
      <c r="A128" s="111" t="str">
        <f>HYPERLINK("http://www.ofsted.gov.uk/inspection-reports/find-inspection-report/provider/ELS/133527 ","Ofsted School Webpage")</f>
        <v>Ofsted School Webpage</v>
      </c>
      <c r="B128">
        <v>133527</v>
      </c>
      <c r="C128">
        <v>9336203</v>
      </c>
      <c r="D128" t="s">
        <v>355</v>
      </c>
      <c r="E128" t="s">
        <v>37</v>
      </c>
      <c r="F128" t="s">
        <v>138</v>
      </c>
      <c r="G128" t="s">
        <v>182</v>
      </c>
      <c r="H128" t="s">
        <v>182</v>
      </c>
      <c r="I128" t="s">
        <v>219</v>
      </c>
      <c r="J128" t="s">
        <v>356</v>
      </c>
      <c r="K128" t="s">
        <v>142</v>
      </c>
      <c r="L128" t="s">
        <v>142</v>
      </c>
      <c r="M128" t="s">
        <v>2596</v>
      </c>
      <c r="N128" t="s">
        <v>143</v>
      </c>
      <c r="O128">
        <v>10033891</v>
      </c>
      <c r="P128" s="108">
        <v>42990</v>
      </c>
      <c r="Q128" s="108">
        <v>42992</v>
      </c>
      <c r="R128" s="108">
        <v>43019</v>
      </c>
      <c r="S128" t="s">
        <v>153</v>
      </c>
      <c r="T128" t="s">
        <v>154</v>
      </c>
      <c r="U128">
        <v>2</v>
      </c>
      <c r="V128">
        <v>2</v>
      </c>
      <c r="W128">
        <v>2</v>
      </c>
      <c r="X128">
        <v>2</v>
      </c>
      <c r="Y128">
        <v>2</v>
      </c>
      <c r="Z128" t="s">
        <v>2596</v>
      </c>
      <c r="AA128" t="s">
        <v>2596</v>
      </c>
      <c r="AB128" t="s">
        <v>123</v>
      </c>
      <c r="AC128" t="s">
        <v>2596</v>
      </c>
      <c r="AD128" t="s">
        <v>2598</v>
      </c>
      <c r="AE128" t="s">
        <v>57</v>
      </c>
      <c r="AF128" t="s">
        <v>57</v>
      </c>
      <c r="AG128" t="s">
        <v>57</v>
      </c>
      <c r="AH128" t="s">
        <v>57</v>
      </c>
      <c r="AI128" t="s">
        <v>57</v>
      </c>
      <c r="AJ128" t="s">
        <v>57</v>
      </c>
      <c r="AK128" t="s">
        <v>57</v>
      </c>
      <c r="AL128" t="s">
        <v>57</v>
      </c>
      <c r="AM128" t="s">
        <v>57</v>
      </c>
      <c r="AN128" t="s">
        <v>57</v>
      </c>
      <c r="AO128" t="s">
        <v>57</v>
      </c>
      <c r="AP128" t="s">
        <v>57</v>
      </c>
      <c r="AQ128" t="s">
        <v>57</v>
      </c>
      <c r="AR128" t="s">
        <v>57</v>
      </c>
      <c r="AS128" t="s">
        <v>57</v>
      </c>
      <c r="AT128" t="s">
        <v>57</v>
      </c>
      <c r="AU128" t="s">
        <v>148</v>
      </c>
      <c r="AV128" t="s">
        <v>57</v>
      </c>
      <c r="AW128" t="s">
        <v>57</v>
      </c>
      <c r="AX128" t="s">
        <v>57</v>
      </c>
      <c r="AY128" t="s">
        <v>57</v>
      </c>
      <c r="AZ128" t="s">
        <v>57</v>
      </c>
      <c r="BA128" t="s">
        <v>57</v>
      </c>
      <c r="BB128" t="s">
        <v>57</v>
      </c>
      <c r="BC128" t="s">
        <v>148</v>
      </c>
      <c r="BD128" t="s">
        <v>57</v>
      </c>
      <c r="BE128" t="s">
        <v>57</v>
      </c>
      <c r="BF128" t="s">
        <v>57</v>
      </c>
      <c r="BG128" t="s">
        <v>57</v>
      </c>
      <c r="BH128" t="s">
        <v>57</v>
      </c>
      <c r="BI128" t="s">
        <v>57</v>
      </c>
      <c r="BJ128" t="s">
        <v>57</v>
      </c>
      <c r="BK128" t="s">
        <v>57</v>
      </c>
      <c r="BL128" t="s">
        <v>57</v>
      </c>
      <c r="BM128" t="s">
        <v>57</v>
      </c>
      <c r="BN128" t="s">
        <v>57</v>
      </c>
      <c r="BO128" t="s">
        <v>57</v>
      </c>
      <c r="BP128" t="s">
        <v>57</v>
      </c>
      <c r="BQ128" t="s">
        <v>57</v>
      </c>
      <c r="BR128" t="s">
        <v>57</v>
      </c>
      <c r="BS128" t="s">
        <v>57</v>
      </c>
      <c r="BT128" t="s">
        <v>57</v>
      </c>
      <c r="BU128" t="s">
        <v>57</v>
      </c>
      <c r="BV128" t="s">
        <v>57</v>
      </c>
      <c r="BW128" t="s">
        <v>57</v>
      </c>
      <c r="BX128" t="s">
        <v>57</v>
      </c>
      <c r="BY128" t="s">
        <v>57</v>
      </c>
      <c r="BZ128" t="s">
        <v>57</v>
      </c>
      <c r="CA128" t="s">
        <v>57</v>
      </c>
      <c r="CB128" t="s">
        <v>57</v>
      </c>
      <c r="CC128" t="s">
        <v>57</v>
      </c>
      <c r="CD128" t="s">
        <v>57</v>
      </c>
      <c r="CE128" t="s">
        <v>57</v>
      </c>
      <c r="CF128" t="s">
        <v>57</v>
      </c>
      <c r="CG128" t="s">
        <v>148</v>
      </c>
      <c r="CH128" t="s">
        <v>57</v>
      </c>
      <c r="CI128" t="s">
        <v>57</v>
      </c>
      <c r="CJ128" t="s">
        <v>57</v>
      </c>
      <c r="CK128" t="s">
        <v>57</v>
      </c>
      <c r="CL128" t="s">
        <v>57</v>
      </c>
      <c r="CM128" t="s">
        <v>57</v>
      </c>
      <c r="CN128" t="s">
        <v>57</v>
      </c>
      <c r="CO128" t="s">
        <v>57</v>
      </c>
      <c r="CP128" t="s">
        <v>57</v>
      </c>
      <c r="CQ128" t="s">
        <v>57</v>
      </c>
      <c r="CR128" t="s">
        <v>57</v>
      </c>
      <c r="CS128" t="s">
        <v>57</v>
      </c>
      <c r="CT128" t="s">
        <v>57</v>
      </c>
      <c r="CU128" t="s">
        <v>57</v>
      </c>
      <c r="CV128" t="s">
        <v>57</v>
      </c>
      <c r="CW128" t="s">
        <v>57</v>
      </c>
      <c r="CX128" t="s">
        <v>57</v>
      </c>
      <c r="CY128" t="s">
        <v>57</v>
      </c>
      <c r="CZ128" t="s">
        <v>57</v>
      </c>
      <c r="DA128" t="s">
        <v>57</v>
      </c>
      <c r="DB128" t="s">
        <v>57</v>
      </c>
      <c r="DC128" t="s">
        <v>57</v>
      </c>
      <c r="DD128" t="s">
        <v>57</v>
      </c>
      <c r="DE128" t="s">
        <v>57</v>
      </c>
      <c r="DF128" t="s">
        <v>57</v>
      </c>
      <c r="DG128" t="s">
        <v>57</v>
      </c>
      <c r="DH128" t="s">
        <v>57</v>
      </c>
      <c r="DI128" t="s">
        <v>57</v>
      </c>
      <c r="DJ128" t="s">
        <v>57</v>
      </c>
      <c r="DK128" t="s">
        <v>57</v>
      </c>
      <c r="DL128" t="s">
        <v>57</v>
      </c>
      <c r="DM128" t="s">
        <v>57</v>
      </c>
      <c r="DN128" t="s">
        <v>57</v>
      </c>
      <c r="DO128" t="s">
        <v>57</v>
      </c>
      <c r="DP128" t="s">
        <v>57</v>
      </c>
      <c r="DQ128" t="s">
        <v>57</v>
      </c>
      <c r="DR128" t="s">
        <v>57</v>
      </c>
      <c r="DS128" t="s">
        <v>57</v>
      </c>
      <c r="DT128" t="s">
        <v>57</v>
      </c>
      <c r="DU128" t="s">
        <v>57</v>
      </c>
      <c r="DV128" t="s">
        <v>57</v>
      </c>
      <c r="DW128" t="s">
        <v>57</v>
      </c>
      <c r="DX128" t="s">
        <v>57</v>
      </c>
      <c r="DY128" t="s">
        <v>57</v>
      </c>
      <c r="DZ128" t="s">
        <v>57</v>
      </c>
      <c r="EA128" t="s">
        <v>57</v>
      </c>
      <c r="EB128" t="s">
        <v>57</v>
      </c>
      <c r="EC128" t="s">
        <v>57</v>
      </c>
      <c r="ED128" t="s">
        <v>57</v>
      </c>
      <c r="EE128" t="s">
        <v>57</v>
      </c>
      <c r="EF128" t="s">
        <v>57</v>
      </c>
      <c r="EG128" t="s">
        <v>57</v>
      </c>
      <c r="EH128" t="s">
        <v>57</v>
      </c>
      <c r="EI128" t="s">
        <v>57</v>
      </c>
      <c r="EJ128" t="s">
        <v>57</v>
      </c>
      <c r="EK128" t="s">
        <v>57</v>
      </c>
      <c r="EL128" t="s">
        <v>57</v>
      </c>
      <c r="EM128" t="s">
        <v>57</v>
      </c>
      <c r="EN128" t="s">
        <v>57</v>
      </c>
      <c r="EO128" t="s">
        <v>57</v>
      </c>
      <c r="EP128" t="s">
        <v>57</v>
      </c>
      <c r="EQ128" t="s">
        <v>57</v>
      </c>
      <c r="ER128" t="s">
        <v>57</v>
      </c>
      <c r="ES128" t="s">
        <v>57</v>
      </c>
      <c r="ET128" t="s">
        <v>57</v>
      </c>
      <c r="EU128" t="s">
        <v>57</v>
      </c>
      <c r="EV128" t="s">
        <v>57</v>
      </c>
      <c r="EW128" t="s">
        <v>57</v>
      </c>
      <c r="EX128" t="s">
        <v>57</v>
      </c>
      <c r="EY128" t="s">
        <v>57</v>
      </c>
      <c r="EZ128" t="s">
        <v>57</v>
      </c>
      <c r="FA128" t="s">
        <v>57</v>
      </c>
      <c r="FB128" t="s">
        <v>57</v>
      </c>
      <c r="FC128" t="s">
        <v>57</v>
      </c>
      <c r="FD128" t="s">
        <v>148</v>
      </c>
      <c r="FE128" t="s">
        <v>148</v>
      </c>
      <c r="FF128" t="s">
        <v>57</v>
      </c>
      <c r="FG128" t="s">
        <v>57</v>
      </c>
      <c r="FH128" t="s">
        <v>57</v>
      </c>
      <c r="FI128" t="s">
        <v>57</v>
      </c>
      <c r="FJ128" t="s">
        <v>57</v>
      </c>
      <c r="FK128" t="s">
        <v>57</v>
      </c>
      <c r="FL128" t="s">
        <v>57</v>
      </c>
      <c r="FM128" t="s">
        <v>57</v>
      </c>
      <c r="FN128" t="s">
        <v>57</v>
      </c>
      <c r="FO128" t="s">
        <v>57</v>
      </c>
      <c r="FP128" t="s">
        <v>57</v>
      </c>
      <c r="FQ128" t="s">
        <v>57</v>
      </c>
      <c r="FR128" t="s">
        <v>57</v>
      </c>
      <c r="FS128" t="s">
        <v>57</v>
      </c>
      <c r="FT128" t="s">
        <v>57</v>
      </c>
      <c r="FU128" t="s">
        <v>57</v>
      </c>
      <c r="FV128" t="s">
        <v>57</v>
      </c>
      <c r="FW128" t="s">
        <v>57</v>
      </c>
      <c r="FX128" t="s">
        <v>57</v>
      </c>
      <c r="FY128" t="s">
        <v>57</v>
      </c>
      <c r="FZ128" t="s">
        <v>57</v>
      </c>
      <c r="GA128" t="s">
        <v>57</v>
      </c>
      <c r="GB128" t="s">
        <v>57</v>
      </c>
      <c r="GC128" t="s">
        <v>57</v>
      </c>
      <c r="GD128" t="s">
        <v>57</v>
      </c>
      <c r="GE128" t="s">
        <v>57</v>
      </c>
      <c r="GF128" t="s">
        <v>57</v>
      </c>
      <c r="GG128" t="s">
        <v>148</v>
      </c>
      <c r="GH128" t="s">
        <v>57</v>
      </c>
      <c r="GI128" t="s">
        <v>57</v>
      </c>
      <c r="GJ128" t="s">
        <v>57</v>
      </c>
      <c r="GK128" t="s">
        <v>57</v>
      </c>
      <c r="GL128" t="s">
        <v>57</v>
      </c>
      <c r="GM128" t="s">
        <v>57</v>
      </c>
      <c r="GN128" t="s">
        <v>57</v>
      </c>
      <c r="GO128" t="s">
        <v>57</v>
      </c>
      <c r="GP128" t="s">
        <v>57</v>
      </c>
      <c r="GQ128" t="s">
        <v>57</v>
      </c>
      <c r="GR128" t="s">
        <v>57</v>
      </c>
      <c r="GS128" t="s">
        <v>57</v>
      </c>
      <c r="GT128" t="s">
        <v>57</v>
      </c>
      <c r="GU128" t="s">
        <v>57</v>
      </c>
      <c r="GV128" t="s">
        <v>57</v>
      </c>
      <c r="GW128" t="s">
        <v>57</v>
      </c>
      <c r="GX128" t="s">
        <v>57</v>
      </c>
      <c r="GY128" t="s">
        <v>57</v>
      </c>
      <c r="GZ128" t="s">
        <v>57</v>
      </c>
      <c r="HA128" t="s">
        <v>57</v>
      </c>
      <c r="HB128" t="s">
        <v>57</v>
      </c>
      <c r="HC128" t="s">
        <v>57</v>
      </c>
      <c r="HD128" t="s">
        <v>57</v>
      </c>
      <c r="HE128" t="s">
        <v>57</v>
      </c>
      <c r="HF128" t="s">
        <v>148</v>
      </c>
      <c r="HG128" t="s">
        <v>148</v>
      </c>
      <c r="HH128" t="s">
        <v>57</v>
      </c>
      <c r="HI128" t="s">
        <v>148</v>
      </c>
      <c r="HJ128" t="s">
        <v>148</v>
      </c>
      <c r="HK128" t="s">
        <v>148</v>
      </c>
      <c r="HL128" t="s">
        <v>57</v>
      </c>
      <c r="HM128" t="s">
        <v>57</v>
      </c>
      <c r="HN128" t="s">
        <v>57</v>
      </c>
      <c r="HO128" t="s">
        <v>57</v>
      </c>
      <c r="HP128" t="s">
        <v>57</v>
      </c>
      <c r="HQ128" t="s">
        <v>57</v>
      </c>
      <c r="HR128" t="s">
        <v>57</v>
      </c>
      <c r="HS128" t="s">
        <v>57</v>
      </c>
      <c r="HT128" t="s">
        <v>57</v>
      </c>
      <c r="HU128" t="s">
        <v>57</v>
      </c>
      <c r="HV128" t="s">
        <v>57</v>
      </c>
      <c r="HW128" t="s">
        <v>57</v>
      </c>
      <c r="HX128" t="s">
        <v>57</v>
      </c>
      <c r="HY128" t="s">
        <v>57</v>
      </c>
      <c r="HZ128" t="s">
        <v>57</v>
      </c>
      <c r="IA128" t="s">
        <v>57</v>
      </c>
      <c r="IB128" t="s">
        <v>57</v>
      </c>
      <c r="IC128" t="s">
        <v>57</v>
      </c>
      <c r="ID128" t="s">
        <v>57</v>
      </c>
      <c r="IE128" t="s">
        <v>57</v>
      </c>
      <c r="IF128" t="s">
        <v>124</v>
      </c>
      <c r="IG128" t="s">
        <v>155</v>
      </c>
      <c r="IH128" t="s">
        <v>123</v>
      </c>
      <c r="II128" t="s">
        <v>156</v>
      </c>
    </row>
    <row r="129" spans="1:243" x14ac:dyDescent="0.25">
      <c r="A129" s="111" t="str">
        <f>HYPERLINK("http://www.ofsted.gov.uk/inspection-reports/find-inspection-report/provider/ELS/133533 ","Ofsted School Webpage")</f>
        <v>Ofsted School Webpage</v>
      </c>
      <c r="B129">
        <v>133533</v>
      </c>
      <c r="C129">
        <v>3026114</v>
      </c>
      <c r="D129" t="s">
        <v>343</v>
      </c>
      <c r="E129" t="s">
        <v>36</v>
      </c>
      <c r="F129" t="s">
        <v>166</v>
      </c>
      <c r="G129" t="s">
        <v>189</v>
      </c>
      <c r="H129" t="s">
        <v>189</v>
      </c>
      <c r="I129" t="s">
        <v>268</v>
      </c>
      <c r="J129" t="s">
        <v>344</v>
      </c>
      <c r="K129" t="s">
        <v>142</v>
      </c>
      <c r="L129" t="s">
        <v>275</v>
      </c>
      <c r="M129" t="s">
        <v>2596</v>
      </c>
      <c r="N129" t="s">
        <v>143</v>
      </c>
      <c r="O129">
        <v>10038166</v>
      </c>
      <c r="P129" s="108">
        <v>43025</v>
      </c>
      <c r="Q129" s="108">
        <v>43027</v>
      </c>
      <c r="R129" s="108">
        <v>43066</v>
      </c>
      <c r="S129" t="s">
        <v>153</v>
      </c>
      <c r="T129" t="s">
        <v>154</v>
      </c>
      <c r="U129">
        <v>2</v>
      </c>
      <c r="V129">
        <v>2</v>
      </c>
      <c r="W129">
        <v>2</v>
      </c>
      <c r="X129">
        <v>2</v>
      </c>
      <c r="Y129">
        <v>2</v>
      </c>
      <c r="Z129">
        <v>3</v>
      </c>
      <c r="AA129" t="s">
        <v>2596</v>
      </c>
      <c r="AB129" t="s">
        <v>123</v>
      </c>
      <c r="AC129" t="s">
        <v>2596</v>
      </c>
      <c r="AD129" t="s">
        <v>2598</v>
      </c>
      <c r="AE129" t="s">
        <v>57</v>
      </c>
      <c r="AF129" t="s">
        <v>57</v>
      </c>
      <c r="AG129" t="s">
        <v>57</v>
      </c>
      <c r="AH129" t="s">
        <v>57</v>
      </c>
      <c r="AI129" t="s">
        <v>57</v>
      </c>
      <c r="AJ129" t="s">
        <v>57</v>
      </c>
      <c r="AK129" t="s">
        <v>57</v>
      </c>
      <c r="AL129" t="s">
        <v>57</v>
      </c>
      <c r="AM129" t="s">
        <v>57</v>
      </c>
      <c r="AN129" t="s">
        <v>57</v>
      </c>
      <c r="AO129" t="s">
        <v>57</v>
      </c>
      <c r="AP129" t="s">
        <v>57</v>
      </c>
      <c r="AQ129" t="s">
        <v>57</v>
      </c>
      <c r="AR129" t="s">
        <v>57</v>
      </c>
      <c r="AS129" t="s">
        <v>57</v>
      </c>
      <c r="AT129" t="s">
        <v>57</v>
      </c>
      <c r="AU129" t="s">
        <v>175</v>
      </c>
      <c r="AV129" t="s">
        <v>57</v>
      </c>
      <c r="AW129" t="s">
        <v>57</v>
      </c>
      <c r="AX129" t="s">
        <v>57</v>
      </c>
      <c r="AY129" t="s">
        <v>175</v>
      </c>
      <c r="AZ129" t="s">
        <v>175</v>
      </c>
      <c r="BA129" t="s">
        <v>175</v>
      </c>
      <c r="BB129" t="s">
        <v>175</v>
      </c>
      <c r="BC129" t="s">
        <v>57</v>
      </c>
      <c r="BD129" t="s">
        <v>175</v>
      </c>
      <c r="BE129" t="s">
        <v>57</v>
      </c>
      <c r="BF129" t="s">
        <v>57</v>
      </c>
      <c r="BG129" t="s">
        <v>57</v>
      </c>
      <c r="BH129" t="s">
        <v>57</v>
      </c>
      <c r="BI129" t="s">
        <v>57</v>
      </c>
      <c r="BJ129" t="s">
        <v>57</v>
      </c>
      <c r="BK129" t="s">
        <v>57</v>
      </c>
      <c r="BL129" t="s">
        <v>57</v>
      </c>
      <c r="BM129" t="s">
        <v>57</v>
      </c>
      <c r="BN129" t="s">
        <v>57</v>
      </c>
      <c r="BO129" t="s">
        <v>57</v>
      </c>
      <c r="BP129" t="s">
        <v>57</v>
      </c>
      <c r="BQ129" t="s">
        <v>57</v>
      </c>
      <c r="BR129" t="s">
        <v>57</v>
      </c>
      <c r="BS129" t="s">
        <v>57</v>
      </c>
      <c r="BT129" t="s">
        <v>57</v>
      </c>
      <c r="BU129" t="s">
        <v>57</v>
      </c>
      <c r="BV129" t="s">
        <v>57</v>
      </c>
      <c r="BW129" t="s">
        <v>57</v>
      </c>
      <c r="BX129" t="s">
        <v>57</v>
      </c>
      <c r="BY129" t="s">
        <v>57</v>
      </c>
      <c r="BZ129" t="s">
        <v>57</v>
      </c>
      <c r="CA129" t="s">
        <v>57</v>
      </c>
      <c r="CB129" t="s">
        <v>57</v>
      </c>
      <c r="CC129" t="s">
        <v>57</v>
      </c>
      <c r="CD129" t="s">
        <v>57</v>
      </c>
      <c r="CE129" t="s">
        <v>57</v>
      </c>
      <c r="CF129" t="s">
        <v>57</v>
      </c>
      <c r="CG129" t="s">
        <v>57</v>
      </c>
      <c r="CH129" t="s">
        <v>57</v>
      </c>
      <c r="CI129" t="s">
        <v>57</v>
      </c>
      <c r="CJ129" t="s">
        <v>57</v>
      </c>
      <c r="CK129" t="s">
        <v>175</v>
      </c>
      <c r="CL129" t="s">
        <v>175</v>
      </c>
      <c r="CM129" t="s">
        <v>175</v>
      </c>
      <c r="CN129" t="s">
        <v>57</v>
      </c>
      <c r="CO129" t="s">
        <v>57</v>
      </c>
      <c r="CP129" t="s">
        <v>57</v>
      </c>
      <c r="CQ129" t="s">
        <v>57</v>
      </c>
      <c r="CR129" t="s">
        <v>57</v>
      </c>
      <c r="CS129" t="s">
        <v>57</v>
      </c>
      <c r="CT129" t="s">
        <v>57</v>
      </c>
      <c r="CU129" t="s">
        <v>57</v>
      </c>
      <c r="CV129" t="s">
        <v>57</v>
      </c>
      <c r="CW129" t="s">
        <v>57</v>
      </c>
      <c r="CX129" t="s">
        <v>57</v>
      </c>
      <c r="CY129" t="s">
        <v>57</v>
      </c>
      <c r="CZ129" t="s">
        <v>57</v>
      </c>
      <c r="DA129" t="s">
        <v>57</v>
      </c>
      <c r="DB129" t="s">
        <v>57</v>
      </c>
      <c r="DC129" t="s">
        <v>57</v>
      </c>
      <c r="DD129" t="s">
        <v>57</v>
      </c>
      <c r="DE129" t="s">
        <v>57</v>
      </c>
      <c r="DF129" t="s">
        <v>57</v>
      </c>
      <c r="DG129" t="s">
        <v>57</v>
      </c>
      <c r="DH129" t="s">
        <v>57</v>
      </c>
      <c r="DI129" t="s">
        <v>57</v>
      </c>
      <c r="DJ129" t="s">
        <v>175</v>
      </c>
      <c r="DK129" t="s">
        <v>175</v>
      </c>
      <c r="DL129" t="s">
        <v>57</v>
      </c>
      <c r="DM129" t="s">
        <v>175</v>
      </c>
      <c r="DN129" t="s">
        <v>175</v>
      </c>
      <c r="DO129" t="s">
        <v>175</v>
      </c>
      <c r="DP129" t="s">
        <v>175</v>
      </c>
      <c r="DQ129" t="s">
        <v>175</v>
      </c>
      <c r="DR129" t="s">
        <v>175</v>
      </c>
      <c r="DS129" t="s">
        <v>175</v>
      </c>
      <c r="DT129" t="s">
        <v>175</v>
      </c>
      <c r="DU129" t="s">
        <v>175</v>
      </c>
      <c r="DV129" t="s">
        <v>175</v>
      </c>
      <c r="DW129" t="s">
        <v>175</v>
      </c>
      <c r="DX129" t="s">
        <v>175</v>
      </c>
      <c r="DY129" t="s">
        <v>175</v>
      </c>
      <c r="DZ129" t="s">
        <v>57</v>
      </c>
      <c r="EA129" t="s">
        <v>57</v>
      </c>
      <c r="EB129" t="s">
        <v>57</v>
      </c>
      <c r="EC129" t="s">
        <v>57</v>
      </c>
      <c r="ED129" t="s">
        <v>57</v>
      </c>
      <c r="EE129" t="s">
        <v>57</v>
      </c>
      <c r="EF129" t="s">
        <v>57</v>
      </c>
      <c r="EG129" t="s">
        <v>57</v>
      </c>
      <c r="EH129" t="s">
        <v>57</v>
      </c>
      <c r="EI129" t="s">
        <v>57</v>
      </c>
      <c r="EJ129" t="s">
        <v>57</v>
      </c>
      <c r="EK129" t="s">
        <v>57</v>
      </c>
      <c r="EL129" t="s">
        <v>57</v>
      </c>
      <c r="EM129" t="s">
        <v>57</v>
      </c>
      <c r="EN129" t="s">
        <v>57</v>
      </c>
      <c r="EO129" t="s">
        <v>57</v>
      </c>
      <c r="EP129" t="s">
        <v>57</v>
      </c>
      <c r="EQ129" t="s">
        <v>57</v>
      </c>
      <c r="ER129" t="s">
        <v>57</v>
      </c>
      <c r="ES129" t="s">
        <v>57</v>
      </c>
      <c r="ET129" t="s">
        <v>57</v>
      </c>
      <c r="EU129" t="s">
        <v>57</v>
      </c>
      <c r="EV129" t="s">
        <v>57</v>
      </c>
      <c r="EW129" t="s">
        <v>57</v>
      </c>
      <c r="EX129" t="s">
        <v>175</v>
      </c>
      <c r="EY129" t="s">
        <v>175</v>
      </c>
      <c r="EZ129" t="s">
        <v>175</v>
      </c>
      <c r="FA129" t="s">
        <v>175</v>
      </c>
      <c r="FB129" t="s">
        <v>175</v>
      </c>
      <c r="FC129" t="s">
        <v>175</v>
      </c>
      <c r="FD129" t="s">
        <v>175</v>
      </c>
      <c r="FE129" t="s">
        <v>175</v>
      </c>
      <c r="FF129" t="s">
        <v>148</v>
      </c>
      <c r="FG129" t="s">
        <v>175</v>
      </c>
      <c r="FH129" t="s">
        <v>57</v>
      </c>
      <c r="FI129" t="s">
        <v>57</v>
      </c>
      <c r="FJ129" t="s">
        <v>57</v>
      </c>
      <c r="FK129" t="s">
        <v>175</v>
      </c>
      <c r="FL129" t="s">
        <v>57</v>
      </c>
      <c r="FM129" t="s">
        <v>57</v>
      </c>
      <c r="FN129" t="s">
        <v>57</v>
      </c>
      <c r="FO129" t="s">
        <v>175</v>
      </c>
      <c r="FP129" t="s">
        <v>57</v>
      </c>
      <c r="FQ129" t="s">
        <v>57</v>
      </c>
      <c r="FR129" t="s">
        <v>57</v>
      </c>
      <c r="FS129" t="s">
        <v>57</v>
      </c>
      <c r="FT129" t="s">
        <v>57</v>
      </c>
      <c r="FU129" t="s">
        <v>57</v>
      </c>
      <c r="FV129" t="s">
        <v>57</v>
      </c>
      <c r="FW129" t="s">
        <v>57</v>
      </c>
      <c r="FX129" t="s">
        <v>57</v>
      </c>
      <c r="FY129" t="s">
        <v>57</v>
      </c>
      <c r="FZ129" t="s">
        <v>57</v>
      </c>
      <c r="GA129" t="s">
        <v>57</v>
      </c>
      <c r="GB129" t="s">
        <v>57</v>
      </c>
      <c r="GC129" t="s">
        <v>57</v>
      </c>
      <c r="GD129" t="s">
        <v>57</v>
      </c>
      <c r="GE129" t="s">
        <v>57</v>
      </c>
      <c r="GF129" t="s">
        <v>57</v>
      </c>
      <c r="GG129" t="s">
        <v>175</v>
      </c>
      <c r="GH129" t="s">
        <v>57</v>
      </c>
      <c r="GI129" t="s">
        <v>57</v>
      </c>
      <c r="GJ129" t="s">
        <v>57</v>
      </c>
      <c r="GK129" t="s">
        <v>57</v>
      </c>
      <c r="GL129" t="s">
        <v>57</v>
      </c>
      <c r="GM129" t="s">
        <v>175</v>
      </c>
      <c r="GN129" t="s">
        <v>57</v>
      </c>
      <c r="GO129" t="s">
        <v>57</v>
      </c>
      <c r="GP129" t="s">
        <v>175</v>
      </c>
      <c r="GQ129" t="s">
        <v>57</v>
      </c>
      <c r="GR129" t="s">
        <v>57</v>
      </c>
      <c r="GS129" t="s">
        <v>57</v>
      </c>
      <c r="GT129" t="s">
        <v>57</v>
      </c>
      <c r="GU129" t="s">
        <v>57</v>
      </c>
      <c r="GV129" t="s">
        <v>57</v>
      </c>
      <c r="GW129" t="s">
        <v>175</v>
      </c>
      <c r="GX129" t="s">
        <v>57</v>
      </c>
      <c r="GY129" t="s">
        <v>57</v>
      </c>
      <c r="GZ129" t="s">
        <v>57</v>
      </c>
      <c r="HA129" t="s">
        <v>57</v>
      </c>
      <c r="HB129" t="s">
        <v>57</v>
      </c>
      <c r="HC129" t="s">
        <v>57</v>
      </c>
      <c r="HD129" t="s">
        <v>57</v>
      </c>
      <c r="HE129" t="s">
        <v>57</v>
      </c>
      <c r="HF129" t="s">
        <v>57</v>
      </c>
      <c r="HG129" t="s">
        <v>57</v>
      </c>
      <c r="HH129" t="s">
        <v>175</v>
      </c>
      <c r="HI129" t="s">
        <v>175</v>
      </c>
      <c r="HJ129" t="s">
        <v>175</v>
      </c>
      <c r="HK129" t="s">
        <v>175</v>
      </c>
      <c r="HL129" t="s">
        <v>57</v>
      </c>
      <c r="HM129" t="s">
        <v>57</v>
      </c>
      <c r="HN129" t="s">
        <v>57</v>
      </c>
      <c r="HO129" t="s">
        <v>57</v>
      </c>
      <c r="HP129" t="s">
        <v>57</v>
      </c>
      <c r="HQ129" t="s">
        <v>57</v>
      </c>
      <c r="HR129" t="s">
        <v>57</v>
      </c>
      <c r="HS129" t="s">
        <v>57</v>
      </c>
      <c r="HT129" t="s">
        <v>57</v>
      </c>
      <c r="HU129" t="s">
        <v>57</v>
      </c>
      <c r="HV129" t="s">
        <v>57</v>
      </c>
      <c r="HW129" t="s">
        <v>57</v>
      </c>
      <c r="HX129" t="s">
        <v>57</v>
      </c>
      <c r="HY129" t="s">
        <v>57</v>
      </c>
      <c r="HZ129" t="s">
        <v>57</v>
      </c>
      <c r="IA129" t="s">
        <v>57</v>
      </c>
      <c r="IB129" t="s">
        <v>57</v>
      </c>
      <c r="IC129" t="s">
        <v>57</v>
      </c>
      <c r="ID129" t="s">
        <v>57</v>
      </c>
      <c r="IE129" t="s">
        <v>57</v>
      </c>
      <c r="IF129" t="s">
        <v>124</v>
      </c>
      <c r="IG129" t="s">
        <v>148</v>
      </c>
      <c r="IH129" t="s">
        <v>123</v>
      </c>
      <c r="II129" t="s">
        <v>156</v>
      </c>
    </row>
    <row r="130" spans="1:243" x14ac:dyDescent="0.25">
      <c r="A130" s="111" t="str">
        <f>HYPERLINK("http://www.ofsted.gov.uk/inspection-reports/find-inspection-report/provider/ELS/133539 ","Ofsted School Webpage")</f>
        <v>Ofsted School Webpage</v>
      </c>
      <c r="B130">
        <v>133539</v>
      </c>
      <c r="C130">
        <v>8866093</v>
      </c>
      <c r="D130" t="s">
        <v>525</v>
      </c>
      <c r="E130" t="s">
        <v>37</v>
      </c>
      <c r="F130" t="s">
        <v>138</v>
      </c>
      <c r="G130" t="s">
        <v>139</v>
      </c>
      <c r="H130" t="s">
        <v>139</v>
      </c>
      <c r="I130" t="s">
        <v>140</v>
      </c>
      <c r="J130" t="s">
        <v>526</v>
      </c>
      <c r="K130" t="s">
        <v>142</v>
      </c>
      <c r="L130" t="s">
        <v>142</v>
      </c>
      <c r="M130" t="s">
        <v>2596</v>
      </c>
      <c r="N130" t="s">
        <v>143</v>
      </c>
      <c r="O130">
        <v>10033950</v>
      </c>
      <c r="P130" s="108">
        <v>43130</v>
      </c>
      <c r="Q130" s="108">
        <v>43132</v>
      </c>
      <c r="R130" s="108">
        <v>43164</v>
      </c>
      <c r="S130" t="s">
        <v>153</v>
      </c>
      <c r="T130" t="s">
        <v>154</v>
      </c>
      <c r="U130">
        <v>2</v>
      </c>
      <c r="V130">
        <v>2</v>
      </c>
      <c r="W130">
        <v>2</v>
      </c>
      <c r="X130">
        <v>2</v>
      </c>
      <c r="Y130">
        <v>2</v>
      </c>
      <c r="Z130" t="s">
        <v>2596</v>
      </c>
      <c r="AA130" t="s">
        <v>2596</v>
      </c>
      <c r="AB130" t="s">
        <v>123</v>
      </c>
      <c r="AC130" t="s">
        <v>2596</v>
      </c>
      <c r="AD130" t="s">
        <v>2598</v>
      </c>
      <c r="AE130" t="s">
        <v>57</v>
      </c>
      <c r="AF130" t="s">
        <v>57</v>
      </c>
      <c r="AG130" t="s">
        <v>57</v>
      </c>
      <c r="AH130" t="s">
        <v>57</v>
      </c>
      <c r="AI130" t="s">
        <v>57</v>
      </c>
      <c r="AJ130" t="s">
        <v>57</v>
      </c>
      <c r="AK130" t="s">
        <v>57</v>
      </c>
      <c r="AL130" t="s">
        <v>57</v>
      </c>
      <c r="AM130" t="s">
        <v>57</v>
      </c>
      <c r="AN130" t="s">
        <v>57</v>
      </c>
      <c r="AO130" t="s">
        <v>57</v>
      </c>
      <c r="AP130" t="s">
        <v>57</v>
      </c>
      <c r="AQ130" t="s">
        <v>57</v>
      </c>
      <c r="AR130" t="s">
        <v>57</v>
      </c>
      <c r="AS130" t="s">
        <v>57</v>
      </c>
      <c r="AT130" t="s">
        <v>57</v>
      </c>
      <c r="AU130" t="s">
        <v>175</v>
      </c>
      <c r="AV130" t="s">
        <v>57</v>
      </c>
      <c r="AW130" t="s">
        <v>57</v>
      </c>
      <c r="AX130" t="s">
        <v>57</v>
      </c>
      <c r="AY130" t="s">
        <v>57</v>
      </c>
      <c r="AZ130" t="s">
        <v>57</v>
      </c>
      <c r="BA130" t="s">
        <v>57</v>
      </c>
      <c r="BB130" t="s">
        <v>57</v>
      </c>
      <c r="BC130" t="s">
        <v>57</v>
      </c>
      <c r="BD130" t="s">
        <v>57</v>
      </c>
      <c r="BE130" t="s">
        <v>57</v>
      </c>
      <c r="BF130" t="s">
        <v>57</v>
      </c>
      <c r="BG130" t="s">
        <v>57</v>
      </c>
      <c r="BH130" t="s">
        <v>57</v>
      </c>
      <c r="BI130" t="s">
        <v>57</v>
      </c>
      <c r="BJ130" t="s">
        <v>57</v>
      </c>
      <c r="BK130" t="s">
        <v>57</v>
      </c>
      <c r="BL130" t="s">
        <v>57</v>
      </c>
      <c r="BM130" t="s">
        <v>57</v>
      </c>
      <c r="BN130" t="s">
        <v>57</v>
      </c>
      <c r="BO130" t="s">
        <v>57</v>
      </c>
      <c r="BP130" t="s">
        <v>57</v>
      </c>
      <c r="BQ130" t="s">
        <v>57</v>
      </c>
      <c r="BR130" t="s">
        <v>57</v>
      </c>
      <c r="BS130" t="s">
        <v>57</v>
      </c>
      <c r="BT130" t="s">
        <v>57</v>
      </c>
      <c r="BU130" t="s">
        <v>57</v>
      </c>
      <c r="BV130" t="s">
        <v>57</v>
      </c>
      <c r="BW130" t="s">
        <v>57</v>
      </c>
      <c r="BX130" t="s">
        <v>57</v>
      </c>
      <c r="BY130" t="s">
        <v>57</v>
      </c>
      <c r="BZ130" t="s">
        <v>57</v>
      </c>
      <c r="CA130" t="s">
        <v>57</v>
      </c>
      <c r="CB130" t="s">
        <v>57</v>
      </c>
      <c r="CC130" t="s">
        <v>57</v>
      </c>
      <c r="CD130" t="s">
        <v>57</v>
      </c>
      <c r="CE130" t="s">
        <v>57</v>
      </c>
      <c r="CF130" t="s">
        <v>57</v>
      </c>
      <c r="CG130" t="s">
        <v>57</v>
      </c>
      <c r="CH130" t="s">
        <v>57</v>
      </c>
      <c r="CI130" t="s">
        <v>57</v>
      </c>
      <c r="CJ130" t="s">
        <v>57</v>
      </c>
      <c r="CK130" t="s">
        <v>175</v>
      </c>
      <c r="CL130" t="s">
        <v>175</v>
      </c>
      <c r="CM130" t="s">
        <v>175</v>
      </c>
      <c r="CN130" t="s">
        <v>57</v>
      </c>
      <c r="CO130" t="s">
        <v>57</v>
      </c>
      <c r="CP130" t="s">
        <v>57</v>
      </c>
      <c r="CQ130" t="s">
        <v>57</v>
      </c>
      <c r="CR130" t="s">
        <v>57</v>
      </c>
      <c r="CS130" t="s">
        <v>57</v>
      </c>
      <c r="CT130" t="s">
        <v>57</v>
      </c>
      <c r="CU130" t="s">
        <v>57</v>
      </c>
      <c r="CV130" t="s">
        <v>57</v>
      </c>
      <c r="CW130" t="s">
        <v>57</v>
      </c>
      <c r="CX130" t="s">
        <v>57</v>
      </c>
      <c r="CY130" t="s">
        <v>57</v>
      </c>
      <c r="CZ130" t="s">
        <v>57</v>
      </c>
      <c r="DA130" t="s">
        <v>57</v>
      </c>
      <c r="DB130" t="s">
        <v>57</v>
      </c>
      <c r="DC130" t="s">
        <v>57</v>
      </c>
      <c r="DD130" t="s">
        <v>57</v>
      </c>
      <c r="DE130" t="s">
        <v>57</v>
      </c>
      <c r="DF130" t="s">
        <v>57</v>
      </c>
      <c r="DG130" t="s">
        <v>57</v>
      </c>
      <c r="DH130" t="s">
        <v>57</v>
      </c>
      <c r="DI130" t="s">
        <v>57</v>
      </c>
      <c r="DJ130" t="s">
        <v>57</v>
      </c>
      <c r="DK130" t="s">
        <v>175</v>
      </c>
      <c r="DL130" t="s">
        <v>57</v>
      </c>
      <c r="DM130" t="s">
        <v>57</v>
      </c>
      <c r="DN130" t="s">
        <v>57</v>
      </c>
      <c r="DO130" t="s">
        <v>57</v>
      </c>
      <c r="DP130" t="s">
        <v>57</v>
      </c>
      <c r="DQ130" t="s">
        <v>57</v>
      </c>
      <c r="DR130" t="s">
        <v>57</v>
      </c>
      <c r="DS130" t="s">
        <v>57</v>
      </c>
      <c r="DT130" t="s">
        <v>57</v>
      </c>
      <c r="DU130" t="s">
        <v>57</v>
      </c>
      <c r="DV130" t="s">
        <v>57</v>
      </c>
      <c r="DW130" t="s">
        <v>57</v>
      </c>
      <c r="DX130" t="s">
        <v>57</v>
      </c>
      <c r="DY130" t="s">
        <v>175</v>
      </c>
      <c r="DZ130" t="s">
        <v>57</v>
      </c>
      <c r="EA130" t="s">
        <v>57</v>
      </c>
      <c r="EB130" t="s">
        <v>57</v>
      </c>
      <c r="EC130" t="s">
        <v>57</v>
      </c>
      <c r="ED130" t="s">
        <v>57</v>
      </c>
      <c r="EE130" t="s">
        <v>57</v>
      </c>
      <c r="EF130" t="s">
        <v>57</v>
      </c>
      <c r="EG130" t="s">
        <v>57</v>
      </c>
      <c r="EH130" t="s">
        <v>57</v>
      </c>
      <c r="EI130" t="s">
        <v>57</v>
      </c>
      <c r="EJ130" t="s">
        <v>57</v>
      </c>
      <c r="EK130" t="s">
        <v>57</v>
      </c>
      <c r="EL130" t="s">
        <v>57</v>
      </c>
      <c r="EM130" t="s">
        <v>57</v>
      </c>
      <c r="EN130" t="s">
        <v>57</v>
      </c>
      <c r="EO130" t="s">
        <v>57</v>
      </c>
      <c r="EP130" t="s">
        <v>57</v>
      </c>
      <c r="EQ130" t="s">
        <v>57</v>
      </c>
      <c r="ER130" t="s">
        <v>57</v>
      </c>
      <c r="ES130" t="s">
        <v>57</v>
      </c>
      <c r="ET130" t="s">
        <v>57</v>
      </c>
      <c r="EU130" t="s">
        <v>57</v>
      </c>
      <c r="EV130" t="s">
        <v>57</v>
      </c>
      <c r="EW130" t="s">
        <v>57</v>
      </c>
      <c r="EX130" t="s">
        <v>57</v>
      </c>
      <c r="EY130" t="s">
        <v>57</v>
      </c>
      <c r="EZ130" t="s">
        <v>57</v>
      </c>
      <c r="FA130" t="s">
        <v>57</v>
      </c>
      <c r="FB130" t="s">
        <v>57</v>
      </c>
      <c r="FC130" t="s">
        <v>57</v>
      </c>
      <c r="FD130" t="s">
        <v>57</v>
      </c>
      <c r="FE130" t="s">
        <v>57</v>
      </c>
      <c r="FF130" t="s">
        <v>57</v>
      </c>
      <c r="FG130" t="s">
        <v>57</v>
      </c>
      <c r="FH130" t="s">
        <v>57</v>
      </c>
      <c r="FI130" t="s">
        <v>57</v>
      </c>
      <c r="FJ130" t="s">
        <v>57</v>
      </c>
      <c r="FK130" t="s">
        <v>57</v>
      </c>
      <c r="FL130" t="s">
        <v>57</v>
      </c>
      <c r="FM130" t="s">
        <v>57</v>
      </c>
      <c r="FN130" t="s">
        <v>57</v>
      </c>
      <c r="FO130" t="s">
        <v>175</v>
      </c>
      <c r="FP130" t="s">
        <v>57</v>
      </c>
      <c r="FQ130" t="s">
        <v>57</v>
      </c>
      <c r="FR130" t="s">
        <v>57</v>
      </c>
      <c r="FS130" t="s">
        <v>57</v>
      </c>
      <c r="FT130" t="s">
        <v>57</v>
      </c>
      <c r="FU130" t="s">
        <v>57</v>
      </c>
      <c r="FV130" t="s">
        <v>57</v>
      </c>
      <c r="FW130" t="s">
        <v>57</v>
      </c>
      <c r="FX130" t="s">
        <v>57</v>
      </c>
      <c r="FY130" t="s">
        <v>57</v>
      </c>
      <c r="FZ130" t="s">
        <v>57</v>
      </c>
      <c r="GA130" t="s">
        <v>57</v>
      </c>
      <c r="GB130" t="s">
        <v>57</v>
      </c>
      <c r="GC130" t="s">
        <v>57</v>
      </c>
      <c r="GD130" t="s">
        <v>57</v>
      </c>
      <c r="GE130" t="s">
        <v>57</v>
      </c>
      <c r="GF130" t="s">
        <v>57</v>
      </c>
      <c r="GG130" t="s">
        <v>175</v>
      </c>
      <c r="GH130" t="s">
        <v>57</v>
      </c>
      <c r="GI130" t="s">
        <v>57</v>
      </c>
      <c r="GJ130" t="s">
        <v>57</v>
      </c>
      <c r="GK130" t="s">
        <v>57</v>
      </c>
      <c r="GL130" t="s">
        <v>57</v>
      </c>
      <c r="GM130" t="s">
        <v>57</v>
      </c>
      <c r="GN130" t="s">
        <v>57</v>
      </c>
      <c r="GO130" t="s">
        <v>57</v>
      </c>
      <c r="GP130" t="s">
        <v>57</v>
      </c>
      <c r="GQ130" t="s">
        <v>57</v>
      </c>
      <c r="GR130" t="s">
        <v>57</v>
      </c>
      <c r="GS130" t="s">
        <v>57</v>
      </c>
      <c r="GT130" t="s">
        <v>57</v>
      </c>
      <c r="GU130" t="s">
        <v>57</v>
      </c>
      <c r="GV130" t="s">
        <v>175</v>
      </c>
      <c r="GW130" t="s">
        <v>57</v>
      </c>
      <c r="GX130" t="s">
        <v>57</v>
      </c>
      <c r="GY130" t="s">
        <v>57</v>
      </c>
      <c r="GZ130" t="s">
        <v>57</v>
      </c>
      <c r="HA130" t="s">
        <v>57</v>
      </c>
      <c r="HB130" t="s">
        <v>57</v>
      </c>
      <c r="HC130" t="s">
        <v>57</v>
      </c>
      <c r="HD130" t="s">
        <v>57</v>
      </c>
      <c r="HE130" t="s">
        <v>57</v>
      </c>
      <c r="HF130" t="s">
        <v>57</v>
      </c>
      <c r="HG130" t="s">
        <v>57</v>
      </c>
      <c r="HH130" t="s">
        <v>57</v>
      </c>
      <c r="HI130" t="s">
        <v>57</v>
      </c>
      <c r="HJ130" t="s">
        <v>57</v>
      </c>
      <c r="HK130" t="s">
        <v>57</v>
      </c>
      <c r="HL130" t="s">
        <v>57</v>
      </c>
      <c r="HM130" t="s">
        <v>57</v>
      </c>
      <c r="HN130" t="s">
        <v>57</v>
      </c>
      <c r="HO130" t="s">
        <v>57</v>
      </c>
      <c r="HP130" t="s">
        <v>57</v>
      </c>
      <c r="HQ130" t="s">
        <v>57</v>
      </c>
      <c r="HR130" t="s">
        <v>57</v>
      </c>
      <c r="HS130" t="s">
        <v>57</v>
      </c>
      <c r="HT130" t="s">
        <v>57</v>
      </c>
      <c r="HU130" t="s">
        <v>57</v>
      </c>
      <c r="HV130" t="s">
        <v>57</v>
      </c>
      <c r="HW130" t="s">
        <v>57</v>
      </c>
      <c r="HX130" t="s">
        <v>57</v>
      </c>
      <c r="HY130" t="s">
        <v>57</v>
      </c>
      <c r="HZ130" t="s">
        <v>57</v>
      </c>
      <c r="IA130" t="s">
        <v>57</v>
      </c>
      <c r="IB130" t="s">
        <v>57</v>
      </c>
      <c r="IC130" t="s">
        <v>57</v>
      </c>
      <c r="ID130" t="s">
        <v>57</v>
      </c>
      <c r="IE130" t="s">
        <v>57</v>
      </c>
      <c r="IF130" t="s">
        <v>124</v>
      </c>
      <c r="IG130" t="s">
        <v>148</v>
      </c>
      <c r="IH130" t="s">
        <v>123</v>
      </c>
      <c r="II130" t="s">
        <v>156</v>
      </c>
    </row>
    <row r="131" spans="1:243" x14ac:dyDescent="0.25">
      <c r="A131" s="111" t="str">
        <f>HYPERLINK("http://www.ofsted.gov.uk/inspection-reports/find-inspection-report/provider/ELS/133651 ","Ofsted School Webpage")</f>
        <v>Ofsted School Webpage</v>
      </c>
      <c r="B131">
        <v>133651</v>
      </c>
      <c r="C131">
        <v>8736032</v>
      </c>
      <c r="D131" t="s">
        <v>240</v>
      </c>
      <c r="E131" t="s">
        <v>37</v>
      </c>
      <c r="F131" t="s">
        <v>138</v>
      </c>
      <c r="G131" t="s">
        <v>177</v>
      </c>
      <c r="H131" t="s">
        <v>177</v>
      </c>
      <c r="I131" t="s">
        <v>241</v>
      </c>
      <c r="J131" t="s">
        <v>242</v>
      </c>
      <c r="K131" t="s">
        <v>142</v>
      </c>
      <c r="L131" t="s">
        <v>142</v>
      </c>
      <c r="M131" t="s">
        <v>2596</v>
      </c>
      <c r="N131" t="s">
        <v>143</v>
      </c>
      <c r="O131">
        <v>10038904</v>
      </c>
      <c r="P131" s="108">
        <v>42997</v>
      </c>
      <c r="Q131" s="108">
        <v>42998</v>
      </c>
      <c r="R131" s="108">
        <v>43027</v>
      </c>
      <c r="S131" t="s">
        <v>3005</v>
      </c>
      <c r="T131" t="s">
        <v>154</v>
      </c>
      <c r="U131">
        <v>2</v>
      </c>
      <c r="V131">
        <v>2</v>
      </c>
      <c r="W131">
        <v>2</v>
      </c>
      <c r="X131">
        <v>2</v>
      </c>
      <c r="Y131">
        <v>2</v>
      </c>
      <c r="Z131" t="s">
        <v>2596</v>
      </c>
      <c r="AA131" t="s">
        <v>2596</v>
      </c>
      <c r="AB131" t="s">
        <v>123</v>
      </c>
      <c r="AC131" t="s">
        <v>2596</v>
      </c>
      <c r="AD131" t="s">
        <v>2598</v>
      </c>
      <c r="AE131" t="s">
        <v>57</v>
      </c>
      <c r="AF131" t="s">
        <v>57</v>
      </c>
      <c r="AG131" t="s">
        <v>57</v>
      </c>
      <c r="AH131" t="s">
        <v>57</v>
      </c>
      <c r="AI131" t="s">
        <v>57</v>
      </c>
      <c r="AJ131" t="s">
        <v>57</v>
      </c>
      <c r="AK131" t="s">
        <v>57</v>
      </c>
      <c r="AL131" t="s">
        <v>57</v>
      </c>
      <c r="AM131" t="s">
        <v>57</v>
      </c>
      <c r="AN131" t="s">
        <v>57</v>
      </c>
      <c r="AO131" t="s">
        <v>57</v>
      </c>
      <c r="AP131" t="s">
        <v>57</v>
      </c>
      <c r="AQ131" t="s">
        <v>57</v>
      </c>
      <c r="AR131" t="s">
        <v>57</v>
      </c>
      <c r="AS131" t="s">
        <v>57</v>
      </c>
      <c r="AT131" t="s">
        <v>57</v>
      </c>
      <c r="AU131" t="s">
        <v>175</v>
      </c>
      <c r="AV131" t="s">
        <v>57</v>
      </c>
      <c r="AW131" t="s">
        <v>57</v>
      </c>
      <c r="AX131" t="s">
        <v>57</v>
      </c>
      <c r="AY131" t="s">
        <v>57</v>
      </c>
      <c r="AZ131" t="s">
        <v>57</v>
      </c>
      <c r="BA131" t="s">
        <v>57</v>
      </c>
      <c r="BB131" t="s">
        <v>57</v>
      </c>
      <c r="BC131" t="s">
        <v>175</v>
      </c>
      <c r="BD131" t="s">
        <v>175</v>
      </c>
      <c r="BE131" t="s">
        <v>57</v>
      </c>
      <c r="BF131" t="s">
        <v>57</v>
      </c>
      <c r="BG131" t="s">
        <v>57</v>
      </c>
      <c r="BH131" t="s">
        <v>57</v>
      </c>
      <c r="BI131" t="s">
        <v>57</v>
      </c>
      <c r="BJ131" t="s">
        <v>57</v>
      </c>
      <c r="BK131" t="s">
        <v>57</v>
      </c>
      <c r="BL131" t="s">
        <v>57</v>
      </c>
      <c r="BM131" t="s">
        <v>57</v>
      </c>
      <c r="BN131" t="s">
        <v>57</v>
      </c>
      <c r="BO131" t="s">
        <v>57</v>
      </c>
      <c r="BP131" t="s">
        <v>57</v>
      </c>
      <c r="BQ131" t="s">
        <v>57</v>
      </c>
      <c r="BR131" t="s">
        <v>57</v>
      </c>
      <c r="BS131" t="s">
        <v>57</v>
      </c>
      <c r="BT131" t="s">
        <v>57</v>
      </c>
      <c r="BU131" t="s">
        <v>57</v>
      </c>
      <c r="BV131" t="s">
        <v>57</v>
      </c>
      <c r="BW131" t="s">
        <v>57</v>
      </c>
      <c r="BX131" t="s">
        <v>57</v>
      </c>
      <c r="BY131" t="s">
        <v>57</v>
      </c>
      <c r="BZ131" t="s">
        <v>57</v>
      </c>
      <c r="CA131" t="s">
        <v>57</v>
      </c>
      <c r="CB131" t="s">
        <v>57</v>
      </c>
      <c r="CC131" t="s">
        <v>57</v>
      </c>
      <c r="CD131" t="s">
        <v>57</v>
      </c>
      <c r="CE131" t="s">
        <v>57</v>
      </c>
      <c r="CF131" t="s">
        <v>57</v>
      </c>
      <c r="CG131" t="s">
        <v>57</v>
      </c>
      <c r="CH131" t="s">
        <v>57</v>
      </c>
      <c r="CI131" t="s">
        <v>57</v>
      </c>
      <c r="CJ131" t="s">
        <v>57</v>
      </c>
      <c r="CK131" t="s">
        <v>175</v>
      </c>
      <c r="CL131" t="s">
        <v>175</v>
      </c>
      <c r="CM131" t="s">
        <v>175</v>
      </c>
      <c r="CN131" t="s">
        <v>57</v>
      </c>
      <c r="CO131" t="s">
        <v>57</v>
      </c>
      <c r="CP131" t="s">
        <v>57</v>
      </c>
      <c r="CQ131" t="s">
        <v>57</v>
      </c>
      <c r="CR131" t="s">
        <v>57</v>
      </c>
      <c r="CS131" t="s">
        <v>57</v>
      </c>
      <c r="CT131" t="s">
        <v>57</v>
      </c>
      <c r="CU131" t="s">
        <v>57</v>
      </c>
      <c r="CV131" t="s">
        <v>57</v>
      </c>
      <c r="CW131" t="s">
        <v>57</v>
      </c>
      <c r="CX131" t="s">
        <v>57</v>
      </c>
      <c r="CY131" t="s">
        <v>57</v>
      </c>
      <c r="CZ131" t="s">
        <v>57</v>
      </c>
      <c r="DA131" t="s">
        <v>57</v>
      </c>
      <c r="DB131" t="s">
        <v>57</v>
      </c>
      <c r="DC131" t="s">
        <v>57</v>
      </c>
      <c r="DD131" t="s">
        <v>57</v>
      </c>
      <c r="DE131" t="s">
        <v>57</v>
      </c>
      <c r="DF131" t="s">
        <v>57</v>
      </c>
      <c r="DG131" t="s">
        <v>57</v>
      </c>
      <c r="DH131" t="s">
        <v>57</v>
      </c>
      <c r="DI131" t="s">
        <v>57</v>
      </c>
      <c r="DJ131" t="s">
        <v>57</v>
      </c>
      <c r="DK131" t="s">
        <v>175</v>
      </c>
      <c r="DL131" t="s">
        <v>57</v>
      </c>
      <c r="DM131" t="s">
        <v>175</v>
      </c>
      <c r="DN131" t="s">
        <v>175</v>
      </c>
      <c r="DO131" t="s">
        <v>175</v>
      </c>
      <c r="DP131" t="s">
        <v>175</v>
      </c>
      <c r="DQ131" t="s">
        <v>175</v>
      </c>
      <c r="DR131" t="s">
        <v>175</v>
      </c>
      <c r="DS131" t="s">
        <v>175</v>
      </c>
      <c r="DT131" t="s">
        <v>175</v>
      </c>
      <c r="DU131" t="s">
        <v>175</v>
      </c>
      <c r="DV131" t="s">
        <v>175</v>
      </c>
      <c r="DW131" t="s">
        <v>175</v>
      </c>
      <c r="DX131" t="s">
        <v>175</v>
      </c>
      <c r="DY131" t="s">
        <v>175</v>
      </c>
      <c r="DZ131" t="s">
        <v>175</v>
      </c>
      <c r="EA131" t="s">
        <v>57</v>
      </c>
      <c r="EB131" t="s">
        <v>57</v>
      </c>
      <c r="EC131" t="s">
        <v>57</v>
      </c>
      <c r="ED131" t="s">
        <v>57</v>
      </c>
      <c r="EE131" t="s">
        <v>57</v>
      </c>
      <c r="EF131" t="s">
        <v>57</v>
      </c>
      <c r="EG131" t="s">
        <v>57</v>
      </c>
      <c r="EH131" t="s">
        <v>57</v>
      </c>
      <c r="EI131" t="s">
        <v>57</v>
      </c>
      <c r="EJ131" t="s">
        <v>57</v>
      </c>
      <c r="EK131" t="s">
        <v>57</v>
      </c>
      <c r="EL131" t="s">
        <v>57</v>
      </c>
      <c r="EM131" t="s">
        <v>57</v>
      </c>
      <c r="EN131" t="s">
        <v>57</v>
      </c>
      <c r="EO131" t="s">
        <v>57</v>
      </c>
      <c r="EP131" t="s">
        <v>57</v>
      </c>
      <c r="EQ131" t="s">
        <v>57</v>
      </c>
      <c r="ER131" t="s">
        <v>57</v>
      </c>
      <c r="ES131" t="s">
        <v>57</v>
      </c>
      <c r="ET131" t="s">
        <v>57</v>
      </c>
      <c r="EU131" t="s">
        <v>57</v>
      </c>
      <c r="EV131" t="s">
        <v>57</v>
      </c>
      <c r="EW131" t="s">
        <v>57</v>
      </c>
      <c r="EX131" t="s">
        <v>175</v>
      </c>
      <c r="EY131" t="s">
        <v>175</v>
      </c>
      <c r="EZ131" t="s">
        <v>175</v>
      </c>
      <c r="FA131" t="s">
        <v>175</v>
      </c>
      <c r="FB131" t="s">
        <v>175</v>
      </c>
      <c r="FC131" t="s">
        <v>175</v>
      </c>
      <c r="FD131" t="s">
        <v>57</v>
      </c>
      <c r="FE131" t="s">
        <v>57</v>
      </c>
      <c r="FF131" t="s">
        <v>57</v>
      </c>
      <c r="FG131" t="s">
        <v>57</v>
      </c>
      <c r="FH131" t="s">
        <v>57</v>
      </c>
      <c r="FI131" t="s">
        <v>57</v>
      </c>
      <c r="FJ131" t="s">
        <v>175</v>
      </c>
      <c r="FK131" t="s">
        <v>57</v>
      </c>
      <c r="FL131" t="s">
        <v>57</v>
      </c>
      <c r="FM131" t="s">
        <v>57</v>
      </c>
      <c r="FN131" t="s">
        <v>57</v>
      </c>
      <c r="FO131" t="s">
        <v>175</v>
      </c>
      <c r="FP131" t="s">
        <v>57</v>
      </c>
      <c r="FQ131" t="s">
        <v>57</v>
      </c>
      <c r="FR131" t="s">
        <v>57</v>
      </c>
      <c r="FS131" t="s">
        <v>57</v>
      </c>
      <c r="FT131" t="s">
        <v>57</v>
      </c>
      <c r="FU131" t="s">
        <v>57</v>
      </c>
      <c r="FV131" t="s">
        <v>57</v>
      </c>
      <c r="FW131" t="s">
        <v>57</v>
      </c>
      <c r="FX131" t="s">
        <v>57</v>
      </c>
      <c r="FY131" t="s">
        <v>57</v>
      </c>
      <c r="FZ131" t="s">
        <v>57</v>
      </c>
      <c r="GA131" t="s">
        <v>57</v>
      </c>
      <c r="GB131" t="s">
        <v>57</v>
      </c>
      <c r="GC131" t="s">
        <v>57</v>
      </c>
      <c r="GD131" t="s">
        <v>57</v>
      </c>
      <c r="GE131" t="s">
        <v>57</v>
      </c>
      <c r="GF131" t="s">
        <v>57</v>
      </c>
      <c r="GG131" t="s">
        <v>175</v>
      </c>
      <c r="GH131" t="s">
        <v>57</v>
      </c>
      <c r="GI131" t="s">
        <v>57</v>
      </c>
      <c r="GJ131" t="s">
        <v>57</v>
      </c>
      <c r="GK131" t="s">
        <v>57</v>
      </c>
      <c r="GL131" t="s">
        <v>57</v>
      </c>
      <c r="GM131" t="s">
        <v>175</v>
      </c>
      <c r="GN131" t="s">
        <v>57</v>
      </c>
      <c r="GO131" t="s">
        <v>57</v>
      </c>
      <c r="GP131" t="s">
        <v>57</v>
      </c>
      <c r="GQ131" t="s">
        <v>57</v>
      </c>
      <c r="GR131" t="s">
        <v>57</v>
      </c>
      <c r="GS131" t="s">
        <v>57</v>
      </c>
      <c r="GT131" t="s">
        <v>57</v>
      </c>
      <c r="GU131" t="s">
        <v>57</v>
      </c>
      <c r="GV131" t="s">
        <v>57</v>
      </c>
      <c r="GW131" t="s">
        <v>175</v>
      </c>
      <c r="GX131" t="s">
        <v>175</v>
      </c>
      <c r="GY131" t="s">
        <v>57</v>
      </c>
      <c r="GZ131" t="s">
        <v>57</v>
      </c>
      <c r="HA131" t="s">
        <v>57</v>
      </c>
      <c r="HB131" t="s">
        <v>57</v>
      </c>
      <c r="HC131" t="s">
        <v>57</v>
      </c>
      <c r="HD131" t="s">
        <v>57</v>
      </c>
      <c r="HE131" t="s">
        <v>57</v>
      </c>
      <c r="HF131" t="s">
        <v>57</v>
      </c>
      <c r="HG131" t="s">
        <v>57</v>
      </c>
      <c r="HH131" t="s">
        <v>175</v>
      </c>
      <c r="HI131" t="s">
        <v>175</v>
      </c>
      <c r="HJ131" t="s">
        <v>175</v>
      </c>
      <c r="HK131" t="s">
        <v>175</v>
      </c>
      <c r="HL131" t="s">
        <v>57</v>
      </c>
      <c r="HM131" t="s">
        <v>57</v>
      </c>
      <c r="HN131" t="s">
        <v>57</v>
      </c>
      <c r="HO131" t="s">
        <v>57</v>
      </c>
      <c r="HP131" t="s">
        <v>57</v>
      </c>
      <c r="HQ131" t="s">
        <v>57</v>
      </c>
      <c r="HR131" t="s">
        <v>57</v>
      </c>
      <c r="HS131" t="s">
        <v>57</v>
      </c>
      <c r="HT131" t="s">
        <v>57</v>
      </c>
      <c r="HU131" t="s">
        <v>57</v>
      </c>
      <c r="HV131" t="s">
        <v>57</v>
      </c>
      <c r="HW131" t="s">
        <v>57</v>
      </c>
      <c r="HX131" t="s">
        <v>57</v>
      </c>
      <c r="HY131" t="s">
        <v>57</v>
      </c>
      <c r="HZ131" t="s">
        <v>57</v>
      </c>
      <c r="IA131" t="s">
        <v>57</v>
      </c>
      <c r="IB131" t="s">
        <v>57</v>
      </c>
      <c r="IC131" t="s">
        <v>57</v>
      </c>
      <c r="ID131" t="s">
        <v>57</v>
      </c>
      <c r="IE131" t="s">
        <v>57</v>
      </c>
      <c r="IF131" t="s">
        <v>124</v>
      </c>
      <c r="IG131" t="s">
        <v>148</v>
      </c>
      <c r="IH131" t="s">
        <v>123</v>
      </c>
      <c r="II131" t="s">
        <v>156</v>
      </c>
    </row>
    <row r="132" spans="1:243" x14ac:dyDescent="0.25">
      <c r="A132" s="111" t="str">
        <f>HYPERLINK("http://www.ofsted.gov.uk/inspection-reports/find-inspection-report/provider/ELS/134085 ","Ofsted School Webpage")</f>
        <v>Ofsted School Webpage</v>
      </c>
      <c r="B132">
        <v>134085</v>
      </c>
      <c r="C132">
        <v>8716003</v>
      </c>
      <c r="D132" t="s">
        <v>185</v>
      </c>
      <c r="E132" t="s">
        <v>36</v>
      </c>
      <c r="F132" t="s">
        <v>166</v>
      </c>
      <c r="G132" t="s">
        <v>139</v>
      </c>
      <c r="H132" t="s">
        <v>139</v>
      </c>
      <c r="I132" t="s">
        <v>186</v>
      </c>
      <c r="J132" t="s">
        <v>187</v>
      </c>
      <c r="K132" t="s">
        <v>142</v>
      </c>
      <c r="L132" t="s">
        <v>180</v>
      </c>
      <c r="M132" t="s">
        <v>2596</v>
      </c>
      <c r="N132" t="s">
        <v>143</v>
      </c>
      <c r="O132">
        <v>10039160</v>
      </c>
      <c r="P132" s="108">
        <v>43018</v>
      </c>
      <c r="Q132" s="108">
        <v>43020</v>
      </c>
      <c r="R132" s="108">
        <v>43045</v>
      </c>
      <c r="S132" t="s">
        <v>153</v>
      </c>
      <c r="T132" t="s">
        <v>154</v>
      </c>
      <c r="U132">
        <v>2</v>
      </c>
      <c r="V132">
        <v>1</v>
      </c>
      <c r="W132">
        <v>1</v>
      </c>
      <c r="X132">
        <v>2</v>
      </c>
      <c r="Y132">
        <v>2</v>
      </c>
      <c r="Z132">
        <v>1</v>
      </c>
      <c r="AA132" t="s">
        <v>2596</v>
      </c>
      <c r="AB132" t="s">
        <v>123</v>
      </c>
      <c r="AC132" t="s">
        <v>2596</v>
      </c>
      <c r="AD132" t="s">
        <v>2598</v>
      </c>
      <c r="AE132" t="s">
        <v>57</v>
      </c>
      <c r="AF132" t="s">
        <v>57</v>
      </c>
      <c r="AG132" t="s">
        <v>57</v>
      </c>
      <c r="AH132" t="s">
        <v>57</v>
      </c>
      <c r="AI132" t="s">
        <v>57</v>
      </c>
      <c r="AJ132" t="s">
        <v>57</v>
      </c>
      <c r="AK132" t="s">
        <v>57</v>
      </c>
      <c r="AL132" t="s">
        <v>57</v>
      </c>
      <c r="AM132" t="s">
        <v>57</v>
      </c>
      <c r="AN132" t="s">
        <v>57</v>
      </c>
      <c r="AO132" t="s">
        <v>57</v>
      </c>
      <c r="AP132" t="s">
        <v>57</v>
      </c>
      <c r="AQ132" t="s">
        <v>57</v>
      </c>
      <c r="AR132" t="s">
        <v>57</v>
      </c>
      <c r="AS132" t="s">
        <v>57</v>
      </c>
      <c r="AT132" t="s">
        <v>57</v>
      </c>
      <c r="AU132" t="s">
        <v>175</v>
      </c>
      <c r="AV132" t="s">
        <v>57</v>
      </c>
      <c r="AW132" t="s">
        <v>57</v>
      </c>
      <c r="AX132" t="s">
        <v>57</v>
      </c>
      <c r="AY132" t="s">
        <v>175</v>
      </c>
      <c r="AZ132" t="s">
        <v>175</v>
      </c>
      <c r="BA132" t="s">
        <v>175</v>
      </c>
      <c r="BB132" t="s">
        <v>175</v>
      </c>
      <c r="BC132" t="s">
        <v>57</v>
      </c>
      <c r="BD132" t="s">
        <v>175</v>
      </c>
      <c r="BE132" t="s">
        <v>57</v>
      </c>
      <c r="BF132" t="s">
        <v>57</v>
      </c>
      <c r="BG132" t="s">
        <v>57</v>
      </c>
      <c r="BH132" t="s">
        <v>57</v>
      </c>
      <c r="BI132" t="s">
        <v>57</v>
      </c>
      <c r="BJ132" t="s">
        <v>57</v>
      </c>
      <c r="BK132" t="s">
        <v>57</v>
      </c>
      <c r="BL132" t="s">
        <v>57</v>
      </c>
      <c r="BM132" t="s">
        <v>57</v>
      </c>
      <c r="BN132" t="s">
        <v>57</v>
      </c>
      <c r="BO132" t="s">
        <v>57</v>
      </c>
      <c r="BP132" t="s">
        <v>57</v>
      </c>
      <c r="BQ132" t="s">
        <v>57</v>
      </c>
      <c r="BR132" t="s">
        <v>57</v>
      </c>
      <c r="BS132" t="s">
        <v>57</v>
      </c>
      <c r="BT132" t="s">
        <v>57</v>
      </c>
      <c r="BU132" t="s">
        <v>57</v>
      </c>
      <c r="BV132" t="s">
        <v>57</v>
      </c>
      <c r="BW132" t="s">
        <v>57</v>
      </c>
      <c r="BX132" t="s">
        <v>57</v>
      </c>
      <c r="BY132" t="s">
        <v>57</v>
      </c>
      <c r="BZ132" t="s">
        <v>57</v>
      </c>
      <c r="CA132" t="s">
        <v>57</v>
      </c>
      <c r="CB132" t="s">
        <v>57</v>
      </c>
      <c r="CC132" t="s">
        <v>57</v>
      </c>
      <c r="CD132" t="s">
        <v>57</v>
      </c>
      <c r="CE132" t="s">
        <v>57</v>
      </c>
      <c r="CF132" t="s">
        <v>57</v>
      </c>
      <c r="CG132" t="s">
        <v>57</v>
      </c>
      <c r="CH132" t="s">
        <v>57</v>
      </c>
      <c r="CI132" t="s">
        <v>57</v>
      </c>
      <c r="CJ132" t="s">
        <v>57</v>
      </c>
      <c r="CK132" t="s">
        <v>175</v>
      </c>
      <c r="CL132" t="s">
        <v>175</v>
      </c>
      <c r="CM132" t="s">
        <v>175</v>
      </c>
      <c r="CN132" t="s">
        <v>57</v>
      </c>
      <c r="CO132" t="s">
        <v>57</v>
      </c>
      <c r="CP132" t="s">
        <v>57</v>
      </c>
      <c r="CQ132" t="s">
        <v>57</v>
      </c>
      <c r="CR132" t="s">
        <v>57</v>
      </c>
      <c r="CS132" t="s">
        <v>57</v>
      </c>
      <c r="CT132" t="s">
        <v>57</v>
      </c>
      <c r="CU132" t="s">
        <v>57</v>
      </c>
      <c r="CV132" t="s">
        <v>57</v>
      </c>
      <c r="CW132" t="s">
        <v>57</v>
      </c>
      <c r="CX132" t="s">
        <v>57</v>
      </c>
      <c r="CY132" t="s">
        <v>57</v>
      </c>
      <c r="CZ132" t="s">
        <v>57</v>
      </c>
      <c r="DA132" t="s">
        <v>57</v>
      </c>
      <c r="DB132" t="s">
        <v>57</v>
      </c>
      <c r="DC132" t="s">
        <v>57</v>
      </c>
      <c r="DD132" t="s">
        <v>57</v>
      </c>
      <c r="DE132" t="s">
        <v>57</v>
      </c>
      <c r="DF132" t="s">
        <v>57</v>
      </c>
      <c r="DG132" t="s">
        <v>57</v>
      </c>
      <c r="DH132" t="s">
        <v>57</v>
      </c>
      <c r="DI132" t="s">
        <v>57</v>
      </c>
      <c r="DJ132" t="s">
        <v>57</v>
      </c>
      <c r="DK132" t="s">
        <v>57</v>
      </c>
      <c r="DL132" t="s">
        <v>57</v>
      </c>
      <c r="DM132" t="s">
        <v>57</v>
      </c>
      <c r="DN132" t="s">
        <v>57</v>
      </c>
      <c r="DO132" t="s">
        <v>57</v>
      </c>
      <c r="DP132" t="s">
        <v>57</v>
      </c>
      <c r="DQ132" t="s">
        <v>57</v>
      </c>
      <c r="DR132" t="s">
        <v>57</v>
      </c>
      <c r="DS132" t="s">
        <v>57</v>
      </c>
      <c r="DT132" t="s">
        <v>57</v>
      </c>
      <c r="DU132" t="s">
        <v>57</v>
      </c>
      <c r="DV132" t="s">
        <v>57</v>
      </c>
      <c r="DW132" t="s">
        <v>57</v>
      </c>
      <c r="DX132" t="s">
        <v>57</v>
      </c>
      <c r="DY132" t="s">
        <v>57</v>
      </c>
      <c r="DZ132" t="s">
        <v>57</v>
      </c>
      <c r="EA132" t="s">
        <v>57</v>
      </c>
      <c r="EB132" t="s">
        <v>57</v>
      </c>
      <c r="EC132" t="s">
        <v>57</v>
      </c>
      <c r="ED132" t="s">
        <v>57</v>
      </c>
      <c r="EE132" t="s">
        <v>57</v>
      </c>
      <c r="EF132" t="s">
        <v>57</v>
      </c>
      <c r="EG132" t="s">
        <v>57</v>
      </c>
      <c r="EH132" t="s">
        <v>57</v>
      </c>
      <c r="EI132" t="s">
        <v>57</v>
      </c>
      <c r="EJ132" t="s">
        <v>57</v>
      </c>
      <c r="EK132" t="s">
        <v>57</v>
      </c>
      <c r="EL132" t="s">
        <v>57</v>
      </c>
      <c r="EM132" t="s">
        <v>57</v>
      </c>
      <c r="EN132" t="s">
        <v>57</v>
      </c>
      <c r="EO132" t="s">
        <v>57</v>
      </c>
      <c r="EP132" t="s">
        <v>57</v>
      </c>
      <c r="EQ132" t="s">
        <v>57</v>
      </c>
      <c r="ER132" t="s">
        <v>57</v>
      </c>
      <c r="ES132" t="s">
        <v>57</v>
      </c>
      <c r="ET132" t="s">
        <v>57</v>
      </c>
      <c r="EU132" t="s">
        <v>57</v>
      </c>
      <c r="EV132" t="s">
        <v>57</v>
      </c>
      <c r="EW132" t="s">
        <v>57</v>
      </c>
      <c r="EX132" t="s">
        <v>57</v>
      </c>
      <c r="EY132" t="s">
        <v>57</v>
      </c>
      <c r="EZ132" t="s">
        <v>57</v>
      </c>
      <c r="FA132" t="s">
        <v>57</v>
      </c>
      <c r="FB132" t="s">
        <v>57</v>
      </c>
      <c r="FC132" t="s">
        <v>57</v>
      </c>
      <c r="FD132" t="s">
        <v>57</v>
      </c>
      <c r="FE132" t="s">
        <v>57</v>
      </c>
      <c r="FF132" t="s">
        <v>57</v>
      </c>
      <c r="FG132" t="s">
        <v>57</v>
      </c>
      <c r="FH132" t="s">
        <v>57</v>
      </c>
      <c r="FI132" t="s">
        <v>57</v>
      </c>
      <c r="FJ132" t="s">
        <v>57</v>
      </c>
      <c r="FK132" t="s">
        <v>175</v>
      </c>
      <c r="FL132" t="s">
        <v>57</v>
      </c>
      <c r="FM132" t="s">
        <v>57</v>
      </c>
      <c r="FN132" t="s">
        <v>57</v>
      </c>
      <c r="FO132" t="s">
        <v>175</v>
      </c>
      <c r="FP132" t="s">
        <v>57</v>
      </c>
      <c r="FQ132" t="s">
        <v>57</v>
      </c>
      <c r="FR132" t="s">
        <v>57</v>
      </c>
      <c r="FS132" t="s">
        <v>57</v>
      </c>
      <c r="FT132" t="s">
        <v>57</v>
      </c>
      <c r="FU132" t="s">
        <v>57</v>
      </c>
      <c r="FV132" t="s">
        <v>57</v>
      </c>
      <c r="FW132" t="s">
        <v>57</v>
      </c>
      <c r="FX132" t="s">
        <v>57</v>
      </c>
      <c r="FY132" t="s">
        <v>57</v>
      </c>
      <c r="FZ132" t="s">
        <v>57</v>
      </c>
      <c r="GA132" t="s">
        <v>57</v>
      </c>
      <c r="GB132" t="s">
        <v>57</v>
      </c>
      <c r="GC132" t="s">
        <v>57</v>
      </c>
      <c r="GD132" t="s">
        <v>57</v>
      </c>
      <c r="GE132" t="s">
        <v>57</v>
      </c>
      <c r="GF132" t="s">
        <v>57</v>
      </c>
      <c r="GG132" t="s">
        <v>175</v>
      </c>
      <c r="GH132" t="s">
        <v>57</v>
      </c>
      <c r="GI132" t="s">
        <v>57</v>
      </c>
      <c r="GJ132" t="s">
        <v>57</v>
      </c>
      <c r="GK132" t="s">
        <v>57</v>
      </c>
      <c r="GL132" t="s">
        <v>57</v>
      </c>
      <c r="GM132" t="s">
        <v>57</v>
      </c>
      <c r="GN132" t="s">
        <v>57</v>
      </c>
      <c r="GO132" t="s">
        <v>57</v>
      </c>
      <c r="GP132" t="s">
        <v>175</v>
      </c>
      <c r="GQ132" t="s">
        <v>175</v>
      </c>
      <c r="GR132" t="s">
        <v>57</v>
      </c>
      <c r="GS132" t="s">
        <v>57</v>
      </c>
      <c r="GT132" t="s">
        <v>57</v>
      </c>
      <c r="GU132" t="s">
        <v>57</v>
      </c>
      <c r="GV132" t="s">
        <v>57</v>
      </c>
      <c r="GW132" t="s">
        <v>57</v>
      </c>
      <c r="GX132" t="s">
        <v>57</v>
      </c>
      <c r="GY132" t="s">
        <v>57</v>
      </c>
      <c r="GZ132" t="s">
        <v>57</v>
      </c>
      <c r="HA132" t="s">
        <v>57</v>
      </c>
      <c r="HB132" t="s">
        <v>57</v>
      </c>
      <c r="HC132" t="s">
        <v>57</v>
      </c>
      <c r="HD132" t="s">
        <v>57</v>
      </c>
      <c r="HE132" t="s">
        <v>57</v>
      </c>
      <c r="HF132" t="s">
        <v>57</v>
      </c>
      <c r="HG132" t="s">
        <v>57</v>
      </c>
      <c r="HH132" t="s">
        <v>57</v>
      </c>
      <c r="HI132" t="s">
        <v>57</v>
      </c>
      <c r="HJ132" t="s">
        <v>57</v>
      </c>
      <c r="HK132" t="s">
        <v>57</v>
      </c>
      <c r="HL132" t="s">
        <v>57</v>
      </c>
      <c r="HM132" t="s">
        <v>57</v>
      </c>
      <c r="HN132" t="s">
        <v>57</v>
      </c>
      <c r="HO132" t="s">
        <v>57</v>
      </c>
      <c r="HP132" t="s">
        <v>57</v>
      </c>
      <c r="HQ132" t="s">
        <v>57</v>
      </c>
      <c r="HR132" t="s">
        <v>57</v>
      </c>
      <c r="HS132" t="s">
        <v>57</v>
      </c>
      <c r="HT132" t="s">
        <v>57</v>
      </c>
      <c r="HU132" t="s">
        <v>57</v>
      </c>
      <c r="HV132" t="s">
        <v>57</v>
      </c>
      <c r="HW132" t="s">
        <v>57</v>
      </c>
      <c r="HX132" t="s">
        <v>57</v>
      </c>
      <c r="HY132" t="s">
        <v>57</v>
      </c>
      <c r="HZ132" t="s">
        <v>57</v>
      </c>
      <c r="IA132" t="s">
        <v>57</v>
      </c>
      <c r="IB132" t="s">
        <v>57</v>
      </c>
      <c r="IC132" t="s">
        <v>57</v>
      </c>
      <c r="ID132" t="s">
        <v>57</v>
      </c>
      <c r="IE132" t="s">
        <v>57</v>
      </c>
      <c r="IF132" t="s">
        <v>124</v>
      </c>
      <c r="IG132" t="s">
        <v>148</v>
      </c>
      <c r="IH132" t="s">
        <v>123</v>
      </c>
      <c r="II132" t="s">
        <v>156</v>
      </c>
    </row>
    <row r="133" spans="1:243" x14ac:dyDescent="0.25">
      <c r="A133" s="201" t="str">
        <f>HYPERLINK("http://www.ofsted.gov.uk/inspection-reports/find-inspection-report/provider/ELS/134137 ","Ofsted School Webpage")</f>
        <v>Ofsted School Webpage</v>
      </c>
      <c r="B133">
        <v>134137</v>
      </c>
      <c r="C133">
        <v>8236005</v>
      </c>
      <c r="D133" t="s">
        <v>1863</v>
      </c>
      <c r="E133" t="s">
        <v>36</v>
      </c>
      <c r="F133" t="s">
        <v>166</v>
      </c>
      <c r="G133" t="s">
        <v>177</v>
      </c>
      <c r="H133" t="s">
        <v>177</v>
      </c>
      <c r="I133" t="s">
        <v>371</v>
      </c>
      <c r="J133" t="s">
        <v>1864</v>
      </c>
      <c r="K133" t="s">
        <v>142</v>
      </c>
      <c r="L133" t="s">
        <v>142</v>
      </c>
      <c r="M133" t="s">
        <v>2596</v>
      </c>
      <c r="N133" t="s">
        <v>143</v>
      </c>
      <c r="O133">
        <v>10026065</v>
      </c>
      <c r="P133" s="108">
        <v>43067</v>
      </c>
      <c r="Q133" s="108">
        <v>43069</v>
      </c>
      <c r="R133" s="108">
        <v>43110</v>
      </c>
      <c r="S133" t="s">
        <v>153</v>
      </c>
      <c r="T133" t="s">
        <v>154</v>
      </c>
      <c r="U133">
        <v>2</v>
      </c>
      <c r="V133">
        <v>2</v>
      </c>
      <c r="W133">
        <v>2</v>
      </c>
      <c r="X133">
        <v>2</v>
      </c>
      <c r="Y133">
        <v>2</v>
      </c>
      <c r="Z133" t="s">
        <v>2596</v>
      </c>
      <c r="AA133" t="s">
        <v>2596</v>
      </c>
      <c r="AB133" t="s">
        <v>123</v>
      </c>
      <c r="AC133" t="s">
        <v>2596</v>
      </c>
      <c r="AD133" t="s">
        <v>2598</v>
      </c>
      <c r="AE133" t="s">
        <v>57</v>
      </c>
      <c r="AF133" t="s">
        <v>57</v>
      </c>
      <c r="AG133" t="s">
        <v>57</v>
      </c>
      <c r="AH133" t="s">
        <v>57</v>
      </c>
      <c r="AI133" t="s">
        <v>57</v>
      </c>
      <c r="AJ133" t="s">
        <v>57</v>
      </c>
      <c r="AK133" t="s">
        <v>57</v>
      </c>
      <c r="AL133" t="s">
        <v>57</v>
      </c>
      <c r="AM133" t="s">
        <v>57</v>
      </c>
      <c r="AN133" t="s">
        <v>57</v>
      </c>
      <c r="AO133" t="s">
        <v>57</v>
      </c>
      <c r="AP133" t="s">
        <v>57</v>
      </c>
      <c r="AQ133" t="s">
        <v>57</v>
      </c>
      <c r="AR133" t="s">
        <v>57</v>
      </c>
      <c r="AS133" t="s">
        <v>57</v>
      </c>
      <c r="AT133" t="s">
        <v>57</v>
      </c>
      <c r="AU133" t="s">
        <v>175</v>
      </c>
      <c r="AV133" t="s">
        <v>57</v>
      </c>
      <c r="AW133" t="s">
        <v>57</v>
      </c>
      <c r="AX133" t="s">
        <v>57</v>
      </c>
      <c r="AY133" t="s">
        <v>57</v>
      </c>
      <c r="AZ133" t="s">
        <v>57</v>
      </c>
      <c r="BA133" t="s">
        <v>57</v>
      </c>
      <c r="BB133" t="s">
        <v>57</v>
      </c>
      <c r="BC133" t="s">
        <v>175</v>
      </c>
      <c r="BD133" t="s">
        <v>57</v>
      </c>
      <c r="BE133" t="s">
        <v>57</v>
      </c>
      <c r="BF133" t="s">
        <v>57</v>
      </c>
      <c r="BG133" t="s">
        <v>57</v>
      </c>
      <c r="BH133" t="s">
        <v>57</v>
      </c>
      <c r="BI133" t="s">
        <v>57</v>
      </c>
      <c r="BJ133" t="s">
        <v>57</v>
      </c>
      <c r="BK133" t="s">
        <v>57</v>
      </c>
      <c r="BL133" t="s">
        <v>57</v>
      </c>
      <c r="BM133" t="s">
        <v>57</v>
      </c>
      <c r="BN133" t="s">
        <v>57</v>
      </c>
      <c r="BO133" t="s">
        <v>57</v>
      </c>
      <c r="BP133" t="s">
        <v>57</v>
      </c>
      <c r="BQ133" t="s">
        <v>57</v>
      </c>
      <c r="BR133" t="s">
        <v>57</v>
      </c>
      <c r="BS133" t="s">
        <v>57</v>
      </c>
      <c r="BT133" t="s">
        <v>57</v>
      </c>
      <c r="BU133" t="s">
        <v>57</v>
      </c>
      <c r="BV133" t="s">
        <v>57</v>
      </c>
      <c r="BW133" t="s">
        <v>57</v>
      </c>
      <c r="BX133" t="s">
        <v>57</v>
      </c>
      <c r="BY133" t="s">
        <v>57</v>
      </c>
      <c r="BZ133" t="s">
        <v>57</v>
      </c>
      <c r="CA133" t="s">
        <v>57</v>
      </c>
      <c r="CB133" t="s">
        <v>57</v>
      </c>
      <c r="CC133" t="s">
        <v>57</v>
      </c>
      <c r="CD133" t="s">
        <v>57</v>
      </c>
      <c r="CE133" t="s">
        <v>57</v>
      </c>
      <c r="CF133" t="s">
        <v>57</v>
      </c>
      <c r="CG133" t="s">
        <v>57</v>
      </c>
      <c r="CH133" t="s">
        <v>57</v>
      </c>
      <c r="CI133" t="s">
        <v>57</v>
      </c>
      <c r="CJ133" t="s">
        <v>57</v>
      </c>
      <c r="CK133" t="s">
        <v>57</v>
      </c>
      <c r="CL133" t="s">
        <v>175</v>
      </c>
      <c r="CM133" t="s">
        <v>175</v>
      </c>
      <c r="CN133" t="s">
        <v>57</v>
      </c>
      <c r="CO133" t="s">
        <v>57</v>
      </c>
      <c r="CP133" t="s">
        <v>57</v>
      </c>
      <c r="CQ133" t="s">
        <v>57</v>
      </c>
      <c r="CR133" t="s">
        <v>57</v>
      </c>
      <c r="CS133" t="s">
        <v>57</v>
      </c>
      <c r="CT133" t="s">
        <v>57</v>
      </c>
      <c r="CU133" t="s">
        <v>57</v>
      </c>
      <c r="CV133" t="s">
        <v>57</v>
      </c>
      <c r="CW133" t="s">
        <v>57</v>
      </c>
      <c r="CX133" t="s">
        <v>57</v>
      </c>
      <c r="CY133" t="s">
        <v>57</v>
      </c>
      <c r="CZ133" t="s">
        <v>57</v>
      </c>
      <c r="DA133" t="s">
        <v>57</v>
      </c>
      <c r="DB133" t="s">
        <v>57</v>
      </c>
      <c r="DC133" t="s">
        <v>57</v>
      </c>
      <c r="DD133" t="s">
        <v>57</v>
      </c>
      <c r="DE133" t="s">
        <v>57</v>
      </c>
      <c r="DF133" t="s">
        <v>57</v>
      </c>
      <c r="DG133" t="s">
        <v>57</v>
      </c>
      <c r="DH133" t="s">
        <v>57</v>
      </c>
      <c r="DI133" t="s">
        <v>57</v>
      </c>
      <c r="DJ133" t="s">
        <v>57</v>
      </c>
      <c r="DK133" t="s">
        <v>175</v>
      </c>
      <c r="DL133" t="s">
        <v>57</v>
      </c>
      <c r="DM133" t="s">
        <v>57</v>
      </c>
      <c r="DN133" t="s">
        <v>57</v>
      </c>
      <c r="DO133" t="s">
        <v>57</v>
      </c>
      <c r="DP133" t="s">
        <v>57</v>
      </c>
      <c r="DQ133" t="s">
        <v>57</v>
      </c>
      <c r="DR133" t="s">
        <v>57</v>
      </c>
      <c r="DS133" t="s">
        <v>57</v>
      </c>
      <c r="DT133" t="s">
        <v>57</v>
      </c>
      <c r="DU133" t="s">
        <v>57</v>
      </c>
      <c r="DV133" t="s">
        <v>57</v>
      </c>
      <c r="DW133" t="s">
        <v>57</v>
      </c>
      <c r="DX133" t="s">
        <v>57</v>
      </c>
      <c r="DY133" t="s">
        <v>175</v>
      </c>
      <c r="DZ133" t="s">
        <v>57</v>
      </c>
      <c r="EA133" t="s">
        <v>57</v>
      </c>
      <c r="EB133" t="s">
        <v>57</v>
      </c>
      <c r="EC133" t="s">
        <v>57</v>
      </c>
      <c r="ED133" t="s">
        <v>57</v>
      </c>
      <c r="EE133" t="s">
        <v>57</v>
      </c>
      <c r="EF133" t="s">
        <v>57</v>
      </c>
      <c r="EG133" t="s">
        <v>57</v>
      </c>
      <c r="EH133" t="s">
        <v>57</v>
      </c>
      <c r="EI133" t="s">
        <v>57</v>
      </c>
      <c r="EJ133" t="s">
        <v>57</v>
      </c>
      <c r="EK133" t="s">
        <v>57</v>
      </c>
      <c r="EL133" t="s">
        <v>57</v>
      </c>
      <c r="EM133" t="s">
        <v>57</v>
      </c>
      <c r="EN133" t="s">
        <v>57</v>
      </c>
      <c r="EO133" t="s">
        <v>57</v>
      </c>
      <c r="EP133" t="s">
        <v>57</v>
      </c>
      <c r="EQ133" t="s">
        <v>57</v>
      </c>
      <c r="ER133" t="s">
        <v>57</v>
      </c>
      <c r="ES133" t="s">
        <v>57</v>
      </c>
      <c r="ET133" t="s">
        <v>57</v>
      </c>
      <c r="EU133" t="s">
        <v>57</v>
      </c>
      <c r="EV133" t="s">
        <v>57</v>
      </c>
      <c r="EW133" t="s">
        <v>57</v>
      </c>
      <c r="EX133" t="s">
        <v>57</v>
      </c>
      <c r="EY133" t="s">
        <v>57</v>
      </c>
      <c r="EZ133" t="s">
        <v>57</v>
      </c>
      <c r="FA133" t="s">
        <v>57</v>
      </c>
      <c r="FB133" t="s">
        <v>57</v>
      </c>
      <c r="FC133" t="s">
        <v>57</v>
      </c>
      <c r="FD133" t="s">
        <v>57</v>
      </c>
      <c r="FE133" t="s">
        <v>57</v>
      </c>
      <c r="FF133" t="s">
        <v>57</v>
      </c>
      <c r="FG133" t="s">
        <v>57</v>
      </c>
      <c r="FH133" t="s">
        <v>57</v>
      </c>
      <c r="FI133" t="s">
        <v>57</v>
      </c>
      <c r="FJ133" t="s">
        <v>57</v>
      </c>
      <c r="FK133" t="s">
        <v>57</v>
      </c>
      <c r="FL133" t="s">
        <v>57</v>
      </c>
      <c r="FM133" t="s">
        <v>57</v>
      </c>
      <c r="FN133" t="s">
        <v>57</v>
      </c>
      <c r="FO133" t="s">
        <v>175</v>
      </c>
      <c r="FP133" t="s">
        <v>57</v>
      </c>
      <c r="FQ133" t="s">
        <v>57</v>
      </c>
      <c r="FR133" t="s">
        <v>57</v>
      </c>
      <c r="FS133" t="s">
        <v>57</v>
      </c>
      <c r="FT133" t="s">
        <v>57</v>
      </c>
      <c r="FU133" t="s">
        <v>57</v>
      </c>
      <c r="FV133" t="s">
        <v>57</v>
      </c>
      <c r="FW133" t="s">
        <v>57</v>
      </c>
      <c r="FX133" t="s">
        <v>57</v>
      </c>
      <c r="FY133" t="s">
        <v>57</v>
      </c>
      <c r="FZ133" t="s">
        <v>57</v>
      </c>
      <c r="GA133" t="s">
        <v>57</v>
      </c>
      <c r="GB133" t="s">
        <v>57</v>
      </c>
      <c r="GC133" t="s">
        <v>57</v>
      </c>
      <c r="GD133" t="s">
        <v>57</v>
      </c>
      <c r="GE133" t="s">
        <v>57</v>
      </c>
      <c r="GF133" t="s">
        <v>57</v>
      </c>
      <c r="GG133" t="s">
        <v>175</v>
      </c>
      <c r="GH133" t="s">
        <v>57</v>
      </c>
      <c r="GI133" t="s">
        <v>57</v>
      </c>
      <c r="GJ133" t="s">
        <v>57</v>
      </c>
      <c r="GK133" t="s">
        <v>57</v>
      </c>
      <c r="GL133" t="s">
        <v>57</v>
      </c>
      <c r="GM133" t="s">
        <v>57</v>
      </c>
      <c r="GN133" t="s">
        <v>57</v>
      </c>
      <c r="GO133" t="s">
        <v>57</v>
      </c>
      <c r="GP133" t="s">
        <v>57</v>
      </c>
      <c r="GQ133" t="s">
        <v>57</v>
      </c>
      <c r="GR133" t="s">
        <v>57</v>
      </c>
      <c r="GS133" t="s">
        <v>57</v>
      </c>
      <c r="GT133" t="s">
        <v>57</v>
      </c>
      <c r="GU133" t="s">
        <v>57</v>
      </c>
      <c r="GV133" t="s">
        <v>57</v>
      </c>
      <c r="GW133" t="s">
        <v>57</v>
      </c>
      <c r="GX133" t="s">
        <v>175</v>
      </c>
      <c r="GY133" t="s">
        <v>57</v>
      </c>
      <c r="GZ133" t="s">
        <v>57</v>
      </c>
      <c r="HA133" t="s">
        <v>57</v>
      </c>
      <c r="HB133" t="s">
        <v>57</v>
      </c>
      <c r="HC133" t="s">
        <v>57</v>
      </c>
      <c r="HD133" t="s">
        <v>57</v>
      </c>
      <c r="HE133" t="s">
        <v>57</v>
      </c>
      <c r="HF133" t="s">
        <v>57</v>
      </c>
      <c r="HG133" t="s">
        <v>57</v>
      </c>
      <c r="HH133" t="s">
        <v>57</v>
      </c>
      <c r="HI133" t="s">
        <v>175</v>
      </c>
      <c r="HJ133" t="s">
        <v>175</v>
      </c>
      <c r="HK133" t="s">
        <v>175</v>
      </c>
      <c r="HL133" t="s">
        <v>57</v>
      </c>
      <c r="HM133" t="s">
        <v>57</v>
      </c>
      <c r="HN133" t="s">
        <v>57</v>
      </c>
      <c r="HO133" t="s">
        <v>57</v>
      </c>
      <c r="HP133" t="s">
        <v>57</v>
      </c>
      <c r="HQ133" t="s">
        <v>57</v>
      </c>
      <c r="HR133" t="s">
        <v>57</v>
      </c>
      <c r="HS133" t="s">
        <v>57</v>
      </c>
      <c r="HT133" t="s">
        <v>57</v>
      </c>
      <c r="HU133" t="s">
        <v>57</v>
      </c>
      <c r="HV133" t="s">
        <v>57</v>
      </c>
      <c r="HW133" t="s">
        <v>57</v>
      </c>
      <c r="HX133" t="s">
        <v>57</v>
      </c>
      <c r="HY133" t="s">
        <v>57</v>
      </c>
      <c r="HZ133" t="s">
        <v>57</v>
      </c>
      <c r="IA133" t="s">
        <v>57</v>
      </c>
      <c r="IB133" t="s">
        <v>57</v>
      </c>
      <c r="IC133" t="s">
        <v>57</v>
      </c>
      <c r="ID133" t="s">
        <v>57</v>
      </c>
      <c r="IE133" t="s">
        <v>57</v>
      </c>
      <c r="IF133" t="s">
        <v>124</v>
      </c>
      <c r="IG133" t="s">
        <v>148</v>
      </c>
      <c r="IH133" t="s">
        <v>123</v>
      </c>
      <c r="II133" t="s">
        <v>156</v>
      </c>
    </row>
    <row r="134" spans="1:243" x14ac:dyDescent="0.25">
      <c r="A134" s="201" t="str">
        <f>HYPERLINK("http://www.ofsted.gov.uk/inspection-reports/find-inspection-report/provider/ELS/134140 ","Ofsted School Webpage")</f>
        <v>Ofsted School Webpage</v>
      </c>
      <c r="B134">
        <v>134140</v>
      </c>
      <c r="C134">
        <v>3806114</v>
      </c>
      <c r="D134" t="s">
        <v>1622</v>
      </c>
      <c r="E134" t="s">
        <v>36</v>
      </c>
      <c r="F134" t="s">
        <v>166</v>
      </c>
      <c r="G134" t="s">
        <v>202</v>
      </c>
      <c r="H134" t="s">
        <v>203</v>
      </c>
      <c r="I134" t="s">
        <v>295</v>
      </c>
      <c r="J134" t="s">
        <v>1623</v>
      </c>
      <c r="K134" t="s">
        <v>261</v>
      </c>
      <c r="L134" t="s">
        <v>180</v>
      </c>
      <c r="M134" t="s">
        <v>2596</v>
      </c>
      <c r="N134" t="s">
        <v>143</v>
      </c>
      <c r="O134">
        <v>10040142</v>
      </c>
      <c r="P134" s="108">
        <v>43060</v>
      </c>
      <c r="Q134" s="108">
        <v>43062</v>
      </c>
      <c r="R134" s="108">
        <v>43089</v>
      </c>
      <c r="S134" t="s">
        <v>153</v>
      </c>
      <c r="T134" t="s">
        <v>154</v>
      </c>
      <c r="U134">
        <v>2</v>
      </c>
      <c r="V134">
        <v>2</v>
      </c>
      <c r="W134">
        <v>2</v>
      </c>
      <c r="X134">
        <v>2</v>
      </c>
      <c r="Y134">
        <v>2</v>
      </c>
      <c r="Z134" t="s">
        <v>2596</v>
      </c>
      <c r="AA134">
        <v>2</v>
      </c>
      <c r="AB134" t="s">
        <v>123</v>
      </c>
      <c r="AC134" t="s">
        <v>2596</v>
      </c>
      <c r="AD134" t="s">
        <v>2598</v>
      </c>
      <c r="AE134" t="s">
        <v>57</v>
      </c>
      <c r="AF134" t="s">
        <v>57</v>
      </c>
      <c r="AG134" t="s">
        <v>57</v>
      </c>
      <c r="AH134" t="s">
        <v>57</v>
      </c>
      <c r="AI134" t="s">
        <v>57</v>
      </c>
      <c r="AJ134" t="s">
        <v>57</v>
      </c>
      <c r="AK134" t="s">
        <v>57</v>
      </c>
      <c r="AL134" t="s">
        <v>57</v>
      </c>
      <c r="AM134" t="s">
        <v>57</v>
      </c>
      <c r="AN134" t="s">
        <v>57</v>
      </c>
      <c r="AO134" t="s">
        <v>57</v>
      </c>
      <c r="AP134" t="s">
        <v>57</v>
      </c>
      <c r="AQ134" t="s">
        <v>57</v>
      </c>
      <c r="AR134" t="s">
        <v>57</v>
      </c>
      <c r="AS134" t="s">
        <v>57</v>
      </c>
      <c r="AT134" t="s">
        <v>57</v>
      </c>
      <c r="AU134" t="s">
        <v>175</v>
      </c>
      <c r="AV134" t="s">
        <v>57</v>
      </c>
      <c r="AW134" t="s">
        <v>57</v>
      </c>
      <c r="AX134" t="s">
        <v>57</v>
      </c>
      <c r="AY134" t="s">
        <v>57</v>
      </c>
      <c r="AZ134" t="s">
        <v>57</v>
      </c>
      <c r="BA134" t="s">
        <v>57</v>
      </c>
      <c r="BB134" t="s">
        <v>57</v>
      </c>
      <c r="BC134" t="s">
        <v>57</v>
      </c>
      <c r="BD134" t="s">
        <v>57</v>
      </c>
      <c r="BE134" t="s">
        <v>57</v>
      </c>
      <c r="BF134" t="s">
        <v>57</v>
      </c>
      <c r="BG134" t="s">
        <v>57</v>
      </c>
      <c r="BH134" t="s">
        <v>57</v>
      </c>
      <c r="BI134" t="s">
        <v>57</v>
      </c>
      <c r="BJ134" t="s">
        <v>57</v>
      </c>
      <c r="BK134" t="s">
        <v>57</v>
      </c>
      <c r="BL134" t="s">
        <v>57</v>
      </c>
      <c r="BM134" t="s">
        <v>57</v>
      </c>
      <c r="BN134" t="s">
        <v>57</v>
      </c>
      <c r="BO134" t="s">
        <v>57</v>
      </c>
      <c r="BP134" t="s">
        <v>57</v>
      </c>
      <c r="BQ134" t="s">
        <v>57</v>
      </c>
      <c r="BR134" t="s">
        <v>57</v>
      </c>
      <c r="BS134" t="s">
        <v>57</v>
      </c>
      <c r="BT134" t="s">
        <v>57</v>
      </c>
      <c r="BU134" t="s">
        <v>57</v>
      </c>
      <c r="BV134" t="s">
        <v>57</v>
      </c>
      <c r="BW134" t="s">
        <v>57</v>
      </c>
      <c r="BX134" t="s">
        <v>57</v>
      </c>
      <c r="BY134" t="s">
        <v>57</v>
      </c>
      <c r="BZ134" t="s">
        <v>57</v>
      </c>
      <c r="CA134" t="s">
        <v>57</v>
      </c>
      <c r="CB134" t="s">
        <v>57</v>
      </c>
      <c r="CC134" t="s">
        <v>57</v>
      </c>
      <c r="CD134" t="s">
        <v>57</v>
      </c>
      <c r="CE134" t="s">
        <v>57</v>
      </c>
      <c r="CF134" t="s">
        <v>57</v>
      </c>
      <c r="CG134" t="s">
        <v>57</v>
      </c>
      <c r="CH134" t="s">
        <v>57</v>
      </c>
      <c r="CI134" t="s">
        <v>57</v>
      </c>
      <c r="CJ134" t="s">
        <v>57</v>
      </c>
      <c r="CK134" t="s">
        <v>464</v>
      </c>
      <c r="CL134" t="s">
        <v>464</v>
      </c>
      <c r="CM134" t="s">
        <v>464</v>
      </c>
      <c r="CN134" t="s">
        <v>57</v>
      </c>
      <c r="CO134" t="s">
        <v>57</v>
      </c>
      <c r="CP134" t="s">
        <v>57</v>
      </c>
      <c r="CQ134" t="s">
        <v>57</v>
      </c>
      <c r="CR134" t="s">
        <v>57</v>
      </c>
      <c r="CS134" t="s">
        <v>57</v>
      </c>
      <c r="CT134" t="s">
        <v>57</v>
      </c>
      <c r="CU134" t="s">
        <v>57</v>
      </c>
      <c r="CV134" t="s">
        <v>57</v>
      </c>
      <c r="CW134" t="s">
        <v>57</v>
      </c>
      <c r="CX134" t="s">
        <v>57</v>
      </c>
      <c r="CY134" t="s">
        <v>57</v>
      </c>
      <c r="CZ134" t="s">
        <v>57</v>
      </c>
      <c r="DA134" t="s">
        <v>57</v>
      </c>
      <c r="DB134" t="s">
        <v>57</v>
      </c>
      <c r="DC134" t="s">
        <v>57</v>
      </c>
      <c r="DD134" t="s">
        <v>57</v>
      </c>
      <c r="DE134" t="s">
        <v>57</v>
      </c>
      <c r="DF134" t="s">
        <v>57</v>
      </c>
      <c r="DG134" t="s">
        <v>57</v>
      </c>
      <c r="DH134" t="s">
        <v>57</v>
      </c>
      <c r="DI134" t="s">
        <v>57</v>
      </c>
      <c r="DJ134" t="s">
        <v>57</v>
      </c>
      <c r="DK134" t="s">
        <v>464</v>
      </c>
      <c r="DL134" t="s">
        <v>57</v>
      </c>
      <c r="DM134" t="s">
        <v>175</v>
      </c>
      <c r="DN134" t="s">
        <v>175</v>
      </c>
      <c r="DO134" t="s">
        <v>175</v>
      </c>
      <c r="DP134" t="s">
        <v>175</v>
      </c>
      <c r="DQ134" t="s">
        <v>175</v>
      </c>
      <c r="DR134" t="s">
        <v>175</v>
      </c>
      <c r="DS134" t="s">
        <v>175</v>
      </c>
      <c r="DT134" t="s">
        <v>175</v>
      </c>
      <c r="DU134" t="s">
        <v>175</v>
      </c>
      <c r="DV134" t="s">
        <v>175</v>
      </c>
      <c r="DW134" t="s">
        <v>175</v>
      </c>
      <c r="DX134" t="s">
        <v>175</v>
      </c>
      <c r="DY134" t="s">
        <v>175</v>
      </c>
      <c r="DZ134" t="s">
        <v>175</v>
      </c>
      <c r="EA134" t="s">
        <v>57</v>
      </c>
      <c r="EB134" t="s">
        <v>57</v>
      </c>
      <c r="EC134" t="s">
        <v>57</v>
      </c>
      <c r="ED134" t="s">
        <v>57</v>
      </c>
      <c r="EE134" t="s">
        <v>57</v>
      </c>
      <c r="EF134" t="s">
        <v>57</v>
      </c>
      <c r="EG134" t="s">
        <v>57</v>
      </c>
      <c r="EH134" t="s">
        <v>57</v>
      </c>
      <c r="EI134" t="s">
        <v>57</v>
      </c>
      <c r="EJ134" t="s">
        <v>57</v>
      </c>
      <c r="EK134" t="s">
        <v>57</v>
      </c>
      <c r="EL134" t="s">
        <v>57</v>
      </c>
      <c r="EM134" t="s">
        <v>57</v>
      </c>
      <c r="EN134" t="s">
        <v>57</v>
      </c>
      <c r="EO134" t="s">
        <v>57</v>
      </c>
      <c r="EP134" t="s">
        <v>57</v>
      </c>
      <c r="EQ134" t="s">
        <v>57</v>
      </c>
      <c r="ER134" t="s">
        <v>57</v>
      </c>
      <c r="ES134" t="s">
        <v>57</v>
      </c>
      <c r="ET134" t="s">
        <v>57</v>
      </c>
      <c r="EU134" t="s">
        <v>57</v>
      </c>
      <c r="EV134" t="s">
        <v>57</v>
      </c>
      <c r="EW134" t="s">
        <v>57</v>
      </c>
      <c r="EX134" t="s">
        <v>175</v>
      </c>
      <c r="EY134" t="s">
        <v>175</v>
      </c>
      <c r="EZ134" t="s">
        <v>175</v>
      </c>
      <c r="FA134" t="s">
        <v>175</v>
      </c>
      <c r="FB134" t="s">
        <v>175</v>
      </c>
      <c r="FC134" t="s">
        <v>175</v>
      </c>
      <c r="FD134" t="s">
        <v>57</v>
      </c>
      <c r="FE134" t="s">
        <v>57</v>
      </c>
      <c r="FF134" t="s">
        <v>57</v>
      </c>
      <c r="FG134" t="s">
        <v>57</v>
      </c>
      <c r="FH134" t="s">
        <v>57</v>
      </c>
      <c r="FI134" t="s">
        <v>57</v>
      </c>
      <c r="FJ134" t="s">
        <v>175</v>
      </c>
      <c r="FK134" t="s">
        <v>57</v>
      </c>
      <c r="FL134" t="s">
        <v>57</v>
      </c>
      <c r="FM134" t="s">
        <v>57</v>
      </c>
      <c r="FN134" t="s">
        <v>57</v>
      </c>
      <c r="FO134" t="s">
        <v>175</v>
      </c>
      <c r="FP134" t="s">
        <v>57</v>
      </c>
      <c r="FQ134" t="s">
        <v>57</v>
      </c>
      <c r="FR134" t="s">
        <v>57</v>
      </c>
      <c r="FS134" t="s">
        <v>57</v>
      </c>
      <c r="FT134" t="s">
        <v>57</v>
      </c>
      <c r="FU134" t="s">
        <v>57</v>
      </c>
      <c r="FV134" t="s">
        <v>57</v>
      </c>
      <c r="FW134" t="s">
        <v>57</v>
      </c>
      <c r="FX134" t="s">
        <v>57</v>
      </c>
      <c r="FY134" t="s">
        <v>57</v>
      </c>
      <c r="FZ134" t="s">
        <v>57</v>
      </c>
      <c r="GA134" t="s">
        <v>57</v>
      </c>
      <c r="GB134" t="s">
        <v>57</v>
      </c>
      <c r="GC134" t="s">
        <v>57</v>
      </c>
      <c r="GD134" t="s">
        <v>57</v>
      </c>
      <c r="GE134" t="s">
        <v>57</v>
      </c>
      <c r="GF134" t="s">
        <v>57</v>
      </c>
      <c r="GG134" t="s">
        <v>464</v>
      </c>
      <c r="GH134" t="s">
        <v>57</v>
      </c>
      <c r="GI134" t="s">
        <v>57</v>
      </c>
      <c r="GJ134" t="s">
        <v>57</v>
      </c>
      <c r="GK134" t="s">
        <v>57</v>
      </c>
      <c r="GL134" t="s">
        <v>57</v>
      </c>
      <c r="GM134" t="s">
        <v>57</v>
      </c>
      <c r="GN134" t="s">
        <v>57</v>
      </c>
      <c r="GO134" t="s">
        <v>57</v>
      </c>
      <c r="GP134" t="s">
        <v>175</v>
      </c>
      <c r="GQ134" t="s">
        <v>175</v>
      </c>
      <c r="GR134" t="s">
        <v>175</v>
      </c>
      <c r="GS134" t="s">
        <v>57</v>
      </c>
      <c r="GT134" t="s">
        <v>57</v>
      </c>
      <c r="GU134" t="s">
        <v>57</v>
      </c>
      <c r="GV134" t="s">
        <v>57</v>
      </c>
      <c r="GW134" t="s">
        <v>175</v>
      </c>
      <c r="GX134" t="s">
        <v>57</v>
      </c>
      <c r="GY134" t="s">
        <v>57</v>
      </c>
      <c r="GZ134" t="s">
        <v>57</v>
      </c>
      <c r="HA134" t="s">
        <v>57</v>
      </c>
      <c r="HB134" t="s">
        <v>57</v>
      </c>
      <c r="HC134" t="s">
        <v>57</v>
      </c>
      <c r="HD134" t="s">
        <v>57</v>
      </c>
      <c r="HE134" t="s">
        <v>57</v>
      </c>
      <c r="HF134" t="s">
        <v>57</v>
      </c>
      <c r="HG134" t="s">
        <v>57</v>
      </c>
      <c r="HH134" t="s">
        <v>175</v>
      </c>
      <c r="HI134" t="s">
        <v>175</v>
      </c>
      <c r="HJ134" t="s">
        <v>175</v>
      </c>
      <c r="HK134" t="s">
        <v>175</v>
      </c>
      <c r="HL134" t="s">
        <v>57</v>
      </c>
      <c r="HM134" t="s">
        <v>57</v>
      </c>
      <c r="HN134" t="s">
        <v>57</v>
      </c>
      <c r="HO134" t="s">
        <v>57</v>
      </c>
      <c r="HP134" t="s">
        <v>57</v>
      </c>
      <c r="HQ134" t="s">
        <v>57</v>
      </c>
      <c r="HR134" t="s">
        <v>57</v>
      </c>
      <c r="HS134" t="s">
        <v>57</v>
      </c>
      <c r="HT134" t="s">
        <v>57</v>
      </c>
      <c r="HU134" t="s">
        <v>57</v>
      </c>
      <c r="HV134" t="s">
        <v>57</v>
      </c>
      <c r="HW134" t="s">
        <v>57</v>
      </c>
      <c r="HX134" t="s">
        <v>57</v>
      </c>
      <c r="HY134" t="s">
        <v>57</v>
      </c>
      <c r="HZ134" t="s">
        <v>57</v>
      </c>
      <c r="IA134" t="s">
        <v>57</v>
      </c>
      <c r="IB134" t="s">
        <v>57</v>
      </c>
      <c r="IC134" t="s">
        <v>57</v>
      </c>
      <c r="ID134" t="s">
        <v>57</v>
      </c>
      <c r="IE134" t="s">
        <v>57</v>
      </c>
      <c r="IF134" t="s">
        <v>124</v>
      </c>
      <c r="IG134" t="s">
        <v>148</v>
      </c>
      <c r="IH134" t="s">
        <v>123</v>
      </c>
      <c r="II134" t="s">
        <v>156</v>
      </c>
    </row>
    <row r="135" spans="1:243" x14ac:dyDescent="0.25">
      <c r="A135" s="201" t="str">
        <f>HYPERLINK("http://www.ofsted.gov.uk/inspection-reports/find-inspection-report/provider/ELS/134186 ","Ofsted School Webpage")</f>
        <v>Ofsted School Webpage</v>
      </c>
      <c r="B135">
        <v>134186</v>
      </c>
      <c r="C135">
        <v>8776001</v>
      </c>
      <c r="D135" t="s">
        <v>345</v>
      </c>
      <c r="E135" t="s">
        <v>37</v>
      </c>
      <c r="F135" t="s">
        <v>138</v>
      </c>
      <c r="G135" t="s">
        <v>162</v>
      </c>
      <c r="H135" t="s">
        <v>162</v>
      </c>
      <c r="I135" t="s">
        <v>346</v>
      </c>
      <c r="J135" t="s">
        <v>347</v>
      </c>
      <c r="K135" t="s">
        <v>142</v>
      </c>
      <c r="L135" t="s">
        <v>142</v>
      </c>
      <c r="M135" t="s">
        <v>2596</v>
      </c>
      <c r="N135" t="s">
        <v>143</v>
      </c>
      <c r="O135">
        <v>10026010</v>
      </c>
      <c r="P135" s="108">
        <v>43018</v>
      </c>
      <c r="Q135" s="108">
        <v>43020</v>
      </c>
      <c r="R135" s="108">
        <v>43061</v>
      </c>
      <c r="S135" t="s">
        <v>3005</v>
      </c>
      <c r="T135" t="s">
        <v>154</v>
      </c>
      <c r="U135">
        <v>1</v>
      </c>
      <c r="V135">
        <v>1</v>
      </c>
      <c r="W135">
        <v>1</v>
      </c>
      <c r="X135">
        <v>1</v>
      </c>
      <c r="Y135">
        <v>1</v>
      </c>
      <c r="Z135" t="s">
        <v>2596</v>
      </c>
      <c r="AA135">
        <v>1</v>
      </c>
      <c r="AB135" t="s">
        <v>123</v>
      </c>
      <c r="AC135" t="s">
        <v>2596</v>
      </c>
      <c r="AD135" t="s">
        <v>2598</v>
      </c>
      <c r="AE135" t="s">
        <v>57</v>
      </c>
      <c r="AF135" t="s">
        <v>57</v>
      </c>
      <c r="AG135" t="s">
        <v>57</v>
      </c>
      <c r="AH135" t="s">
        <v>57</v>
      </c>
      <c r="AI135" t="s">
        <v>57</v>
      </c>
      <c r="AJ135" t="s">
        <v>57</v>
      </c>
      <c r="AK135" t="s">
        <v>57</v>
      </c>
      <c r="AL135" t="s">
        <v>57</v>
      </c>
      <c r="AM135" t="s">
        <v>57</v>
      </c>
      <c r="AN135" t="s">
        <v>57</v>
      </c>
      <c r="AO135" t="s">
        <v>57</v>
      </c>
      <c r="AP135" t="s">
        <v>57</v>
      </c>
      <c r="AQ135" t="s">
        <v>57</v>
      </c>
      <c r="AR135" t="s">
        <v>57</v>
      </c>
      <c r="AS135" t="s">
        <v>57</v>
      </c>
      <c r="AT135" t="s">
        <v>57</v>
      </c>
      <c r="AU135" t="s">
        <v>175</v>
      </c>
      <c r="AV135" t="s">
        <v>57</v>
      </c>
      <c r="AW135" t="s">
        <v>57</v>
      </c>
      <c r="AX135" t="s">
        <v>57</v>
      </c>
      <c r="AY135" t="s">
        <v>57</v>
      </c>
      <c r="AZ135" t="s">
        <v>57</v>
      </c>
      <c r="BA135" t="s">
        <v>57</v>
      </c>
      <c r="BB135" t="s">
        <v>57</v>
      </c>
      <c r="BC135" t="s">
        <v>175</v>
      </c>
      <c r="BD135" t="s">
        <v>57</v>
      </c>
      <c r="BE135" t="s">
        <v>57</v>
      </c>
      <c r="BF135" t="s">
        <v>57</v>
      </c>
      <c r="BG135" t="s">
        <v>57</v>
      </c>
      <c r="BH135" t="s">
        <v>57</v>
      </c>
      <c r="BI135" t="s">
        <v>57</v>
      </c>
      <c r="BJ135" t="s">
        <v>57</v>
      </c>
      <c r="BK135" t="s">
        <v>57</v>
      </c>
      <c r="BL135" t="s">
        <v>57</v>
      </c>
      <c r="BM135" t="s">
        <v>57</v>
      </c>
      <c r="BN135" t="s">
        <v>57</v>
      </c>
      <c r="BO135" t="s">
        <v>57</v>
      </c>
      <c r="BP135" t="s">
        <v>57</v>
      </c>
      <c r="BQ135" t="s">
        <v>57</v>
      </c>
      <c r="BR135" t="s">
        <v>57</v>
      </c>
      <c r="BS135" t="s">
        <v>57</v>
      </c>
      <c r="BT135" t="s">
        <v>57</v>
      </c>
      <c r="BU135" t="s">
        <v>57</v>
      </c>
      <c r="BV135" t="s">
        <v>57</v>
      </c>
      <c r="BW135" t="s">
        <v>57</v>
      </c>
      <c r="BX135" t="s">
        <v>57</v>
      </c>
      <c r="BY135" t="s">
        <v>57</v>
      </c>
      <c r="BZ135" t="s">
        <v>57</v>
      </c>
      <c r="CA135" t="s">
        <v>57</v>
      </c>
      <c r="CB135" t="s">
        <v>57</v>
      </c>
      <c r="CC135" t="s">
        <v>57</v>
      </c>
      <c r="CD135" t="s">
        <v>57</v>
      </c>
      <c r="CE135" t="s">
        <v>57</v>
      </c>
      <c r="CF135" t="s">
        <v>57</v>
      </c>
      <c r="CG135" t="s">
        <v>57</v>
      </c>
      <c r="CH135" t="s">
        <v>57</v>
      </c>
      <c r="CI135" t="s">
        <v>57</v>
      </c>
      <c r="CJ135" t="s">
        <v>57</v>
      </c>
      <c r="CK135" t="s">
        <v>175</v>
      </c>
      <c r="CL135" t="s">
        <v>175</v>
      </c>
      <c r="CM135" t="s">
        <v>175</v>
      </c>
      <c r="CN135" t="s">
        <v>57</v>
      </c>
      <c r="CO135" t="s">
        <v>57</v>
      </c>
      <c r="CP135" t="s">
        <v>57</v>
      </c>
      <c r="CQ135" t="s">
        <v>57</v>
      </c>
      <c r="CR135" t="s">
        <v>57</v>
      </c>
      <c r="CS135" t="s">
        <v>57</v>
      </c>
      <c r="CT135" t="s">
        <v>57</v>
      </c>
      <c r="CU135" t="s">
        <v>57</v>
      </c>
      <c r="CV135" t="s">
        <v>57</v>
      </c>
      <c r="CW135" t="s">
        <v>57</v>
      </c>
      <c r="CX135" t="s">
        <v>57</v>
      </c>
      <c r="CY135" t="s">
        <v>57</v>
      </c>
      <c r="CZ135" t="s">
        <v>57</v>
      </c>
      <c r="DA135" t="s">
        <v>57</v>
      </c>
      <c r="DB135" t="s">
        <v>57</v>
      </c>
      <c r="DC135" t="s">
        <v>57</v>
      </c>
      <c r="DD135" t="s">
        <v>57</v>
      </c>
      <c r="DE135" t="s">
        <v>57</v>
      </c>
      <c r="DF135" t="s">
        <v>57</v>
      </c>
      <c r="DG135" t="s">
        <v>57</v>
      </c>
      <c r="DH135" t="s">
        <v>57</v>
      </c>
      <c r="DI135" t="s">
        <v>57</v>
      </c>
      <c r="DJ135" t="s">
        <v>57</v>
      </c>
      <c r="DK135" t="s">
        <v>57</v>
      </c>
      <c r="DL135" t="s">
        <v>57</v>
      </c>
      <c r="DM135" t="s">
        <v>57</v>
      </c>
      <c r="DN135" t="s">
        <v>57</v>
      </c>
      <c r="DO135" t="s">
        <v>57</v>
      </c>
      <c r="DP135" t="s">
        <v>57</v>
      </c>
      <c r="DQ135" t="s">
        <v>57</v>
      </c>
      <c r="DR135" t="s">
        <v>57</v>
      </c>
      <c r="DS135" t="s">
        <v>57</v>
      </c>
      <c r="DT135" t="s">
        <v>57</v>
      </c>
      <c r="DU135" t="s">
        <v>57</v>
      </c>
      <c r="DV135" t="s">
        <v>57</v>
      </c>
      <c r="DW135" t="s">
        <v>57</v>
      </c>
      <c r="DX135" t="s">
        <v>57</v>
      </c>
      <c r="DY135" t="s">
        <v>175</v>
      </c>
      <c r="DZ135" t="s">
        <v>57</v>
      </c>
      <c r="EA135" t="s">
        <v>57</v>
      </c>
      <c r="EB135" t="s">
        <v>57</v>
      </c>
      <c r="EC135" t="s">
        <v>57</v>
      </c>
      <c r="ED135" t="s">
        <v>57</v>
      </c>
      <c r="EE135" t="s">
        <v>57</v>
      </c>
      <c r="EF135" t="s">
        <v>57</v>
      </c>
      <c r="EG135" t="s">
        <v>57</v>
      </c>
      <c r="EH135" t="s">
        <v>57</v>
      </c>
      <c r="EI135" t="s">
        <v>57</v>
      </c>
      <c r="EJ135" t="s">
        <v>57</v>
      </c>
      <c r="EK135" t="s">
        <v>57</v>
      </c>
      <c r="EL135" t="s">
        <v>57</v>
      </c>
      <c r="EM135" t="s">
        <v>57</v>
      </c>
      <c r="EN135" t="s">
        <v>57</v>
      </c>
      <c r="EO135" t="s">
        <v>57</v>
      </c>
      <c r="EP135" t="s">
        <v>57</v>
      </c>
      <c r="EQ135" t="s">
        <v>57</v>
      </c>
      <c r="ER135" t="s">
        <v>57</v>
      </c>
      <c r="ES135" t="s">
        <v>57</v>
      </c>
      <c r="ET135" t="s">
        <v>57</v>
      </c>
      <c r="EU135" t="s">
        <v>57</v>
      </c>
      <c r="EV135" t="s">
        <v>57</v>
      </c>
      <c r="EW135" t="s">
        <v>57</v>
      </c>
      <c r="EX135" t="s">
        <v>57</v>
      </c>
      <c r="EY135" t="s">
        <v>57</v>
      </c>
      <c r="EZ135" t="s">
        <v>57</v>
      </c>
      <c r="FA135" t="s">
        <v>57</v>
      </c>
      <c r="FB135" t="s">
        <v>57</v>
      </c>
      <c r="FC135" t="s">
        <v>57</v>
      </c>
      <c r="FD135" t="s">
        <v>57</v>
      </c>
      <c r="FE135" t="s">
        <v>57</v>
      </c>
      <c r="FF135" t="s">
        <v>57</v>
      </c>
      <c r="FG135" t="s">
        <v>57</v>
      </c>
      <c r="FH135" t="s">
        <v>57</v>
      </c>
      <c r="FI135" t="s">
        <v>57</v>
      </c>
      <c r="FJ135" t="s">
        <v>57</v>
      </c>
      <c r="FK135" t="s">
        <v>57</v>
      </c>
      <c r="FL135" t="s">
        <v>57</v>
      </c>
      <c r="FM135" t="s">
        <v>57</v>
      </c>
      <c r="FN135" t="s">
        <v>57</v>
      </c>
      <c r="FO135" t="s">
        <v>57</v>
      </c>
      <c r="FP135" t="s">
        <v>57</v>
      </c>
      <c r="FQ135" t="s">
        <v>57</v>
      </c>
      <c r="FR135" t="s">
        <v>57</v>
      </c>
      <c r="FS135" t="s">
        <v>57</v>
      </c>
      <c r="FT135" t="s">
        <v>57</v>
      </c>
      <c r="FU135" t="s">
        <v>57</v>
      </c>
      <c r="FV135" t="s">
        <v>57</v>
      </c>
      <c r="FW135" t="s">
        <v>57</v>
      </c>
      <c r="FX135" t="s">
        <v>57</v>
      </c>
      <c r="FY135" t="s">
        <v>57</v>
      </c>
      <c r="FZ135" t="s">
        <v>57</v>
      </c>
      <c r="GA135" t="s">
        <v>57</v>
      </c>
      <c r="GB135" t="s">
        <v>57</v>
      </c>
      <c r="GC135" t="s">
        <v>57</v>
      </c>
      <c r="GD135" t="s">
        <v>57</v>
      </c>
      <c r="GE135" t="s">
        <v>57</v>
      </c>
      <c r="GF135" t="s">
        <v>57</v>
      </c>
      <c r="GG135" t="s">
        <v>175</v>
      </c>
      <c r="GH135" t="s">
        <v>57</v>
      </c>
      <c r="GI135" t="s">
        <v>57</v>
      </c>
      <c r="GJ135" t="s">
        <v>57</v>
      </c>
      <c r="GK135" t="s">
        <v>57</v>
      </c>
      <c r="GL135" t="s">
        <v>57</v>
      </c>
      <c r="GM135" t="s">
        <v>57</v>
      </c>
      <c r="GN135" t="s">
        <v>57</v>
      </c>
      <c r="GO135" t="s">
        <v>57</v>
      </c>
      <c r="GP135" t="s">
        <v>57</v>
      </c>
      <c r="GQ135" t="s">
        <v>57</v>
      </c>
      <c r="GR135" t="s">
        <v>57</v>
      </c>
      <c r="GS135" t="s">
        <v>57</v>
      </c>
      <c r="GT135" t="s">
        <v>57</v>
      </c>
      <c r="GU135" t="s">
        <v>57</v>
      </c>
      <c r="GV135" t="s">
        <v>57</v>
      </c>
      <c r="GW135" t="s">
        <v>57</v>
      </c>
      <c r="GX135" t="s">
        <v>57</v>
      </c>
      <c r="GY135" t="s">
        <v>57</v>
      </c>
      <c r="GZ135" t="s">
        <v>57</v>
      </c>
      <c r="HA135" t="s">
        <v>57</v>
      </c>
      <c r="HB135" t="s">
        <v>57</v>
      </c>
      <c r="HC135" t="s">
        <v>57</v>
      </c>
      <c r="HD135" t="s">
        <v>57</v>
      </c>
      <c r="HE135" t="s">
        <v>57</v>
      </c>
      <c r="HF135" t="s">
        <v>57</v>
      </c>
      <c r="HG135" t="s">
        <v>57</v>
      </c>
      <c r="HH135" t="s">
        <v>57</v>
      </c>
      <c r="HI135" t="s">
        <v>57</v>
      </c>
      <c r="HJ135" t="s">
        <v>57</v>
      </c>
      <c r="HK135" t="s">
        <v>57</v>
      </c>
      <c r="HL135" t="s">
        <v>57</v>
      </c>
      <c r="HM135" t="s">
        <v>57</v>
      </c>
      <c r="HN135" t="s">
        <v>57</v>
      </c>
      <c r="HO135" t="s">
        <v>57</v>
      </c>
      <c r="HP135" t="s">
        <v>57</v>
      </c>
      <c r="HQ135" t="s">
        <v>57</v>
      </c>
      <c r="HR135" t="s">
        <v>57</v>
      </c>
      <c r="HS135" t="s">
        <v>57</v>
      </c>
      <c r="HT135" t="s">
        <v>57</v>
      </c>
      <c r="HU135" t="s">
        <v>57</v>
      </c>
      <c r="HV135" t="s">
        <v>57</v>
      </c>
      <c r="HW135" t="s">
        <v>57</v>
      </c>
      <c r="HX135" t="s">
        <v>57</v>
      </c>
      <c r="HY135" t="s">
        <v>57</v>
      </c>
      <c r="HZ135" t="s">
        <v>57</v>
      </c>
      <c r="IA135" t="s">
        <v>57</v>
      </c>
      <c r="IB135" t="s">
        <v>57</v>
      </c>
      <c r="IC135" t="s">
        <v>57</v>
      </c>
      <c r="ID135" t="s">
        <v>57</v>
      </c>
      <c r="IE135" t="s">
        <v>57</v>
      </c>
      <c r="IF135" t="s">
        <v>124</v>
      </c>
      <c r="IG135" t="s">
        <v>148</v>
      </c>
      <c r="IH135" t="s">
        <v>123</v>
      </c>
      <c r="II135" t="s">
        <v>156</v>
      </c>
    </row>
    <row r="136" spans="1:243" x14ac:dyDescent="0.25">
      <c r="A136" s="201" t="str">
        <f>HYPERLINK("http://www.ofsted.gov.uk/inspection-reports/find-inspection-report/provider/ELS/134243 ","Ofsted School Webpage")</f>
        <v>Ofsted School Webpage</v>
      </c>
      <c r="B136">
        <v>134243</v>
      </c>
      <c r="C136">
        <v>3136072</v>
      </c>
      <c r="D136" t="s">
        <v>715</v>
      </c>
      <c r="E136" t="s">
        <v>36</v>
      </c>
      <c r="F136" t="s">
        <v>166</v>
      </c>
      <c r="G136" t="s">
        <v>189</v>
      </c>
      <c r="H136" t="s">
        <v>189</v>
      </c>
      <c r="I136" t="s">
        <v>226</v>
      </c>
      <c r="J136" t="s">
        <v>716</v>
      </c>
      <c r="K136" t="s">
        <v>142</v>
      </c>
      <c r="L136" t="s">
        <v>180</v>
      </c>
      <c r="M136" t="s">
        <v>2596</v>
      </c>
      <c r="N136" t="s">
        <v>143</v>
      </c>
      <c r="O136">
        <v>10007697</v>
      </c>
      <c r="P136" s="108">
        <v>43109</v>
      </c>
      <c r="Q136" s="108">
        <v>43111</v>
      </c>
      <c r="R136" s="108">
        <v>43158</v>
      </c>
      <c r="S136" t="s">
        <v>153</v>
      </c>
      <c r="T136" t="s">
        <v>154</v>
      </c>
      <c r="U136">
        <v>3</v>
      </c>
      <c r="V136">
        <v>3</v>
      </c>
      <c r="W136">
        <v>3</v>
      </c>
      <c r="X136">
        <v>3</v>
      </c>
      <c r="Y136">
        <v>3</v>
      </c>
      <c r="Z136">
        <v>3</v>
      </c>
      <c r="AA136" t="s">
        <v>2596</v>
      </c>
      <c r="AB136" t="s">
        <v>123</v>
      </c>
      <c r="AC136" t="s">
        <v>2596</v>
      </c>
      <c r="AD136" t="s">
        <v>2598</v>
      </c>
      <c r="AE136" t="s">
        <v>57</v>
      </c>
      <c r="AF136" t="s">
        <v>57</v>
      </c>
      <c r="AG136" t="s">
        <v>57</v>
      </c>
      <c r="AH136" t="s">
        <v>57</v>
      </c>
      <c r="AI136" t="s">
        <v>57</v>
      </c>
      <c r="AJ136" t="s">
        <v>57</v>
      </c>
      <c r="AK136" t="s">
        <v>57</v>
      </c>
      <c r="AL136" t="s">
        <v>57</v>
      </c>
      <c r="AM136" t="s">
        <v>57</v>
      </c>
      <c r="AN136" t="s">
        <v>57</v>
      </c>
      <c r="AO136" t="s">
        <v>57</v>
      </c>
      <c r="AP136" t="s">
        <v>57</v>
      </c>
      <c r="AQ136" t="s">
        <v>57</v>
      </c>
      <c r="AR136" t="s">
        <v>57</v>
      </c>
      <c r="AS136" t="s">
        <v>57</v>
      </c>
      <c r="AT136" t="s">
        <v>57</v>
      </c>
      <c r="AU136" t="s">
        <v>175</v>
      </c>
      <c r="AV136" t="s">
        <v>57</v>
      </c>
      <c r="AW136" t="s">
        <v>57</v>
      </c>
      <c r="AX136" t="s">
        <v>57</v>
      </c>
      <c r="AY136" t="s">
        <v>175</v>
      </c>
      <c r="AZ136" t="s">
        <v>175</v>
      </c>
      <c r="BA136" t="s">
        <v>175</v>
      </c>
      <c r="BB136" t="s">
        <v>175</v>
      </c>
      <c r="BC136" t="s">
        <v>57</v>
      </c>
      <c r="BD136" t="s">
        <v>175</v>
      </c>
      <c r="BE136" t="s">
        <v>57</v>
      </c>
      <c r="BF136" t="s">
        <v>57</v>
      </c>
      <c r="BG136" t="s">
        <v>57</v>
      </c>
      <c r="BH136" t="s">
        <v>57</v>
      </c>
      <c r="BI136" t="s">
        <v>57</v>
      </c>
      <c r="BJ136" t="s">
        <v>57</v>
      </c>
      <c r="BK136" t="s">
        <v>57</v>
      </c>
      <c r="BL136" t="s">
        <v>57</v>
      </c>
      <c r="BM136" t="s">
        <v>57</v>
      </c>
      <c r="BN136" t="s">
        <v>57</v>
      </c>
      <c r="BO136" t="s">
        <v>57</v>
      </c>
      <c r="BP136" t="s">
        <v>57</v>
      </c>
      <c r="BQ136" t="s">
        <v>57</v>
      </c>
      <c r="BR136" t="s">
        <v>57</v>
      </c>
      <c r="BS136" t="s">
        <v>57</v>
      </c>
      <c r="BT136" t="s">
        <v>57</v>
      </c>
      <c r="BU136" t="s">
        <v>57</v>
      </c>
      <c r="BV136" t="s">
        <v>57</v>
      </c>
      <c r="BW136" t="s">
        <v>57</v>
      </c>
      <c r="BX136" t="s">
        <v>57</v>
      </c>
      <c r="BY136" t="s">
        <v>57</v>
      </c>
      <c r="BZ136" t="s">
        <v>57</v>
      </c>
      <c r="CA136" t="s">
        <v>57</v>
      </c>
      <c r="CB136" t="s">
        <v>57</v>
      </c>
      <c r="CC136" t="s">
        <v>57</v>
      </c>
      <c r="CD136" t="s">
        <v>57</v>
      </c>
      <c r="CE136" t="s">
        <v>57</v>
      </c>
      <c r="CF136" t="s">
        <v>57</v>
      </c>
      <c r="CG136" t="s">
        <v>57</v>
      </c>
      <c r="CH136" t="s">
        <v>57</v>
      </c>
      <c r="CI136" t="s">
        <v>57</v>
      </c>
      <c r="CJ136" t="s">
        <v>57</v>
      </c>
      <c r="CK136" t="s">
        <v>175</v>
      </c>
      <c r="CL136" t="s">
        <v>175</v>
      </c>
      <c r="CM136" t="s">
        <v>175</v>
      </c>
      <c r="CN136" t="s">
        <v>57</v>
      </c>
      <c r="CO136" t="s">
        <v>57</v>
      </c>
      <c r="CP136" t="s">
        <v>57</v>
      </c>
      <c r="CQ136" t="s">
        <v>57</v>
      </c>
      <c r="CR136" t="s">
        <v>57</v>
      </c>
      <c r="CS136" t="s">
        <v>57</v>
      </c>
      <c r="CT136" t="s">
        <v>57</v>
      </c>
      <c r="CU136" t="s">
        <v>57</v>
      </c>
      <c r="CV136" t="s">
        <v>57</v>
      </c>
      <c r="CW136" t="s">
        <v>57</v>
      </c>
      <c r="CX136" t="s">
        <v>57</v>
      </c>
      <c r="CY136" t="s">
        <v>57</v>
      </c>
      <c r="CZ136" t="s">
        <v>57</v>
      </c>
      <c r="DA136" t="s">
        <v>57</v>
      </c>
      <c r="DB136" t="s">
        <v>57</v>
      </c>
      <c r="DC136" t="s">
        <v>57</v>
      </c>
      <c r="DD136" t="s">
        <v>57</v>
      </c>
      <c r="DE136" t="s">
        <v>57</v>
      </c>
      <c r="DF136" t="s">
        <v>57</v>
      </c>
      <c r="DG136" t="s">
        <v>57</v>
      </c>
      <c r="DH136" t="s">
        <v>57</v>
      </c>
      <c r="DI136" t="s">
        <v>57</v>
      </c>
      <c r="DJ136" t="s">
        <v>57</v>
      </c>
      <c r="DK136" t="s">
        <v>175</v>
      </c>
      <c r="DL136" t="s">
        <v>57</v>
      </c>
      <c r="DM136" t="s">
        <v>175</v>
      </c>
      <c r="DN136" t="s">
        <v>175</v>
      </c>
      <c r="DO136" t="s">
        <v>175</v>
      </c>
      <c r="DP136" t="s">
        <v>175</v>
      </c>
      <c r="DQ136" t="s">
        <v>175</v>
      </c>
      <c r="DR136" t="s">
        <v>175</v>
      </c>
      <c r="DS136" t="s">
        <v>175</v>
      </c>
      <c r="DT136" t="s">
        <v>175</v>
      </c>
      <c r="DU136" t="s">
        <v>175</v>
      </c>
      <c r="DV136" t="s">
        <v>175</v>
      </c>
      <c r="DW136" t="s">
        <v>175</v>
      </c>
      <c r="DX136" t="s">
        <v>175</v>
      </c>
      <c r="DY136" t="s">
        <v>175</v>
      </c>
      <c r="DZ136" t="s">
        <v>175</v>
      </c>
      <c r="EA136" t="s">
        <v>57</v>
      </c>
      <c r="EB136" t="s">
        <v>57</v>
      </c>
      <c r="EC136" t="s">
        <v>57</v>
      </c>
      <c r="ED136" t="s">
        <v>57</v>
      </c>
      <c r="EE136" t="s">
        <v>57</v>
      </c>
      <c r="EF136" t="s">
        <v>57</v>
      </c>
      <c r="EG136" t="s">
        <v>57</v>
      </c>
      <c r="EH136" t="s">
        <v>57</v>
      </c>
      <c r="EI136" t="s">
        <v>57</v>
      </c>
      <c r="EJ136" t="s">
        <v>57</v>
      </c>
      <c r="EK136" t="s">
        <v>57</v>
      </c>
      <c r="EL136" t="s">
        <v>57</v>
      </c>
      <c r="EM136" t="s">
        <v>57</v>
      </c>
      <c r="EN136" t="s">
        <v>57</v>
      </c>
      <c r="EO136" t="s">
        <v>57</v>
      </c>
      <c r="EP136" t="s">
        <v>57</v>
      </c>
      <c r="EQ136" t="s">
        <v>57</v>
      </c>
      <c r="ER136" t="s">
        <v>57</v>
      </c>
      <c r="ES136" t="s">
        <v>57</v>
      </c>
      <c r="ET136" t="s">
        <v>57</v>
      </c>
      <c r="EU136" t="s">
        <v>57</v>
      </c>
      <c r="EV136" t="s">
        <v>57</v>
      </c>
      <c r="EW136" t="s">
        <v>57</v>
      </c>
      <c r="EX136" t="s">
        <v>57</v>
      </c>
      <c r="EY136" t="s">
        <v>57</v>
      </c>
      <c r="EZ136" t="s">
        <v>57</v>
      </c>
      <c r="FA136" t="s">
        <v>57</v>
      </c>
      <c r="FB136" t="s">
        <v>57</v>
      </c>
      <c r="FC136" t="s">
        <v>57</v>
      </c>
      <c r="FD136" t="s">
        <v>57</v>
      </c>
      <c r="FE136" t="s">
        <v>57</v>
      </c>
      <c r="FF136" t="s">
        <v>57</v>
      </c>
      <c r="FG136" t="s">
        <v>57</v>
      </c>
      <c r="FH136" t="s">
        <v>57</v>
      </c>
      <c r="FI136" t="s">
        <v>57</v>
      </c>
      <c r="FJ136" t="s">
        <v>57</v>
      </c>
      <c r="FK136" t="s">
        <v>57</v>
      </c>
      <c r="FL136" t="s">
        <v>57</v>
      </c>
      <c r="FM136" t="s">
        <v>57</v>
      </c>
      <c r="FN136" t="s">
        <v>57</v>
      </c>
      <c r="FO136" t="s">
        <v>175</v>
      </c>
      <c r="FP136" t="s">
        <v>57</v>
      </c>
      <c r="FQ136" t="s">
        <v>57</v>
      </c>
      <c r="FR136" t="s">
        <v>57</v>
      </c>
      <c r="FS136" t="s">
        <v>57</v>
      </c>
      <c r="FT136" t="s">
        <v>57</v>
      </c>
      <c r="FU136" t="s">
        <v>57</v>
      </c>
      <c r="FV136" t="s">
        <v>57</v>
      </c>
      <c r="FW136" t="s">
        <v>57</v>
      </c>
      <c r="FX136" t="s">
        <v>57</v>
      </c>
      <c r="FY136" t="s">
        <v>57</v>
      </c>
      <c r="FZ136" t="s">
        <v>57</v>
      </c>
      <c r="GA136" t="s">
        <v>57</v>
      </c>
      <c r="GB136" t="s">
        <v>57</v>
      </c>
      <c r="GC136" t="s">
        <v>57</v>
      </c>
      <c r="GD136" t="s">
        <v>57</v>
      </c>
      <c r="GE136" t="s">
        <v>57</v>
      </c>
      <c r="GF136" t="s">
        <v>57</v>
      </c>
      <c r="GG136" t="s">
        <v>175</v>
      </c>
      <c r="GH136" t="s">
        <v>57</v>
      </c>
      <c r="GI136" t="s">
        <v>57</v>
      </c>
      <c r="GJ136" t="s">
        <v>57</v>
      </c>
      <c r="GK136" t="s">
        <v>57</v>
      </c>
      <c r="GL136" t="s">
        <v>57</v>
      </c>
      <c r="GM136" t="s">
        <v>175</v>
      </c>
      <c r="GN136" t="s">
        <v>57</v>
      </c>
      <c r="GO136" t="s">
        <v>57</v>
      </c>
      <c r="GP136" t="s">
        <v>175</v>
      </c>
      <c r="GQ136" t="s">
        <v>175</v>
      </c>
      <c r="GR136" t="s">
        <v>57</v>
      </c>
      <c r="GS136" t="s">
        <v>57</v>
      </c>
      <c r="GT136" t="s">
        <v>57</v>
      </c>
      <c r="GU136" t="s">
        <v>57</v>
      </c>
      <c r="GV136" t="s">
        <v>57</v>
      </c>
      <c r="GW136" t="s">
        <v>57</v>
      </c>
      <c r="GX136" t="s">
        <v>57</v>
      </c>
      <c r="GY136" t="s">
        <v>57</v>
      </c>
      <c r="GZ136" t="s">
        <v>57</v>
      </c>
      <c r="HA136" t="s">
        <v>57</v>
      </c>
      <c r="HB136" t="s">
        <v>175</v>
      </c>
      <c r="HC136" t="s">
        <v>175</v>
      </c>
      <c r="HD136" t="s">
        <v>57</v>
      </c>
      <c r="HE136" t="s">
        <v>57</v>
      </c>
      <c r="HF136" t="s">
        <v>57</v>
      </c>
      <c r="HG136" t="s">
        <v>57</v>
      </c>
      <c r="HH136" t="s">
        <v>57</v>
      </c>
      <c r="HI136" t="s">
        <v>57</v>
      </c>
      <c r="HJ136" t="s">
        <v>57</v>
      </c>
      <c r="HK136" t="s">
        <v>57</v>
      </c>
      <c r="HL136" t="s">
        <v>57</v>
      </c>
      <c r="HM136" t="s">
        <v>57</v>
      </c>
      <c r="HN136" t="s">
        <v>57</v>
      </c>
      <c r="HO136" t="s">
        <v>57</v>
      </c>
      <c r="HP136" t="s">
        <v>57</v>
      </c>
      <c r="HQ136" t="s">
        <v>57</v>
      </c>
      <c r="HR136" t="s">
        <v>57</v>
      </c>
      <c r="HS136" t="s">
        <v>57</v>
      </c>
      <c r="HT136" t="s">
        <v>57</v>
      </c>
      <c r="HU136" t="s">
        <v>57</v>
      </c>
      <c r="HV136" t="s">
        <v>57</v>
      </c>
      <c r="HW136" t="s">
        <v>57</v>
      </c>
      <c r="HX136" t="s">
        <v>57</v>
      </c>
      <c r="HY136" t="s">
        <v>57</v>
      </c>
      <c r="HZ136" t="s">
        <v>57</v>
      </c>
      <c r="IA136" t="s">
        <v>57</v>
      </c>
      <c r="IB136" t="s">
        <v>57</v>
      </c>
      <c r="IC136" t="s">
        <v>57</v>
      </c>
      <c r="ID136" t="s">
        <v>57</v>
      </c>
      <c r="IE136" t="s">
        <v>57</v>
      </c>
      <c r="IF136" t="s">
        <v>124</v>
      </c>
      <c r="IG136" t="s">
        <v>148</v>
      </c>
      <c r="IH136" t="s">
        <v>123</v>
      </c>
      <c r="II136" t="s">
        <v>156</v>
      </c>
    </row>
    <row r="137" spans="1:243" x14ac:dyDescent="0.25">
      <c r="A137" s="201" t="str">
        <f>HYPERLINK("http://www.ofsted.gov.uk/inspection-reports/find-inspection-report/provider/ELS/134289 ","Ofsted School Webpage")</f>
        <v>Ofsted School Webpage</v>
      </c>
      <c r="B137">
        <v>134289</v>
      </c>
      <c r="C137">
        <v>8216010</v>
      </c>
      <c r="D137" t="s">
        <v>1963</v>
      </c>
      <c r="E137" t="s">
        <v>36</v>
      </c>
      <c r="F137" t="s">
        <v>166</v>
      </c>
      <c r="G137" t="s">
        <v>177</v>
      </c>
      <c r="H137" t="s">
        <v>177</v>
      </c>
      <c r="I137" t="s">
        <v>178</v>
      </c>
      <c r="J137" t="s">
        <v>1964</v>
      </c>
      <c r="K137" t="s">
        <v>142</v>
      </c>
      <c r="L137" t="s">
        <v>180</v>
      </c>
      <c r="M137" t="s">
        <v>2596</v>
      </c>
      <c r="N137" t="s">
        <v>143</v>
      </c>
      <c r="O137">
        <v>10043520</v>
      </c>
      <c r="P137" s="108">
        <v>43151</v>
      </c>
      <c r="Q137" s="108">
        <v>43153</v>
      </c>
      <c r="R137" s="108">
        <v>43182</v>
      </c>
      <c r="S137" t="s">
        <v>153</v>
      </c>
      <c r="T137" t="s">
        <v>154</v>
      </c>
      <c r="U137">
        <v>3</v>
      </c>
      <c r="V137">
        <v>3</v>
      </c>
      <c r="W137">
        <v>2</v>
      </c>
      <c r="X137">
        <v>3</v>
      </c>
      <c r="Y137">
        <v>3</v>
      </c>
      <c r="Z137" t="s">
        <v>2596</v>
      </c>
      <c r="AA137" t="s">
        <v>2596</v>
      </c>
      <c r="AB137" t="s">
        <v>123</v>
      </c>
      <c r="AC137" t="s">
        <v>2596</v>
      </c>
      <c r="AD137" t="s">
        <v>2599</v>
      </c>
      <c r="AE137" t="s">
        <v>58</v>
      </c>
      <c r="AF137" t="s">
        <v>57</v>
      </c>
      <c r="AG137" t="s">
        <v>57</v>
      </c>
      <c r="AH137" t="s">
        <v>57</v>
      </c>
      <c r="AI137" t="s">
        <v>57</v>
      </c>
      <c r="AJ137" t="s">
        <v>57</v>
      </c>
      <c r="AK137" t="s">
        <v>57</v>
      </c>
      <c r="AL137" t="s">
        <v>58</v>
      </c>
      <c r="AM137" t="s">
        <v>58</v>
      </c>
      <c r="AN137" t="s">
        <v>57</v>
      </c>
      <c r="AO137" t="s">
        <v>57</v>
      </c>
      <c r="AP137" t="s">
        <v>58</v>
      </c>
      <c r="AQ137" t="s">
        <v>57</v>
      </c>
      <c r="AR137" t="s">
        <v>57</v>
      </c>
      <c r="AS137" t="s">
        <v>57</v>
      </c>
      <c r="AT137" t="s">
        <v>57</v>
      </c>
      <c r="AU137" t="s">
        <v>57</v>
      </c>
      <c r="AV137" t="s">
        <v>57</v>
      </c>
      <c r="AW137" t="s">
        <v>57</v>
      </c>
      <c r="AX137" t="s">
        <v>175</v>
      </c>
      <c r="AY137" t="s">
        <v>175</v>
      </c>
      <c r="AZ137" t="s">
        <v>175</v>
      </c>
      <c r="BA137" t="s">
        <v>175</v>
      </c>
      <c r="BB137" t="s">
        <v>175</v>
      </c>
      <c r="BC137" t="s">
        <v>175</v>
      </c>
      <c r="BD137" t="s">
        <v>175</v>
      </c>
      <c r="BE137" t="s">
        <v>57</v>
      </c>
      <c r="BF137" t="s">
        <v>57</v>
      </c>
      <c r="BG137" t="s">
        <v>58</v>
      </c>
      <c r="BH137" t="s">
        <v>58</v>
      </c>
      <c r="BI137" t="s">
        <v>57</v>
      </c>
      <c r="BJ137" t="s">
        <v>58</v>
      </c>
      <c r="BK137" t="s">
        <v>58</v>
      </c>
      <c r="BL137" t="s">
        <v>57</v>
      </c>
      <c r="BM137" t="s">
        <v>57</v>
      </c>
      <c r="BN137" t="s">
        <v>58</v>
      </c>
      <c r="BO137" t="s">
        <v>57</v>
      </c>
      <c r="BP137" t="s">
        <v>57</v>
      </c>
      <c r="BQ137" t="s">
        <v>57</v>
      </c>
      <c r="BR137" t="s">
        <v>57</v>
      </c>
      <c r="BS137" t="s">
        <v>57</v>
      </c>
      <c r="BT137" t="s">
        <v>57</v>
      </c>
      <c r="BU137" t="s">
        <v>57</v>
      </c>
      <c r="BV137" t="s">
        <v>57</v>
      </c>
      <c r="BW137" t="s">
        <v>57</v>
      </c>
      <c r="BX137" t="s">
        <v>57</v>
      </c>
      <c r="BY137" t="s">
        <v>57</v>
      </c>
      <c r="BZ137" t="s">
        <v>57</v>
      </c>
      <c r="CA137" t="s">
        <v>57</v>
      </c>
      <c r="CB137" t="s">
        <v>57</v>
      </c>
      <c r="CC137" t="s">
        <v>57</v>
      </c>
      <c r="CD137" t="s">
        <v>57</v>
      </c>
      <c r="CE137" t="s">
        <v>57</v>
      </c>
      <c r="CF137" t="s">
        <v>57</v>
      </c>
      <c r="CG137" t="s">
        <v>57</v>
      </c>
      <c r="CH137" t="s">
        <v>57</v>
      </c>
      <c r="CI137" t="s">
        <v>57</v>
      </c>
      <c r="CJ137" t="s">
        <v>57</v>
      </c>
      <c r="CK137" t="s">
        <v>175</v>
      </c>
      <c r="CL137" t="s">
        <v>175</v>
      </c>
      <c r="CM137" t="s">
        <v>175</v>
      </c>
      <c r="CN137" t="s">
        <v>57</v>
      </c>
      <c r="CO137" t="s">
        <v>57</v>
      </c>
      <c r="CP137" t="s">
        <v>57</v>
      </c>
      <c r="CQ137" t="s">
        <v>57</v>
      </c>
      <c r="CR137" t="s">
        <v>57</v>
      </c>
      <c r="CS137" t="s">
        <v>57</v>
      </c>
      <c r="CT137" t="s">
        <v>57</v>
      </c>
      <c r="CU137" t="s">
        <v>57</v>
      </c>
      <c r="CV137" t="s">
        <v>57</v>
      </c>
      <c r="CW137" t="s">
        <v>57</v>
      </c>
      <c r="CX137" t="s">
        <v>57</v>
      </c>
      <c r="CY137" t="s">
        <v>57</v>
      </c>
      <c r="CZ137" t="s">
        <v>57</v>
      </c>
      <c r="DA137" t="s">
        <v>57</v>
      </c>
      <c r="DB137" t="s">
        <v>57</v>
      </c>
      <c r="DC137" t="s">
        <v>57</v>
      </c>
      <c r="DD137" t="s">
        <v>57</v>
      </c>
      <c r="DE137" t="s">
        <v>57</v>
      </c>
      <c r="DF137" t="s">
        <v>57</v>
      </c>
      <c r="DG137" t="s">
        <v>57</v>
      </c>
      <c r="DH137" t="s">
        <v>57</v>
      </c>
      <c r="DI137" t="s">
        <v>57</v>
      </c>
      <c r="DJ137" t="s">
        <v>57</v>
      </c>
      <c r="DK137" t="s">
        <v>175</v>
      </c>
      <c r="DL137" t="s">
        <v>175</v>
      </c>
      <c r="DM137" t="s">
        <v>175</v>
      </c>
      <c r="DN137" t="s">
        <v>175</v>
      </c>
      <c r="DO137" t="s">
        <v>175</v>
      </c>
      <c r="DP137" t="s">
        <v>175</v>
      </c>
      <c r="DQ137" t="s">
        <v>175</v>
      </c>
      <c r="DR137" t="s">
        <v>175</v>
      </c>
      <c r="DS137" t="s">
        <v>175</v>
      </c>
      <c r="DT137" t="s">
        <v>175</v>
      </c>
      <c r="DU137" t="s">
        <v>175</v>
      </c>
      <c r="DV137" t="s">
        <v>175</v>
      </c>
      <c r="DW137" t="s">
        <v>175</v>
      </c>
      <c r="DX137" t="s">
        <v>175</v>
      </c>
      <c r="DY137" t="s">
        <v>175</v>
      </c>
      <c r="DZ137" t="s">
        <v>175</v>
      </c>
      <c r="EA137" t="s">
        <v>175</v>
      </c>
      <c r="EB137" t="s">
        <v>175</v>
      </c>
      <c r="EC137" t="s">
        <v>175</v>
      </c>
      <c r="ED137" t="s">
        <v>175</v>
      </c>
      <c r="EE137" t="s">
        <v>175</v>
      </c>
      <c r="EF137" t="s">
        <v>175</v>
      </c>
      <c r="EG137" t="s">
        <v>175</v>
      </c>
      <c r="EH137" t="s">
        <v>175</v>
      </c>
      <c r="EI137" t="s">
        <v>175</v>
      </c>
      <c r="EJ137" t="s">
        <v>57</v>
      </c>
      <c r="EK137" t="s">
        <v>57</v>
      </c>
      <c r="EL137" t="s">
        <v>57</v>
      </c>
      <c r="EM137" t="s">
        <v>57</v>
      </c>
      <c r="EN137" t="s">
        <v>57</v>
      </c>
      <c r="EO137" t="s">
        <v>57</v>
      </c>
      <c r="EP137" t="s">
        <v>57</v>
      </c>
      <c r="EQ137" t="s">
        <v>57</v>
      </c>
      <c r="ER137" t="s">
        <v>57</v>
      </c>
      <c r="ES137" t="s">
        <v>57</v>
      </c>
      <c r="ET137" t="s">
        <v>57</v>
      </c>
      <c r="EU137" t="s">
        <v>57</v>
      </c>
      <c r="EV137" t="s">
        <v>57</v>
      </c>
      <c r="EW137" t="s">
        <v>57</v>
      </c>
      <c r="EX137" t="s">
        <v>175</v>
      </c>
      <c r="EY137" t="s">
        <v>175</v>
      </c>
      <c r="EZ137" t="s">
        <v>175</v>
      </c>
      <c r="FA137" t="s">
        <v>175</v>
      </c>
      <c r="FB137" t="s">
        <v>175</v>
      </c>
      <c r="FC137" t="s">
        <v>175</v>
      </c>
      <c r="FD137" t="s">
        <v>175</v>
      </c>
      <c r="FE137" t="s">
        <v>175</v>
      </c>
      <c r="FF137" t="s">
        <v>148</v>
      </c>
      <c r="FG137" t="s">
        <v>175</v>
      </c>
      <c r="FH137" t="s">
        <v>57</v>
      </c>
      <c r="FI137" t="s">
        <v>57</v>
      </c>
      <c r="FJ137" t="s">
        <v>57</v>
      </c>
      <c r="FK137" t="s">
        <v>57</v>
      </c>
      <c r="FL137" t="s">
        <v>57</v>
      </c>
      <c r="FM137" t="s">
        <v>57</v>
      </c>
      <c r="FN137" t="s">
        <v>57</v>
      </c>
      <c r="FO137" t="s">
        <v>57</v>
      </c>
      <c r="FP137" t="s">
        <v>57</v>
      </c>
      <c r="FQ137" t="s">
        <v>57</v>
      </c>
      <c r="FR137" t="s">
        <v>57</v>
      </c>
      <c r="FS137" t="s">
        <v>57</v>
      </c>
      <c r="FT137" t="s">
        <v>57</v>
      </c>
      <c r="FU137" t="s">
        <v>57</v>
      </c>
      <c r="FV137" t="s">
        <v>57</v>
      </c>
      <c r="FW137" t="s">
        <v>57</v>
      </c>
      <c r="FX137" t="s">
        <v>57</v>
      </c>
      <c r="FY137" t="s">
        <v>57</v>
      </c>
      <c r="FZ137" t="s">
        <v>57</v>
      </c>
      <c r="GA137" t="s">
        <v>57</v>
      </c>
      <c r="GB137" t="s">
        <v>57</v>
      </c>
      <c r="GC137" t="s">
        <v>57</v>
      </c>
      <c r="GD137" t="s">
        <v>57</v>
      </c>
      <c r="GE137" t="s">
        <v>57</v>
      </c>
      <c r="GF137" t="s">
        <v>57</v>
      </c>
      <c r="GG137" t="s">
        <v>175</v>
      </c>
      <c r="GH137" t="s">
        <v>57</v>
      </c>
      <c r="GI137" t="s">
        <v>57</v>
      </c>
      <c r="GJ137" t="s">
        <v>57</v>
      </c>
      <c r="GK137" t="s">
        <v>57</v>
      </c>
      <c r="GL137" t="s">
        <v>57</v>
      </c>
      <c r="GM137" t="s">
        <v>57</v>
      </c>
      <c r="GN137" t="s">
        <v>57</v>
      </c>
      <c r="GO137" t="s">
        <v>57</v>
      </c>
      <c r="GP137" t="s">
        <v>175</v>
      </c>
      <c r="GQ137" t="s">
        <v>175</v>
      </c>
      <c r="GR137" t="s">
        <v>57</v>
      </c>
      <c r="GS137" t="s">
        <v>57</v>
      </c>
      <c r="GT137" t="s">
        <v>57</v>
      </c>
      <c r="GU137" t="s">
        <v>57</v>
      </c>
      <c r="GV137" t="s">
        <v>57</v>
      </c>
      <c r="GW137" t="s">
        <v>57</v>
      </c>
      <c r="GX137" t="s">
        <v>57</v>
      </c>
      <c r="GY137" t="s">
        <v>57</v>
      </c>
      <c r="GZ137" t="s">
        <v>57</v>
      </c>
      <c r="HA137" t="s">
        <v>57</v>
      </c>
      <c r="HB137" t="s">
        <v>57</v>
      </c>
      <c r="HC137" t="s">
        <v>57</v>
      </c>
      <c r="HD137" t="s">
        <v>57</v>
      </c>
      <c r="HE137" t="s">
        <v>57</v>
      </c>
      <c r="HF137" t="s">
        <v>57</v>
      </c>
      <c r="HG137" t="s">
        <v>57</v>
      </c>
      <c r="HH137" t="s">
        <v>57</v>
      </c>
      <c r="HI137" t="s">
        <v>57</v>
      </c>
      <c r="HJ137" t="s">
        <v>57</v>
      </c>
      <c r="HK137" t="s">
        <v>57</v>
      </c>
      <c r="HL137" t="s">
        <v>57</v>
      </c>
      <c r="HM137" t="s">
        <v>57</v>
      </c>
      <c r="HN137" t="s">
        <v>57</v>
      </c>
      <c r="HO137" t="s">
        <v>57</v>
      </c>
      <c r="HP137" t="s">
        <v>57</v>
      </c>
      <c r="HQ137" t="s">
        <v>57</v>
      </c>
      <c r="HR137" t="s">
        <v>57</v>
      </c>
      <c r="HS137" t="s">
        <v>57</v>
      </c>
      <c r="HT137" t="s">
        <v>57</v>
      </c>
      <c r="HU137" t="s">
        <v>57</v>
      </c>
      <c r="HV137" t="s">
        <v>57</v>
      </c>
      <c r="HW137" t="s">
        <v>57</v>
      </c>
      <c r="HX137" t="s">
        <v>57</v>
      </c>
      <c r="HY137" t="s">
        <v>57</v>
      </c>
      <c r="HZ137" t="s">
        <v>57</v>
      </c>
      <c r="IA137" t="s">
        <v>57</v>
      </c>
      <c r="IB137" t="s">
        <v>58</v>
      </c>
      <c r="IC137" t="s">
        <v>58</v>
      </c>
      <c r="ID137" t="s">
        <v>58</v>
      </c>
      <c r="IE137" t="s">
        <v>57</v>
      </c>
      <c r="IF137" t="s">
        <v>124</v>
      </c>
      <c r="IG137" t="s">
        <v>160</v>
      </c>
      <c r="IH137" t="s">
        <v>160</v>
      </c>
      <c r="II137" t="s">
        <v>363</v>
      </c>
    </row>
    <row r="138" spans="1:243" x14ac:dyDescent="0.25">
      <c r="A138" s="201" t="str">
        <f>HYPERLINK("http://www.ofsted.gov.uk/inspection-reports/find-inspection-report/provider/ELS/134294 ","Ofsted School Webpage")</f>
        <v>Ofsted School Webpage</v>
      </c>
      <c r="B138">
        <v>134294</v>
      </c>
      <c r="C138">
        <v>8316006</v>
      </c>
      <c r="D138" t="s">
        <v>375</v>
      </c>
      <c r="E138" t="s">
        <v>36</v>
      </c>
      <c r="F138" t="s">
        <v>166</v>
      </c>
      <c r="G138" t="s">
        <v>171</v>
      </c>
      <c r="H138" t="s">
        <v>171</v>
      </c>
      <c r="I138" t="s">
        <v>376</v>
      </c>
      <c r="J138" t="s">
        <v>377</v>
      </c>
      <c r="K138" t="s">
        <v>261</v>
      </c>
      <c r="L138" t="s">
        <v>180</v>
      </c>
      <c r="M138" t="s">
        <v>2596</v>
      </c>
      <c r="N138" t="s">
        <v>143</v>
      </c>
      <c r="O138">
        <v>10033532</v>
      </c>
      <c r="P138" s="108">
        <v>43025</v>
      </c>
      <c r="Q138" s="108">
        <v>43027</v>
      </c>
      <c r="R138" s="108">
        <v>43052</v>
      </c>
      <c r="S138" t="s">
        <v>153</v>
      </c>
      <c r="T138" t="s">
        <v>154</v>
      </c>
      <c r="U138">
        <v>3</v>
      </c>
      <c r="V138">
        <v>3</v>
      </c>
      <c r="W138">
        <v>2</v>
      </c>
      <c r="X138">
        <v>3</v>
      </c>
      <c r="Y138">
        <v>3</v>
      </c>
      <c r="Z138">
        <v>3</v>
      </c>
      <c r="AA138" t="s">
        <v>2596</v>
      </c>
      <c r="AB138" t="s">
        <v>123</v>
      </c>
      <c r="AC138" t="s">
        <v>2596</v>
      </c>
      <c r="AD138" t="s">
        <v>2598</v>
      </c>
      <c r="AE138" t="s">
        <v>57</v>
      </c>
      <c r="AF138" t="s">
        <v>57</v>
      </c>
      <c r="AG138" t="s">
        <v>57</v>
      </c>
      <c r="AH138" t="s">
        <v>57</v>
      </c>
      <c r="AI138" t="s">
        <v>57</v>
      </c>
      <c r="AJ138" t="s">
        <v>57</v>
      </c>
      <c r="AK138" t="s">
        <v>57</v>
      </c>
      <c r="AL138" t="s">
        <v>57</v>
      </c>
      <c r="AM138" t="s">
        <v>57</v>
      </c>
      <c r="AN138" t="s">
        <v>57</v>
      </c>
      <c r="AO138" t="s">
        <v>57</v>
      </c>
      <c r="AP138" t="s">
        <v>57</v>
      </c>
      <c r="AQ138" t="s">
        <v>57</v>
      </c>
      <c r="AR138" t="s">
        <v>57</v>
      </c>
      <c r="AS138" t="s">
        <v>57</v>
      </c>
      <c r="AT138" t="s">
        <v>57</v>
      </c>
      <c r="AU138" t="s">
        <v>175</v>
      </c>
      <c r="AV138" t="s">
        <v>57</v>
      </c>
      <c r="AW138" t="s">
        <v>57</v>
      </c>
      <c r="AX138" t="s">
        <v>57</v>
      </c>
      <c r="AY138" t="s">
        <v>57</v>
      </c>
      <c r="AZ138" t="s">
        <v>57</v>
      </c>
      <c r="BA138" t="s">
        <v>57</v>
      </c>
      <c r="BB138" t="s">
        <v>57</v>
      </c>
      <c r="BC138" t="s">
        <v>57</v>
      </c>
      <c r="BD138" t="s">
        <v>175</v>
      </c>
      <c r="BE138" t="s">
        <v>57</v>
      </c>
      <c r="BF138" t="s">
        <v>57</v>
      </c>
      <c r="BG138" t="s">
        <v>57</v>
      </c>
      <c r="BH138" t="s">
        <v>57</v>
      </c>
      <c r="BI138" t="s">
        <v>57</v>
      </c>
      <c r="BJ138" t="s">
        <v>57</v>
      </c>
      <c r="BK138" t="s">
        <v>57</v>
      </c>
      <c r="BL138" t="s">
        <v>57</v>
      </c>
      <c r="BM138" t="s">
        <v>57</v>
      </c>
      <c r="BN138" t="s">
        <v>57</v>
      </c>
      <c r="BO138" t="s">
        <v>57</v>
      </c>
      <c r="BP138" t="s">
        <v>57</v>
      </c>
      <c r="BQ138" t="s">
        <v>57</v>
      </c>
      <c r="BR138" t="s">
        <v>57</v>
      </c>
      <c r="BS138" t="s">
        <v>57</v>
      </c>
      <c r="BT138" t="s">
        <v>57</v>
      </c>
      <c r="BU138" t="s">
        <v>57</v>
      </c>
      <c r="BV138" t="s">
        <v>57</v>
      </c>
      <c r="BW138" t="s">
        <v>57</v>
      </c>
      <c r="BX138" t="s">
        <v>57</v>
      </c>
      <c r="BY138" t="s">
        <v>57</v>
      </c>
      <c r="BZ138" t="s">
        <v>57</v>
      </c>
      <c r="CA138" t="s">
        <v>57</v>
      </c>
      <c r="CB138" t="s">
        <v>57</v>
      </c>
      <c r="CC138" t="s">
        <v>57</v>
      </c>
      <c r="CD138" t="s">
        <v>57</v>
      </c>
      <c r="CE138" t="s">
        <v>57</v>
      </c>
      <c r="CF138" t="s">
        <v>57</v>
      </c>
      <c r="CG138" t="s">
        <v>57</v>
      </c>
      <c r="CH138" t="s">
        <v>57</v>
      </c>
      <c r="CI138" t="s">
        <v>57</v>
      </c>
      <c r="CJ138" t="s">
        <v>57</v>
      </c>
      <c r="CK138" t="s">
        <v>175</v>
      </c>
      <c r="CL138" t="s">
        <v>175</v>
      </c>
      <c r="CM138" t="s">
        <v>175</v>
      </c>
      <c r="CN138" t="s">
        <v>57</v>
      </c>
      <c r="CO138" t="s">
        <v>57</v>
      </c>
      <c r="CP138" t="s">
        <v>57</v>
      </c>
      <c r="CQ138" t="s">
        <v>57</v>
      </c>
      <c r="CR138" t="s">
        <v>57</v>
      </c>
      <c r="CS138" t="s">
        <v>57</v>
      </c>
      <c r="CT138" t="s">
        <v>57</v>
      </c>
      <c r="CU138" t="s">
        <v>57</v>
      </c>
      <c r="CV138" t="s">
        <v>57</v>
      </c>
      <c r="CW138" t="s">
        <v>57</v>
      </c>
      <c r="CX138" t="s">
        <v>57</v>
      </c>
      <c r="CY138" t="s">
        <v>57</v>
      </c>
      <c r="CZ138" t="s">
        <v>57</v>
      </c>
      <c r="DA138" t="s">
        <v>57</v>
      </c>
      <c r="DB138" t="s">
        <v>57</v>
      </c>
      <c r="DC138" t="s">
        <v>57</v>
      </c>
      <c r="DD138" t="s">
        <v>57</v>
      </c>
      <c r="DE138" t="s">
        <v>57</v>
      </c>
      <c r="DF138" t="s">
        <v>57</v>
      </c>
      <c r="DG138" t="s">
        <v>57</v>
      </c>
      <c r="DH138" t="s">
        <v>57</v>
      </c>
      <c r="DI138" t="s">
        <v>57</v>
      </c>
      <c r="DJ138" t="s">
        <v>57</v>
      </c>
      <c r="DK138" t="s">
        <v>57</v>
      </c>
      <c r="DL138" t="s">
        <v>57</v>
      </c>
      <c r="DM138" t="s">
        <v>175</v>
      </c>
      <c r="DN138" t="s">
        <v>175</v>
      </c>
      <c r="DO138" t="s">
        <v>175</v>
      </c>
      <c r="DP138" t="s">
        <v>175</v>
      </c>
      <c r="DQ138" t="s">
        <v>175</v>
      </c>
      <c r="DR138" t="s">
        <v>175</v>
      </c>
      <c r="DS138" t="s">
        <v>175</v>
      </c>
      <c r="DT138" t="s">
        <v>175</v>
      </c>
      <c r="DU138" t="s">
        <v>175</v>
      </c>
      <c r="DV138" t="s">
        <v>175</v>
      </c>
      <c r="DW138" t="s">
        <v>175</v>
      </c>
      <c r="DX138" t="s">
        <v>175</v>
      </c>
      <c r="DY138" t="s">
        <v>175</v>
      </c>
      <c r="DZ138" t="s">
        <v>175</v>
      </c>
      <c r="EA138" t="s">
        <v>57</v>
      </c>
      <c r="EB138" t="s">
        <v>57</v>
      </c>
      <c r="EC138" t="s">
        <v>57</v>
      </c>
      <c r="ED138" t="s">
        <v>57</v>
      </c>
      <c r="EE138" t="s">
        <v>57</v>
      </c>
      <c r="EF138" t="s">
        <v>57</v>
      </c>
      <c r="EG138" t="s">
        <v>57</v>
      </c>
      <c r="EH138" t="s">
        <v>57</v>
      </c>
      <c r="EI138" t="s">
        <v>57</v>
      </c>
      <c r="EJ138" t="s">
        <v>57</v>
      </c>
      <c r="EK138" t="s">
        <v>57</v>
      </c>
      <c r="EL138" t="s">
        <v>57</v>
      </c>
      <c r="EM138" t="s">
        <v>57</v>
      </c>
      <c r="EN138" t="s">
        <v>57</v>
      </c>
      <c r="EO138" t="s">
        <v>57</v>
      </c>
      <c r="EP138" t="s">
        <v>57</v>
      </c>
      <c r="EQ138" t="s">
        <v>57</v>
      </c>
      <c r="ER138" t="s">
        <v>57</v>
      </c>
      <c r="ES138" t="s">
        <v>57</v>
      </c>
      <c r="ET138" t="s">
        <v>57</v>
      </c>
      <c r="EU138" t="s">
        <v>57</v>
      </c>
      <c r="EV138" t="s">
        <v>57</v>
      </c>
      <c r="EW138" t="s">
        <v>175</v>
      </c>
      <c r="EX138" t="s">
        <v>175</v>
      </c>
      <c r="EY138" t="s">
        <v>175</v>
      </c>
      <c r="EZ138" t="s">
        <v>175</v>
      </c>
      <c r="FA138" t="s">
        <v>175</v>
      </c>
      <c r="FB138" t="s">
        <v>175</v>
      </c>
      <c r="FC138" t="s">
        <v>175</v>
      </c>
      <c r="FD138" t="s">
        <v>57</v>
      </c>
      <c r="FE138" t="s">
        <v>57</v>
      </c>
      <c r="FF138" t="s">
        <v>57</v>
      </c>
      <c r="FG138" t="s">
        <v>57</v>
      </c>
      <c r="FH138" t="s">
        <v>57</v>
      </c>
      <c r="FI138" t="s">
        <v>57</v>
      </c>
      <c r="FJ138" t="s">
        <v>57</v>
      </c>
      <c r="FK138" t="s">
        <v>57</v>
      </c>
      <c r="FL138" t="s">
        <v>57</v>
      </c>
      <c r="FM138" t="s">
        <v>57</v>
      </c>
      <c r="FN138" t="s">
        <v>57</v>
      </c>
      <c r="FO138" t="s">
        <v>175</v>
      </c>
      <c r="FP138" t="s">
        <v>57</v>
      </c>
      <c r="FQ138" t="s">
        <v>57</v>
      </c>
      <c r="FR138" t="s">
        <v>57</v>
      </c>
      <c r="FS138" t="s">
        <v>57</v>
      </c>
      <c r="FT138" t="s">
        <v>57</v>
      </c>
      <c r="FU138" t="s">
        <v>57</v>
      </c>
      <c r="FV138" t="s">
        <v>57</v>
      </c>
      <c r="FW138" t="s">
        <v>57</v>
      </c>
      <c r="FX138" t="s">
        <v>57</v>
      </c>
      <c r="FY138" t="s">
        <v>57</v>
      </c>
      <c r="FZ138" t="s">
        <v>57</v>
      </c>
      <c r="GA138" t="s">
        <v>57</v>
      </c>
      <c r="GB138" t="s">
        <v>57</v>
      </c>
      <c r="GC138" t="s">
        <v>57</v>
      </c>
      <c r="GD138" t="s">
        <v>57</v>
      </c>
      <c r="GE138" t="s">
        <v>57</v>
      </c>
      <c r="GF138" t="s">
        <v>57</v>
      </c>
      <c r="GG138" t="s">
        <v>175</v>
      </c>
      <c r="GH138" t="s">
        <v>57</v>
      </c>
      <c r="GI138" t="s">
        <v>57</v>
      </c>
      <c r="GJ138" t="s">
        <v>57</v>
      </c>
      <c r="GK138" t="s">
        <v>57</v>
      </c>
      <c r="GL138" t="s">
        <v>57</v>
      </c>
      <c r="GM138" t="s">
        <v>175</v>
      </c>
      <c r="GN138" t="s">
        <v>57</v>
      </c>
      <c r="GO138" t="s">
        <v>57</v>
      </c>
      <c r="GP138" t="s">
        <v>175</v>
      </c>
      <c r="GQ138" t="s">
        <v>175</v>
      </c>
      <c r="GR138" t="s">
        <v>175</v>
      </c>
      <c r="GS138" t="s">
        <v>57</v>
      </c>
      <c r="GT138" t="s">
        <v>57</v>
      </c>
      <c r="GU138" t="s">
        <v>57</v>
      </c>
      <c r="GV138" t="s">
        <v>57</v>
      </c>
      <c r="GW138" t="s">
        <v>57</v>
      </c>
      <c r="GX138" t="s">
        <v>57</v>
      </c>
      <c r="GY138" t="s">
        <v>57</v>
      </c>
      <c r="GZ138" t="s">
        <v>57</v>
      </c>
      <c r="HA138" t="s">
        <v>57</v>
      </c>
      <c r="HB138" t="s">
        <v>57</v>
      </c>
      <c r="HC138" t="s">
        <v>57</v>
      </c>
      <c r="HD138" t="s">
        <v>57</v>
      </c>
      <c r="HE138" t="s">
        <v>57</v>
      </c>
      <c r="HF138" t="s">
        <v>57</v>
      </c>
      <c r="HG138" t="s">
        <v>57</v>
      </c>
      <c r="HH138" t="s">
        <v>175</v>
      </c>
      <c r="HI138" t="s">
        <v>175</v>
      </c>
      <c r="HJ138" t="s">
        <v>175</v>
      </c>
      <c r="HK138" t="s">
        <v>175</v>
      </c>
      <c r="HL138" t="s">
        <v>57</v>
      </c>
      <c r="HM138" t="s">
        <v>57</v>
      </c>
      <c r="HN138" t="s">
        <v>57</v>
      </c>
      <c r="HO138" t="s">
        <v>57</v>
      </c>
      <c r="HP138" t="s">
        <v>57</v>
      </c>
      <c r="HQ138" t="s">
        <v>57</v>
      </c>
      <c r="HR138" t="s">
        <v>57</v>
      </c>
      <c r="HS138" t="s">
        <v>57</v>
      </c>
      <c r="HT138" t="s">
        <v>57</v>
      </c>
      <c r="HU138" t="s">
        <v>57</v>
      </c>
      <c r="HV138" t="s">
        <v>57</v>
      </c>
      <c r="HW138" t="s">
        <v>57</v>
      </c>
      <c r="HX138" t="s">
        <v>57</v>
      </c>
      <c r="HY138" t="s">
        <v>57</v>
      </c>
      <c r="HZ138" t="s">
        <v>57</v>
      </c>
      <c r="IA138" t="s">
        <v>57</v>
      </c>
      <c r="IB138" t="s">
        <v>57</v>
      </c>
      <c r="IC138" t="s">
        <v>57</v>
      </c>
      <c r="ID138" t="s">
        <v>57</v>
      </c>
      <c r="IE138" t="s">
        <v>57</v>
      </c>
      <c r="IF138" t="s">
        <v>124</v>
      </c>
      <c r="IG138" t="s">
        <v>148</v>
      </c>
      <c r="IH138" t="s">
        <v>123</v>
      </c>
      <c r="II138" t="s">
        <v>156</v>
      </c>
    </row>
    <row r="139" spans="1:243" x14ac:dyDescent="0.25">
      <c r="A139" s="201" t="str">
        <f>HYPERLINK("http://www.ofsted.gov.uk/inspection-reports/find-inspection-report/provider/ELS/134388 ","Ofsted School Webpage")</f>
        <v>Ofsted School Webpage</v>
      </c>
      <c r="B139">
        <v>134388</v>
      </c>
      <c r="C139">
        <v>3016002</v>
      </c>
      <c r="D139" t="s">
        <v>1102</v>
      </c>
      <c r="E139" t="s">
        <v>37</v>
      </c>
      <c r="F139" t="s">
        <v>138</v>
      </c>
      <c r="G139" t="s">
        <v>189</v>
      </c>
      <c r="H139" t="s">
        <v>189</v>
      </c>
      <c r="I139" t="s">
        <v>1103</v>
      </c>
      <c r="J139" t="s">
        <v>1104</v>
      </c>
      <c r="K139" t="s">
        <v>142</v>
      </c>
      <c r="L139" t="s">
        <v>142</v>
      </c>
      <c r="M139" t="s">
        <v>2596</v>
      </c>
      <c r="N139" t="s">
        <v>143</v>
      </c>
      <c r="O139">
        <v>10038168</v>
      </c>
      <c r="P139" s="108">
        <v>43054</v>
      </c>
      <c r="Q139" s="108">
        <v>43056</v>
      </c>
      <c r="R139" s="108">
        <v>43097</v>
      </c>
      <c r="S139" t="s">
        <v>153</v>
      </c>
      <c r="T139" t="s">
        <v>154</v>
      </c>
      <c r="U139">
        <v>3</v>
      </c>
      <c r="V139">
        <v>2</v>
      </c>
      <c r="W139">
        <v>3</v>
      </c>
      <c r="X139">
        <v>3</v>
      </c>
      <c r="Y139">
        <v>3</v>
      </c>
      <c r="Z139" t="s">
        <v>2596</v>
      </c>
      <c r="AA139" t="s">
        <v>2596</v>
      </c>
      <c r="AB139" t="s">
        <v>123</v>
      </c>
      <c r="AC139" t="s">
        <v>2596</v>
      </c>
      <c r="AD139" t="s">
        <v>2598</v>
      </c>
      <c r="AE139" t="s">
        <v>57</v>
      </c>
      <c r="AF139" t="s">
        <v>57</v>
      </c>
      <c r="AG139" t="s">
        <v>57</v>
      </c>
      <c r="AH139" t="s">
        <v>57</v>
      </c>
      <c r="AI139" t="s">
        <v>57</v>
      </c>
      <c r="AJ139" t="s">
        <v>57</v>
      </c>
      <c r="AK139" t="s">
        <v>57</v>
      </c>
      <c r="AL139" t="s">
        <v>57</v>
      </c>
      <c r="AM139" t="s">
        <v>57</v>
      </c>
      <c r="AN139" t="s">
        <v>57</v>
      </c>
      <c r="AO139" t="s">
        <v>57</v>
      </c>
      <c r="AP139" t="s">
        <v>57</v>
      </c>
      <c r="AQ139" t="s">
        <v>57</v>
      </c>
      <c r="AR139" t="s">
        <v>57</v>
      </c>
      <c r="AS139" t="s">
        <v>57</v>
      </c>
      <c r="AT139" t="s">
        <v>57</v>
      </c>
      <c r="AU139" t="s">
        <v>175</v>
      </c>
      <c r="AV139" t="s">
        <v>57</v>
      </c>
      <c r="AW139" t="s">
        <v>57</v>
      </c>
      <c r="AX139" t="s">
        <v>57</v>
      </c>
      <c r="AY139" t="s">
        <v>57</v>
      </c>
      <c r="AZ139" t="s">
        <v>57</v>
      </c>
      <c r="BA139" t="s">
        <v>57</v>
      </c>
      <c r="BB139" t="s">
        <v>57</v>
      </c>
      <c r="BC139" t="s">
        <v>175</v>
      </c>
      <c r="BD139" t="s">
        <v>57</v>
      </c>
      <c r="BE139" t="s">
        <v>57</v>
      </c>
      <c r="BF139" t="s">
        <v>57</v>
      </c>
      <c r="BG139" t="s">
        <v>57</v>
      </c>
      <c r="BH139" t="s">
        <v>57</v>
      </c>
      <c r="BI139" t="s">
        <v>57</v>
      </c>
      <c r="BJ139" t="s">
        <v>57</v>
      </c>
      <c r="BK139" t="s">
        <v>57</v>
      </c>
      <c r="BL139" t="s">
        <v>57</v>
      </c>
      <c r="BM139" t="s">
        <v>57</v>
      </c>
      <c r="BN139" t="s">
        <v>57</v>
      </c>
      <c r="BO139" t="s">
        <v>57</v>
      </c>
      <c r="BP139" t="s">
        <v>57</v>
      </c>
      <c r="BQ139" t="s">
        <v>57</v>
      </c>
      <c r="BR139" t="s">
        <v>57</v>
      </c>
      <c r="BS139" t="s">
        <v>57</v>
      </c>
      <c r="BT139" t="s">
        <v>57</v>
      </c>
      <c r="BU139" t="s">
        <v>57</v>
      </c>
      <c r="BV139" t="s">
        <v>57</v>
      </c>
      <c r="BW139" t="s">
        <v>57</v>
      </c>
      <c r="BX139" t="s">
        <v>57</v>
      </c>
      <c r="BY139" t="s">
        <v>57</v>
      </c>
      <c r="BZ139" t="s">
        <v>57</v>
      </c>
      <c r="CA139" t="s">
        <v>57</v>
      </c>
      <c r="CB139" t="s">
        <v>57</v>
      </c>
      <c r="CC139" t="s">
        <v>57</v>
      </c>
      <c r="CD139" t="s">
        <v>57</v>
      </c>
      <c r="CE139" t="s">
        <v>57</v>
      </c>
      <c r="CF139" t="s">
        <v>57</v>
      </c>
      <c r="CG139" t="s">
        <v>57</v>
      </c>
      <c r="CH139" t="s">
        <v>57</v>
      </c>
      <c r="CI139" t="s">
        <v>57</v>
      </c>
      <c r="CJ139" t="s">
        <v>57</v>
      </c>
      <c r="CK139" t="s">
        <v>175</v>
      </c>
      <c r="CL139" t="s">
        <v>175</v>
      </c>
      <c r="CM139" t="s">
        <v>175</v>
      </c>
      <c r="CN139" t="s">
        <v>57</v>
      </c>
      <c r="CO139" t="s">
        <v>57</v>
      </c>
      <c r="CP139" t="s">
        <v>57</v>
      </c>
      <c r="CQ139" t="s">
        <v>57</v>
      </c>
      <c r="CR139" t="s">
        <v>57</v>
      </c>
      <c r="CS139" t="s">
        <v>57</v>
      </c>
      <c r="CT139" t="s">
        <v>57</v>
      </c>
      <c r="CU139" t="s">
        <v>57</v>
      </c>
      <c r="CV139" t="s">
        <v>57</v>
      </c>
      <c r="CW139" t="s">
        <v>57</v>
      </c>
      <c r="CX139" t="s">
        <v>57</v>
      </c>
      <c r="CY139" t="s">
        <v>57</v>
      </c>
      <c r="CZ139" t="s">
        <v>57</v>
      </c>
      <c r="DA139" t="s">
        <v>57</v>
      </c>
      <c r="DB139" t="s">
        <v>57</v>
      </c>
      <c r="DC139" t="s">
        <v>57</v>
      </c>
      <c r="DD139" t="s">
        <v>57</v>
      </c>
      <c r="DE139" t="s">
        <v>57</v>
      </c>
      <c r="DF139" t="s">
        <v>57</v>
      </c>
      <c r="DG139" t="s">
        <v>57</v>
      </c>
      <c r="DH139" t="s">
        <v>57</v>
      </c>
      <c r="DI139" t="s">
        <v>57</v>
      </c>
      <c r="DJ139" t="s">
        <v>57</v>
      </c>
      <c r="DK139" t="s">
        <v>175</v>
      </c>
      <c r="DL139" t="s">
        <v>57</v>
      </c>
      <c r="DM139" t="s">
        <v>57</v>
      </c>
      <c r="DN139" t="s">
        <v>57</v>
      </c>
      <c r="DO139" t="s">
        <v>57</v>
      </c>
      <c r="DP139" t="s">
        <v>57</v>
      </c>
      <c r="DQ139" t="s">
        <v>57</v>
      </c>
      <c r="DR139" t="s">
        <v>57</v>
      </c>
      <c r="DS139" t="s">
        <v>57</v>
      </c>
      <c r="DT139" t="s">
        <v>57</v>
      </c>
      <c r="DU139" t="s">
        <v>57</v>
      </c>
      <c r="DV139" t="s">
        <v>57</v>
      </c>
      <c r="DW139" t="s">
        <v>57</v>
      </c>
      <c r="DX139" t="s">
        <v>57</v>
      </c>
      <c r="DY139" t="s">
        <v>175</v>
      </c>
      <c r="DZ139" t="s">
        <v>57</v>
      </c>
      <c r="EA139" t="s">
        <v>57</v>
      </c>
      <c r="EB139" t="s">
        <v>57</v>
      </c>
      <c r="EC139" t="s">
        <v>57</v>
      </c>
      <c r="ED139" t="s">
        <v>57</v>
      </c>
      <c r="EE139" t="s">
        <v>57</v>
      </c>
      <c r="EF139" t="s">
        <v>57</v>
      </c>
      <c r="EG139" t="s">
        <v>57</v>
      </c>
      <c r="EH139" t="s">
        <v>57</v>
      </c>
      <c r="EI139" t="s">
        <v>57</v>
      </c>
      <c r="EJ139" t="s">
        <v>57</v>
      </c>
      <c r="EK139" t="s">
        <v>57</v>
      </c>
      <c r="EL139" t="s">
        <v>57</v>
      </c>
      <c r="EM139" t="s">
        <v>57</v>
      </c>
      <c r="EN139" t="s">
        <v>57</v>
      </c>
      <c r="EO139" t="s">
        <v>57</v>
      </c>
      <c r="EP139" t="s">
        <v>57</v>
      </c>
      <c r="EQ139" t="s">
        <v>57</v>
      </c>
      <c r="ER139" t="s">
        <v>57</v>
      </c>
      <c r="ES139" t="s">
        <v>57</v>
      </c>
      <c r="ET139" t="s">
        <v>57</v>
      </c>
      <c r="EU139" t="s">
        <v>57</v>
      </c>
      <c r="EV139" t="s">
        <v>57</v>
      </c>
      <c r="EW139" t="s">
        <v>175</v>
      </c>
      <c r="EX139" t="s">
        <v>57</v>
      </c>
      <c r="EY139" t="s">
        <v>57</v>
      </c>
      <c r="EZ139" t="s">
        <v>57</v>
      </c>
      <c r="FA139" t="s">
        <v>57</v>
      </c>
      <c r="FB139" t="s">
        <v>57</v>
      </c>
      <c r="FC139" t="s">
        <v>57</v>
      </c>
      <c r="FD139" t="s">
        <v>57</v>
      </c>
      <c r="FE139" t="s">
        <v>175</v>
      </c>
      <c r="FF139" t="s">
        <v>148</v>
      </c>
      <c r="FG139" t="s">
        <v>175</v>
      </c>
      <c r="FH139" t="s">
        <v>57</v>
      </c>
      <c r="FI139" t="s">
        <v>57</v>
      </c>
      <c r="FJ139" t="s">
        <v>57</v>
      </c>
      <c r="FK139" t="s">
        <v>57</v>
      </c>
      <c r="FL139" t="s">
        <v>57</v>
      </c>
      <c r="FM139" t="s">
        <v>57</v>
      </c>
      <c r="FN139" t="s">
        <v>57</v>
      </c>
      <c r="FO139" t="s">
        <v>175</v>
      </c>
      <c r="FP139" t="s">
        <v>57</v>
      </c>
      <c r="FQ139" t="s">
        <v>57</v>
      </c>
      <c r="FR139" t="s">
        <v>57</v>
      </c>
      <c r="FS139" t="s">
        <v>57</v>
      </c>
      <c r="FT139" t="s">
        <v>57</v>
      </c>
      <c r="FU139" t="s">
        <v>57</v>
      </c>
      <c r="FV139" t="s">
        <v>57</v>
      </c>
      <c r="FW139" t="s">
        <v>57</v>
      </c>
      <c r="FX139" t="s">
        <v>57</v>
      </c>
      <c r="FY139" t="s">
        <v>57</v>
      </c>
      <c r="FZ139" t="s">
        <v>57</v>
      </c>
      <c r="GA139" t="s">
        <v>57</v>
      </c>
      <c r="GB139" t="s">
        <v>57</v>
      </c>
      <c r="GC139" t="s">
        <v>57</v>
      </c>
      <c r="GD139" t="s">
        <v>57</v>
      </c>
      <c r="GE139" t="s">
        <v>57</v>
      </c>
      <c r="GF139" t="s">
        <v>57</v>
      </c>
      <c r="GG139" t="s">
        <v>175</v>
      </c>
      <c r="GH139" t="s">
        <v>57</v>
      </c>
      <c r="GI139" t="s">
        <v>57</v>
      </c>
      <c r="GJ139" t="s">
        <v>57</v>
      </c>
      <c r="GK139" t="s">
        <v>57</v>
      </c>
      <c r="GL139" t="s">
        <v>57</v>
      </c>
      <c r="GM139" t="s">
        <v>175</v>
      </c>
      <c r="GN139" t="s">
        <v>57</v>
      </c>
      <c r="GO139" t="s">
        <v>57</v>
      </c>
      <c r="GP139" t="s">
        <v>57</v>
      </c>
      <c r="GQ139" t="s">
        <v>57</v>
      </c>
      <c r="GR139" t="s">
        <v>57</v>
      </c>
      <c r="GS139" t="s">
        <v>57</v>
      </c>
      <c r="GT139" t="s">
        <v>57</v>
      </c>
      <c r="GU139" t="s">
        <v>57</v>
      </c>
      <c r="GV139" t="s">
        <v>57</v>
      </c>
      <c r="GW139" t="s">
        <v>175</v>
      </c>
      <c r="GX139" t="s">
        <v>57</v>
      </c>
      <c r="GY139" t="s">
        <v>57</v>
      </c>
      <c r="GZ139" t="s">
        <v>57</v>
      </c>
      <c r="HA139" t="s">
        <v>57</v>
      </c>
      <c r="HB139" t="s">
        <v>57</v>
      </c>
      <c r="HC139" t="s">
        <v>57</v>
      </c>
      <c r="HD139" t="s">
        <v>57</v>
      </c>
      <c r="HE139" t="s">
        <v>57</v>
      </c>
      <c r="HF139" t="s">
        <v>57</v>
      </c>
      <c r="HG139" t="s">
        <v>57</v>
      </c>
      <c r="HH139" t="s">
        <v>175</v>
      </c>
      <c r="HI139" t="s">
        <v>175</v>
      </c>
      <c r="HJ139" t="s">
        <v>175</v>
      </c>
      <c r="HK139" t="s">
        <v>175</v>
      </c>
      <c r="HL139" t="s">
        <v>57</v>
      </c>
      <c r="HM139" t="s">
        <v>57</v>
      </c>
      <c r="HN139" t="s">
        <v>57</v>
      </c>
      <c r="HO139" t="s">
        <v>57</v>
      </c>
      <c r="HP139" t="s">
        <v>57</v>
      </c>
      <c r="HQ139" t="s">
        <v>57</v>
      </c>
      <c r="HR139" t="s">
        <v>57</v>
      </c>
      <c r="HS139" t="s">
        <v>57</v>
      </c>
      <c r="HT139" t="s">
        <v>57</v>
      </c>
      <c r="HU139" t="s">
        <v>57</v>
      </c>
      <c r="HV139" t="s">
        <v>57</v>
      </c>
      <c r="HW139" t="s">
        <v>57</v>
      </c>
      <c r="HX139" t="s">
        <v>57</v>
      </c>
      <c r="HY139" t="s">
        <v>57</v>
      </c>
      <c r="HZ139" t="s">
        <v>57</v>
      </c>
      <c r="IA139" t="s">
        <v>57</v>
      </c>
      <c r="IB139" t="s">
        <v>57</v>
      </c>
      <c r="IC139" t="s">
        <v>57</v>
      </c>
      <c r="ID139" t="s">
        <v>57</v>
      </c>
      <c r="IE139" t="s">
        <v>57</v>
      </c>
      <c r="IF139" t="s">
        <v>124</v>
      </c>
      <c r="IG139" t="s">
        <v>148</v>
      </c>
      <c r="IH139" t="s">
        <v>123</v>
      </c>
      <c r="II139" t="s">
        <v>156</v>
      </c>
    </row>
    <row r="140" spans="1:243" x14ac:dyDescent="0.25">
      <c r="A140" s="201" t="str">
        <f>HYPERLINK("http://www.ofsted.gov.uk/inspection-reports/find-inspection-report/provider/ELS/134398 ","Ofsted School Webpage")</f>
        <v>Ofsted School Webpage</v>
      </c>
      <c r="B140">
        <v>134398</v>
      </c>
      <c r="C140">
        <v>8816048</v>
      </c>
      <c r="D140" t="s">
        <v>1818</v>
      </c>
      <c r="E140" t="s">
        <v>37</v>
      </c>
      <c r="F140" t="s">
        <v>138</v>
      </c>
      <c r="G140" t="s">
        <v>177</v>
      </c>
      <c r="H140" t="s">
        <v>177</v>
      </c>
      <c r="I140" t="s">
        <v>280</v>
      </c>
      <c r="J140" t="s">
        <v>1819</v>
      </c>
      <c r="K140" t="s">
        <v>142</v>
      </c>
      <c r="L140" t="s">
        <v>142</v>
      </c>
      <c r="M140" t="s">
        <v>2596</v>
      </c>
      <c r="N140" t="s">
        <v>143</v>
      </c>
      <c r="O140">
        <v>10026066</v>
      </c>
      <c r="P140" s="108">
        <v>43067</v>
      </c>
      <c r="Q140" s="108">
        <v>43069</v>
      </c>
      <c r="R140" s="108">
        <v>43117</v>
      </c>
      <c r="S140" t="s">
        <v>153</v>
      </c>
      <c r="T140" t="s">
        <v>154</v>
      </c>
      <c r="U140">
        <v>3</v>
      </c>
      <c r="V140">
        <v>3</v>
      </c>
      <c r="W140">
        <v>2</v>
      </c>
      <c r="X140">
        <v>2</v>
      </c>
      <c r="Y140">
        <v>2</v>
      </c>
      <c r="Z140" t="s">
        <v>2596</v>
      </c>
      <c r="AA140" t="s">
        <v>2596</v>
      </c>
      <c r="AB140" t="s">
        <v>123</v>
      </c>
      <c r="AC140" t="s">
        <v>2596</v>
      </c>
      <c r="AD140" t="s">
        <v>2599</v>
      </c>
      <c r="AE140" t="s">
        <v>57</v>
      </c>
      <c r="AF140" t="s">
        <v>57</v>
      </c>
      <c r="AG140" t="s">
        <v>57</v>
      </c>
      <c r="AH140" t="s">
        <v>57</v>
      </c>
      <c r="AI140" t="s">
        <v>57</v>
      </c>
      <c r="AJ140" t="s">
        <v>57</v>
      </c>
      <c r="AK140" t="s">
        <v>57</v>
      </c>
      <c r="AL140" t="s">
        <v>58</v>
      </c>
      <c r="AM140" t="s">
        <v>57</v>
      </c>
      <c r="AN140" t="s">
        <v>57</v>
      </c>
      <c r="AO140" t="s">
        <v>57</v>
      </c>
      <c r="AP140" t="s">
        <v>57</v>
      </c>
      <c r="AQ140" t="s">
        <v>57</v>
      </c>
      <c r="AR140" t="s">
        <v>57</v>
      </c>
      <c r="AS140" t="s">
        <v>57</v>
      </c>
      <c r="AT140" t="s">
        <v>57</v>
      </c>
      <c r="AU140" t="s">
        <v>148</v>
      </c>
      <c r="AV140" t="s">
        <v>57</v>
      </c>
      <c r="AW140" t="s">
        <v>57</v>
      </c>
      <c r="AX140" t="s">
        <v>57</v>
      </c>
      <c r="AY140" t="s">
        <v>57</v>
      </c>
      <c r="AZ140" t="s">
        <v>57</v>
      </c>
      <c r="BA140" t="s">
        <v>57</v>
      </c>
      <c r="BB140" t="s">
        <v>57</v>
      </c>
      <c r="BC140" t="s">
        <v>148</v>
      </c>
      <c r="BD140" t="s">
        <v>148</v>
      </c>
      <c r="BE140" t="s">
        <v>57</v>
      </c>
      <c r="BF140" t="s">
        <v>57</v>
      </c>
      <c r="BG140" t="s">
        <v>57</v>
      </c>
      <c r="BH140" t="s">
        <v>57</v>
      </c>
      <c r="BI140" t="s">
        <v>57</v>
      </c>
      <c r="BJ140" t="s">
        <v>57</v>
      </c>
      <c r="BK140" t="s">
        <v>57</v>
      </c>
      <c r="BL140" t="s">
        <v>57</v>
      </c>
      <c r="BM140" t="s">
        <v>57</v>
      </c>
      <c r="BN140" t="s">
        <v>57</v>
      </c>
      <c r="BO140" t="s">
        <v>57</v>
      </c>
      <c r="BP140" t="s">
        <v>57</v>
      </c>
      <c r="BQ140" t="s">
        <v>57</v>
      </c>
      <c r="BR140" t="s">
        <v>57</v>
      </c>
      <c r="BS140" t="s">
        <v>57</v>
      </c>
      <c r="BT140" t="s">
        <v>57</v>
      </c>
      <c r="BU140" t="s">
        <v>57</v>
      </c>
      <c r="BV140" t="s">
        <v>57</v>
      </c>
      <c r="BW140" t="s">
        <v>57</v>
      </c>
      <c r="BX140" t="s">
        <v>57</v>
      </c>
      <c r="BY140" t="s">
        <v>57</v>
      </c>
      <c r="BZ140" t="s">
        <v>57</v>
      </c>
      <c r="CA140" t="s">
        <v>57</v>
      </c>
      <c r="CB140" t="s">
        <v>57</v>
      </c>
      <c r="CC140" t="s">
        <v>57</v>
      </c>
      <c r="CD140" t="s">
        <v>57</v>
      </c>
      <c r="CE140" t="s">
        <v>57</v>
      </c>
      <c r="CF140" t="s">
        <v>57</v>
      </c>
      <c r="CG140" t="s">
        <v>57</v>
      </c>
      <c r="CH140" t="s">
        <v>57</v>
      </c>
      <c r="CI140" t="s">
        <v>57</v>
      </c>
      <c r="CJ140" t="s">
        <v>57</v>
      </c>
      <c r="CK140" t="s">
        <v>148</v>
      </c>
      <c r="CL140" t="s">
        <v>148</v>
      </c>
      <c r="CM140" t="s">
        <v>148</v>
      </c>
      <c r="CN140" t="s">
        <v>57</v>
      </c>
      <c r="CO140" t="s">
        <v>57</v>
      </c>
      <c r="CP140" t="s">
        <v>57</v>
      </c>
      <c r="CQ140" t="s">
        <v>57</v>
      </c>
      <c r="CR140" t="s">
        <v>57</v>
      </c>
      <c r="CS140" t="s">
        <v>57</v>
      </c>
      <c r="CT140" t="s">
        <v>57</v>
      </c>
      <c r="CU140" t="s">
        <v>57</v>
      </c>
      <c r="CV140" t="s">
        <v>57</v>
      </c>
      <c r="CW140" t="s">
        <v>57</v>
      </c>
      <c r="CX140" t="s">
        <v>57</v>
      </c>
      <c r="CY140" t="s">
        <v>57</v>
      </c>
      <c r="CZ140" t="s">
        <v>57</v>
      </c>
      <c r="DA140" t="s">
        <v>57</v>
      </c>
      <c r="DB140" t="s">
        <v>57</v>
      </c>
      <c r="DC140" t="s">
        <v>57</v>
      </c>
      <c r="DD140" t="s">
        <v>57</v>
      </c>
      <c r="DE140" t="s">
        <v>57</v>
      </c>
      <c r="DF140" t="s">
        <v>57</v>
      </c>
      <c r="DG140" t="s">
        <v>57</v>
      </c>
      <c r="DH140" t="s">
        <v>57</v>
      </c>
      <c r="DI140" t="s">
        <v>57</v>
      </c>
      <c r="DJ140" t="s">
        <v>57</v>
      </c>
      <c r="DK140" t="s">
        <v>57</v>
      </c>
      <c r="DL140" t="s">
        <v>57</v>
      </c>
      <c r="DM140" t="s">
        <v>57</v>
      </c>
      <c r="DN140" t="s">
        <v>57</v>
      </c>
      <c r="DO140" t="s">
        <v>57</v>
      </c>
      <c r="DP140" t="s">
        <v>57</v>
      </c>
      <c r="DQ140" t="s">
        <v>57</v>
      </c>
      <c r="DR140" t="s">
        <v>57</v>
      </c>
      <c r="DS140" t="s">
        <v>57</v>
      </c>
      <c r="DT140" t="s">
        <v>57</v>
      </c>
      <c r="DU140" t="s">
        <v>57</v>
      </c>
      <c r="DV140" t="s">
        <v>57</v>
      </c>
      <c r="DW140" t="s">
        <v>57</v>
      </c>
      <c r="DX140" t="s">
        <v>57</v>
      </c>
      <c r="DY140" t="s">
        <v>57</v>
      </c>
      <c r="DZ140" t="s">
        <v>57</v>
      </c>
      <c r="EA140" t="s">
        <v>148</v>
      </c>
      <c r="EB140" t="s">
        <v>148</v>
      </c>
      <c r="EC140" t="s">
        <v>148</v>
      </c>
      <c r="ED140" t="s">
        <v>148</v>
      </c>
      <c r="EE140" t="s">
        <v>148</v>
      </c>
      <c r="EF140" t="s">
        <v>148</v>
      </c>
      <c r="EG140" t="s">
        <v>148</v>
      </c>
      <c r="EH140" t="s">
        <v>148</v>
      </c>
      <c r="EI140" t="s">
        <v>148</v>
      </c>
      <c r="EJ140" t="s">
        <v>57</v>
      </c>
      <c r="EK140" t="s">
        <v>57</v>
      </c>
      <c r="EL140" t="s">
        <v>57</v>
      </c>
      <c r="EM140" t="s">
        <v>57</v>
      </c>
      <c r="EN140" t="s">
        <v>57</v>
      </c>
      <c r="EO140" t="s">
        <v>57</v>
      </c>
      <c r="EP140" t="s">
        <v>57</v>
      </c>
      <c r="EQ140" t="s">
        <v>57</v>
      </c>
      <c r="ER140" t="s">
        <v>57</v>
      </c>
      <c r="ES140" t="s">
        <v>57</v>
      </c>
      <c r="ET140" t="s">
        <v>57</v>
      </c>
      <c r="EU140" t="s">
        <v>57</v>
      </c>
      <c r="EV140" t="s">
        <v>57</v>
      </c>
      <c r="EW140" t="s">
        <v>57</v>
      </c>
      <c r="EX140" t="s">
        <v>57</v>
      </c>
      <c r="EY140" t="s">
        <v>57</v>
      </c>
      <c r="EZ140" t="s">
        <v>57</v>
      </c>
      <c r="FA140" t="s">
        <v>57</v>
      </c>
      <c r="FB140" t="s">
        <v>57</v>
      </c>
      <c r="FC140" t="s">
        <v>57</v>
      </c>
      <c r="FD140" t="s">
        <v>148</v>
      </c>
      <c r="FE140" t="s">
        <v>148</v>
      </c>
      <c r="FF140" t="s">
        <v>148</v>
      </c>
      <c r="FG140" t="s">
        <v>148</v>
      </c>
      <c r="FH140" t="s">
        <v>57</v>
      </c>
      <c r="FI140" t="s">
        <v>57</v>
      </c>
      <c r="FJ140" t="s">
        <v>57</v>
      </c>
      <c r="FK140" t="s">
        <v>57</v>
      </c>
      <c r="FL140" t="s">
        <v>57</v>
      </c>
      <c r="FM140" t="s">
        <v>57</v>
      </c>
      <c r="FN140" t="s">
        <v>57</v>
      </c>
      <c r="FO140" t="s">
        <v>148</v>
      </c>
      <c r="FP140" t="s">
        <v>57</v>
      </c>
      <c r="FQ140" t="s">
        <v>58</v>
      </c>
      <c r="FR140" t="s">
        <v>57</v>
      </c>
      <c r="FS140" t="s">
        <v>57</v>
      </c>
      <c r="FT140" t="s">
        <v>57</v>
      </c>
      <c r="FU140" t="s">
        <v>57</v>
      </c>
      <c r="FV140" t="s">
        <v>58</v>
      </c>
      <c r="FW140" t="s">
        <v>57</v>
      </c>
      <c r="FX140" t="s">
        <v>57</v>
      </c>
      <c r="FY140" t="s">
        <v>57</v>
      </c>
      <c r="FZ140" t="s">
        <v>58</v>
      </c>
      <c r="GA140" t="s">
        <v>57</v>
      </c>
      <c r="GB140" t="s">
        <v>57</v>
      </c>
      <c r="GC140" t="s">
        <v>57</v>
      </c>
      <c r="GD140" t="s">
        <v>57</v>
      </c>
      <c r="GE140" t="s">
        <v>57</v>
      </c>
      <c r="GF140" t="s">
        <v>57</v>
      </c>
      <c r="GG140" t="s">
        <v>148</v>
      </c>
      <c r="GH140" t="s">
        <v>57</v>
      </c>
      <c r="GI140" t="s">
        <v>57</v>
      </c>
      <c r="GJ140" t="s">
        <v>57</v>
      </c>
      <c r="GK140" t="s">
        <v>57</v>
      </c>
      <c r="GL140" t="s">
        <v>57</v>
      </c>
      <c r="GM140" t="s">
        <v>57</v>
      </c>
      <c r="GN140" t="s">
        <v>57</v>
      </c>
      <c r="GO140" t="s">
        <v>57</v>
      </c>
      <c r="GP140" t="s">
        <v>57</v>
      </c>
      <c r="GQ140" t="s">
        <v>57</v>
      </c>
      <c r="GR140" t="s">
        <v>57</v>
      </c>
      <c r="GS140" t="s">
        <v>57</v>
      </c>
      <c r="GT140" t="s">
        <v>57</v>
      </c>
      <c r="GU140" t="s">
        <v>57</v>
      </c>
      <c r="GV140" t="s">
        <v>57</v>
      </c>
      <c r="GW140" t="s">
        <v>148</v>
      </c>
      <c r="GX140" t="s">
        <v>57</v>
      </c>
      <c r="GY140" t="s">
        <v>57</v>
      </c>
      <c r="GZ140" t="s">
        <v>57</v>
      </c>
      <c r="HA140" t="s">
        <v>57</v>
      </c>
      <c r="HB140" t="s">
        <v>57</v>
      </c>
      <c r="HC140" t="s">
        <v>57</v>
      </c>
      <c r="HD140" t="s">
        <v>57</v>
      </c>
      <c r="HE140" t="s">
        <v>57</v>
      </c>
      <c r="HF140" t="s">
        <v>57</v>
      </c>
      <c r="HG140" t="s">
        <v>57</v>
      </c>
      <c r="HH140" t="s">
        <v>57</v>
      </c>
      <c r="HI140" t="s">
        <v>57</v>
      </c>
      <c r="HJ140" t="s">
        <v>57</v>
      </c>
      <c r="HK140" t="s">
        <v>57</v>
      </c>
      <c r="HL140" t="s">
        <v>57</v>
      </c>
      <c r="HM140" t="s">
        <v>57</v>
      </c>
      <c r="HN140" t="s">
        <v>57</v>
      </c>
      <c r="HO140" t="s">
        <v>57</v>
      </c>
      <c r="HP140" t="s">
        <v>57</v>
      </c>
      <c r="HQ140" t="s">
        <v>57</v>
      </c>
      <c r="HR140" t="s">
        <v>57</v>
      </c>
      <c r="HS140" t="s">
        <v>57</v>
      </c>
      <c r="HT140" t="s">
        <v>57</v>
      </c>
      <c r="HU140" t="s">
        <v>57</v>
      </c>
      <c r="HV140" t="s">
        <v>57</v>
      </c>
      <c r="HW140" t="s">
        <v>57</v>
      </c>
      <c r="HX140" t="s">
        <v>57</v>
      </c>
      <c r="HY140" t="s">
        <v>57</v>
      </c>
      <c r="HZ140" t="s">
        <v>57</v>
      </c>
      <c r="IA140" t="s">
        <v>57</v>
      </c>
      <c r="IB140" t="s">
        <v>58</v>
      </c>
      <c r="IC140" t="s">
        <v>58</v>
      </c>
      <c r="ID140" t="s">
        <v>58</v>
      </c>
      <c r="IE140" t="s">
        <v>57</v>
      </c>
      <c r="IF140" t="s">
        <v>124</v>
      </c>
      <c r="IG140" t="s">
        <v>155</v>
      </c>
      <c r="IH140" t="s">
        <v>123</v>
      </c>
      <c r="II140" t="s">
        <v>156</v>
      </c>
    </row>
    <row r="141" spans="1:243" x14ac:dyDescent="0.25">
      <c r="A141" s="201" t="str">
        <f>HYPERLINK("http://www.ofsted.gov.uk/inspection-reports/find-inspection-report/provider/ELS/134424 ","Ofsted School Webpage")</f>
        <v>Ofsted School Webpage</v>
      </c>
      <c r="B141">
        <v>134424</v>
      </c>
      <c r="C141">
        <v>8726013</v>
      </c>
      <c r="D141" t="s">
        <v>292</v>
      </c>
      <c r="E141" t="s">
        <v>36</v>
      </c>
      <c r="F141" t="s">
        <v>166</v>
      </c>
      <c r="G141" t="s">
        <v>139</v>
      </c>
      <c r="H141" t="s">
        <v>139</v>
      </c>
      <c r="I141" t="s">
        <v>293</v>
      </c>
      <c r="J141" t="s">
        <v>2879</v>
      </c>
      <c r="K141" t="s">
        <v>169</v>
      </c>
      <c r="L141" t="s">
        <v>169</v>
      </c>
      <c r="M141" t="s">
        <v>2596</v>
      </c>
      <c r="N141" t="s">
        <v>143</v>
      </c>
      <c r="O141">
        <v>10033951</v>
      </c>
      <c r="P141" s="108">
        <v>43025</v>
      </c>
      <c r="Q141" s="108">
        <v>43027</v>
      </c>
      <c r="R141" s="108">
        <v>43053</v>
      </c>
      <c r="S141" t="s">
        <v>153</v>
      </c>
      <c r="T141" t="s">
        <v>154</v>
      </c>
      <c r="U141">
        <v>3</v>
      </c>
      <c r="V141">
        <v>3</v>
      </c>
      <c r="W141">
        <v>2</v>
      </c>
      <c r="X141">
        <v>3</v>
      </c>
      <c r="Y141">
        <v>3</v>
      </c>
      <c r="Z141">
        <v>2</v>
      </c>
      <c r="AA141" t="s">
        <v>2596</v>
      </c>
      <c r="AB141" t="s">
        <v>123</v>
      </c>
      <c r="AC141" t="s">
        <v>2596</v>
      </c>
      <c r="AD141" t="s">
        <v>2598</v>
      </c>
      <c r="AE141" t="s">
        <v>57</v>
      </c>
      <c r="AF141" t="s">
        <v>57</v>
      </c>
      <c r="AG141" t="s">
        <v>57</v>
      </c>
      <c r="AH141" t="s">
        <v>57</v>
      </c>
      <c r="AI141" t="s">
        <v>57</v>
      </c>
      <c r="AJ141" t="s">
        <v>57</v>
      </c>
      <c r="AK141" t="s">
        <v>57</v>
      </c>
      <c r="AL141" t="s">
        <v>57</v>
      </c>
      <c r="AM141" t="s">
        <v>57</v>
      </c>
      <c r="AN141" t="s">
        <v>57</v>
      </c>
      <c r="AO141" t="s">
        <v>57</v>
      </c>
      <c r="AP141" t="s">
        <v>57</v>
      </c>
      <c r="AQ141" t="s">
        <v>57</v>
      </c>
      <c r="AR141" t="s">
        <v>57</v>
      </c>
      <c r="AS141" t="s">
        <v>57</v>
      </c>
      <c r="AT141" t="s">
        <v>57</v>
      </c>
      <c r="AU141" t="s">
        <v>175</v>
      </c>
      <c r="AV141" t="s">
        <v>57</v>
      </c>
      <c r="AW141" t="s">
        <v>57</v>
      </c>
      <c r="AX141" t="s">
        <v>57</v>
      </c>
      <c r="AY141" t="s">
        <v>57</v>
      </c>
      <c r="AZ141" t="s">
        <v>57</v>
      </c>
      <c r="BA141" t="s">
        <v>57</v>
      </c>
      <c r="BB141" t="s">
        <v>57</v>
      </c>
      <c r="BC141" t="s">
        <v>57</v>
      </c>
      <c r="BD141" t="s">
        <v>57</v>
      </c>
      <c r="BE141" t="s">
        <v>57</v>
      </c>
      <c r="BF141" t="s">
        <v>57</v>
      </c>
      <c r="BG141" t="s">
        <v>57</v>
      </c>
      <c r="BH141" t="s">
        <v>57</v>
      </c>
      <c r="BI141" t="s">
        <v>57</v>
      </c>
      <c r="BJ141" t="s">
        <v>57</v>
      </c>
      <c r="BK141" t="s">
        <v>57</v>
      </c>
      <c r="BL141" t="s">
        <v>57</v>
      </c>
      <c r="BM141" t="s">
        <v>57</v>
      </c>
      <c r="BN141" t="s">
        <v>57</v>
      </c>
      <c r="BO141" t="s">
        <v>57</v>
      </c>
      <c r="BP141" t="s">
        <v>57</v>
      </c>
      <c r="BQ141" t="s">
        <v>57</v>
      </c>
      <c r="BR141" t="s">
        <v>57</v>
      </c>
      <c r="BS141" t="s">
        <v>57</v>
      </c>
      <c r="BT141" t="s">
        <v>57</v>
      </c>
      <c r="BU141" t="s">
        <v>57</v>
      </c>
      <c r="BV141" t="s">
        <v>57</v>
      </c>
      <c r="BW141" t="s">
        <v>57</v>
      </c>
      <c r="BX141" t="s">
        <v>57</v>
      </c>
      <c r="BY141" t="s">
        <v>57</v>
      </c>
      <c r="BZ141" t="s">
        <v>57</v>
      </c>
      <c r="CA141" t="s">
        <v>57</v>
      </c>
      <c r="CB141" t="s">
        <v>57</v>
      </c>
      <c r="CC141" t="s">
        <v>57</v>
      </c>
      <c r="CD141" t="s">
        <v>57</v>
      </c>
      <c r="CE141" t="s">
        <v>57</v>
      </c>
      <c r="CF141" t="s">
        <v>57</v>
      </c>
      <c r="CG141" t="s">
        <v>57</v>
      </c>
      <c r="CH141" t="s">
        <v>57</v>
      </c>
      <c r="CI141" t="s">
        <v>57</v>
      </c>
      <c r="CJ141" t="s">
        <v>57</v>
      </c>
      <c r="CK141" t="s">
        <v>57</v>
      </c>
      <c r="CL141" t="s">
        <v>57</v>
      </c>
      <c r="CM141" t="s">
        <v>175</v>
      </c>
      <c r="CN141" t="s">
        <v>57</v>
      </c>
      <c r="CO141" t="s">
        <v>57</v>
      </c>
      <c r="CP141" t="s">
        <v>57</v>
      </c>
      <c r="CQ141" t="s">
        <v>57</v>
      </c>
      <c r="CR141" t="s">
        <v>57</v>
      </c>
      <c r="CS141" t="s">
        <v>57</v>
      </c>
      <c r="CT141" t="s">
        <v>57</v>
      </c>
      <c r="CU141" t="s">
        <v>57</v>
      </c>
      <c r="CV141" t="s">
        <v>57</v>
      </c>
      <c r="CW141" t="s">
        <v>57</v>
      </c>
      <c r="CX141" t="s">
        <v>57</v>
      </c>
      <c r="CY141" t="s">
        <v>57</v>
      </c>
      <c r="CZ141" t="s">
        <v>57</v>
      </c>
      <c r="DA141" t="s">
        <v>57</v>
      </c>
      <c r="DB141" t="s">
        <v>57</v>
      </c>
      <c r="DC141" t="s">
        <v>57</v>
      </c>
      <c r="DD141" t="s">
        <v>57</v>
      </c>
      <c r="DE141" t="s">
        <v>57</v>
      </c>
      <c r="DF141" t="s">
        <v>57</v>
      </c>
      <c r="DG141" t="s">
        <v>57</v>
      </c>
      <c r="DH141" t="s">
        <v>57</v>
      </c>
      <c r="DI141" t="s">
        <v>57</v>
      </c>
      <c r="DJ141" t="s">
        <v>57</v>
      </c>
      <c r="DK141" t="s">
        <v>175</v>
      </c>
      <c r="DL141" t="s">
        <v>57</v>
      </c>
      <c r="DM141" t="s">
        <v>57</v>
      </c>
      <c r="DN141" t="s">
        <v>57</v>
      </c>
      <c r="DO141" t="s">
        <v>57</v>
      </c>
      <c r="DP141" t="s">
        <v>57</v>
      </c>
      <c r="DQ141" t="s">
        <v>57</v>
      </c>
      <c r="DR141" t="s">
        <v>57</v>
      </c>
      <c r="DS141" t="s">
        <v>57</v>
      </c>
      <c r="DT141" t="s">
        <v>57</v>
      </c>
      <c r="DU141" t="s">
        <v>57</v>
      </c>
      <c r="DV141" t="s">
        <v>57</v>
      </c>
      <c r="DW141" t="s">
        <v>57</v>
      </c>
      <c r="DX141" t="s">
        <v>57</v>
      </c>
      <c r="DY141" t="s">
        <v>57</v>
      </c>
      <c r="DZ141" t="s">
        <v>57</v>
      </c>
      <c r="EA141" t="s">
        <v>57</v>
      </c>
      <c r="EB141" t="s">
        <v>57</v>
      </c>
      <c r="EC141" t="s">
        <v>57</v>
      </c>
      <c r="ED141" t="s">
        <v>57</v>
      </c>
      <c r="EE141" t="s">
        <v>57</v>
      </c>
      <c r="EF141" t="s">
        <v>57</v>
      </c>
      <c r="EG141" t="s">
        <v>57</v>
      </c>
      <c r="EH141" t="s">
        <v>57</v>
      </c>
      <c r="EI141" t="s">
        <v>57</v>
      </c>
      <c r="EJ141" t="s">
        <v>57</v>
      </c>
      <c r="EK141" t="s">
        <v>57</v>
      </c>
      <c r="EL141" t="s">
        <v>57</v>
      </c>
      <c r="EM141" t="s">
        <v>57</v>
      </c>
      <c r="EN141" t="s">
        <v>57</v>
      </c>
      <c r="EO141" t="s">
        <v>57</v>
      </c>
      <c r="EP141" t="s">
        <v>57</v>
      </c>
      <c r="EQ141" t="s">
        <v>57</v>
      </c>
      <c r="ER141" t="s">
        <v>57</v>
      </c>
      <c r="ES141" t="s">
        <v>57</v>
      </c>
      <c r="ET141" t="s">
        <v>57</v>
      </c>
      <c r="EU141" t="s">
        <v>57</v>
      </c>
      <c r="EV141" t="s">
        <v>57</v>
      </c>
      <c r="EW141" t="s">
        <v>57</v>
      </c>
      <c r="EX141" t="s">
        <v>57</v>
      </c>
      <c r="EY141" t="s">
        <v>57</v>
      </c>
      <c r="EZ141" t="s">
        <v>57</v>
      </c>
      <c r="FA141" t="s">
        <v>57</v>
      </c>
      <c r="FB141" t="s">
        <v>57</v>
      </c>
      <c r="FC141" t="s">
        <v>57</v>
      </c>
      <c r="FD141" t="s">
        <v>57</v>
      </c>
      <c r="FE141" t="s">
        <v>57</v>
      </c>
      <c r="FF141" t="s">
        <v>57</v>
      </c>
      <c r="FG141" t="s">
        <v>57</v>
      </c>
      <c r="FH141" t="s">
        <v>57</v>
      </c>
      <c r="FI141" t="s">
        <v>57</v>
      </c>
      <c r="FJ141" t="s">
        <v>57</v>
      </c>
      <c r="FK141" t="s">
        <v>57</v>
      </c>
      <c r="FL141" t="s">
        <v>57</v>
      </c>
      <c r="FM141" t="s">
        <v>57</v>
      </c>
      <c r="FN141" t="s">
        <v>57</v>
      </c>
      <c r="FO141" t="s">
        <v>57</v>
      </c>
      <c r="FP141" t="s">
        <v>57</v>
      </c>
      <c r="FQ141" t="s">
        <v>57</v>
      </c>
      <c r="FR141" t="s">
        <v>57</v>
      </c>
      <c r="FS141" t="s">
        <v>57</v>
      </c>
      <c r="FT141" t="s">
        <v>57</v>
      </c>
      <c r="FU141" t="s">
        <v>57</v>
      </c>
      <c r="FV141" t="s">
        <v>57</v>
      </c>
      <c r="FW141" t="s">
        <v>57</v>
      </c>
      <c r="FX141" t="s">
        <v>57</v>
      </c>
      <c r="FY141" t="s">
        <v>57</v>
      </c>
      <c r="FZ141" t="s">
        <v>57</v>
      </c>
      <c r="GA141" t="s">
        <v>57</v>
      </c>
      <c r="GB141" t="s">
        <v>57</v>
      </c>
      <c r="GC141" t="s">
        <v>57</v>
      </c>
      <c r="GD141" t="s">
        <v>57</v>
      </c>
      <c r="GE141" t="s">
        <v>57</v>
      </c>
      <c r="GF141" t="s">
        <v>57</v>
      </c>
      <c r="GG141" t="s">
        <v>175</v>
      </c>
      <c r="GH141" t="s">
        <v>57</v>
      </c>
      <c r="GI141" t="s">
        <v>57</v>
      </c>
      <c r="GJ141" t="s">
        <v>57</v>
      </c>
      <c r="GK141" t="s">
        <v>57</v>
      </c>
      <c r="GL141" t="s">
        <v>57</v>
      </c>
      <c r="GM141" t="s">
        <v>57</v>
      </c>
      <c r="GN141" t="s">
        <v>57</v>
      </c>
      <c r="GO141" t="s">
        <v>57</v>
      </c>
      <c r="GP141" t="s">
        <v>57</v>
      </c>
      <c r="GQ141" t="s">
        <v>57</v>
      </c>
      <c r="GR141" t="s">
        <v>57</v>
      </c>
      <c r="GS141" t="s">
        <v>57</v>
      </c>
      <c r="GT141" t="s">
        <v>57</v>
      </c>
      <c r="GU141" t="s">
        <v>57</v>
      </c>
      <c r="GV141" t="s">
        <v>57</v>
      </c>
      <c r="GW141" t="s">
        <v>57</v>
      </c>
      <c r="GX141" t="s">
        <v>57</v>
      </c>
      <c r="GY141" t="s">
        <v>57</v>
      </c>
      <c r="GZ141" t="s">
        <v>57</v>
      </c>
      <c r="HA141" t="s">
        <v>57</v>
      </c>
      <c r="HB141" t="s">
        <v>57</v>
      </c>
      <c r="HC141" t="s">
        <v>57</v>
      </c>
      <c r="HD141" t="s">
        <v>57</v>
      </c>
      <c r="HE141" t="s">
        <v>57</v>
      </c>
      <c r="HF141" t="s">
        <v>57</v>
      </c>
      <c r="HG141" t="s">
        <v>57</v>
      </c>
      <c r="HH141" t="s">
        <v>57</v>
      </c>
      <c r="HI141" t="s">
        <v>57</v>
      </c>
      <c r="HJ141" t="s">
        <v>57</v>
      </c>
      <c r="HK141" t="s">
        <v>57</v>
      </c>
      <c r="HL141" t="s">
        <v>57</v>
      </c>
      <c r="HM141" t="s">
        <v>57</v>
      </c>
      <c r="HN141" t="s">
        <v>57</v>
      </c>
      <c r="HO141" t="s">
        <v>57</v>
      </c>
      <c r="HP141" t="s">
        <v>57</v>
      </c>
      <c r="HQ141" t="s">
        <v>57</v>
      </c>
      <c r="HR141" t="s">
        <v>57</v>
      </c>
      <c r="HS141" t="s">
        <v>57</v>
      </c>
      <c r="HT141" t="s">
        <v>57</v>
      </c>
      <c r="HU141" t="s">
        <v>57</v>
      </c>
      <c r="HV141" t="s">
        <v>57</v>
      </c>
      <c r="HW141" t="s">
        <v>57</v>
      </c>
      <c r="HX141" t="s">
        <v>57</v>
      </c>
      <c r="HY141" t="s">
        <v>57</v>
      </c>
      <c r="HZ141" t="s">
        <v>57</v>
      </c>
      <c r="IA141" t="s">
        <v>57</v>
      </c>
      <c r="IB141" t="s">
        <v>57</v>
      </c>
      <c r="IC141" t="s">
        <v>57</v>
      </c>
      <c r="ID141" t="s">
        <v>57</v>
      </c>
      <c r="IE141" t="s">
        <v>57</v>
      </c>
      <c r="IF141" t="s">
        <v>124</v>
      </c>
      <c r="IG141" t="s">
        <v>148</v>
      </c>
      <c r="IH141" t="s">
        <v>123</v>
      </c>
      <c r="II141" t="s">
        <v>156</v>
      </c>
    </row>
    <row r="142" spans="1:243" x14ac:dyDescent="0.25">
      <c r="A142" s="201" t="str">
        <f>HYPERLINK("http://www.ofsted.gov.uk/inspection-reports/find-inspection-report/provider/ELS/134438 ","Ofsted School Webpage")</f>
        <v>Ofsted School Webpage</v>
      </c>
      <c r="B142">
        <v>134438</v>
      </c>
      <c r="C142">
        <v>8556020</v>
      </c>
      <c r="D142" t="s">
        <v>237</v>
      </c>
      <c r="E142" t="s">
        <v>37</v>
      </c>
      <c r="F142" t="s">
        <v>138</v>
      </c>
      <c r="G142" t="s">
        <v>171</v>
      </c>
      <c r="H142" t="s">
        <v>171</v>
      </c>
      <c r="I142" t="s">
        <v>238</v>
      </c>
      <c r="J142" t="s">
        <v>239</v>
      </c>
      <c r="K142" t="s">
        <v>142</v>
      </c>
      <c r="L142" t="s">
        <v>142</v>
      </c>
      <c r="M142" t="s">
        <v>2596</v>
      </c>
      <c r="N142" t="s">
        <v>143</v>
      </c>
      <c r="O142">
        <v>10040612</v>
      </c>
      <c r="P142" s="108">
        <v>42990</v>
      </c>
      <c r="Q142" s="108">
        <v>42992</v>
      </c>
      <c r="R142" s="108">
        <v>43020</v>
      </c>
      <c r="S142" t="s">
        <v>153</v>
      </c>
      <c r="T142" t="s">
        <v>154</v>
      </c>
      <c r="U142">
        <v>3</v>
      </c>
      <c r="V142">
        <v>3</v>
      </c>
      <c r="W142">
        <v>2</v>
      </c>
      <c r="X142">
        <v>3</v>
      </c>
      <c r="Y142">
        <v>3</v>
      </c>
      <c r="Z142" t="s">
        <v>2596</v>
      </c>
      <c r="AA142">
        <v>2</v>
      </c>
      <c r="AB142" t="s">
        <v>123</v>
      </c>
      <c r="AC142" t="s">
        <v>2596</v>
      </c>
      <c r="AD142" t="s">
        <v>2599</v>
      </c>
      <c r="AE142" t="s">
        <v>57</v>
      </c>
      <c r="AF142" t="s">
        <v>57</v>
      </c>
      <c r="AG142" t="s">
        <v>57</v>
      </c>
      <c r="AH142" t="s">
        <v>57</v>
      </c>
      <c r="AI142" t="s">
        <v>57</v>
      </c>
      <c r="AJ142" t="s">
        <v>57</v>
      </c>
      <c r="AK142" t="s">
        <v>57</v>
      </c>
      <c r="AL142" t="s">
        <v>58</v>
      </c>
      <c r="AM142" t="s">
        <v>57</v>
      </c>
      <c r="AN142" t="s">
        <v>57</v>
      </c>
      <c r="AO142" t="s">
        <v>57</v>
      </c>
      <c r="AP142" t="s">
        <v>57</v>
      </c>
      <c r="AQ142" t="s">
        <v>57</v>
      </c>
      <c r="AR142" t="s">
        <v>57</v>
      </c>
      <c r="AS142" t="s">
        <v>57</v>
      </c>
      <c r="AT142" t="s">
        <v>57</v>
      </c>
      <c r="AU142" t="s">
        <v>148</v>
      </c>
      <c r="AV142" t="s">
        <v>57</v>
      </c>
      <c r="AW142" t="s">
        <v>57</v>
      </c>
      <c r="AX142" t="s">
        <v>57</v>
      </c>
      <c r="AY142" t="s">
        <v>57</v>
      </c>
      <c r="AZ142" t="s">
        <v>57</v>
      </c>
      <c r="BA142" t="s">
        <v>57</v>
      </c>
      <c r="BB142" t="s">
        <v>57</v>
      </c>
      <c r="BC142" t="s">
        <v>148</v>
      </c>
      <c r="BD142" t="s">
        <v>57</v>
      </c>
      <c r="BE142" t="s">
        <v>57</v>
      </c>
      <c r="BF142" t="s">
        <v>57</v>
      </c>
      <c r="BG142" t="s">
        <v>58</v>
      </c>
      <c r="BH142" t="s">
        <v>58</v>
      </c>
      <c r="BI142" t="s">
        <v>57</v>
      </c>
      <c r="BJ142" t="s">
        <v>58</v>
      </c>
      <c r="BK142" t="s">
        <v>57</v>
      </c>
      <c r="BL142" t="s">
        <v>58</v>
      </c>
      <c r="BM142" t="s">
        <v>57</v>
      </c>
      <c r="BN142" t="s">
        <v>57</v>
      </c>
      <c r="BO142" t="s">
        <v>57</v>
      </c>
      <c r="BP142" t="s">
        <v>57</v>
      </c>
      <c r="BQ142" t="s">
        <v>57</v>
      </c>
      <c r="BR142" t="s">
        <v>57</v>
      </c>
      <c r="BS142" t="s">
        <v>57</v>
      </c>
      <c r="BT142" t="s">
        <v>57</v>
      </c>
      <c r="BU142" t="s">
        <v>57</v>
      </c>
      <c r="BV142" t="s">
        <v>57</v>
      </c>
      <c r="BW142" t="s">
        <v>57</v>
      </c>
      <c r="BX142" t="s">
        <v>57</v>
      </c>
      <c r="BY142" t="s">
        <v>57</v>
      </c>
      <c r="BZ142" t="s">
        <v>57</v>
      </c>
      <c r="CA142" t="s">
        <v>57</v>
      </c>
      <c r="CB142" t="s">
        <v>57</v>
      </c>
      <c r="CC142" t="s">
        <v>57</v>
      </c>
      <c r="CD142" t="s">
        <v>57</v>
      </c>
      <c r="CE142" t="s">
        <v>57</v>
      </c>
      <c r="CF142" t="s">
        <v>57</v>
      </c>
      <c r="CG142" t="s">
        <v>57</v>
      </c>
      <c r="CH142" t="s">
        <v>57</v>
      </c>
      <c r="CI142" t="s">
        <v>57</v>
      </c>
      <c r="CJ142" t="s">
        <v>57</v>
      </c>
      <c r="CK142" t="s">
        <v>57</v>
      </c>
      <c r="CL142" t="s">
        <v>148</v>
      </c>
      <c r="CM142" t="s">
        <v>148</v>
      </c>
      <c r="CN142" t="s">
        <v>57</v>
      </c>
      <c r="CO142" t="s">
        <v>57</v>
      </c>
      <c r="CP142" t="s">
        <v>57</v>
      </c>
      <c r="CQ142" t="s">
        <v>57</v>
      </c>
      <c r="CR142" t="s">
        <v>57</v>
      </c>
      <c r="CS142" t="s">
        <v>57</v>
      </c>
      <c r="CT142" t="s">
        <v>57</v>
      </c>
      <c r="CU142" t="s">
        <v>57</v>
      </c>
      <c r="CV142" t="s">
        <v>57</v>
      </c>
      <c r="CW142" t="s">
        <v>57</v>
      </c>
      <c r="CX142" t="s">
        <v>57</v>
      </c>
      <c r="CY142" t="s">
        <v>57</v>
      </c>
      <c r="CZ142" t="s">
        <v>57</v>
      </c>
      <c r="DA142" t="s">
        <v>57</v>
      </c>
      <c r="DB142" t="s">
        <v>57</v>
      </c>
      <c r="DC142" t="s">
        <v>57</v>
      </c>
      <c r="DD142" t="s">
        <v>57</v>
      </c>
      <c r="DE142" t="s">
        <v>57</v>
      </c>
      <c r="DF142" t="s">
        <v>57</v>
      </c>
      <c r="DG142" t="s">
        <v>57</v>
      </c>
      <c r="DH142" t="s">
        <v>57</v>
      </c>
      <c r="DI142" t="s">
        <v>57</v>
      </c>
      <c r="DJ142" t="s">
        <v>57</v>
      </c>
      <c r="DK142" t="s">
        <v>148</v>
      </c>
      <c r="DL142" t="s">
        <v>57</v>
      </c>
      <c r="DM142" t="s">
        <v>57</v>
      </c>
      <c r="DN142" t="s">
        <v>57</v>
      </c>
      <c r="DO142" t="s">
        <v>57</v>
      </c>
      <c r="DP142" t="s">
        <v>57</v>
      </c>
      <c r="DQ142" t="s">
        <v>57</v>
      </c>
      <c r="DR142" t="s">
        <v>57</v>
      </c>
      <c r="DS142" t="s">
        <v>57</v>
      </c>
      <c r="DT142" t="s">
        <v>57</v>
      </c>
      <c r="DU142" t="s">
        <v>57</v>
      </c>
      <c r="DV142" t="s">
        <v>57</v>
      </c>
      <c r="DW142" t="s">
        <v>57</v>
      </c>
      <c r="DX142" t="s">
        <v>57</v>
      </c>
      <c r="DY142" t="s">
        <v>57</v>
      </c>
      <c r="DZ142" t="s">
        <v>57</v>
      </c>
      <c r="EA142" t="s">
        <v>57</v>
      </c>
      <c r="EB142" t="s">
        <v>57</v>
      </c>
      <c r="EC142" t="s">
        <v>57</v>
      </c>
      <c r="ED142" t="s">
        <v>57</v>
      </c>
      <c r="EE142" t="s">
        <v>57</v>
      </c>
      <c r="EF142" t="s">
        <v>57</v>
      </c>
      <c r="EG142" t="s">
        <v>57</v>
      </c>
      <c r="EH142" t="s">
        <v>57</v>
      </c>
      <c r="EI142" t="s">
        <v>57</v>
      </c>
      <c r="EJ142" t="s">
        <v>160</v>
      </c>
      <c r="EK142" t="s">
        <v>57</v>
      </c>
      <c r="EL142" t="s">
        <v>57</v>
      </c>
      <c r="EM142" t="s">
        <v>57</v>
      </c>
      <c r="EN142" t="s">
        <v>57</v>
      </c>
      <c r="EO142" t="s">
        <v>57</v>
      </c>
      <c r="EP142" t="s">
        <v>57</v>
      </c>
      <c r="EQ142" t="s">
        <v>57</v>
      </c>
      <c r="ER142" t="s">
        <v>57</v>
      </c>
      <c r="ES142" t="s">
        <v>57</v>
      </c>
      <c r="ET142" t="s">
        <v>57</v>
      </c>
      <c r="EU142" t="s">
        <v>57</v>
      </c>
      <c r="EV142" t="s">
        <v>57</v>
      </c>
      <c r="EW142" t="s">
        <v>57</v>
      </c>
      <c r="EX142" t="s">
        <v>57</v>
      </c>
      <c r="EY142" t="s">
        <v>57</v>
      </c>
      <c r="EZ142" t="s">
        <v>57</v>
      </c>
      <c r="FA142" t="s">
        <v>160</v>
      </c>
      <c r="FB142" t="s">
        <v>57</v>
      </c>
      <c r="FC142" t="s">
        <v>57</v>
      </c>
      <c r="FD142" t="s">
        <v>57</v>
      </c>
      <c r="FE142" t="s">
        <v>57</v>
      </c>
      <c r="FF142" t="s">
        <v>57</v>
      </c>
      <c r="FG142" t="s">
        <v>57</v>
      </c>
      <c r="FH142" t="s">
        <v>57</v>
      </c>
      <c r="FI142" t="s">
        <v>57</v>
      </c>
      <c r="FJ142" t="s">
        <v>57</v>
      </c>
      <c r="FK142" t="s">
        <v>57</v>
      </c>
      <c r="FL142" t="s">
        <v>57</v>
      </c>
      <c r="FM142" t="s">
        <v>57</v>
      </c>
      <c r="FN142" t="s">
        <v>57</v>
      </c>
      <c r="FO142" t="s">
        <v>57</v>
      </c>
      <c r="FP142" t="s">
        <v>57</v>
      </c>
      <c r="FQ142" t="s">
        <v>57</v>
      </c>
      <c r="FR142" t="s">
        <v>57</v>
      </c>
      <c r="FS142" t="s">
        <v>57</v>
      </c>
      <c r="FT142" t="s">
        <v>57</v>
      </c>
      <c r="FU142" t="s">
        <v>57</v>
      </c>
      <c r="FV142" t="s">
        <v>57</v>
      </c>
      <c r="FW142" t="s">
        <v>57</v>
      </c>
      <c r="FX142" t="s">
        <v>57</v>
      </c>
      <c r="FY142" t="s">
        <v>57</v>
      </c>
      <c r="FZ142" t="s">
        <v>57</v>
      </c>
      <c r="GA142" t="s">
        <v>57</v>
      </c>
      <c r="GB142" t="s">
        <v>57</v>
      </c>
      <c r="GC142" t="s">
        <v>57</v>
      </c>
      <c r="GD142" t="s">
        <v>57</v>
      </c>
      <c r="GE142" t="s">
        <v>57</v>
      </c>
      <c r="GF142" t="s">
        <v>57</v>
      </c>
      <c r="GG142" t="s">
        <v>148</v>
      </c>
      <c r="GH142" t="s">
        <v>57</v>
      </c>
      <c r="GI142" t="s">
        <v>57</v>
      </c>
      <c r="GJ142" t="s">
        <v>57</v>
      </c>
      <c r="GK142" t="s">
        <v>57</v>
      </c>
      <c r="GL142" t="s">
        <v>57</v>
      </c>
      <c r="GM142" t="s">
        <v>57</v>
      </c>
      <c r="GN142" t="s">
        <v>57</v>
      </c>
      <c r="GO142" t="s">
        <v>57</v>
      </c>
      <c r="GP142" t="s">
        <v>57</v>
      </c>
      <c r="GQ142" t="s">
        <v>57</v>
      </c>
      <c r="GR142" t="s">
        <v>57</v>
      </c>
      <c r="GS142" t="s">
        <v>57</v>
      </c>
      <c r="GT142" t="s">
        <v>57</v>
      </c>
      <c r="GU142" t="s">
        <v>57</v>
      </c>
      <c r="GV142" t="s">
        <v>57</v>
      </c>
      <c r="GW142" t="s">
        <v>57</v>
      </c>
      <c r="GX142" t="s">
        <v>57</v>
      </c>
      <c r="GY142" t="s">
        <v>57</v>
      </c>
      <c r="GZ142" t="s">
        <v>57</v>
      </c>
      <c r="HA142" t="s">
        <v>57</v>
      </c>
      <c r="HB142" t="s">
        <v>57</v>
      </c>
      <c r="HC142" t="s">
        <v>57</v>
      </c>
      <c r="HD142" t="s">
        <v>57</v>
      </c>
      <c r="HE142" t="s">
        <v>57</v>
      </c>
      <c r="HF142" t="s">
        <v>57</v>
      </c>
      <c r="HG142" t="s">
        <v>57</v>
      </c>
      <c r="HH142" t="s">
        <v>57</v>
      </c>
      <c r="HI142" t="s">
        <v>57</v>
      </c>
      <c r="HJ142" t="s">
        <v>57</v>
      </c>
      <c r="HK142" t="s">
        <v>57</v>
      </c>
      <c r="HL142" t="s">
        <v>57</v>
      </c>
      <c r="HM142" t="s">
        <v>57</v>
      </c>
      <c r="HN142" t="s">
        <v>57</v>
      </c>
      <c r="HO142" t="s">
        <v>57</v>
      </c>
      <c r="HP142" t="s">
        <v>57</v>
      </c>
      <c r="HQ142" t="s">
        <v>57</v>
      </c>
      <c r="HR142" t="s">
        <v>57</v>
      </c>
      <c r="HS142" t="s">
        <v>57</v>
      </c>
      <c r="HT142" t="s">
        <v>57</v>
      </c>
      <c r="HU142" t="s">
        <v>57</v>
      </c>
      <c r="HV142" t="s">
        <v>57</v>
      </c>
      <c r="HW142" t="s">
        <v>57</v>
      </c>
      <c r="HX142" t="s">
        <v>57</v>
      </c>
      <c r="HY142" t="s">
        <v>57</v>
      </c>
      <c r="HZ142" t="s">
        <v>57</v>
      </c>
      <c r="IA142" t="s">
        <v>57</v>
      </c>
      <c r="IB142" t="s">
        <v>58</v>
      </c>
      <c r="IC142" t="s">
        <v>58</v>
      </c>
      <c r="ID142" t="s">
        <v>58</v>
      </c>
      <c r="IE142" t="s">
        <v>58</v>
      </c>
      <c r="IF142" t="s">
        <v>124</v>
      </c>
      <c r="IG142" t="s">
        <v>155</v>
      </c>
      <c r="IH142" t="s">
        <v>123</v>
      </c>
      <c r="II142" t="s">
        <v>156</v>
      </c>
    </row>
    <row r="143" spans="1:243" x14ac:dyDescent="0.25">
      <c r="A143" s="201" t="str">
        <f>HYPERLINK("http://www.ofsted.gov.uk/inspection-reports/find-inspection-report/provider/ELS/134574 ","Ofsted School Webpage")</f>
        <v>Ofsted School Webpage</v>
      </c>
      <c r="B143">
        <v>134574</v>
      </c>
      <c r="C143">
        <v>3736030</v>
      </c>
      <c r="D143" t="s">
        <v>1947</v>
      </c>
      <c r="E143" t="s">
        <v>36</v>
      </c>
      <c r="F143" t="s">
        <v>166</v>
      </c>
      <c r="G143" t="s">
        <v>202</v>
      </c>
      <c r="H143" t="s">
        <v>203</v>
      </c>
      <c r="I143" t="s">
        <v>617</v>
      </c>
      <c r="J143" t="s">
        <v>1948</v>
      </c>
      <c r="K143" t="s">
        <v>180</v>
      </c>
      <c r="L143" t="s">
        <v>180</v>
      </c>
      <c r="M143" t="s">
        <v>2596</v>
      </c>
      <c r="N143" t="s">
        <v>143</v>
      </c>
      <c r="O143">
        <v>10033918</v>
      </c>
      <c r="P143" s="108">
        <v>43081</v>
      </c>
      <c r="Q143" s="108">
        <v>43083</v>
      </c>
      <c r="R143" s="108">
        <v>43129</v>
      </c>
      <c r="S143" t="s">
        <v>153</v>
      </c>
      <c r="T143" t="s">
        <v>154</v>
      </c>
      <c r="U143">
        <v>2</v>
      </c>
      <c r="V143">
        <v>2</v>
      </c>
      <c r="W143">
        <v>2</v>
      </c>
      <c r="X143">
        <v>2</v>
      </c>
      <c r="Y143">
        <v>2</v>
      </c>
      <c r="Z143" t="s">
        <v>2596</v>
      </c>
      <c r="AA143" t="s">
        <v>2596</v>
      </c>
      <c r="AB143" t="s">
        <v>123</v>
      </c>
      <c r="AC143" t="s">
        <v>2596</v>
      </c>
      <c r="AD143" t="s">
        <v>2598</v>
      </c>
      <c r="AE143" t="s">
        <v>57</v>
      </c>
      <c r="AF143" t="s">
        <v>57</v>
      </c>
      <c r="AG143" t="s">
        <v>57</v>
      </c>
      <c r="AH143" t="s">
        <v>57</v>
      </c>
      <c r="AI143" t="s">
        <v>57</v>
      </c>
      <c r="AJ143" t="s">
        <v>57</v>
      </c>
      <c r="AK143" t="s">
        <v>57</v>
      </c>
      <c r="AL143" t="s">
        <v>57</v>
      </c>
      <c r="AM143" t="s">
        <v>57</v>
      </c>
      <c r="AN143" t="s">
        <v>57</v>
      </c>
      <c r="AO143" t="s">
        <v>57</v>
      </c>
      <c r="AP143" t="s">
        <v>57</v>
      </c>
      <c r="AQ143" t="s">
        <v>57</v>
      </c>
      <c r="AR143" t="s">
        <v>57</v>
      </c>
      <c r="AS143" t="s">
        <v>57</v>
      </c>
      <c r="AT143" t="s">
        <v>57</v>
      </c>
      <c r="AU143" t="s">
        <v>175</v>
      </c>
      <c r="AV143" t="s">
        <v>57</v>
      </c>
      <c r="AW143" t="s">
        <v>57</v>
      </c>
      <c r="AX143" t="s">
        <v>57</v>
      </c>
      <c r="AY143" t="s">
        <v>57</v>
      </c>
      <c r="AZ143" t="s">
        <v>57</v>
      </c>
      <c r="BA143" t="s">
        <v>57</v>
      </c>
      <c r="BB143" t="s">
        <v>57</v>
      </c>
      <c r="BC143" t="s">
        <v>175</v>
      </c>
      <c r="BD143" t="s">
        <v>175</v>
      </c>
      <c r="BE143" t="s">
        <v>57</v>
      </c>
      <c r="BF143" t="s">
        <v>57</v>
      </c>
      <c r="BG143" t="s">
        <v>57</v>
      </c>
      <c r="BH143" t="s">
        <v>57</v>
      </c>
      <c r="BI143" t="s">
        <v>57</v>
      </c>
      <c r="BJ143" t="s">
        <v>57</v>
      </c>
      <c r="BK143" t="s">
        <v>57</v>
      </c>
      <c r="BL143" t="s">
        <v>57</v>
      </c>
      <c r="BM143" t="s">
        <v>57</v>
      </c>
      <c r="BN143" t="s">
        <v>57</v>
      </c>
      <c r="BO143" t="s">
        <v>57</v>
      </c>
      <c r="BP143" t="s">
        <v>57</v>
      </c>
      <c r="BQ143" t="s">
        <v>57</v>
      </c>
      <c r="BR143" t="s">
        <v>57</v>
      </c>
      <c r="BS143" t="s">
        <v>57</v>
      </c>
      <c r="BT143" t="s">
        <v>57</v>
      </c>
      <c r="BU143" t="s">
        <v>57</v>
      </c>
      <c r="BV143" t="s">
        <v>57</v>
      </c>
      <c r="BW143" t="s">
        <v>57</v>
      </c>
      <c r="BX143" t="s">
        <v>57</v>
      </c>
      <c r="BY143" t="s">
        <v>57</v>
      </c>
      <c r="BZ143" t="s">
        <v>57</v>
      </c>
      <c r="CA143" t="s">
        <v>57</v>
      </c>
      <c r="CB143" t="s">
        <v>57</v>
      </c>
      <c r="CC143" t="s">
        <v>57</v>
      </c>
      <c r="CD143" t="s">
        <v>57</v>
      </c>
      <c r="CE143" t="s">
        <v>57</v>
      </c>
      <c r="CF143" t="s">
        <v>57</v>
      </c>
      <c r="CG143" t="s">
        <v>57</v>
      </c>
      <c r="CH143" t="s">
        <v>57</v>
      </c>
      <c r="CI143" t="s">
        <v>57</v>
      </c>
      <c r="CJ143" t="s">
        <v>57</v>
      </c>
      <c r="CK143" t="s">
        <v>175</v>
      </c>
      <c r="CL143" t="s">
        <v>175</v>
      </c>
      <c r="CM143" t="s">
        <v>175</v>
      </c>
      <c r="CN143" t="s">
        <v>57</v>
      </c>
      <c r="CO143" t="s">
        <v>57</v>
      </c>
      <c r="CP143" t="s">
        <v>57</v>
      </c>
      <c r="CQ143" t="s">
        <v>57</v>
      </c>
      <c r="CR143" t="s">
        <v>57</v>
      </c>
      <c r="CS143" t="s">
        <v>57</v>
      </c>
      <c r="CT143" t="s">
        <v>57</v>
      </c>
      <c r="CU143" t="s">
        <v>57</v>
      </c>
      <c r="CV143" t="s">
        <v>57</v>
      </c>
      <c r="CW143" t="s">
        <v>57</v>
      </c>
      <c r="CX143" t="s">
        <v>57</v>
      </c>
      <c r="CY143" t="s">
        <v>57</v>
      </c>
      <c r="CZ143" t="s">
        <v>57</v>
      </c>
      <c r="DA143" t="s">
        <v>57</v>
      </c>
      <c r="DB143" t="s">
        <v>57</v>
      </c>
      <c r="DC143" t="s">
        <v>57</v>
      </c>
      <c r="DD143" t="s">
        <v>57</v>
      </c>
      <c r="DE143" t="s">
        <v>57</v>
      </c>
      <c r="DF143" t="s">
        <v>57</v>
      </c>
      <c r="DG143" t="s">
        <v>57</v>
      </c>
      <c r="DH143" t="s">
        <v>57</v>
      </c>
      <c r="DI143" t="s">
        <v>57</v>
      </c>
      <c r="DJ143" t="s">
        <v>175</v>
      </c>
      <c r="DK143" t="s">
        <v>175</v>
      </c>
      <c r="DL143" t="s">
        <v>57</v>
      </c>
      <c r="DM143" t="s">
        <v>175</v>
      </c>
      <c r="DN143" t="s">
        <v>175</v>
      </c>
      <c r="DO143" t="s">
        <v>175</v>
      </c>
      <c r="DP143" t="s">
        <v>175</v>
      </c>
      <c r="DQ143" t="s">
        <v>175</v>
      </c>
      <c r="DR143" t="s">
        <v>175</v>
      </c>
      <c r="DS143" t="s">
        <v>175</v>
      </c>
      <c r="DT143" t="s">
        <v>175</v>
      </c>
      <c r="DU143" t="s">
        <v>175</v>
      </c>
      <c r="DV143" t="s">
        <v>175</v>
      </c>
      <c r="DW143" t="s">
        <v>175</v>
      </c>
      <c r="DX143" t="s">
        <v>175</v>
      </c>
      <c r="DY143" t="s">
        <v>175</v>
      </c>
      <c r="DZ143" t="s">
        <v>175</v>
      </c>
      <c r="EA143" t="s">
        <v>57</v>
      </c>
      <c r="EB143" t="s">
        <v>57</v>
      </c>
      <c r="EC143" t="s">
        <v>57</v>
      </c>
      <c r="ED143" t="s">
        <v>57</v>
      </c>
      <c r="EE143" t="s">
        <v>57</v>
      </c>
      <c r="EF143" t="s">
        <v>57</v>
      </c>
      <c r="EG143" t="s">
        <v>57</v>
      </c>
      <c r="EH143" t="s">
        <v>175</v>
      </c>
      <c r="EI143" t="s">
        <v>57</v>
      </c>
      <c r="EJ143" t="s">
        <v>57</v>
      </c>
      <c r="EK143" t="s">
        <v>57</v>
      </c>
      <c r="EL143" t="s">
        <v>57</v>
      </c>
      <c r="EM143" t="s">
        <v>57</v>
      </c>
      <c r="EN143" t="s">
        <v>57</v>
      </c>
      <c r="EO143" t="s">
        <v>57</v>
      </c>
      <c r="EP143" t="s">
        <v>57</v>
      </c>
      <c r="EQ143" t="s">
        <v>57</v>
      </c>
      <c r="ER143" t="s">
        <v>57</v>
      </c>
      <c r="ES143" t="s">
        <v>57</v>
      </c>
      <c r="ET143" t="s">
        <v>57</v>
      </c>
      <c r="EU143" t="s">
        <v>175</v>
      </c>
      <c r="EV143" t="s">
        <v>57</v>
      </c>
      <c r="EW143" t="s">
        <v>57</v>
      </c>
      <c r="EX143" t="s">
        <v>175</v>
      </c>
      <c r="EY143" t="s">
        <v>175</v>
      </c>
      <c r="EZ143" t="s">
        <v>175</v>
      </c>
      <c r="FA143" t="s">
        <v>175</v>
      </c>
      <c r="FB143" t="s">
        <v>175</v>
      </c>
      <c r="FC143" t="s">
        <v>175</v>
      </c>
      <c r="FD143" t="s">
        <v>175</v>
      </c>
      <c r="FE143" t="s">
        <v>57</v>
      </c>
      <c r="FF143" t="s">
        <v>57</v>
      </c>
      <c r="FG143" t="s">
        <v>57</v>
      </c>
      <c r="FH143" t="s">
        <v>57</v>
      </c>
      <c r="FI143" t="s">
        <v>57</v>
      </c>
      <c r="FJ143" t="s">
        <v>57</v>
      </c>
      <c r="FK143" t="s">
        <v>57</v>
      </c>
      <c r="FL143" t="s">
        <v>57</v>
      </c>
      <c r="FM143" t="s">
        <v>57</v>
      </c>
      <c r="FN143" t="s">
        <v>57</v>
      </c>
      <c r="FO143" t="s">
        <v>175</v>
      </c>
      <c r="FP143" t="s">
        <v>57</v>
      </c>
      <c r="FQ143" t="s">
        <v>57</v>
      </c>
      <c r="FR143" t="s">
        <v>57</v>
      </c>
      <c r="FS143" t="s">
        <v>57</v>
      </c>
      <c r="FT143" t="s">
        <v>57</v>
      </c>
      <c r="FU143" t="s">
        <v>57</v>
      </c>
      <c r="FV143" t="s">
        <v>57</v>
      </c>
      <c r="FW143" t="s">
        <v>57</v>
      </c>
      <c r="FX143" t="s">
        <v>57</v>
      </c>
      <c r="FY143" t="s">
        <v>57</v>
      </c>
      <c r="FZ143" t="s">
        <v>57</v>
      </c>
      <c r="GA143" t="s">
        <v>57</v>
      </c>
      <c r="GB143" t="s">
        <v>57</v>
      </c>
      <c r="GC143" t="s">
        <v>57</v>
      </c>
      <c r="GD143" t="s">
        <v>57</v>
      </c>
      <c r="GE143" t="s">
        <v>57</v>
      </c>
      <c r="GF143" t="s">
        <v>57</v>
      </c>
      <c r="GG143" t="s">
        <v>175</v>
      </c>
      <c r="GH143" t="s">
        <v>57</v>
      </c>
      <c r="GI143" t="s">
        <v>57</v>
      </c>
      <c r="GJ143" t="s">
        <v>57</v>
      </c>
      <c r="GK143" t="s">
        <v>57</v>
      </c>
      <c r="GL143" t="s">
        <v>57</v>
      </c>
      <c r="GM143" t="s">
        <v>175</v>
      </c>
      <c r="GN143" t="s">
        <v>57</v>
      </c>
      <c r="GO143" t="s">
        <v>57</v>
      </c>
      <c r="GP143" t="s">
        <v>175</v>
      </c>
      <c r="GQ143" t="s">
        <v>175</v>
      </c>
      <c r="GR143" t="s">
        <v>175</v>
      </c>
      <c r="GS143" t="s">
        <v>57</v>
      </c>
      <c r="GT143" t="s">
        <v>57</v>
      </c>
      <c r="GU143" t="s">
        <v>57</v>
      </c>
      <c r="GV143" t="s">
        <v>175</v>
      </c>
      <c r="GW143" t="s">
        <v>57</v>
      </c>
      <c r="GX143" t="s">
        <v>57</v>
      </c>
      <c r="GY143" t="s">
        <v>57</v>
      </c>
      <c r="GZ143" t="s">
        <v>57</v>
      </c>
      <c r="HA143" t="s">
        <v>57</v>
      </c>
      <c r="HB143" t="s">
        <v>175</v>
      </c>
      <c r="HC143" t="s">
        <v>57</v>
      </c>
      <c r="HD143" t="s">
        <v>57</v>
      </c>
      <c r="HE143" t="s">
        <v>57</v>
      </c>
      <c r="HF143" t="s">
        <v>57</v>
      </c>
      <c r="HG143" t="s">
        <v>57</v>
      </c>
      <c r="HH143" t="s">
        <v>175</v>
      </c>
      <c r="HI143" t="s">
        <v>175</v>
      </c>
      <c r="HJ143" t="s">
        <v>175</v>
      </c>
      <c r="HK143" t="s">
        <v>175</v>
      </c>
      <c r="HL143" t="s">
        <v>57</v>
      </c>
      <c r="HM143" t="s">
        <v>57</v>
      </c>
      <c r="HN143" t="s">
        <v>57</v>
      </c>
      <c r="HO143" t="s">
        <v>57</v>
      </c>
      <c r="HP143" t="s">
        <v>57</v>
      </c>
      <c r="HQ143" t="s">
        <v>57</v>
      </c>
      <c r="HR143" t="s">
        <v>57</v>
      </c>
      <c r="HS143" t="s">
        <v>57</v>
      </c>
      <c r="HT143" t="s">
        <v>57</v>
      </c>
      <c r="HU143" t="s">
        <v>57</v>
      </c>
      <c r="HV143" t="s">
        <v>57</v>
      </c>
      <c r="HW143" t="s">
        <v>57</v>
      </c>
      <c r="HX143" t="s">
        <v>57</v>
      </c>
      <c r="HY143" t="s">
        <v>57</v>
      </c>
      <c r="HZ143" t="s">
        <v>57</v>
      </c>
      <c r="IA143" t="s">
        <v>57</v>
      </c>
      <c r="IB143" t="s">
        <v>57</v>
      </c>
      <c r="IC143" t="s">
        <v>57</v>
      </c>
      <c r="ID143" t="s">
        <v>57</v>
      </c>
      <c r="IE143" t="s">
        <v>57</v>
      </c>
      <c r="IF143" t="s">
        <v>124</v>
      </c>
      <c r="IG143" t="s">
        <v>148</v>
      </c>
      <c r="IH143" t="s">
        <v>123</v>
      </c>
      <c r="II143" t="s">
        <v>156</v>
      </c>
    </row>
    <row r="144" spans="1:243" x14ac:dyDescent="0.25">
      <c r="A144" s="201" t="str">
        <f>HYPERLINK("http://www.ofsted.gov.uk/inspection-reports/find-inspection-report/provider/ELS/134580 ","Ofsted School Webpage")</f>
        <v>Ofsted School Webpage</v>
      </c>
      <c r="B144">
        <v>134580</v>
      </c>
      <c r="C144">
        <v>3086068</v>
      </c>
      <c r="D144" t="s">
        <v>218</v>
      </c>
      <c r="E144" t="s">
        <v>36</v>
      </c>
      <c r="F144" t="s">
        <v>166</v>
      </c>
      <c r="G144" t="s">
        <v>189</v>
      </c>
      <c r="H144" t="s">
        <v>189</v>
      </c>
      <c r="I144" t="s">
        <v>216</v>
      </c>
      <c r="J144" t="s">
        <v>2423</v>
      </c>
      <c r="K144" t="s">
        <v>142</v>
      </c>
      <c r="L144" t="s">
        <v>169</v>
      </c>
      <c r="M144" t="s">
        <v>2596</v>
      </c>
      <c r="N144" t="s">
        <v>143</v>
      </c>
      <c r="O144">
        <v>10038169</v>
      </c>
      <c r="P144" s="108">
        <v>43081</v>
      </c>
      <c r="Q144" s="108">
        <v>43083</v>
      </c>
      <c r="R144" s="108">
        <v>43126</v>
      </c>
      <c r="S144" t="s">
        <v>153</v>
      </c>
      <c r="T144" t="s">
        <v>154</v>
      </c>
      <c r="U144">
        <v>3</v>
      </c>
      <c r="V144">
        <v>3</v>
      </c>
      <c r="W144">
        <v>2</v>
      </c>
      <c r="X144">
        <v>3</v>
      </c>
      <c r="Y144">
        <v>3</v>
      </c>
      <c r="Z144" t="s">
        <v>2596</v>
      </c>
      <c r="AA144" t="s">
        <v>2596</v>
      </c>
      <c r="AB144" t="s">
        <v>123</v>
      </c>
      <c r="AC144" t="s">
        <v>2596</v>
      </c>
      <c r="AD144" t="s">
        <v>2599</v>
      </c>
      <c r="AE144" t="s">
        <v>57</v>
      </c>
      <c r="AF144" t="s">
        <v>57</v>
      </c>
      <c r="AG144" t="s">
        <v>57</v>
      </c>
      <c r="AH144" t="s">
        <v>57</v>
      </c>
      <c r="AI144" t="s">
        <v>57</v>
      </c>
      <c r="AJ144" t="s">
        <v>57</v>
      </c>
      <c r="AK144" t="s">
        <v>57</v>
      </c>
      <c r="AL144" t="s">
        <v>58</v>
      </c>
      <c r="AM144" t="s">
        <v>57</v>
      </c>
      <c r="AN144" t="s">
        <v>57</v>
      </c>
      <c r="AO144" t="s">
        <v>57</v>
      </c>
      <c r="AP144" t="s">
        <v>57</v>
      </c>
      <c r="AQ144" t="s">
        <v>57</v>
      </c>
      <c r="AR144" t="s">
        <v>57</v>
      </c>
      <c r="AS144" t="s">
        <v>57</v>
      </c>
      <c r="AT144" t="s">
        <v>57</v>
      </c>
      <c r="AU144" t="s">
        <v>57</v>
      </c>
      <c r="AV144" t="s">
        <v>57</v>
      </c>
      <c r="AW144" t="s">
        <v>57</v>
      </c>
      <c r="AX144" t="s">
        <v>57</v>
      </c>
      <c r="AY144" t="s">
        <v>57</v>
      </c>
      <c r="AZ144" t="s">
        <v>57</v>
      </c>
      <c r="BA144" t="s">
        <v>57</v>
      </c>
      <c r="BB144" t="s">
        <v>57</v>
      </c>
      <c r="BC144" t="s">
        <v>175</v>
      </c>
      <c r="BD144" t="s">
        <v>57</v>
      </c>
      <c r="BE144" t="s">
        <v>57</v>
      </c>
      <c r="BF144" t="s">
        <v>57</v>
      </c>
      <c r="BG144" t="s">
        <v>58</v>
      </c>
      <c r="BH144" t="s">
        <v>57</v>
      </c>
      <c r="BI144" t="s">
        <v>57</v>
      </c>
      <c r="BJ144" t="s">
        <v>57</v>
      </c>
      <c r="BK144" t="s">
        <v>57</v>
      </c>
      <c r="BL144" t="s">
        <v>57</v>
      </c>
      <c r="BM144" t="s">
        <v>58</v>
      </c>
      <c r="BN144" t="s">
        <v>57</v>
      </c>
      <c r="BO144" t="s">
        <v>57</v>
      </c>
      <c r="BP144" t="s">
        <v>57</v>
      </c>
      <c r="BQ144" t="s">
        <v>57</v>
      </c>
      <c r="BR144" t="s">
        <v>57</v>
      </c>
      <c r="BS144" t="s">
        <v>57</v>
      </c>
      <c r="BT144" t="s">
        <v>57</v>
      </c>
      <c r="BU144" t="s">
        <v>57</v>
      </c>
      <c r="BV144" t="s">
        <v>57</v>
      </c>
      <c r="BW144" t="s">
        <v>57</v>
      </c>
      <c r="BX144" t="s">
        <v>57</v>
      </c>
      <c r="BY144" t="s">
        <v>57</v>
      </c>
      <c r="BZ144" t="s">
        <v>57</v>
      </c>
      <c r="CA144" t="s">
        <v>57</v>
      </c>
      <c r="CB144" t="s">
        <v>57</v>
      </c>
      <c r="CC144" t="s">
        <v>57</v>
      </c>
      <c r="CD144" t="s">
        <v>57</v>
      </c>
      <c r="CE144" t="s">
        <v>57</v>
      </c>
      <c r="CF144" t="s">
        <v>57</v>
      </c>
      <c r="CG144" t="s">
        <v>57</v>
      </c>
      <c r="CH144" t="s">
        <v>57</v>
      </c>
      <c r="CI144" t="s">
        <v>57</v>
      </c>
      <c r="CJ144" t="s">
        <v>57</v>
      </c>
      <c r="CK144" t="s">
        <v>175</v>
      </c>
      <c r="CL144" t="s">
        <v>175</v>
      </c>
      <c r="CM144" t="s">
        <v>175</v>
      </c>
      <c r="CN144" t="s">
        <v>57</v>
      </c>
      <c r="CO144" t="s">
        <v>57</v>
      </c>
      <c r="CP144" t="s">
        <v>57</v>
      </c>
      <c r="CQ144" t="s">
        <v>57</v>
      </c>
      <c r="CR144" t="s">
        <v>57</v>
      </c>
      <c r="CS144" t="s">
        <v>57</v>
      </c>
      <c r="CT144" t="s">
        <v>57</v>
      </c>
      <c r="CU144" t="s">
        <v>57</v>
      </c>
      <c r="CV144" t="s">
        <v>57</v>
      </c>
      <c r="CW144" t="s">
        <v>57</v>
      </c>
      <c r="CX144" t="s">
        <v>57</v>
      </c>
      <c r="CY144" t="s">
        <v>57</v>
      </c>
      <c r="CZ144" t="s">
        <v>57</v>
      </c>
      <c r="DA144" t="s">
        <v>57</v>
      </c>
      <c r="DB144" t="s">
        <v>57</v>
      </c>
      <c r="DC144" t="s">
        <v>57</v>
      </c>
      <c r="DD144" t="s">
        <v>57</v>
      </c>
      <c r="DE144" t="s">
        <v>57</v>
      </c>
      <c r="DF144" t="s">
        <v>57</v>
      </c>
      <c r="DG144" t="s">
        <v>57</v>
      </c>
      <c r="DH144" t="s">
        <v>57</v>
      </c>
      <c r="DI144" t="s">
        <v>57</v>
      </c>
      <c r="DJ144" t="s">
        <v>175</v>
      </c>
      <c r="DK144" t="s">
        <v>175</v>
      </c>
      <c r="DL144" t="s">
        <v>57</v>
      </c>
      <c r="DM144" t="s">
        <v>57</v>
      </c>
      <c r="DN144" t="s">
        <v>57</v>
      </c>
      <c r="DO144" t="s">
        <v>57</v>
      </c>
      <c r="DP144" t="s">
        <v>57</v>
      </c>
      <c r="DQ144" t="s">
        <v>57</v>
      </c>
      <c r="DR144" t="s">
        <v>57</v>
      </c>
      <c r="DS144" t="s">
        <v>57</v>
      </c>
      <c r="DT144" t="s">
        <v>57</v>
      </c>
      <c r="DU144" t="s">
        <v>57</v>
      </c>
      <c r="DV144" t="s">
        <v>57</v>
      </c>
      <c r="DW144" t="s">
        <v>57</v>
      </c>
      <c r="DX144" t="s">
        <v>57</v>
      </c>
      <c r="DY144" t="s">
        <v>175</v>
      </c>
      <c r="DZ144" t="s">
        <v>57</v>
      </c>
      <c r="EA144" t="s">
        <v>57</v>
      </c>
      <c r="EB144" t="s">
        <v>57</v>
      </c>
      <c r="EC144" t="s">
        <v>57</v>
      </c>
      <c r="ED144" t="s">
        <v>57</v>
      </c>
      <c r="EE144" t="s">
        <v>57</v>
      </c>
      <c r="EF144" t="s">
        <v>57</v>
      </c>
      <c r="EG144" t="s">
        <v>57</v>
      </c>
      <c r="EH144" t="s">
        <v>57</v>
      </c>
      <c r="EI144" t="s">
        <v>57</v>
      </c>
      <c r="EJ144" t="s">
        <v>57</v>
      </c>
      <c r="EK144" t="s">
        <v>57</v>
      </c>
      <c r="EL144" t="s">
        <v>57</v>
      </c>
      <c r="EM144" t="s">
        <v>57</v>
      </c>
      <c r="EN144" t="s">
        <v>57</v>
      </c>
      <c r="EO144" t="s">
        <v>57</v>
      </c>
      <c r="EP144" t="s">
        <v>57</v>
      </c>
      <c r="EQ144" t="s">
        <v>57</v>
      </c>
      <c r="ER144" t="s">
        <v>57</v>
      </c>
      <c r="ES144" t="s">
        <v>57</v>
      </c>
      <c r="ET144" t="s">
        <v>57</v>
      </c>
      <c r="EU144" t="s">
        <v>57</v>
      </c>
      <c r="EV144" t="s">
        <v>57</v>
      </c>
      <c r="EW144" t="s">
        <v>57</v>
      </c>
      <c r="EX144" t="s">
        <v>175</v>
      </c>
      <c r="EY144" t="s">
        <v>175</v>
      </c>
      <c r="EZ144" t="s">
        <v>175</v>
      </c>
      <c r="FA144" t="s">
        <v>175</v>
      </c>
      <c r="FB144" t="s">
        <v>175</v>
      </c>
      <c r="FC144" t="s">
        <v>175</v>
      </c>
      <c r="FD144" t="s">
        <v>57</v>
      </c>
      <c r="FE144" t="s">
        <v>57</v>
      </c>
      <c r="FF144" t="s">
        <v>57</v>
      </c>
      <c r="FG144" t="s">
        <v>57</v>
      </c>
      <c r="FH144" t="s">
        <v>57</v>
      </c>
      <c r="FI144" t="s">
        <v>57</v>
      </c>
      <c r="FJ144" t="s">
        <v>57</v>
      </c>
      <c r="FK144" t="s">
        <v>57</v>
      </c>
      <c r="FL144" t="s">
        <v>57</v>
      </c>
      <c r="FM144" t="s">
        <v>57</v>
      </c>
      <c r="FN144" t="s">
        <v>57</v>
      </c>
      <c r="FO144" t="s">
        <v>175</v>
      </c>
      <c r="FP144" t="s">
        <v>57</v>
      </c>
      <c r="FQ144" t="s">
        <v>57</v>
      </c>
      <c r="FR144" t="s">
        <v>57</v>
      </c>
      <c r="FS144" t="s">
        <v>57</v>
      </c>
      <c r="FT144" t="s">
        <v>57</v>
      </c>
      <c r="FU144" t="s">
        <v>57</v>
      </c>
      <c r="FV144" t="s">
        <v>57</v>
      </c>
      <c r="FW144" t="s">
        <v>57</v>
      </c>
      <c r="FX144" t="s">
        <v>57</v>
      </c>
      <c r="FY144" t="s">
        <v>57</v>
      </c>
      <c r="FZ144" t="s">
        <v>57</v>
      </c>
      <c r="GA144" t="s">
        <v>57</v>
      </c>
      <c r="GB144" t="s">
        <v>57</v>
      </c>
      <c r="GC144" t="s">
        <v>57</v>
      </c>
      <c r="GD144" t="s">
        <v>57</v>
      </c>
      <c r="GE144" t="s">
        <v>57</v>
      </c>
      <c r="GF144" t="s">
        <v>57</v>
      </c>
      <c r="GG144" t="s">
        <v>175</v>
      </c>
      <c r="GH144" t="s">
        <v>57</v>
      </c>
      <c r="GI144" t="s">
        <v>57</v>
      </c>
      <c r="GJ144" t="s">
        <v>57</v>
      </c>
      <c r="GK144" t="s">
        <v>57</v>
      </c>
      <c r="GL144" t="s">
        <v>57</v>
      </c>
      <c r="GM144" t="s">
        <v>175</v>
      </c>
      <c r="GN144" t="s">
        <v>57</v>
      </c>
      <c r="GO144" t="s">
        <v>57</v>
      </c>
      <c r="GP144" t="s">
        <v>175</v>
      </c>
      <c r="GQ144" t="s">
        <v>175</v>
      </c>
      <c r="GR144" t="s">
        <v>175</v>
      </c>
      <c r="GS144" t="s">
        <v>57</v>
      </c>
      <c r="GT144" t="s">
        <v>57</v>
      </c>
      <c r="GU144" t="s">
        <v>57</v>
      </c>
      <c r="GV144" t="s">
        <v>57</v>
      </c>
      <c r="GW144" t="s">
        <v>57</v>
      </c>
      <c r="GX144" t="s">
        <v>175</v>
      </c>
      <c r="GY144" t="s">
        <v>57</v>
      </c>
      <c r="GZ144" t="s">
        <v>57</v>
      </c>
      <c r="HA144" t="s">
        <v>57</v>
      </c>
      <c r="HB144" t="s">
        <v>57</v>
      </c>
      <c r="HC144" t="s">
        <v>57</v>
      </c>
      <c r="HD144" t="s">
        <v>57</v>
      </c>
      <c r="HE144" t="s">
        <v>57</v>
      </c>
      <c r="HF144" t="s">
        <v>57</v>
      </c>
      <c r="HG144" t="s">
        <v>57</v>
      </c>
      <c r="HH144" t="s">
        <v>57</v>
      </c>
      <c r="HI144" t="s">
        <v>175</v>
      </c>
      <c r="HJ144" t="s">
        <v>175</v>
      </c>
      <c r="HK144" t="s">
        <v>175</v>
      </c>
      <c r="HL144" t="s">
        <v>57</v>
      </c>
      <c r="HM144" t="s">
        <v>57</v>
      </c>
      <c r="HN144" t="s">
        <v>57</v>
      </c>
      <c r="HO144" t="s">
        <v>57</v>
      </c>
      <c r="HP144" t="s">
        <v>57</v>
      </c>
      <c r="HQ144" t="s">
        <v>57</v>
      </c>
      <c r="HR144" t="s">
        <v>57</v>
      </c>
      <c r="HS144" t="s">
        <v>57</v>
      </c>
      <c r="HT144" t="s">
        <v>57</v>
      </c>
      <c r="HU144" t="s">
        <v>57</v>
      </c>
      <c r="HV144" t="s">
        <v>57</v>
      </c>
      <c r="HW144" t="s">
        <v>57</v>
      </c>
      <c r="HX144" t="s">
        <v>57</v>
      </c>
      <c r="HY144" t="s">
        <v>57</v>
      </c>
      <c r="HZ144" t="s">
        <v>57</v>
      </c>
      <c r="IA144" t="s">
        <v>57</v>
      </c>
      <c r="IB144" t="s">
        <v>58</v>
      </c>
      <c r="IC144" t="s">
        <v>58</v>
      </c>
      <c r="ID144" t="s">
        <v>58</v>
      </c>
      <c r="IE144" t="s">
        <v>57</v>
      </c>
      <c r="IF144" t="s">
        <v>124</v>
      </c>
      <c r="IG144" t="s">
        <v>148</v>
      </c>
      <c r="IH144" t="s">
        <v>123</v>
      </c>
      <c r="II144" t="s">
        <v>156</v>
      </c>
    </row>
    <row r="145" spans="1:243" x14ac:dyDescent="0.25">
      <c r="A145" s="201" t="str">
        <f>HYPERLINK("http://www.ofsted.gov.uk/inspection-reports/find-inspection-report/provider/ELS/134594 ","Ofsted School Webpage")</f>
        <v>Ofsted School Webpage</v>
      </c>
      <c r="B145">
        <v>134594</v>
      </c>
      <c r="C145">
        <v>3156081</v>
      </c>
      <c r="D145" t="s">
        <v>884</v>
      </c>
      <c r="E145" t="s">
        <v>37</v>
      </c>
      <c r="F145" t="s">
        <v>138</v>
      </c>
      <c r="G145" t="s">
        <v>189</v>
      </c>
      <c r="H145" t="s">
        <v>189</v>
      </c>
      <c r="I145" t="s">
        <v>193</v>
      </c>
      <c r="J145" t="s">
        <v>885</v>
      </c>
      <c r="K145" t="s">
        <v>142</v>
      </c>
      <c r="L145" t="s">
        <v>142</v>
      </c>
      <c r="M145" t="s">
        <v>2596</v>
      </c>
      <c r="N145" t="s">
        <v>143</v>
      </c>
      <c r="O145">
        <v>10038170</v>
      </c>
      <c r="P145" s="108">
        <v>43053</v>
      </c>
      <c r="Q145" s="108">
        <v>43055</v>
      </c>
      <c r="R145" s="108">
        <v>43089</v>
      </c>
      <c r="S145" t="s">
        <v>153</v>
      </c>
      <c r="T145" t="s">
        <v>154</v>
      </c>
      <c r="U145">
        <v>2</v>
      </c>
      <c r="V145">
        <v>2</v>
      </c>
      <c r="W145">
        <v>2</v>
      </c>
      <c r="X145">
        <v>2</v>
      </c>
      <c r="Y145">
        <v>2</v>
      </c>
      <c r="Z145">
        <v>2</v>
      </c>
      <c r="AA145" t="s">
        <v>2596</v>
      </c>
      <c r="AB145" t="s">
        <v>123</v>
      </c>
      <c r="AC145" t="s">
        <v>2596</v>
      </c>
      <c r="AD145" t="s">
        <v>2598</v>
      </c>
      <c r="AE145" t="s">
        <v>57</v>
      </c>
      <c r="AF145" t="s">
        <v>57</v>
      </c>
      <c r="AG145" t="s">
        <v>57</v>
      </c>
      <c r="AH145" t="s">
        <v>57</v>
      </c>
      <c r="AI145" t="s">
        <v>57</v>
      </c>
      <c r="AJ145" t="s">
        <v>57</v>
      </c>
      <c r="AK145" t="s">
        <v>57</v>
      </c>
      <c r="AL145" t="s">
        <v>57</v>
      </c>
      <c r="AM145" t="s">
        <v>57</v>
      </c>
      <c r="AN145" t="s">
        <v>57</v>
      </c>
      <c r="AO145" t="s">
        <v>57</v>
      </c>
      <c r="AP145" t="s">
        <v>57</v>
      </c>
      <c r="AQ145" t="s">
        <v>57</v>
      </c>
      <c r="AR145" t="s">
        <v>57</v>
      </c>
      <c r="AS145" t="s">
        <v>57</v>
      </c>
      <c r="AT145" t="s">
        <v>57</v>
      </c>
      <c r="AU145" t="s">
        <v>175</v>
      </c>
      <c r="AV145" t="s">
        <v>57</v>
      </c>
      <c r="AW145" t="s">
        <v>57</v>
      </c>
      <c r="AX145" t="s">
        <v>57</v>
      </c>
      <c r="AY145" t="s">
        <v>175</v>
      </c>
      <c r="AZ145" t="s">
        <v>175</v>
      </c>
      <c r="BA145" t="s">
        <v>175</v>
      </c>
      <c r="BB145" t="s">
        <v>175</v>
      </c>
      <c r="BC145" t="s">
        <v>57</v>
      </c>
      <c r="BD145" t="s">
        <v>175</v>
      </c>
      <c r="BE145" t="s">
        <v>57</v>
      </c>
      <c r="BF145" t="s">
        <v>57</v>
      </c>
      <c r="BG145" t="s">
        <v>57</v>
      </c>
      <c r="BH145" t="s">
        <v>57</v>
      </c>
      <c r="BI145" t="s">
        <v>57</v>
      </c>
      <c r="BJ145" t="s">
        <v>57</v>
      </c>
      <c r="BK145" t="s">
        <v>57</v>
      </c>
      <c r="BL145" t="s">
        <v>57</v>
      </c>
      <c r="BM145" t="s">
        <v>57</v>
      </c>
      <c r="BN145" t="s">
        <v>57</v>
      </c>
      <c r="BO145" t="s">
        <v>57</v>
      </c>
      <c r="BP145" t="s">
        <v>57</v>
      </c>
      <c r="BQ145" t="s">
        <v>57</v>
      </c>
      <c r="BR145" t="s">
        <v>57</v>
      </c>
      <c r="BS145" t="s">
        <v>57</v>
      </c>
      <c r="BT145" t="s">
        <v>57</v>
      </c>
      <c r="BU145" t="s">
        <v>57</v>
      </c>
      <c r="BV145" t="s">
        <v>57</v>
      </c>
      <c r="BW145" t="s">
        <v>57</v>
      </c>
      <c r="BX145" t="s">
        <v>57</v>
      </c>
      <c r="BY145" t="s">
        <v>57</v>
      </c>
      <c r="BZ145" t="s">
        <v>57</v>
      </c>
      <c r="CA145" t="s">
        <v>57</v>
      </c>
      <c r="CB145" t="s">
        <v>57</v>
      </c>
      <c r="CC145" t="s">
        <v>57</v>
      </c>
      <c r="CD145" t="s">
        <v>57</v>
      </c>
      <c r="CE145" t="s">
        <v>57</v>
      </c>
      <c r="CF145" t="s">
        <v>57</v>
      </c>
      <c r="CG145" t="s">
        <v>57</v>
      </c>
      <c r="CH145" t="s">
        <v>57</v>
      </c>
      <c r="CI145" t="s">
        <v>57</v>
      </c>
      <c r="CJ145" t="s">
        <v>57</v>
      </c>
      <c r="CK145" t="s">
        <v>57</v>
      </c>
      <c r="CL145" t="s">
        <v>175</v>
      </c>
      <c r="CM145" t="s">
        <v>175</v>
      </c>
      <c r="CN145" t="s">
        <v>57</v>
      </c>
      <c r="CO145" t="s">
        <v>57</v>
      </c>
      <c r="CP145" t="s">
        <v>57</v>
      </c>
      <c r="CQ145" t="s">
        <v>57</v>
      </c>
      <c r="CR145" t="s">
        <v>57</v>
      </c>
      <c r="CS145" t="s">
        <v>57</v>
      </c>
      <c r="CT145" t="s">
        <v>57</v>
      </c>
      <c r="CU145" t="s">
        <v>57</v>
      </c>
      <c r="CV145" t="s">
        <v>57</v>
      </c>
      <c r="CW145" t="s">
        <v>57</v>
      </c>
      <c r="CX145" t="s">
        <v>57</v>
      </c>
      <c r="CY145" t="s">
        <v>57</v>
      </c>
      <c r="CZ145" t="s">
        <v>57</v>
      </c>
      <c r="DA145" t="s">
        <v>57</v>
      </c>
      <c r="DB145" t="s">
        <v>57</v>
      </c>
      <c r="DC145" t="s">
        <v>57</v>
      </c>
      <c r="DD145" t="s">
        <v>57</v>
      </c>
      <c r="DE145" t="s">
        <v>57</v>
      </c>
      <c r="DF145" t="s">
        <v>57</v>
      </c>
      <c r="DG145" t="s">
        <v>57</v>
      </c>
      <c r="DH145" t="s">
        <v>57</v>
      </c>
      <c r="DI145" t="s">
        <v>57</v>
      </c>
      <c r="DJ145" t="s">
        <v>57</v>
      </c>
      <c r="DK145" t="s">
        <v>175</v>
      </c>
      <c r="DL145" t="s">
        <v>57</v>
      </c>
      <c r="DM145" t="s">
        <v>57</v>
      </c>
      <c r="DN145" t="s">
        <v>57</v>
      </c>
      <c r="DO145" t="s">
        <v>57</v>
      </c>
      <c r="DP145" t="s">
        <v>57</v>
      </c>
      <c r="DQ145" t="s">
        <v>57</v>
      </c>
      <c r="DR145" t="s">
        <v>57</v>
      </c>
      <c r="DS145" t="s">
        <v>57</v>
      </c>
      <c r="DT145" t="s">
        <v>57</v>
      </c>
      <c r="DU145" t="s">
        <v>57</v>
      </c>
      <c r="DV145" t="s">
        <v>57</v>
      </c>
      <c r="DW145" t="s">
        <v>57</v>
      </c>
      <c r="DX145" t="s">
        <v>57</v>
      </c>
      <c r="DY145" t="s">
        <v>175</v>
      </c>
      <c r="DZ145" t="s">
        <v>57</v>
      </c>
      <c r="EA145" t="s">
        <v>57</v>
      </c>
      <c r="EB145" t="s">
        <v>57</v>
      </c>
      <c r="EC145" t="s">
        <v>57</v>
      </c>
      <c r="ED145" t="s">
        <v>57</v>
      </c>
      <c r="EE145" t="s">
        <v>57</v>
      </c>
      <c r="EF145" t="s">
        <v>57</v>
      </c>
      <c r="EG145" t="s">
        <v>57</v>
      </c>
      <c r="EH145" t="s">
        <v>57</v>
      </c>
      <c r="EI145" t="s">
        <v>57</v>
      </c>
      <c r="EJ145" t="s">
        <v>57</v>
      </c>
      <c r="EK145" t="s">
        <v>57</v>
      </c>
      <c r="EL145" t="s">
        <v>57</v>
      </c>
      <c r="EM145" t="s">
        <v>57</v>
      </c>
      <c r="EN145" t="s">
        <v>57</v>
      </c>
      <c r="EO145" t="s">
        <v>57</v>
      </c>
      <c r="EP145" t="s">
        <v>57</v>
      </c>
      <c r="EQ145" t="s">
        <v>57</v>
      </c>
      <c r="ER145" t="s">
        <v>57</v>
      </c>
      <c r="ES145" t="s">
        <v>57</v>
      </c>
      <c r="ET145" t="s">
        <v>57</v>
      </c>
      <c r="EU145" t="s">
        <v>57</v>
      </c>
      <c r="EV145" t="s">
        <v>57</v>
      </c>
      <c r="EW145" t="s">
        <v>57</v>
      </c>
      <c r="EX145" t="s">
        <v>57</v>
      </c>
      <c r="EY145" t="s">
        <v>57</v>
      </c>
      <c r="EZ145" t="s">
        <v>57</v>
      </c>
      <c r="FA145" t="s">
        <v>57</v>
      </c>
      <c r="FB145" t="s">
        <v>57</v>
      </c>
      <c r="FC145" t="s">
        <v>57</v>
      </c>
      <c r="FD145" t="s">
        <v>57</v>
      </c>
      <c r="FE145" t="s">
        <v>57</v>
      </c>
      <c r="FF145" t="s">
        <v>57</v>
      </c>
      <c r="FG145" t="s">
        <v>57</v>
      </c>
      <c r="FH145" t="s">
        <v>57</v>
      </c>
      <c r="FI145" t="s">
        <v>57</v>
      </c>
      <c r="FJ145" t="s">
        <v>57</v>
      </c>
      <c r="FK145" t="s">
        <v>175</v>
      </c>
      <c r="FL145" t="s">
        <v>57</v>
      </c>
      <c r="FM145" t="s">
        <v>57</v>
      </c>
      <c r="FN145" t="s">
        <v>57</v>
      </c>
      <c r="FO145" t="s">
        <v>57</v>
      </c>
      <c r="FP145" t="s">
        <v>57</v>
      </c>
      <c r="FQ145" t="s">
        <v>57</v>
      </c>
      <c r="FR145" t="s">
        <v>57</v>
      </c>
      <c r="FS145" t="s">
        <v>57</v>
      </c>
      <c r="FT145" t="s">
        <v>57</v>
      </c>
      <c r="FU145" t="s">
        <v>57</v>
      </c>
      <c r="FV145" t="s">
        <v>57</v>
      </c>
      <c r="FW145" t="s">
        <v>57</v>
      </c>
      <c r="FX145" t="s">
        <v>57</v>
      </c>
      <c r="FY145" t="s">
        <v>57</v>
      </c>
      <c r="FZ145" t="s">
        <v>57</v>
      </c>
      <c r="GA145" t="s">
        <v>57</v>
      </c>
      <c r="GB145" t="s">
        <v>57</v>
      </c>
      <c r="GC145" t="s">
        <v>57</v>
      </c>
      <c r="GD145" t="s">
        <v>57</v>
      </c>
      <c r="GE145" t="s">
        <v>57</v>
      </c>
      <c r="GF145" t="s">
        <v>57</v>
      </c>
      <c r="GG145" t="s">
        <v>175</v>
      </c>
      <c r="GH145" t="s">
        <v>57</v>
      </c>
      <c r="GI145" t="s">
        <v>57</v>
      </c>
      <c r="GJ145" t="s">
        <v>57</v>
      </c>
      <c r="GK145" t="s">
        <v>57</v>
      </c>
      <c r="GL145" t="s">
        <v>57</v>
      </c>
      <c r="GM145" t="s">
        <v>57</v>
      </c>
      <c r="GN145" t="s">
        <v>57</v>
      </c>
      <c r="GO145" t="s">
        <v>57</v>
      </c>
      <c r="GP145" t="s">
        <v>57</v>
      </c>
      <c r="GQ145" t="s">
        <v>57</v>
      </c>
      <c r="GR145" t="s">
        <v>57</v>
      </c>
      <c r="GS145" t="s">
        <v>57</v>
      </c>
      <c r="GT145" t="s">
        <v>57</v>
      </c>
      <c r="GU145" t="s">
        <v>57</v>
      </c>
      <c r="GV145" t="s">
        <v>57</v>
      </c>
      <c r="GW145" t="s">
        <v>175</v>
      </c>
      <c r="GX145" t="s">
        <v>57</v>
      </c>
      <c r="GY145" t="s">
        <v>57</v>
      </c>
      <c r="GZ145" t="s">
        <v>57</v>
      </c>
      <c r="HA145" t="s">
        <v>57</v>
      </c>
      <c r="HB145" t="s">
        <v>57</v>
      </c>
      <c r="HC145" t="s">
        <v>57</v>
      </c>
      <c r="HD145" t="s">
        <v>57</v>
      </c>
      <c r="HE145" t="s">
        <v>57</v>
      </c>
      <c r="HF145" t="s">
        <v>57</v>
      </c>
      <c r="HG145" t="s">
        <v>57</v>
      </c>
      <c r="HH145" t="s">
        <v>175</v>
      </c>
      <c r="HI145" t="s">
        <v>175</v>
      </c>
      <c r="HJ145" t="s">
        <v>175</v>
      </c>
      <c r="HK145" t="s">
        <v>175</v>
      </c>
      <c r="HL145" t="s">
        <v>57</v>
      </c>
      <c r="HM145" t="s">
        <v>57</v>
      </c>
      <c r="HN145" t="s">
        <v>57</v>
      </c>
      <c r="HO145" t="s">
        <v>57</v>
      </c>
      <c r="HP145" t="s">
        <v>57</v>
      </c>
      <c r="HQ145" t="s">
        <v>57</v>
      </c>
      <c r="HR145" t="s">
        <v>57</v>
      </c>
      <c r="HS145" t="s">
        <v>57</v>
      </c>
      <c r="HT145" t="s">
        <v>57</v>
      </c>
      <c r="HU145" t="s">
        <v>57</v>
      </c>
      <c r="HV145" t="s">
        <v>57</v>
      </c>
      <c r="HW145" t="s">
        <v>57</v>
      </c>
      <c r="HX145" t="s">
        <v>57</v>
      </c>
      <c r="HY145" t="s">
        <v>57</v>
      </c>
      <c r="HZ145" t="s">
        <v>57</v>
      </c>
      <c r="IA145" t="s">
        <v>57</v>
      </c>
      <c r="IB145" t="s">
        <v>57</v>
      </c>
      <c r="IC145" t="s">
        <v>57</v>
      </c>
      <c r="ID145" t="s">
        <v>57</v>
      </c>
      <c r="IE145" t="s">
        <v>57</v>
      </c>
      <c r="IF145" t="s">
        <v>124</v>
      </c>
      <c r="IG145" t="s">
        <v>148</v>
      </c>
      <c r="IH145" t="s">
        <v>123</v>
      </c>
      <c r="II145" t="s">
        <v>156</v>
      </c>
    </row>
    <row r="146" spans="1:243" x14ac:dyDescent="0.25">
      <c r="A146" s="201" t="str">
        <f>HYPERLINK("http://www.ofsted.gov.uk/inspection-reports/find-inspection-report/provider/ELS/134805 ","Ofsted School Webpage")</f>
        <v>Ofsted School Webpage</v>
      </c>
      <c r="B146">
        <v>134805</v>
      </c>
      <c r="C146">
        <v>8216006</v>
      </c>
      <c r="D146" t="s">
        <v>176</v>
      </c>
      <c r="E146" t="s">
        <v>36</v>
      </c>
      <c r="F146" t="s">
        <v>166</v>
      </c>
      <c r="G146" t="s">
        <v>177</v>
      </c>
      <c r="H146" t="s">
        <v>177</v>
      </c>
      <c r="I146" t="s">
        <v>178</v>
      </c>
      <c r="J146" t="s">
        <v>179</v>
      </c>
      <c r="K146" t="s">
        <v>142</v>
      </c>
      <c r="L146" t="s">
        <v>180</v>
      </c>
      <c r="M146" t="s">
        <v>2596</v>
      </c>
      <c r="N146" t="s">
        <v>143</v>
      </c>
      <c r="O146">
        <v>10039334</v>
      </c>
      <c r="P146" s="108">
        <v>43018</v>
      </c>
      <c r="Q146" s="108">
        <v>43020</v>
      </c>
      <c r="R146" s="108">
        <v>43055</v>
      </c>
      <c r="S146" t="s">
        <v>153</v>
      </c>
      <c r="T146" t="s">
        <v>154</v>
      </c>
      <c r="U146">
        <v>2</v>
      </c>
      <c r="V146">
        <v>2</v>
      </c>
      <c r="W146">
        <v>2</v>
      </c>
      <c r="X146">
        <v>2</v>
      </c>
      <c r="Y146">
        <v>2</v>
      </c>
      <c r="Z146" t="s">
        <v>2596</v>
      </c>
      <c r="AA146" t="s">
        <v>2596</v>
      </c>
      <c r="AB146" t="s">
        <v>123</v>
      </c>
      <c r="AC146" t="s">
        <v>2596</v>
      </c>
      <c r="AD146" t="s">
        <v>2598</v>
      </c>
      <c r="AE146" t="s">
        <v>57</v>
      </c>
      <c r="AF146" t="s">
        <v>57</v>
      </c>
      <c r="AG146" t="s">
        <v>57</v>
      </c>
      <c r="AH146" t="s">
        <v>57</v>
      </c>
      <c r="AI146" t="s">
        <v>57</v>
      </c>
      <c r="AJ146" t="s">
        <v>57</v>
      </c>
      <c r="AK146" t="s">
        <v>57</v>
      </c>
      <c r="AL146" t="s">
        <v>57</v>
      </c>
      <c r="AM146" t="s">
        <v>57</v>
      </c>
      <c r="AN146" t="s">
        <v>57</v>
      </c>
      <c r="AO146" t="s">
        <v>57</v>
      </c>
      <c r="AP146" t="s">
        <v>57</v>
      </c>
      <c r="AQ146" t="s">
        <v>57</v>
      </c>
      <c r="AR146" t="s">
        <v>57</v>
      </c>
      <c r="AS146" t="s">
        <v>57</v>
      </c>
      <c r="AT146" t="s">
        <v>57</v>
      </c>
      <c r="AU146" t="s">
        <v>175</v>
      </c>
      <c r="AV146" t="s">
        <v>57</v>
      </c>
      <c r="AW146" t="s">
        <v>57</v>
      </c>
      <c r="AX146" t="s">
        <v>57</v>
      </c>
      <c r="AY146" t="s">
        <v>57</v>
      </c>
      <c r="AZ146" t="s">
        <v>57</v>
      </c>
      <c r="BA146" t="s">
        <v>57</v>
      </c>
      <c r="BB146" t="s">
        <v>57</v>
      </c>
      <c r="BC146" t="s">
        <v>175</v>
      </c>
      <c r="BD146" t="s">
        <v>175</v>
      </c>
      <c r="BE146" t="s">
        <v>57</v>
      </c>
      <c r="BF146" t="s">
        <v>57</v>
      </c>
      <c r="BG146" t="s">
        <v>57</v>
      </c>
      <c r="BH146" t="s">
        <v>57</v>
      </c>
      <c r="BI146" t="s">
        <v>57</v>
      </c>
      <c r="BJ146" t="s">
        <v>57</v>
      </c>
      <c r="BK146" t="s">
        <v>57</v>
      </c>
      <c r="BL146" t="s">
        <v>57</v>
      </c>
      <c r="BM146" t="s">
        <v>57</v>
      </c>
      <c r="BN146" t="s">
        <v>57</v>
      </c>
      <c r="BO146" t="s">
        <v>57</v>
      </c>
      <c r="BP146" t="s">
        <v>57</v>
      </c>
      <c r="BQ146" t="s">
        <v>57</v>
      </c>
      <c r="BR146" t="s">
        <v>57</v>
      </c>
      <c r="BS146" t="s">
        <v>57</v>
      </c>
      <c r="BT146" t="s">
        <v>57</v>
      </c>
      <c r="BU146" t="s">
        <v>57</v>
      </c>
      <c r="BV146" t="s">
        <v>57</v>
      </c>
      <c r="BW146" t="s">
        <v>57</v>
      </c>
      <c r="BX146" t="s">
        <v>57</v>
      </c>
      <c r="BY146" t="s">
        <v>57</v>
      </c>
      <c r="BZ146" t="s">
        <v>57</v>
      </c>
      <c r="CA146" t="s">
        <v>57</v>
      </c>
      <c r="CB146" t="s">
        <v>57</v>
      </c>
      <c r="CC146" t="s">
        <v>57</v>
      </c>
      <c r="CD146" t="s">
        <v>57</v>
      </c>
      <c r="CE146" t="s">
        <v>57</v>
      </c>
      <c r="CF146" t="s">
        <v>57</v>
      </c>
      <c r="CG146" t="s">
        <v>57</v>
      </c>
      <c r="CH146" t="s">
        <v>57</v>
      </c>
      <c r="CI146" t="s">
        <v>57</v>
      </c>
      <c r="CJ146" t="s">
        <v>57</v>
      </c>
      <c r="CK146" t="s">
        <v>175</v>
      </c>
      <c r="CL146" t="s">
        <v>175</v>
      </c>
      <c r="CM146" t="s">
        <v>175</v>
      </c>
      <c r="CN146" t="s">
        <v>57</v>
      </c>
      <c r="CO146" t="s">
        <v>57</v>
      </c>
      <c r="CP146" t="s">
        <v>57</v>
      </c>
      <c r="CQ146" t="s">
        <v>57</v>
      </c>
      <c r="CR146" t="s">
        <v>57</v>
      </c>
      <c r="CS146" t="s">
        <v>57</v>
      </c>
      <c r="CT146" t="s">
        <v>57</v>
      </c>
      <c r="CU146" t="s">
        <v>57</v>
      </c>
      <c r="CV146" t="s">
        <v>57</v>
      </c>
      <c r="CW146" t="s">
        <v>57</v>
      </c>
      <c r="CX146" t="s">
        <v>57</v>
      </c>
      <c r="CY146" t="s">
        <v>57</v>
      </c>
      <c r="CZ146" t="s">
        <v>57</v>
      </c>
      <c r="DA146" t="s">
        <v>57</v>
      </c>
      <c r="DB146" t="s">
        <v>57</v>
      </c>
      <c r="DC146" t="s">
        <v>57</v>
      </c>
      <c r="DD146" t="s">
        <v>57</v>
      </c>
      <c r="DE146" t="s">
        <v>57</v>
      </c>
      <c r="DF146" t="s">
        <v>57</v>
      </c>
      <c r="DG146" t="s">
        <v>57</v>
      </c>
      <c r="DH146" t="s">
        <v>57</v>
      </c>
      <c r="DI146" t="s">
        <v>57</v>
      </c>
      <c r="DJ146" t="s">
        <v>57</v>
      </c>
      <c r="DK146" t="s">
        <v>175</v>
      </c>
      <c r="DL146" t="s">
        <v>57</v>
      </c>
      <c r="DM146" t="s">
        <v>175</v>
      </c>
      <c r="DN146" t="s">
        <v>175</v>
      </c>
      <c r="DO146" t="s">
        <v>175</v>
      </c>
      <c r="DP146" t="s">
        <v>175</v>
      </c>
      <c r="DQ146" t="s">
        <v>175</v>
      </c>
      <c r="DR146" t="s">
        <v>175</v>
      </c>
      <c r="DS146" t="s">
        <v>175</v>
      </c>
      <c r="DT146" t="s">
        <v>175</v>
      </c>
      <c r="DU146" t="s">
        <v>175</v>
      </c>
      <c r="DV146" t="s">
        <v>175</v>
      </c>
      <c r="DW146" t="s">
        <v>175</v>
      </c>
      <c r="DX146" t="s">
        <v>175</v>
      </c>
      <c r="DY146" t="s">
        <v>175</v>
      </c>
      <c r="DZ146" t="s">
        <v>175</v>
      </c>
      <c r="EA146" t="s">
        <v>175</v>
      </c>
      <c r="EB146" t="s">
        <v>175</v>
      </c>
      <c r="EC146" t="s">
        <v>175</v>
      </c>
      <c r="ED146" t="s">
        <v>175</v>
      </c>
      <c r="EE146" t="s">
        <v>175</v>
      </c>
      <c r="EF146" t="s">
        <v>175</v>
      </c>
      <c r="EG146" t="s">
        <v>175</v>
      </c>
      <c r="EH146" t="s">
        <v>175</v>
      </c>
      <c r="EI146" t="s">
        <v>57</v>
      </c>
      <c r="EJ146" t="s">
        <v>57</v>
      </c>
      <c r="EK146" t="s">
        <v>57</v>
      </c>
      <c r="EL146" t="s">
        <v>57</v>
      </c>
      <c r="EM146" t="s">
        <v>57</v>
      </c>
      <c r="EN146" t="s">
        <v>57</v>
      </c>
      <c r="EO146" t="s">
        <v>57</v>
      </c>
      <c r="EP146" t="s">
        <v>57</v>
      </c>
      <c r="EQ146" t="s">
        <v>57</v>
      </c>
      <c r="ER146" t="s">
        <v>57</v>
      </c>
      <c r="ES146" t="s">
        <v>57</v>
      </c>
      <c r="ET146" t="s">
        <v>57</v>
      </c>
      <c r="EU146" t="s">
        <v>57</v>
      </c>
      <c r="EV146" t="s">
        <v>57</v>
      </c>
      <c r="EW146" t="s">
        <v>57</v>
      </c>
      <c r="EX146" t="s">
        <v>175</v>
      </c>
      <c r="EY146" t="s">
        <v>175</v>
      </c>
      <c r="EZ146" t="s">
        <v>175</v>
      </c>
      <c r="FA146" t="s">
        <v>175</v>
      </c>
      <c r="FB146" t="s">
        <v>175</v>
      </c>
      <c r="FC146" t="s">
        <v>175</v>
      </c>
      <c r="FD146" t="s">
        <v>175</v>
      </c>
      <c r="FE146" t="s">
        <v>175</v>
      </c>
      <c r="FF146" t="s">
        <v>148</v>
      </c>
      <c r="FG146" t="s">
        <v>175</v>
      </c>
      <c r="FH146" t="s">
        <v>57</v>
      </c>
      <c r="FI146" t="s">
        <v>57</v>
      </c>
      <c r="FJ146" t="s">
        <v>57</v>
      </c>
      <c r="FK146" t="s">
        <v>57</v>
      </c>
      <c r="FL146" t="s">
        <v>57</v>
      </c>
      <c r="FM146" t="s">
        <v>57</v>
      </c>
      <c r="FN146" t="s">
        <v>57</v>
      </c>
      <c r="FO146" t="s">
        <v>175</v>
      </c>
      <c r="FP146" t="s">
        <v>57</v>
      </c>
      <c r="FQ146" t="s">
        <v>57</v>
      </c>
      <c r="FR146" t="s">
        <v>57</v>
      </c>
      <c r="FS146" t="s">
        <v>57</v>
      </c>
      <c r="FT146" t="s">
        <v>57</v>
      </c>
      <c r="FU146" t="s">
        <v>57</v>
      </c>
      <c r="FV146" t="s">
        <v>57</v>
      </c>
      <c r="FW146" t="s">
        <v>57</v>
      </c>
      <c r="FX146" t="s">
        <v>57</v>
      </c>
      <c r="FY146" t="s">
        <v>57</v>
      </c>
      <c r="FZ146" t="s">
        <v>57</v>
      </c>
      <c r="GA146" t="s">
        <v>57</v>
      </c>
      <c r="GB146" t="s">
        <v>57</v>
      </c>
      <c r="GC146" t="s">
        <v>57</v>
      </c>
      <c r="GD146" t="s">
        <v>57</v>
      </c>
      <c r="GE146" t="s">
        <v>57</v>
      </c>
      <c r="GF146" t="s">
        <v>57</v>
      </c>
      <c r="GG146" t="s">
        <v>175</v>
      </c>
      <c r="GH146" t="s">
        <v>57</v>
      </c>
      <c r="GI146" t="s">
        <v>57</v>
      </c>
      <c r="GJ146" t="s">
        <v>57</v>
      </c>
      <c r="GK146" t="s">
        <v>57</v>
      </c>
      <c r="GL146" t="s">
        <v>57</v>
      </c>
      <c r="GM146" t="s">
        <v>175</v>
      </c>
      <c r="GN146" t="s">
        <v>57</v>
      </c>
      <c r="GO146" t="s">
        <v>57</v>
      </c>
      <c r="GP146" t="s">
        <v>175</v>
      </c>
      <c r="GQ146" t="s">
        <v>175</v>
      </c>
      <c r="GR146" t="s">
        <v>57</v>
      </c>
      <c r="GS146" t="s">
        <v>57</v>
      </c>
      <c r="GT146" t="s">
        <v>57</v>
      </c>
      <c r="GU146" t="s">
        <v>57</v>
      </c>
      <c r="GV146" t="s">
        <v>57</v>
      </c>
      <c r="GW146" t="s">
        <v>175</v>
      </c>
      <c r="GX146" t="s">
        <v>57</v>
      </c>
      <c r="GY146" t="s">
        <v>57</v>
      </c>
      <c r="GZ146" t="s">
        <v>57</v>
      </c>
      <c r="HA146" t="s">
        <v>57</v>
      </c>
      <c r="HB146" t="s">
        <v>57</v>
      </c>
      <c r="HC146" t="s">
        <v>57</v>
      </c>
      <c r="HD146" t="s">
        <v>57</v>
      </c>
      <c r="HE146" t="s">
        <v>57</v>
      </c>
      <c r="HF146" t="s">
        <v>57</v>
      </c>
      <c r="HG146" t="s">
        <v>57</v>
      </c>
      <c r="HH146" t="s">
        <v>57</v>
      </c>
      <c r="HI146" t="s">
        <v>57</v>
      </c>
      <c r="HJ146" t="s">
        <v>57</v>
      </c>
      <c r="HK146" t="s">
        <v>57</v>
      </c>
      <c r="HL146" t="s">
        <v>57</v>
      </c>
      <c r="HM146" t="s">
        <v>57</v>
      </c>
      <c r="HN146" t="s">
        <v>57</v>
      </c>
      <c r="HO146" t="s">
        <v>57</v>
      </c>
      <c r="HP146" t="s">
        <v>57</v>
      </c>
      <c r="HQ146" t="s">
        <v>57</v>
      </c>
      <c r="HR146" t="s">
        <v>57</v>
      </c>
      <c r="HS146" t="s">
        <v>57</v>
      </c>
      <c r="HT146" t="s">
        <v>57</v>
      </c>
      <c r="HU146" t="s">
        <v>57</v>
      </c>
      <c r="HV146" t="s">
        <v>57</v>
      </c>
      <c r="HW146" t="s">
        <v>57</v>
      </c>
      <c r="HX146" t="s">
        <v>57</v>
      </c>
      <c r="HY146" t="s">
        <v>57</v>
      </c>
      <c r="HZ146" t="s">
        <v>57</v>
      </c>
      <c r="IA146" t="s">
        <v>57</v>
      </c>
      <c r="IB146" t="s">
        <v>57</v>
      </c>
      <c r="IC146" t="s">
        <v>57</v>
      </c>
      <c r="ID146" t="s">
        <v>57</v>
      </c>
      <c r="IE146" t="s">
        <v>57</v>
      </c>
      <c r="IF146" t="s">
        <v>124</v>
      </c>
      <c r="IG146" t="s">
        <v>148</v>
      </c>
      <c r="IH146" t="s">
        <v>123</v>
      </c>
      <c r="II146" t="s">
        <v>156</v>
      </c>
    </row>
    <row r="147" spans="1:243" x14ac:dyDescent="0.25">
      <c r="A147" s="201" t="str">
        <f>HYPERLINK("http://www.ofsted.gov.uk/inspection-reports/find-inspection-report/provider/ELS/134809 ","Ofsted School Webpage")</f>
        <v>Ofsted School Webpage</v>
      </c>
      <c r="B147">
        <v>134809</v>
      </c>
      <c r="C147">
        <v>8566017</v>
      </c>
      <c r="D147" t="s">
        <v>597</v>
      </c>
      <c r="E147" t="s">
        <v>36</v>
      </c>
      <c r="F147" t="s">
        <v>166</v>
      </c>
      <c r="G147" t="s">
        <v>171</v>
      </c>
      <c r="H147" t="s">
        <v>171</v>
      </c>
      <c r="I147" t="s">
        <v>287</v>
      </c>
      <c r="J147" t="s">
        <v>598</v>
      </c>
      <c r="K147" t="s">
        <v>261</v>
      </c>
      <c r="L147" t="s">
        <v>261</v>
      </c>
      <c r="M147" t="s">
        <v>2596</v>
      </c>
      <c r="N147" t="s">
        <v>143</v>
      </c>
      <c r="O147">
        <v>10039187</v>
      </c>
      <c r="P147" s="108">
        <v>43067</v>
      </c>
      <c r="Q147" s="108">
        <v>43069</v>
      </c>
      <c r="R147" s="108">
        <v>43110</v>
      </c>
      <c r="S147" t="s">
        <v>153</v>
      </c>
      <c r="T147" t="s">
        <v>154</v>
      </c>
      <c r="U147">
        <v>2</v>
      </c>
      <c r="V147">
        <v>2</v>
      </c>
      <c r="W147">
        <v>2</v>
      </c>
      <c r="X147">
        <v>2</v>
      </c>
      <c r="Y147">
        <v>2</v>
      </c>
      <c r="Z147">
        <v>2</v>
      </c>
      <c r="AA147" t="s">
        <v>2596</v>
      </c>
      <c r="AB147" t="s">
        <v>123</v>
      </c>
      <c r="AC147" t="s">
        <v>2596</v>
      </c>
      <c r="AD147" t="s">
        <v>2598</v>
      </c>
      <c r="AE147" t="s">
        <v>57</v>
      </c>
      <c r="AF147" t="s">
        <v>57</v>
      </c>
      <c r="AG147" t="s">
        <v>57</v>
      </c>
      <c r="AH147" t="s">
        <v>57</v>
      </c>
      <c r="AI147" t="s">
        <v>57</v>
      </c>
      <c r="AJ147" t="s">
        <v>57</v>
      </c>
      <c r="AK147" t="s">
        <v>57</v>
      </c>
      <c r="AL147" t="s">
        <v>57</v>
      </c>
      <c r="AM147" t="s">
        <v>57</v>
      </c>
      <c r="AN147" t="s">
        <v>57</v>
      </c>
      <c r="AO147" t="s">
        <v>57</v>
      </c>
      <c r="AP147" t="s">
        <v>57</v>
      </c>
      <c r="AQ147" t="s">
        <v>57</v>
      </c>
      <c r="AR147" t="s">
        <v>57</v>
      </c>
      <c r="AS147" t="s">
        <v>57</v>
      </c>
      <c r="AT147" t="s">
        <v>57</v>
      </c>
      <c r="AU147" t="s">
        <v>175</v>
      </c>
      <c r="AV147" t="s">
        <v>57</v>
      </c>
      <c r="AW147" t="s">
        <v>57</v>
      </c>
      <c r="AX147" t="s">
        <v>57</v>
      </c>
      <c r="AY147" t="s">
        <v>57</v>
      </c>
      <c r="AZ147" t="s">
        <v>57</v>
      </c>
      <c r="BA147" t="s">
        <v>57</v>
      </c>
      <c r="BB147" t="s">
        <v>57</v>
      </c>
      <c r="BC147" t="s">
        <v>57</v>
      </c>
      <c r="BD147" t="s">
        <v>175</v>
      </c>
      <c r="BE147" t="s">
        <v>57</v>
      </c>
      <c r="BF147" t="s">
        <v>57</v>
      </c>
      <c r="BG147" t="s">
        <v>57</v>
      </c>
      <c r="BH147" t="s">
        <v>57</v>
      </c>
      <c r="BI147" t="s">
        <v>57</v>
      </c>
      <c r="BJ147" t="s">
        <v>57</v>
      </c>
      <c r="BK147" t="s">
        <v>57</v>
      </c>
      <c r="BL147" t="s">
        <v>57</v>
      </c>
      <c r="BM147" t="s">
        <v>57</v>
      </c>
      <c r="BN147" t="s">
        <v>57</v>
      </c>
      <c r="BO147" t="s">
        <v>57</v>
      </c>
      <c r="BP147" t="s">
        <v>57</v>
      </c>
      <c r="BQ147" t="s">
        <v>57</v>
      </c>
      <c r="BR147" t="s">
        <v>57</v>
      </c>
      <c r="BS147" t="s">
        <v>57</v>
      </c>
      <c r="BT147" t="s">
        <v>57</v>
      </c>
      <c r="BU147" t="s">
        <v>57</v>
      </c>
      <c r="BV147" t="s">
        <v>57</v>
      </c>
      <c r="BW147" t="s">
        <v>57</v>
      </c>
      <c r="BX147" t="s">
        <v>57</v>
      </c>
      <c r="BY147" t="s">
        <v>57</v>
      </c>
      <c r="BZ147" t="s">
        <v>57</v>
      </c>
      <c r="CA147" t="s">
        <v>57</v>
      </c>
      <c r="CB147" t="s">
        <v>57</v>
      </c>
      <c r="CC147" t="s">
        <v>57</v>
      </c>
      <c r="CD147" t="s">
        <v>57</v>
      </c>
      <c r="CE147" t="s">
        <v>57</v>
      </c>
      <c r="CF147" t="s">
        <v>57</v>
      </c>
      <c r="CG147" t="s">
        <v>57</v>
      </c>
      <c r="CH147" t="s">
        <v>57</v>
      </c>
      <c r="CI147" t="s">
        <v>57</v>
      </c>
      <c r="CJ147" t="s">
        <v>57</v>
      </c>
      <c r="CK147" t="s">
        <v>57</v>
      </c>
      <c r="CL147" t="s">
        <v>175</v>
      </c>
      <c r="CM147" t="s">
        <v>175</v>
      </c>
      <c r="CN147" t="s">
        <v>57</v>
      </c>
      <c r="CO147" t="s">
        <v>57</v>
      </c>
      <c r="CP147" t="s">
        <v>57</v>
      </c>
      <c r="CQ147" t="s">
        <v>57</v>
      </c>
      <c r="CR147" t="s">
        <v>57</v>
      </c>
      <c r="CS147" t="s">
        <v>57</v>
      </c>
      <c r="CT147" t="s">
        <v>57</v>
      </c>
      <c r="CU147" t="s">
        <v>57</v>
      </c>
      <c r="CV147" t="s">
        <v>57</v>
      </c>
      <c r="CW147" t="s">
        <v>57</v>
      </c>
      <c r="CX147" t="s">
        <v>57</v>
      </c>
      <c r="CY147" t="s">
        <v>57</v>
      </c>
      <c r="CZ147" t="s">
        <v>57</v>
      </c>
      <c r="DA147" t="s">
        <v>57</v>
      </c>
      <c r="DB147" t="s">
        <v>57</v>
      </c>
      <c r="DC147" t="s">
        <v>57</v>
      </c>
      <c r="DD147" t="s">
        <v>57</v>
      </c>
      <c r="DE147" t="s">
        <v>57</v>
      </c>
      <c r="DF147" t="s">
        <v>57</v>
      </c>
      <c r="DG147" t="s">
        <v>57</v>
      </c>
      <c r="DH147" t="s">
        <v>57</v>
      </c>
      <c r="DI147" t="s">
        <v>57</v>
      </c>
      <c r="DJ147" t="s">
        <v>57</v>
      </c>
      <c r="DK147" t="s">
        <v>175</v>
      </c>
      <c r="DL147" t="s">
        <v>57</v>
      </c>
      <c r="DM147" t="s">
        <v>175</v>
      </c>
      <c r="DN147" t="s">
        <v>175</v>
      </c>
      <c r="DO147" t="s">
        <v>175</v>
      </c>
      <c r="DP147" t="s">
        <v>175</v>
      </c>
      <c r="DQ147" t="s">
        <v>175</v>
      </c>
      <c r="DR147" t="s">
        <v>175</v>
      </c>
      <c r="DS147" t="s">
        <v>175</v>
      </c>
      <c r="DT147" t="s">
        <v>175</v>
      </c>
      <c r="DU147" t="s">
        <v>175</v>
      </c>
      <c r="DV147" t="s">
        <v>175</v>
      </c>
      <c r="DW147" t="s">
        <v>175</v>
      </c>
      <c r="DX147" t="s">
        <v>175</v>
      </c>
      <c r="DY147" t="s">
        <v>175</v>
      </c>
      <c r="DZ147" t="s">
        <v>57</v>
      </c>
      <c r="EA147" t="s">
        <v>57</v>
      </c>
      <c r="EB147" t="s">
        <v>57</v>
      </c>
      <c r="EC147" t="s">
        <v>57</v>
      </c>
      <c r="ED147" t="s">
        <v>57</v>
      </c>
      <c r="EE147" t="s">
        <v>57</v>
      </c>
      <c r="EF147" t="s">
        <v>57</v>
      </c>
      <c r="EG147" t="s">
        <v>57</v>
      </c>
      <c r="EH147" t="s">
        <v>57</v>
      </c>
      <c r="EI147" t="s">
        <v>57</v>
      </c>
      <c r="EJ147" t="s">
        <v>57</v>
      </c>
      <c r="EK147" t="s">
        <v>57</v>
      </c>
      <c r="EL147" t="s">
        <v>57</v>
      </c>
      <c r="EM147" t="s">
        <v>57</v>
      </c>
      <c r="EN147" t="s">
        <v>57</v>
      </c>
      <c r="EO147" t="s">
        <v>57</v>
      </c>
      <c r="EP147" t="s">
        <v>57</v>
      </c>
      <c r="EQ147" t="s">
        <v>57</v>
      </c>
      <c r="ER147" t="s">
        <v>57</v>
      </c>
      <c r="ES147" t="s">
        <v>57</v>
      </c>
      <c r="ET147" t="s">
        <v>57</v>
      </c>
      <c r="EU147" t="s">
        <v>57</v>
      </c>
      <c r="EV147" t="s">
        <v>57</v>
      </c>
      <c r="EW147" t="s">
        <v>57</v>
      </c>
      <c r="EX147" t="s">
        <v>175</v>
      </c>
      <c r="EY147" t="s">
        <v>175</v>
      </c>
      <c r="EZ147" t="s">
        <v>175</v>
      </c>
      <c r="FA147" t="s">
        <v>175</v>
      </c>
      <c r="FB147" t="s">
        <v>175</v>
      </c>
      <c r="FC147" t="s">
        <v>175</v>
      </c>
      <c r="FD147" t="s">
        <v>57</v>
      </c>
      <c r="FE147" t="s">
        <v>57</v>
      </c>
      <c r="FF147" t="s">
        <v>57</v>
      </c>
      <c r="FG147" t="s">
        <v>57</v>
      </c>
      <c r="FH147" t="s">
        <v>57</v>
      </c>
      <c r="FI147" t="s">
        <v>57</v>
      </c>
      <c r="FJ147" t="s">
        <v>57</v>
      </c>
      <c r="FK147" t="s">
        <v>57</v>
      </c>
      <c r="FL147" t="s">
        <v>57</v>
      </c>
      <c r="FM147" t="s">
        <v>57</v>
      </c>
      <c r="FN147" t="s">
        <v>57</v>
      </c>
      <c r="FO147" t="s">
        <v>175</v>
      </c>
      <c r="FP147" t="s">
        <v>57</v>
      </c>
      <c r="FQ147" t="s">
        <v>57</v>
      </c>
      <c r="FR147" t="s">
        <v>57</v>
      </c>
      <c r="FS147" t="s">
        <v>57</v>
      </c>
      <c r="FT147" t="s">
        <v>57</v>
      </c>
      <c r="FU147" t="s">
        <v>57</v>
      </c>
      <c r="FV147" t="s">
        <v>57</v>
      </c>
      <c r="FW147" t="s">
        <v>57</v>
      </c>
      <c r="FX147" t="s">
        <v>57</v>
      </c>
      <c r="FY147" t="s">
        <v>57</v>
      </c>
      <c r="FZ147" t="s">
        <v>57</v>
      </c>
      <c r="GA147" t="s">
        <v>57</v>
      </c>
      <c r="GB147" t="s">
        <v>57</v>
      </c>
      <c r="GC147" t="s">
        <v>57</v>
      </c>
      <c r="GD147" t="s">
        <v>57</v>
      </c>
      <c r="GE147" t="s">
        <v>57</v>
      </c>
      <c r="GF147" t="s">
        <v>57</v>
      </c>
      <c r="GG147" t="s">
        <v>175</v>
      </c>
      <c r="GH147" t="s">
        <v>57</v>
      </c>
      <c r="GI147" t="s">
        <v>57</v>
      </c>
      <c r="GJ147" t="s">
        <v>57</v>
      </c>
      <c r="GK147" t="s">
        <v>57</v>
      </c>
      <c r="GL147" t="s">
        <v>57</v>
      </c>
      <c r="GM147" t="s">
        <v>175</v>
      </c>
      <c r="GN147" t="s">
        <v>57</v>
      </c>
      <c r="GO147" t="s">
        <v>57</v>
      </c>
      <c r="GP147" t="s">
        <v>175</v>
      </c>
      <c r="GQ147" t="s">
        <v>57</v>
      </c>
      <c r="GR147" t="s">
        <v>175</v>
      </c>
      <c r="GS147" t="s">
        <v>57</v>
      </c>
      <c r="GT147" t="s">
        <v>57</v>
      </c>
      <c r="GU147" t="s">
        <v>57</v>
      </c>
      <c r="GV147" t="s">
        <v>175</v>
      </c>
      <c r="GW147" t="s">
        <v>57</v>
      </c>
      <c r="GX147" t="s">
        <v>57</v>
      </c>
      <c r="GY147" t="s">
        <v>57</v>
      </c>
      <c r="GZ147" t="s">
        <v>57</v>
      </c>
      <c r="HA147" t="s">
        <v>57</v>
      </c>
      <c r="HB147" t="s">
        <v>57</v>
      </c>
      <c r="HC147" t="s">
        <v>57</v>
      </c>
      <c r="HD147" t="s">
        <v>57</v>
      </c>
      <c r="HE147" t="s">
        <v>57</v>
      </c>
      <c r="HF147" t="s">
        <v>57</v>
      </c>
      <c r="HG147" t="s">
        <v>57</v>
      </c>
      <c r="HH147" t="s">
        <v>175</v>
      </c>
      <c r="HI147" t="s">
        <v>175</v>
      </c>
      <c r="HJ147" t="s">
        <v>175</v>
      </c>
      <c r="HK147" t="s">
        <v>175</v>
      </c>
      <c r="HL147" t="s">
        <v>57</v>
      </c>
      <c r="HM147" t="s">
        <v>57</v>
      </c>
      <c r="HN147" t="s">
        <v>57</v>
      </c>
      <c r="HO147" t="s">
        <v>57</v>
      </c>
      <c r="HP147" t="s">
        <v>57</v>
      </c>
      <c r="HQ147" t="s">
        <v>57</v>
      </c>
      <c r="HR147" t="s">
        <v>57</v>
      </c>
      <c r="HS147" t="s">
        <v>57</v>
      </c>
      <c r="HT147" t="s">
        <v>57</v>
      </c>
      <c r="HU147" t="s">
        <v>57</v>
      </c>
      <c r="HV147" t="s">
        <v>57</v>
      </c>
      <c r="HW147" t="s">
        <v>57</v>
      </c>
      <c r="HX147" t="s">
        <v>57</v>
      </c>
      <c r="HY147" t="s">
        <v>57</v>
      </c>
      <c r="HZ147" t="s">
        <v>57</v>
      </c>
      <c r="IA147" t="s">
        <v>57</v>
      </c>
      <c r="IB147" t="s">
        <v>57</v>
      </c>
      <c r="IC147" t="s">
        <v>57</v>
      </c>
      <c r="ID147" t="s">
        <v>57</v>
      </c>
      <c r="IE147" t="s">
        <v>57</v>
      </c>
      <c r="IF147" t="s">
        <v>124</v>
      </c>
      <c r="IG147" t="s">
        <v>148</v>
      </c>
      <c r="IH147" t="s">
        <v>123</v>
      </c>
      <c r="II147" t="s">
        <v>156</v>
      </c>
    </row>
    <row r="148" spans="1:243" x14ac:dyDescent="0.25">
      <c r="A148" s="201" t="str">
        <f>HYPERLINK("http://www.ofsted.gov.uk/inspection-reports/find-inspection-report/provider/ELS/134858 ","Ofsted School Webpage")</f>
        <v>Ofsted School Webpage</v>
      </c>
      <c r="B148">
        <v>134858</v>
      </c>
      <c r="C148">
        <v>8876007</v>
      </c>
      <c r="D148" t="s">
        <v>228</v>
      </c>
      <c r="E148" t="s">
        <v>36</v>
      </c>
      <c r="F148" t="s">
        <v>166</v>
      </c>
      <c r="G148" t="s">
        <v>139</v>
      </c>
      <c r="H148" t="s">
        <v>139</v>
      </c>
      <c r="I148" t="s">
        <v>229</v>
      </c>
      <c r="J148" t="s">
        <v>230</v>
      </c>
      <c r="K148" t="s">
        <v>142</v>
      </c>
      <c r="L148" t="s">
        <v>169</v>
      </c>
      <c r="M148" t="s">
        <v>2596</v>
      </c>
      <c r="N148" t="s">
        <v>143</v>
      </c>
      <c r="O148">
        <v>10039161</v>
      </c>
      <c r="P148" s="108">
        <v>43046</v>
      </c>
      <c r="Q148" s="108">
        <v>43048</v>
      </c>
      <c r="R148" s="108">
        <v>43069</v>
      </c>
      <c r="S148" t="s">
        <v>153</v>
      </c>
      <c r="T148" t="s">
        <v>154</v>
      </c>
      <c r="U148">
        <v>3</v>
      </c>
      <c r="V148">
        <v>2</v>
      </c>
      <c r="W148">
        <v>2</v>
      </c>
      <c r="X148">
        <v>3</v>
      </c>
      <c r="Y148">
        <v>2</v>
      </c>
      <c r="Z148">
        <v>2</v>
      </c>
      <c r="AA148" t="s">
        <v>2596</v>
      </c>
      <c r="AB148" t="s">
        <v>123</v>
      </c>
      <c r="AC148" t="s">
        <v>2596</v>
      </c>
      <c r="AD148" t="s">
        <v>2598</v>
      </c>
      <c r="AE148" t="s">
        <v>57</v>
      </c>
      <c r="AF148" t="s">
        <v>57</v>
      </c>
      <c r="AG148" t="s">
        <v>57</v>
      </c>
      <c r="AH148" t="s">
        <v>57</v>
      </c>
      <c r="AI148" t="s">
        <v>57</v>
      </c>
      <c r="AJ148" t="s">
        <v>57</v>
      </c>
      <c r="AK148" t="s">
        <v>57</v>
      </c>
      <c r="AL148" t="s">
        <v>57</v>
      </c>
      <c r="AM148" t="s">
        <v>57</v>
      </c>
      <c r="AN148" t="s">
        <v>57</v>
      </c>
      <c r="AO148" t="s">
        <v>57</v>
      </c>
      <c r="AP148" t="s">
        <v>57</v>
      </c>
      <c r="AQ148" t="s">
        <v>57</v>
      </c>
      <c r="AR148" t="s">
        <v>57</v>
      </c>
      <c r="AS148" t="s">
        <v>57</v>
      </c>
      <c r="AT148" t="s">
        <v>57</v>
      </c>
      <c r="AU148" t="s">
        <v>57</v>
      </c>
      <c r="AV148" t="s">
        <v>57</v>
      </c>
      <c r="AW148" t="s">
        <v>57</v>
      </c>
      <c r="AX148" t="s">
        <v>57</v>
      </c>
      <c r="AY148" t="s">
        <v>175</v>
      </c>
      <c r="AZ148" t="s">
        <v>175</v>
      </c>
      <c r="BA148" t="s">
        <v>175</v>
      </c>
      <c r="BB148" t="s">
        <v>175</v>
      </c>
      <c r="BC148" t="s">
        <v>57</v>
      </c>
      <c r="BD148" t="s">
        <v>57</v>
      </c>
      <c r="BE148" t="s">
        <v>57</v>
      </c>
      <c r="BF148" t="s">
        <v>57</v>
      </c>
      <c r="BG148" t="s">
        <v>57</v>
      </c>
      <c r="BH148" t="s">
        <v>57</v>
      </c>
      <c r="BI148" t="s">
        <v>57</v>
      </c>
      <c r="BJ148" t="s">
        <v>57</v>
      </c>
      <c r="BK148" t="s">
        <v>57</v>
      </c>
      <c r="BL148" t="s">
        <v>57</v>
      </c>
      <c r="BM148" t="s">
        <v>57</v>
      </c>
      <c r="BN148" t="s">
        <v>57</v>
      </c>
      <c r="BO148" t="s">
        <v>57</v>
      </c>
      <c r="BP148" t="s">
        <v>57</v>
      </c>
      <c r="BQ148" t="s">
        <v>57</v>
      </c>
      <c r="BR148" t="s">
        <v>57</v>
      </c>
      <c r="BS148" t="s">
        <v>57</v>
      </c>
      <c r="BT148" t="s">
        <v>57</v>
      </c>
      <c r="BU148" t="s">
        <v>57</v>
      </c>
      <c r="BV148" t="s">
        <v>57</v>
      </c>
      <c r="BW148" t="s">
        <v>57</v>
      </c>
      <c r="BX148" t="s">
        <v>57</v>
      </c>
      <c r="BY148" t="s">
        <v>57</v>
      </c>
      <c r="BZ148" t="s">
        <v>57</v>
      </c>
      <c r="CA148" t="s">
        <v>57</v>
      </c>
      <c r="CB148" t="s">
        <v>57</v>
      </c>
      <c r="CC148" t="s">
        <v>57</v>
      </c>
      <c r="CD148" t="s">
        <v>57</v>
      </c>
      <c r="CE148" t="s">
        <v>57</v>
      </c>
      <c r="CF148" t="s">
        <v>57</v>
      </c>
      <c r="CG148" t="s">
        <v>57</v>
      </c>
      <c r="CH148" t="s">
        <v>57</v>
      </c>
      <c r="CI148" t="s">
        <v>57</v>
      </c>
      <c r="CJ148" t="s">
        <v>57</v>
      </c>
      <c r="CK148" t="s">
        <v>175</v>
      </c>
      <c r="CL148" t="s">
        <v>175</v>
      </c>
      <c r="CM148" t="s">
        <v>175</v>
      </c>
      <c r="CN148" t="s">
        <v>57</v>
      </c>
      <c r="CO148" t="s">
        <v>57</v>
      </c>
      <c r="CP148" t="s">
        <v>57</v>
      </c>
      <c r="CQ148" t="s">
        <v>57</v>
      </c>
      <c r="CR148" t="s">
        <v>57</v>
      </c>
      <c r="CS148" t="s">
        <v>57</v>
      </c>
      <c r="CT148" t="s">
        <v>57</v>
      </c>
      <c r="CU148" t="s">
        <v>57</v>
      </c>
      <c r="CV148" t="s">
        <v>57</v>
      </c>
      <c r="CW148" t="s">
        <v>57</v>
      </c>
      <c r="CX148" t="s">
        <v>57</v>
      </c>
      <c r="CY148" t="s">
        <v>57</v>
      </c>
      <c r="CZ148" t="s">
        <v>57</v>
      </c>
      <c r="DA148" t="s">
        <v>57</v>
      </c>
      <c r="DB148" t="s">
        <v>57</v>
      </c>
      <c r="DC148" t="s">
        <v>57</v>
      </c>
      <c r="DD148" t="s">
        <v>57</v>
      </c>
      <c r="DE148" t="s">
        <v>57</v>
      </c>
      <c r="DF148" t="s">
        <v>57</v>
      </c>
      <c r="DG148" t="s">
        <v>57</v>
      </c>
      <c r="DH148" t="s">
        <v>57</v>
      </c>
      <c r="DI148" t="s">
        <v>57</v>
      </c>
      <c r="DJ148" t="s">
        <v>57</v>
      </c>
      <c r="DK148" t="s">
        <v>175</v>
      </c>
      <c r="DL148" t="s">
        <v>57</v>
      </c>
      <c r="DM148" t="s">
        <v>57</v>
      </c>
      <c r="DN148" t="s">
        <v>57</v>
      </c>
      <c r="DO148" t="s">
        <v>57</v>
      </c>
      <c r="DP148" t="s">
        <v>57</v>
      </c>
      <c r="DQ148" t="s">
        <v>57</v>
      </c>
      <c r="DR148" t="s">
        <v>57</v>
      </c>
      <c r="DS148" t="s">
        <v>57</v>
      </c>
      <c r="DT148" t="s">
        <v>57</v>
      </c>
      <c r="DU148" t="s">
        <v>57</v>
      </c>
      <c r="DV148" t="s">
        <v>57</v>
      </c>
      <c r="DW148" t="s">
        <v>57</v>
      </c>
      <c r="DX148" t="s">
        <v>57</v>
      </c>
      <c r="DY148" t="s">
        <v>175</v>
      </c>
      <c r="DZ148" t="s">
        <v>57</v>
      </c>
      <c r="EA148" t="s">
        <v>57</v>
      </c>
      <c r="EB148" t="s">
        <v>57</v>
      </c>
      <c r="EC148" t="s">
        <v>57</v>
      </c>
      <c r="ED148" t="s">
        <v>57</v>
      </c>
      <c r="EE148" t="s">
        <v>57</v>
      </c>
      <c r="EF148" t="s">
        <v>57</v>
      </c>
      <c r="EG148" t="s">
        <v>57</v>
      </c>
      <c r="EH148" t="s">
        <v>57</v>
      </c>
      <c r="EI148" t="s">
        <v>57</v>
      </c>
      <c r="EJ148" t="s">
        <v>57</v>
      </c>
      <c r="EK148" t="s">
        <v>57</v>
      </c>
      <c r="EL148" t="s">
        <v>57</v>
      </c>
      <c r="EM148" t="s">
        <v>57</v>
      </c>
      <c r="EN148" t="s">
        <v>57</v>
      </c>
      <c r="EO148" t="s">
        <v>57</v>
      </c>
      <c r="EP148" t="s">
        <v>57</v>
      </c>
      <c r="EQ148" t="s">
        <v>57</v>
      </c>
      <c r="ER148" t="s">
        <v>57</v>
      </c>
      <c r="ES148" t="s">
        <v>57</v>
      </c>
      <c r="ET148" t="s">
        <v>57</v>
      </c>
      <c r="EU148" t="s">
        <v>57</v>
      </c>
      <c r="EV148" t="s">
        <v>57</v>
      </c>
      <c r="EW148" t="s">
        <v>57</v>
      </c>
      <c r="EX148" t="s">
        <v>57</v>
      </c>
      <c r="EY148" t="s">
        <v>57</v>
      </c>
      <c r="EZ148" t="s">
        <v>57</v>
      </c>
      <c r="FA148" t="s">
        <v>57</v>
      </c>
      <c r="FB148" t="s">
        <v>57</v>
      </c>
      <c r="FC148" t="s">
        <v>57</v>
      </c>
      <c r="FD148" t="s">
        <v>57</v>
      </c>
      <c r="FE148" t="s">
        <v>57</v>
      </c>
      <c r="FF148" t="s">
        <v>57</v>
      </c>
      <c r="FG148" t="s">
        <v>57</v>
      </c>
      <c r="FH148" t="s">
        <v>57</v>
      </c>
      <c r="FI148" t="s">
        <v>57</v>
      </c>
      <c r="FJ148" t="s">
        <v>57</v>
      </c>
      <c r="FK148" t="s">
        <v>175</v>
      </c>
      <c r="FL148" t="s">
        <v>57</v>
      </c>
      <c r="FM148" t="s">
        <v>57</v>
      </c>
      <c r="FN148" t="s">
        <v>57</v>
      </c>
      <c r="FO148" t="s">
        <v>57</v>
      </c>
      <c r="FP148" t="s">
        <v>57</v>
      </c>
      <c r="FQ148" t="s">
        <v>175</v>
      </c>
      <c r="FR148" t="s">
        <v>57</v>
      </c>
      <c r="FS148" t="s">
        <v>57</v>
      </c>
      <c r="FT148" t="s">
        <v>57</v>
      </c>
      <c r="FU148" t="s">
        <v>57</v>
      </c>
      <c r="FV148" t="s">
        <v>57</v>
      </c>
      <c r="FW148" t="s">
        <v>57</v>
      </c>
      <c r="FX148" t="s">
        <v>57</v>
      </c>
      <c r="FY148" t="s">
        <v>57</v>
      </c>
      <c r="FZ148" t="s">
        <v>57</v>
      </c>
      <c r="GA148" t="s">
        <v>57</v>
      </c>
      <c r="GB148" t="s">
        <v>57</v>
      </c>
      <c r="GC148" t="s">
        <v>57</v>
      </c>
      <c r="GD148" t="s">
        <v>57</v>
      </c>
      <c r="GE148" t="s">
        <v>57</v>
      </c>
      <c r="GF148" t="s">
        <v>57</v>
      </c>
      <c r="GG148" t="s">
        <v>175</v>
      </c>
      <c r="GH148" t="s">
        <v>57</v>
      </c>
      <c r="GI148" t="s">
        <v>57</v>
      </c>
      <c r="GJ148" t="s">
        <v>57</v>
      </c>
      <c r="GK148" t="s">
        <v>57</v>
      </c>
      <c r="GL148" t="s">
        <v>57</v>
      </c>
      <c r="GM148" t="s">
        <v>57</v>
      </c>
      <c r="GN148" t="s">
        <v>57</v>
      </c>
      <c r="GO148" t="s">
        <v>57</v>
      </c>
      <c r="GP148" t="s">
        <v>175</v>
      </c>
      <c r="GQ148" t="s">
        <v>175</v>
      </c>
      <c r="GR148" t="s">
        <v>57</v>
      </c>
      <c r="GS148" t="s">
        <v>57</v>
      </c>
      <c r="GT148" t="s">
        <v>57</v>
      </c>
      <c r="GU148" t="s">
        <v>57</v>
      </c>
      <c r="GV148" t="s">
        <v>175</v>
      </c>
      <c r="GW148" t="s">
        <v>57</v>
      </c>
      <c r="GX148" t="s">
        <v>175</v>
      </c>
      <c r="GY148" t="s">
        <v>57</v>
      </c>
      <c r="GZ148" t="s">
        <v>57</v>
      </c>
      <c r="HA148" t="s">
        <v>57</v>
      </c>
      <c r="HB148" t="s">
        <v>57</v>
      </c>
      <c r="HC148" t="s">
        <v>57</v>
      </c>
      <c r="HD148" t="s">
        <v>57</v>
      </c>
      <c r="HE148" t="s">
        <v>57</v>
      </c>
      <c r="HF148" t="s">
        <v>57</v>
      </c>
      <c r="HG148" t="s">
        <v>57</v>
      </c>
      <c r="HH148" t="s">
        <v>57</v>
      </c>
      <c r="HI148" t="s">
        <v>57</v>
      </c>
      <c r="HJ148" t="s">
        <v>57</v>
      </c>
      <c r="HK148" t="s">
        <v>57</v>
      </c>
      <c r="HL148" t="s">
        <v>57</v>
      </c>
      <c r="HM148" t="s">
        <v>57</v>
      </c>
      <c r="HN148" t="s">
        <v>57</v>
      </c>
      <c r="HO148" t="s">
        <v>57</v>
      </c>
      <c r="HP148" t="s">
        <v>57</v>
      </c>
      <c r="HQ148" t="s">
        <v>57</v>
      </c>
      <c r="HR148" t="s">
        <v>57</v>
      </c>
      <c r="HS148" t="s">
        <v>57</v>
      </c>
      <c r="HT148" t="s">
        <v>57</v>
      </c>
      <c r="HU148" t="s">
        <v>57</v>
      </c>
      <c r="HV148" t="s">
        <v>57</v>
      </c>
      <c r="HW148" t="s">
        <v>57</v>
      </c>
      <c r="HX148" t="s">
        <v>57</v>
      </c>
      <c r="HY148" t="s">
        <v>57</v>
      </c>
      <c r="HZ148" t="s">
        <v>57</v>
      </c>
      <c r="IA148" t="s">
        <v>57</v>
      </c>
      <c r="IB148" t="s">
        <v>57</v>
      </c>
      <c r="IC148" t="s">
        <v>57</v>
      </c>
      <c r="ID148" t="s">
        <v>57</v>
      </c>
      <c r="IE148" t="s">
        <v>57</v>
      </c>
      <c r="IF148" t="s">
        <v>124</v>
      </c>
      <c r="IG148" t="s">
        <v>148</v>
      </c>
      <c r="IH148" t="s">
        <v>160</v>
      </c>
      <c r="II148" t="s">
        <v>156</v>
      </c>
    </row>
    <row r="149" spans="1:243" x14ac:dyDescent="0.25">
      <c r="A149" s="201" t="str">
        <f>HYPERLINK("http://www.ofsted.gov.uk/inspection-reports/find-inspection-report/provider/ELS/134933 ","Ofsted School Webpage")</f>
        <v>Ofsted School Webpage</v>
      </c>
      <c r="B149">
        <v>134933</v>
      </c>
      <c r="C149">
        <v>9196209</v>
      </c>
      <c r="D149" t="s">
        <v>1642</v>
      </c>
      <c r="E149" t="s">
        <v>36</v>
      </c>
      <c r="F149" t="s">
        <v>166</v>
      </c>
      <c r="G149" t="s">
        <v>177</v>
      </c>
      <c r="H149" t="s">
        <v>177</v>
      </c>
      <c r="I149" t="s">
        <v>773</v>
      </c>
      <c r="J149" t="s">
        <v>1643</v>
      </c>
      <c r="K149" t="s">
        <v>142</v>
      </c>
      <c r="L149" t="s">
        <v>644</v>
      </c>
      <c r="M149" t="s">
        <v>2596</v>
      </c>
      <c r="N149" t="s">
        <v>143</v>
      </c>
      <c r="O149">
        <v>10038906</v>
      </c>
      <c r="P149" s="108">
        <v>43060</v>
      </c>
      <c r="Q149" s="108">
        <v>43062</v>
      </c>
      <c r="R149" s="108">
        <v>43110</v>
      </c>
      <c r="S149" t="s">
        <v>153</v>
      </c>
      <c r="T149" t="s">
        <v>154</v>
      </c>
      <c r="U149">
        <v>2</v>
      </c>
      <c r="V149">
        <v>2</v>
      </c>
      <c r="W149">
        <v>1</v>
      </c>
      <c r="X149">
        <v>2</v>
      </c>
      <c r="Y149">
        <v>2</v>
      </c>
      <c r="Z149" t="s">
        <v>2596</v>
      </c>
      <c r="AA149" t="s">
        <v>2596</v>
      </c>
      <c r="AB149" t="s">
        <v>123</v>
      </c>
      <c r="AC149" t="s">
        <v>2596</v>
      </c>
      <c r="AD149" t="s">
        <v>2598</v>
      </c>
      <c r="AE149" t="s">
        <v>57</v>
      </c>
      <c r="AF149" t="s">
        <v>57</v>
      </c>
      <c r="AG149" t="s">
        <v>57</v>
      </c>
      <c r="AH149" t="s">
        <v>57</v>
      </c>
      <c r="AI149" t="s">
        <v>57</v>
      </c>
      <c r="AJ149" t="s">
        <v>57</v>
      </c>
      <c r="AK149" t="s">
        <v>57</v>
      </c>
      <c r="AL149" t="s">
        <v>57</v>
      </c>
      <c r="AM149" t="s">
        <v>57</v>
      </c>
      <c r="AN149" t="s">
        <v>57</v>
      </c>
      <c r="AO149" t="s">
        <v>57</v>
      </c>
      <c r="AP149" t="s">
        <v>57</v>
      </c>
      <c r="AQ149" t="s">
        <v>57</v>
      </c>
      <c r="AR149" t="s">
        <v>57</v>
      </c>
      <c r="AS149" t="s">
        <v>57</v>
      </c>
      <c r="AT149" t="s">
        <v>57</v>
      </c>
      <c r="AU149" t="s">
        <v>175</v>
      </c>
      <c r="AV149" t="s">
        <v>57</v>
      </c>
      <c r="AW149" t="s">
        <v>57</v>
      </c>
      <c r="AX149" t="s">
        <v>57</v>
      </c>
      <c r="AY149" t="s">
        <v>57</v>
      </c>
      <c r="AZ149" t="s">
        <v>57</v>
      </c>
      <c r="BA149" t="s">
        <v>57</v>
      </c>
      <c r="BB149" t="s">
        <v>57</v>
      </c>
      <c r="BC149" t="s">
        <v>175</v>
      </c>
      <c r="BD149" t="s">
        <v>175</v>
      </c>
      <c r="BE149" t="s">
        <v>57</v>
      </c>
      <c r="BF149" t="s">
        <v>57</v>
      </c>
      <c r="BG149" t="s">
        <v>57</v>
      </c>
      <c r="BH149" t="s">
        <v>57</v>
      </c>
      <c r="BI149" t="s">
        <v>57</v>
      </c>
      <c r="BJ149" t="s">
        <v>57</v>
      </c>
      <c r="BK149" t="s">
        <v>57</v>
      </c>
      <c r="BL149" t="s">
        <v>57</v>
      </c>
      <c r="BM149" t="s">
        <v>57</v>
      </c>
      <c r="BN149" t="s">
        <v>57</v>
      </c>
      <c r="BO149" t="s">
        <v>57</v>
      </c>
      <c r="BP149" t="s">
        <v>57</v>
      </c>
      <c r="BQ149" t="s">
        <v>57</v>
      </c>
      <c r="BR149" t="s">
        <v>57</v>
      </c>
      <c r="BS149" t="s">
        <v>57</v>
      </c>
      <c r="BT149" t="s">
        <v>57</v>
      </c>
      <c r="BU149" t="s">
        <v>57</v>
      </c>
      <c r="BV149" t="s">
        <v>57</v>
      </c>
      <c r="BW149" t="s">
        <v>57</v>
      </c>
      <c r="BX149" t="s">
        <v>57</v>
      </c>
      <c r="BY149" t="s">
        <v>57</v>
      </c>
      <c r="BZ149" t="s">
        <v>57</v>
      </c>
      <c r="CA149" t="s">
        <v>57</v>
      </c>
      <c r="CB149" t="s">
        <v>57</v>
      </c>
      <c r="CC149" t="s">
        <v>57</v>
      </c>
      <c r="CD149" t="s">
        <v>57</v>
      </c>
      <c r="CE149" t="s">
        <v>57</v>
      </c>
      <c r="CF149" t="s">
        <v>57</v>
      </c>
      <c r="CG149" t="s">
        <v>57</v>
      </c>
      <c r="CH149" t="s">
        <v>57</v>
      </c>
      <c r="CI149" t="s">
        <v>57</v>
      </c>
      <c r="CJ149" t="s">
        <v>57</v>
      </c>
      <c r="CK149" t="s">
        <v>57</v>
      </c>
      <c r="CL149" t="s">
        <v>175</v>
      </c>
      <c r="CM149" t="s">
        <v>175</v>
      </c>
      <c r="CN149" t="s">
        <v>57</v>
      </c>
      <c r="CO149" t="s">
        <v>57</v>
      </c>
      <c r="CP149" t="s">
        <v>57</v>
      </c>
      <c r="CQ149" t="s">
        <v>57</v>
      </c>
      <c r="CR149" t="s">
        <v>57</v>
      </c>
      <c r="CS149" t="s">
        <v>57</v>
      </c>
      <c r="CT149" t="s">
        <v>57</v>
      </c>
      <c r="CU149" t="s">
        <v>57</v>
      </c>
      <c r="CV149" t="s">
        <v>57</v>
      </c>
      <c r="CW149" t="s">
        <v>57</v>
      </c>
      <c r="CX149" t="s">
        <v>57</v>
      </c>
      <c r="CY149" t="s">
        <v>57</v>
      </c>
      <c r="CZ149" t="s">
        <v>57</v>
      </c>
      <c r="DA149" t="s">
        <v>57</v>
      </c>
      <c r="DB149" t="s">
        <v>57</v>
      </c>
      <c r="DC149" t="s">
        <v>57</v>
      </c>
      <c r="DD149" t="s">
        <v>57</v>
      </c>
      <c r="DE149" t="s">
        <v>57</v>
      </c>
      <c r="DF149" t="s">
        <v>57</v>
      </c>
      <c r="DG149" t="s">
        <v>57</v>
      </c>
      <c r="DH149" t="s">
        <v>57</v>
      </c>
      <c r="DI149" t="s">
        <v>57</v>
      </c>
      <c r="DJ149" t="s">
        <v>57</v>
      </c>
      <c r="DK149" t="s">
        <v>175</v>
      </c>
      <c r="DL149" t="s">
        <v>57</v>
      </c>
      <c r="DM149" t="s">
        <v>175</v>
      </c>
      <c r="DN149" t="s">
        <v>175</v>
      </c>
      <c r="DO149" t="s">
        <v>175</v>
      </c>
      <c r="DP149" t="s">
        <v>175</v>
      </c>
      <c r="DQ149" t="s">
        <v>175</v>
      </c>
      <c r="DR149" t="s">
        <v>175</v>
      </c>
      <c r="DS149" t="s">
        <v>175</v>
      </c>
      <c r="DT149" t="s">
        <v>175</v>
      </c>
      <c r="DU149" t="s">
        <v>175</v>
      </c>
      <c r="DV149" t="s">
        <v>175</v>
      </c>
      <c r="DW149" t="s">
        <v>175</v>
      </c>
      <c r="DX149" t="s">
        <v>175</v>
      </c>
      <c r="DY149" t="s">
        <v>175</v>
      </c>
      <c r="DZ149" t="s">
        <v>175</v>
      </c>
      <c r="EA149" t="s">
        <v>57</v>
      </c>
      <c r="EB149" t="s">
        <v>57</v>
      </c>
      <c r="EC149" t="s">
        <v>57</v>
      </c>
      <c r="ED149" t="s">
        <v>57</v>
      </c>
      <c r="EE149" t="s">
        <v>57</v>
      </c>
      <c r="EF149" t="s">
        <v>57</v>
      </c>
      <c r="EG149" t="s">
        <v>57</v>
      </c>
      <c r="EH149" t="s">
        <v>57</v>
      </c>
      <c r="EI149" t="s">
        <v>57</v>
      </c>
      <c r="EJ149" t="s">
        <v>57</v>
      </c>
      <c r="EK149" t="s">
        <v>57</v>
      </c>
      <c r="EL149" t="s">
        <v>57</v>
      </c>
      <c r="EM149" t="s">
        <v>57</v>
      </c>
      <c r="EN149" t="s">
        <v>57</v>
      </c>
      <c r="EO149" t="s">
        <v>57</v>
      </c>
      <c r="EP149" t="s">
        <v>57</v>
      </c>
      <c r="EQ149" t="s">
        <v>57</v>
      </c>
      <c r="ER149" t="s">
        <v>57</v>
      </c>
      <c r="ES149" t="s">
        <v>57</v>
      </c>
      <c r="ET149" t="s">
        <v>57</v>
      </c>
      <c r="EU149" t="s">
        <v>57</v>
      </c>
      <c r="EV149" t="s">
        <v>57</v>
      </c>
      <c r="EW149" t="s">
        <v>57</v>
      </c>
      <c r="EX149" t="s">
        <v>57</v>
      </c>
      <c r="EY149" t="s">
        <v>57</v>
      </c>
      <c r="EZ149" t="s">
        <v>57</v>
      </c>
      <c r="FA149" t="s">
        <v>57</v>
      </c>
      <c r="FB149" t="s">
        <v>57</v>
      </c>
      <c r="FC149" t="s">
        <v>57</v>
      </c>
      <c r="FD149" t="s">
        <v>57</v>
      </c>
      <c r="FE149" t="s">
        <v>57</v>
      </c>
      <c r="FF149" t="s">
        <v>57</v>
      </c>
      <c r="FG149" t="s">
        <v>57</v>
      </c>
      <c r="FH149" t="s">
        <v>57</v>
      </c>
      <c r="FI149" t="s">
        <v>57</v>
      </c>
      <c r="FJ149" t="s">
        <v>57</v>
      </c>
      <c r="FK149" t="s">
        <v>57</v>
      </c>
      <c r="FL149" t="s">
        <v>57</v>
      </c>
      <c r="FM149" t="s">
        <v>57</v>
      </c>
      <c r="FN149" t="s">
        <v>57</v>
      </c>
      <c r="FO149" t="s">
        <v>175</v>
      </c>
      <c r="FP149" t="s">
        <v>57</v>
      </c>
      <c r="FQ149" t="s">
        <v>57</v>
      </c>
      <c r="FR149" t="s">
        <v>57</v>
      </c>
      <c r="FS149" t="s">
        <v>57</v>
      </c>
      <c r="FT149" t="s">
        <v>57</v>
      </c>
      <c r="FU149" t="s">
        <v>57</v>
      </c>
      <c r="FV149" t="s">
        <v>57</v>
      </c>
      <c r="FW149" t="s">
        <v>57</v>
      </c>
      <c r="FX149" t="s">
        <v>57</v>
      </c>
      <c r="FY149" t="s">
        <v>57</v>
      </c>
      <c r="FZ149" t="s">
        <v>57</v>
      </c>
      <c r="GA149" t="s">
        <v>57</v>
      </c>
      <c r="GB149" t="s">
        <v>57</v>
      </c>
      <c r="GC149" t="s">
        <v>57</v>
      </c>
      <c r="GD149" t="s">
        <v>57</v>
      </c>
      <c r="GE149" t="s">
        <v>57</v>
      </c>
      <c r="GF149" t="s">
        <v>57</v>
      </c>
      <c r="GG149" t="s">
        <v>175</v>
      </c>
      <c r="GH149" t="s">
        <v>57</v>
      </c>
      <c r="GI149" t="s">
        <v>57</v>
      </c>
      <c r="GJ149" t="s">
        <v>57</v>
      </c>
      <c r="GK149" t="s">
        <v>57</v>
      </c>
      <c r="GL149" t="s">
        <v>57</v>
      </c>
      <c r="GM149" t="s">
        <v>57</v>
      </c>
      <c r="GN149" t="s">
        <v>57</v>
      </c>
      <c r="GO149" t="s">
        <v>57</v>
      </c>
      <c r="GP149" t="s">
        <v>175</v>
      </c>
      <c r="GQ149" t="s">
        <v>175</v>
      </c>
      <c r="GR149" t="s">
        <v>57</v>
      </c>
      <c r="GS149" t="s">
        <v>57</v>
      </c>
      <c r="GT149" t="s">
        <v>57</v>
      </c>
      <c r="GU149" t="s">
        <v>57</v>
      </c>
      <c r="GV149" t="s">
        <v>57</v>
      </c>
      <c r="GW149" t="s">
        <v>57</v>
      </c>
      <c r="GX149" t="s">
        <v>57</v>
      </c>
      <c r="GY149" t="s">
        <v>57</v>
      </c>
      <c r="GZ149" t="s">
        <v>57</v>
      </c>
      <c r="HA149" t="s">
        <v>57</v>
      </c>
      <c r="HB149" t="s">
        <v>57</v>
      </c>
      <c r="HC149" t="s">
        <v>57</v>
      </c>
      <c r="HD149" t="s">
        <v>57</v>
      </c>
      <c r="HE149" t="s">
        <v>57</v>
      </c>
      <c r="HF149" t="s">
        <v>57</v>
      </c>
      <c r="HG149" t="s">
        <v>57</v>
      </c>
      <c r="HH149" t="s">
        <v>57</v>
      </c>
      <c r="HI149" t="s">
        <v>57</v>
      </c>
      <c r="HJ149" t="s">
        <v>57</v>
      </c>
      <c r="HK149" t="s">
        <v>57</v>
      </c>
      <c r="HL149" t="s">
        <v>57</v>
      </c>
      <c r="HM149" t="s">
        <v>57</v>
      </c>
      <c r="HN149" t="s">
        <v>57</v>
      </c>
      <c r="HO149" t="s">
        <v>57</v>
      </c>
      <c r="HP149" t="s">
        <v>57</v>
      </c>
      <c r="HQ149" t="s">
        <v>57</v>
      </c>
      <c r="HR149" t="s">
        <v>57</v>
      </c>
      <c r="HS149" t="s">
        <v>57</v>
      </c>
      <c r="HT149" t="s">
        <v>57</v>
      </c>
      <c r="HU149" t="s">
        <v>57</v>
      </c>
      <c r="HV149" t="s">
        <v>57</v>
      </c>
      <c r="HW149" t="s">
        <v>57</v>
      </c>
      <c r="HX149" t="s">
        <v>57</v>
      </c>
      <c r="HY149" t="s">
        <v>57</v>
      </c>
      <c r="HZ149" t="s">
        <v>57</v>
      </c>
      <c r="IA149" t="s">
        <v>57</v>
      </c>
      <c r="IB149" t="s">
        <v>57</v>
      </c>
      <c r="IC149" t="s">
        <v>57</v>
      </c>
      <c r="ID149" t="s">
        <v>57</v>
      </c>
      <c r="IE149" t="s">
        <v>57</v>
      </c>
      <c r="IF149" t="s">
        <v>124</v>
      </c>
      <c r="IG149" t="s">
        <v>148</v>
      </c>
      <c r="IH149" t="s">
        <v>123</v>
      </c>
      <c r="II149" t="s">
        <v>156</v>
      </c>
    </row>
    <row r="150" spans="1:243" x14ac:dyDescent="0.25">
      <c r="A150" s="201" t="str">
        <f>HYPERLINK("http://www.ofsted.gov.uk/inspection-reports/find-inspection-report/provider/ELS/135018 ","Ofsted School Webpage")</f>
        <v>Ofsted School Webpage</v>
      </c>
      <c r="B150">
        <v>135018</v>
      </c>
      <c r="C150">
        <v>8866103</v>
      </c>
      <c r="D150" t="s">
        <v>1797</v>
      </c>
      <c r="E150" t="s">
        <v>37</v>
      </c>
      <c r="F150" t="s">
        <v>138</v>
      </c>
      <c r="G150" t="s">
        <v>139</v>
      </c>
      <c r="H150" t="s">
        <v>139</v>
      </c>
      <c r="I150" t="s">
        <v>140</v>
      </c>
      <c r="J150" t="s">
        <v>1798</v>
      </c>
      <c r="K150" t="s">
        <v>142</v>
      </c>
      <c r="L150" t="s">
        <v>169</v>
      </c>
      <c r="M150" t="s">
        <v>2596</v>
      </c>
      <c r="N150" t="s">
        <v>143</v>
      </c>
      <c r="O150">
        <v>10008607</v>
      </c>
      <c r="P150" s="108">
        <v>43046</v>
      </c>
      <c r="Q150" s="108">
        <v>43048</v>
      </c>
      <c r="R150" s="108">
        <v>43073</v>
      </c>
      <c r="S150" t="s">
        <v>153</v>
      </c>
      <c r="T150" t="s">
        <v>154</v>
      </c>
      <c r="U150">
        <v>2</v>
      </c>
      <c r="V150">
        <v>2</v>
      </c>
      <c r="W150">
        <v>2</v>
      </c>
      <c r="X150">
        <v>2</v>
      </c>
      <c r="Y150">
        <v>2</v>
      </c>
      <c r="Z150" t="s">
        <v>2596</v>
      </c>
      <c r="AA150" t="s">
        <v>2596</v>
      </c>
      <c r="AB150" t="s">
        <v>123</v>
      </c>
      <c r="AC150" t="s">
        <v>2596</v>
      </c>
      <c r="AD150" t="s">
        <v>2598</v>
      </c>
      <c r="AE150" t="s">
        <v>57</v>
      </c>
      <c r="AF150" t="s">
        <v>57</v>
      </c>
      <c r="AG150" t="s">
        <v>57</v>
      </c>
      <c r="AH150" t="s">
        <v>57</v>
      </c>
      <c r="AI150" t="s">
        <v>57</v>
      </c>
      <c r="AJ150" t="s">
        <v>57</v>
      </c>
      <c r="AK150" t="s">
        <v>57</v>
      </c>
      <c r="AL150" t="s">
        <v>57</v>
      </c>
      <c r="AM150" t="s">
        <v>57</v>
      </c>
      <c r="AN150" t="s">
        <v>57</v>
      </c>
      <c r="AO150" t="s">
        <v>57</v>
      </c>
      <c r="AP150" t="s">
        <v>57</v>
      </c>
      <c r="AQ150" t="s">
        <v>57</v>
      </c>
      <c r="AR150" t="s">
        <v>57</v>
      </c>
      <c r="AS150" t="s">
        <v>57</v>
      </c>
      <c r="AT150" t="s">
        <v>57</v>
      </c>
      <c r="AU150" t="s">
        <v>148</v>
      </c>
      <c r="AV150" t="s">
        <v>57</v>
      </c>
      <c r="AW150" t="s">
        <v>57</v>
      </c>
      <c r="AX150" t="s">
        <v>57</v>
      </c>
      <c r="AY150" t="s">
        <v>57</v>
      </c>
      <c r="AZ150" t="s">
        <v>57</v>
      </c>
      <c r="BA150" t="s">
        <v>57</v>
      </c>
      <c r="BB150" t="s">
        <v>57</v>
      </c>
      <c r="BC150" t="s">
        <v>148</v>
      </c>
      <c r="BD150" t="s">
        <v>148</v>
      </c>
      <c r="BE150" t="s">
        <v>57</v>
      </c>
      <c r="BF150" t="s">
        <v>57</v>
      </c>
      <c r="BG150" t="s">
        <v>57</v>
      </c>
      <c r="BH150" t="s">
        <v>57</v>
      </c>
      <c r="BI150" t="s">
        <v>57</v>
      </c>
      <c r="BJ150" t="s">
        <v>57</v>
      </c>
      <c r="BK150" t="s">
        <v>57</v>
      </c>
      <c r="BL150" t="s">
        <v>57</v>
      </c>
      <c r="BM150" t="s">
        <v>57</v>
      </c>
      <c r="BN150" t="s">
        <v>57</v>
      </c>
      <c r="BO150" t="s">
        <v>57</v>
      </c>
      <c r="BP150" t="s">
        <v>57</v>
      </c>
      <c r="BQ150" t="s">
        <v>57</v>
      </c>
      <c r="BR150" t="s">
        <v>57</v>
      </c>
      <c r="BS150" t="s">
        <v>57</v>
      </c>
      <c r="BT150" t="s">
        <v>57</v>
      </c>
      <c r="BU150" t="s">
        <v>57</v>
      </c>
      <c r="BV150" t="s">
        <v>57</v>
      </c>
      <c r="BW150" t="s">
        <v>57</v>
      </c>
      <c r="BX150" t="s">
        <v>57</v>
      </c>
      <c r="BY150" t="s">
        <v>57</v>
      </c>
      <c r="BZ150" t="s">
        <v>57</v>
      </c>
      <c r="CA150" t="s">
        <v>57</v>
      </c>
      <c r="CB150" t="s">
        <v>57</v>
      </c>
      <c r="CC150" t="s">
        <v>57</v>
      </c>
      <c r="CD150" t="s">
        <v>57</v>
      </c>
      <c r="CE150" t="s">
        <v>57</v>
      </c>
      <c r="CF150" t="s">
        <v>57</v>
      </c>
      <c r="CG150" t="s">
        <v>57</v>
      </c>
      <c r="CH150" t="s">
        <v>57</v>
      </c>
      <c r="CI150" t="s">
        <v>57</v>
      </c>
      <c r="CJ150" t="s">
        <v>57</v>
      </c>
      <c r="CK150" t="s">
        <v>57</v>
      </c>
      <c r="CL150" t="s">
        <v>57</v>
      </c>
      <c r="CM150" t="s">
        <v>148</v>
      </c>
      <c r="CN150" t="s">
        <v>57</v>
      </c>
      <c r="CO150" t="s">
        <v>57</v>
      </c>
      <c r="CP150" t="s">
        <v>57</v>
      </c>
      <c r="CQ150" t="s">
        <v>57</v>
      </c>
      <c r="CR150" t="s">
        <v>57</v>
      </c>
      <c r="CS150" t="s">
        <v>57</v>
      </c>
      <c r="CT150" t="s">
        <v>57</v>
      </c>
      <c r="CU150" t="s">
        <v>57</v>
      </c>
      <c r="CV150" t="s">
        <v>57</v>
      </c>
      <c r="CW150" t="s">
        <v>57</v>
      </c>
      <c r="CX150" t="s">
        <v>57</v>
      </c>
      <c r="CY150" t="s">
        <v>57</v>
      </c>
      <c r="CZ150" t="s">
        <v>57</v>
      </c>
      <c r="DA150" t="s">
        <v>57</v>
      </c>
      <c r="DB150" t="s">
        <v>57</v>
      </c>
      <c r="DC150" t="s">
        <v>57</v>
      </c>
      <c r="DD150" t="s">
        <v>57</v>
      </c>
      <c r="DE150" t="s">
        <v>57</v>
      </c>
      <c r="DF150" t="s">
        <v>57</v>
      </c>
      <c r="DG150" t="s">
        <v>57</v>
      </c>
      <c r="DH150" t="s">
        <v>57</v>
      </c>
      <c r="DI150" t="s">
        <v>57</v>
      </c>
      <c r="DJ150" t="s">
        <v>57</v>
      </c>
      <c r="DK150" t="s">
        <v>148</v>
      </c>
      <c r="DL150" t="s">
        <v>57</v>
      </c>
      <c r="DM150" t="s">
        <v>57</v>
      </c>
      <c r="DN150" t="s">
        <v>57</v>
      </c>
      <c r="DO150" t="s">
        <v>57</v>
      </c>
      <c r="DP150" t="s">
        <v>57</v>
      </c>
      <c r="DQ150" t="s">
        <v>57</v>
      </c>
      <c r="DR150" t="s">
        <v>57</v>
      </c>
      <c r="DS150" t="s">
        <v>57</v>
      </c>
      <c r="DT150" t="s">
        <v>57</v>
      </c>
      <c r="DU150" t="s">
        <v>57</v>
      </c>
      <c r="DV150" t="s">
        <v>57</v>
      </c>
      <c r="DW150" t="s">
        <v>57</v>
      </c>
      <c r="DX150" t="s">
        <v>57</v>
      </c>
      <c r="DY150" t="s">
        <v>148</v>
      </c>
      <c r="DZ150" t="s">
        <v>57</v>
      </c>
      <c r="EA150" t="s">
        <v>57</v>
      </c>
      <c r="EB150" t="s">
        <v>57</v>
      </c>
      <c r="EC150" t="s">
        <v>57</v>
      </c>
      <c r="ED150" t="s">
        <v>57</v>
      </c>
      <c r="EE150" t="s">
        <v>57</v>
      </c>
      <c r="EF150" t="s">
        <v>57</v>
      </c>
      <c r="EG150" t="s">
        <v>57</v>
      </c>
      <c r="EH150" t="s">
        <v>57</v>
      </c>
      <c r="EI150" t="s">
        <v>57</v>
      </c>
      <c r="EJ150" t="s">
        <v>57</v>
      </c>
      <c r="EK150" t="s">
        <v>57</v>
      </c>
      <c r="EL150" t="s">
        <v>57</v>
      </c>
      <c r="EM150" t="s">
        <v>57</v>
      </c>
      <c r="EN150" t="s">
        <v>57</v>
      </c>
      <c r="EO150" t="s">
        <v>57</v>
      </c>
      <c r="EP150" t="s">
        <v>57</v>
      </c>
      <c r="EQ150" t="s">
        <v>57</v>
      </c>
      <c r="ER150" t="s">
        <v>57</v>
      </c>
      <c r="ES150" t="s">
        <v>57</v>
      </c>
      <c r="ET150" t="s">
        <v>57</v>
      </c>
      <c r="EU150" t="s">
        <v>57</v>
      </c>
      <c r="EV150" t="s">
        <v>57</v>
      </c>
      <c r="EW150" t="s">
        <v>57</v>
      </c>
      <c r="EX150" t="s">
        <v>57</v>
      </c>
      <c r="EY150" t="s">
        <v>57</v>
      </c>
      <c r="EZ150" t="s">
        <v>57</v>
      </c>
      <c r="FA150" t="s">
        <v>57</v>
      </c>
      <c r="FB150" t="s">
        <v>57</v>
      </c>
      <c r="FC150" t="s">
        <v>57</v>
      </c>
      <c r="FD150" t="s">
        <v>57</v>
      </c>
      <c r="FE150" t="s">
        <v>57</v>
      </c>
      <c r="FF150" t="s">
        <v>57</v>
      </c>
      <c r="FG150" t="s">
        <v>57</v>
      </c>
      <c r="FH150" t="s">
        <v>57</v>
      </c>
      <c r="FI150" t="s">
        <v>57</v>
      </c>
      <c r="FJ150" t="s">
        <v>57</v>
      </c>
      <c r="FK150" t="s">
        <v>57</v>
      </c>
      <c r="FL150" t="s">
        <v>57</v>
      </c>
      <c r="FM150" t="s">
        <v>57</v>
      </c>
      <c r="FN150" t="s">
        <v>57</v>
      </c>
      <c r="FO150" t="s">
        <v>148</v>
      </c>
      <c r="FP150" t="s">
        <v>57</v>
      </c>
      <c r="FQ150" t="s">
        <v>57</v>
      </c>
      <c r="FR150" t="s">
        <v>57</v>
      </c>
      <c r="FS150" t="s">
        <v>57</v>
      </c>
      <c r="FT150" t="s">
        <v>57</v>
      </c>
      <c r="FU150" t="s">
        <v>57</v>
      </c>
      <c r="FV150" t="s">
        <v>57</v>
      </c>
      <c r="FW150" t="s">
        <v>57</v>
      </c>
      <c r="FX150" t="s">
        <v>57</v>
      </c>
      <c r="FY150" t="s">
        <v>57</v>
      </c>
      <c r="FZ150" t="s">
        <v>57</v>
      </c>
      <c r="GA150" t="s">
        <v>57</v>
      </c>
      <c r="GB150" t="s">
        <v>57</v>
      </c>
      <c r="GC150" t="s">
        <v>57</v>
      </c>
      <c r="GD150" t="s">
        <v>57</v>
      </c>
      <c r="GE150" t="s">
        <v>57</v>
      </c>
      <c r="GF150" t="s">
        <v>57</v>
      </c>
      <c r="GG150" t="s">
        <v>148</v>
      </c>
      <c r="GH150" t="s">
        <v>57</v>
      </c>
      <c r="GI150" t="s">
        <v>57</v>
      </c>
      <c r="GJ150" t="s">
        <v>57</v>
      </c>
      <c r="GK150" t="s">
        <v>57</v>
      </c>
      <c r="GL150" t="s">
        <v>57</v>
      </c>
      <c r="GM150" t="s">
        <v>57</v>
      </c>
      <c r="GN150" t="s">
        <v>57</v>
      </c>
      <c r="GO150" t="s">
        <v>57</v>
      </c>
      <c r="GP150" t="s">
        <v>57</v>
      </c>
      <c r="GQ150" t="s">
        <v>57</v>
      </c>
      <c r="GR150" t="s">
        <v>57</v>
      </c>
      <c r="GS150" t="s">
        <v>57</v>
      </c>
      <c r="GT150" t="s">
        <v>57</v>
      </c>
      <c r="GU150" t="s">
        <v>57</v>
      </c>
      <c r="GV150" t="s">
        <v>57</v>
      </c>
      <c r="GW150" t="s">
        <v>57</v>
      </c>
      <c r="GX150" t="s">
        <v>57</v>
      </c>
      <c r="GY150" t="s">
        <v>57</v>
      </c>
      <c r="GZ150" t="s">
        <v>57</v>
      </c>
      <c r="HA150" t="s">
        <v>57</v>
      </c>
      <c r="HB150" t="s">
        <v>57</v>
      </c>
      <c r="HC150" t="s">
        <v>57</v>
      </c>
      <c r="HD150" t="s">
        <v>57</v>
      </c>
      <c r="HE150" t="s">
        <v>57</v>
      </c>
      <c r="HF150" t="s">
        <v>57</v>
      </c>
      <c r="HG150" t="s">
        <v>57</v>
      </c>
      <c r="HH150" t="s">
        <v>57</v>
      </c>
      <c r="HI150" t="s">
        <v>57</v>
      </c>
      <c r="HJ150" t="s">
        <v>57</v>
      </c>
      <c r="HK150" t="s">
        <v>57</v>
      </c>
      <c r="HL150" t="s">
        <v>57</v>
      </c>
      <c r="HM150" t="s">
        <v>57</v>
      </c>
      <c r="HN150" t="s">
        <v>57</v>
      </c>
      <c r="HO150" t="s">
        <v>57</v>
      </c>
      <c r="HP150" t="s">
        <v>57</v>
      </c>
      <c r="HQ150" t="s">
        <v>57</v>
      </c>
      <c r="HR150" t="s">
        <v>57</v>
      </c>
      <c r="HS150" t="s">
        <v>57</v>
      </c>
      <c r="HT150" t="s">
        <v>57</v>
      </c>
      <c r="HU150" t="s">
        <v>57</v>
      </c>
      <c r="HV150" t="s">
        <v>57</v>
      </c>
      <c r="HW150" t="s">
        <v>57</v>
      </c>
      <c r="HX150" t="s">
        <v>57</v>
      </c>
      <c r="HY150" t="s">
        <v>57</v>
      </c>
      <c r="HZ150" t="s">
        <v>57</v>
      </c>
      <c r="IA150" t="s">
        <v>57</v>
      </c>
      <c r="IB150" t="s">
        <v>57</v>
      </c>
      <c r="IC150" t="s">
        <v>57</v>
      </c>
      <c r="ID150" t="s">
        <v>57</v>
      </c>
      <c r="IE150" t="s">
        <v>57</v>
      </c>
      <c r="IF150" t="s">
        <v>124</v>
      </c>
      <c r="IG150" t="s">
        <v>155</v>
      </c>
      <c r="IH150" t="s">
        <v>123</v>
      </c>
      <c r="II150" t="s">
        <v>156</v>
      </c>
    </row>
    <row r="151" spans="1:243" x14ac:dyDescent="0.25">
      <c r="A151" s="201" t="str">
        <f>HYPERLINK("http://www.ofsted.gov.uk/inspection-reports/find-inspection-report/provider/ELS/135072 ","Ofsted School Webpage")</f>
        <v>Ofsted School Webpage</v>
      </c>
      <c r="B151">
        <v>135072</v>
      </c>
      <c r="C151">
        <v>3026118</v>
      </c>
      <c r="D151" t="s">
        <v>1676</v>
      </c>
      <c r="E151" t="s">
        <v>36</v>
      </c>
      <c r="F151" t="s">
        <v>166</v>
      </c>
      <c r="G151" t="s">
        <v>189</v>
      </c>
      <c r="H151" t="s">
        <v>189</v>
      </c>
      <c r="I151" t="s">
        <v>268</v>
      </c>
      <c r="J151" t="s">
        <v>1677</v>
      </c>
      <c r="K151" t="s">
        <v>142</v>
      </c>
      <c r="L151" t="s">
        <v>142</v>
      </c>
      <c r="M151" t="s">
        <v>2596</v>
      </c>
      <c r="N151" t="s">
        <v>143</v>
      </c>
      <c r="O151">
        <v>10038171</v>
      </c>
      <c r="P151" s="108">
        <v>43123</v>
      </c>
      <c r="Q151" s="108">
        <v>43125</v>
      </c>
      <c r="R151" s="108">
        <v>43164</v>
      </c>
      <c r="S151" t="s">
        <v>153</v>
      </c>
      <c r="T151" t="s">
        <v>154</v>
      </c>
      <c r="U151">
        <v>1</v>
      </c>
      <c r="V151">
        <v>1</v>
      </c>
      <c r="W151">
        <v>1</v>
      </c>
      <c r="X151">
        <v>1</v>
      </c>
      <c r="Y151">
        <v>1</v>
      </c>
      <c r="Z151" t="s">
        <v>2596</v>
      </c>
      <c r="AA151">
        <v>1</v>
      </c>
      <c r="AB151" t="s">
        <v>123</v>
      </c>
      <c r="AC151" t="s">
        <v>2596</v>
      </c>
      <c r="AD151" t="s">
        <v>2598</v>
      </c>
      <c r="AE151" t="s">
        <v>57</v>
      </c>
      <c r="AF151" t="s">
        <v>57</v>
      </c>
      <c r="AG151" t="s">
        <v>57</v>
      </c>
      <c r="AH151" t="s">
        <v>57</v>
      </c>
      <c r="AI151" t="s">
        <v>57</v>
      </c>
      <c r="AJ151" t="s">
        <v>57</v>
      </c>
      <c r="AK151" t="s">
        <v>57</v>
      </c>
      <c r="AL151" t="s">
        <v>57</v>
      </c>
      <c r="AM151" t="s">
        <v>57</v>
      </c>
      <c r="AN151" t="s">
        <v>57</v>
      </c>
      <c r="AO151" t="s">
        <v>57</v>
      </c>
      <c r="AP151" t="s">
        <v>57</v>
      </c>
      <c r="AQ151" t="s">
        <v>57</v>
      </c>
      <c r="AR151" t="s">
        <v>57</v>
      </c>
      <c r="AS151" t="s">
        <v>57</v>
      </c>
      <c r="AT151" t="s">
        <v>57</v>
      </c>
      <c r="AU151" t="s">
        <v>175</v>
      </c>
      <c r="AV151" t="s">
        <v>57</v>
      </c>
      <c r="AW151" t="s">
        <v>57</v>
      </c>
      <c r="AX151" t="s">
        <v>57</v>
      </c>
      <c r="AY151" t="s">
        <v>57</v>
      </c>
      <c r="AZ151" t="s">
        <v>57</v>
      </c>
      <c r="BA151" t="s">
        <v>57</v>
      </c>
      <c r="BB151" t="s">
        <v>57</v>
      </c>
      <c r="BC151" t="s">
        <v>175</v>
      </c>
      <c r="BD151" t="s">
        <v>57</v>
      </c>
      <c r="BE151" t="s">
        <v>57</v>
      </c>
      <c r="BF151" t="s">
        <v>57</v>
      </c>
      <c r="BG151" t="s">
        <v>57</v>
      </c>
      <c r="BH151" t="s">
        <v>57</v>
      </c>
      <c r="BI151" t="s">
        <v>57</v>
      </c>
      <c r="BJ151" t="s">
        <v>57</v>
      </c>
      <c r="BK151" t="s">
        <v>57</v>
      </c>
      <c r="BL151" t="s">
        <v>57</v>
      </c>
      <c r="BM151" t="s">
        <v>57</v>
      </c>
      <c r="BN151" t="s">
        <v>57</v>
      </c>
      <c r="BO151" t="s">
        <v>57</v>
      </c>
      <c r="BP151" t="s">
        <v>57</v>
      </c>
      <c r="BQ151" t="s">
        <v>57</v>
      </c>
      <c r="BR151" t="s">
        <v>57</v>
      </c>
      <c r="BS151" t="s">
        <v>57</v>
      </c>
      <c r="BT151" t="s">
        <v>57</v>
      </c>
      <c r="BU151" t="s">
        <v>57</v>
      </c>
      <c r="BV151" t="s">
        <v>57</v>
      </c>
      <c r="BW151" t="s">
        <v>57</v>
      </c>
      <c r="BX151" t="s">
        <v>57</v>
      </c>
      <c r="BY151" t="s">
        <v>57</v>
      </c>
      <c r="BZ151" t="s">
        <v>57</v>
      </c>
      <c r="CA151" t="s">
        <v>57</v>
      </c>
      <c r="CB151" t="s">
        <v>57</v>
      </c>
      <c r="CC151" t="s">
        <v>57</v>
      </c>
      <c r="CD151" t="s">
        <v>57</v>
      </c>
      <c r="CE151" t="s">
        <v>57</v>
      </c>
      <c r="CF151" t="s">
        <v>57</v>
      </c>
      <c r="CG151" t="s">
        <v>57</v>
      </c>
      <c r="CH151" t="s">
        <v>57</v>
      </c>
      <c r="CI151" t="s">
        <v>57</v>
      </c>
      <c r="CJ151" t="s">
        <v>57</v>
      </c>
      <c r="CK151" t="s">
        <v>175</v>
      </c>
      <c r="CL151" t="s">
        <v>175</v>
      </c>
      <c r="CM151" t="s">
        <v>175</v>
      </c>
      <c r="CN151" t="s">
        <v>57</v>
      </c>
      <c r="CO151" t="s">
        <v>57</v>
      </c>
      <c r="CP151" t="s">
        <v>57</v>
      </c>
      <c r="CQ151" t="s">
        <v>57</v>
      </c>
      <c r="CR151" t="s">
        <v>57</v>
      </c>
      <c r="CS151" t="s">
        <v>57</v>
      </c>
      <c r="CT151" t="s">
        <v>57</v>
      </c>
      <c r="CU151" t="s">
        <v>57</v>
      </c>
      <c r="CV151" t="s">
        <v>57</v>
      </c>
      <c r="CW151" t="s">
        <v>57</v>
      </c>
      <c r="CX151" t="s">
        <v>57</v>
      </c>
      <c r="CY151" t="s">
        <v>57</v>
      </c>
      <c r="CZ151" t="s">
        <v>57</v>
      </c>
      <c r="DA151" t="s">
        <v>57</v>
      </c>
      <c r="DB151" t="s">
        <v>57</v>
      </c>
      <c r="DC151" t="s">
        <v>57</v>
      </c>
      <c r="DD151" t="s">
        <v>57</v>
      </c>
      <c r="DE151" t="s">
        <v>57</v>
      </c>
      <c r="DF151" t="s">
        <v>57</v>
      </c>
      <c r="DG151" t="s">
        <v>57</v>
      </c>
      <c r="DH151" t="s">
        <v>57</v>
      </c>
      <c r="DI151" t="s">
        <v>57</v>
      </c>
      <c r="DJ151" t="s">
        <v>57</v>
      </c>
      <c r="DK151" t="s">
        <v>175</v>
      </c>
      <c r="DL151" t="s">
        <v>57</v>
      </c>
      <c r="DM151" t="s">
        <v>57</v>
      </c>
      <c r="DN151" t="s">
        <v>57</v>
      </c>
      <c r="DO151" t="s">
        <v>57</v>
      </c>
      <c r="DP151" t="s">
        <v>57</v>
      </c>
      <c r="DQ151" t="s">
        <v>57</v>
      </c>
      <c r="DR151" t="s">
        <v>57</v>
      </c>
      <c r="DS151" t="s">
        <v>57</v>
      </c>
      <c r="DT151" t="s">
        <v>57</v>
      </c>
      <c r="DU151" t="s">
        <v>57</v>
      </c>
      <c r="DV151" t="s">
        <v>57</v>
      </c>
      <c r="DW151" t="s">
        <v>57</v>
      </c>
      <c r="DX151" t="s">
        <v>57</v>
      </c>
      <c r="DY151" t="s">
        <v>175</v>
      </c>
      <c r="DZ151" t="s">
        <v>57</v>
      </c>
      <c r="EA151" t="s">
        <v>57</v>
      </c>
      <c r="EB151" t="s">
        <v>57</v>
      </c>
      <c r="EC151" t="s">
        <v>57</v>
      </c>
      <c r="ED151" t="s">
        <v>57</v>
      </c>
      <c r="EE151" t="s">
        <v>57</v>
      </c>
      <c r="EF151" t="s">
        <v>57</v>
      </c>
      <c r="EG151" t="s">
        <v>57</v>
      </c>
      <c r="EH151" t="s">
        <v>57</v>
      </c>
      <c r="EI151" t="s">
        <v>57</v>
      </c>
      <c r="EJ151" t="s">
        <v>57</v>
      </c>
      <c r="EK151" t="s">
        <v>57</v>
      </c>
      <c r="EL151" t="s">
        <v>57</v>
      </c>
      <c r="EM151" t="s">
        <v>57</v>
      </c>
      <c r="EN151" t="s">
        <v>57</v>
      </c>
      <c r="EO151" t="s">
        <v>57</v>
      </c>
      <c r="EP151" t="s">
        <v>57</v>
      </c>
      <c r="EQ151" t="s">
        <v>57</v>
      </c>
      <c r="ER151" t="s">
        <v>57</v>
      </c>
      <c r="ES151" t="s">
        <v>57</v>
      </c>
      <c r="ET151" t="s">
        <v>57</v>
      </c>
      <c r="EU151" t="s">
        <v>57</v>
      </c>
      <c r="EV151" t="s">
        <v>57</v>
      </c>
      <c r="EW151" t="s">
        <v>57</v>
      </c>
      <c r="EX151" t="s">
        <v>57</v>
      </c>
      <c r="EY151" t="s">
        <v>57</v>
      </c>
      <c r="EZ151" t="s">
        <v>57</v>
      </c>
      <c r="FA151" t="s">
        <v>57</v>
      </c>
      <c r="FB151" t="s">
        <v>57</v>
      </c>
      <c r="FC151" t="s">
        <v>57</v>
      </c>
      <c r="FD151" t="s">
        <v>57</v>
      </c>
      <c r="FE151" t="s">
        <v>57</v>
      </c>
      <c r="FF151" t="s">
        <v>57</v>
      </c>
      <c r="FG151" t="s">
        <v>57</v>
      </c>
      <c r="FH151" t="s">
        <v>57</v>
      </c>
      <c r="FI151" t="s">
        <v>57</v>
      </c>
      <c r="FJ151" t="s">
        <v>57</v>
      </c>
      <c r="FK151" t="s">
        <v>57</v>
      </c>
      <c r="FL151" t="s">
        <v>57</v>
      </c>
      <c r="FM151" t="s">
        <v>57</v>
      </c>
      <c r="FN151" t="s">
        <v>57</v>
      </c>
      <c r="FO151" t="s">
        <v>57</v>
      </c>
      <c r="FP151" t="s">
        <v>57</v>
      </c>
      <c r="FQ151" t="s">
        <v>57</v>
      </c>
      <c r="FR151" t="s">
        <v>57</v>
      </c>
      <c r="FS151" t="s">
        <v>57</v>
      </c>
      <c r="FT151" t="s">
        <v>57</v>
      </c>
      <c r="FU151" t="s">
        <v>57</v>
      </c>
      <c r="FV151" t="s">
        <v>57</v>
      </c>
      <c r="FW151" t="s">
        <v>57</v>
      </c>
      <c r="FX151" t="s">
        <v>57</v>
      </c>
      <c r="FY151" t="s">
        <v>57</v>
      </c>
      <c r="FZ151" t="s">
        <v>57</v>
      </c>
      <c r="GA151" t="s">
        <v>57</v>
      </c>
      <c r="GB151" t="s">
        <v>57</v>
      </c>
      <c r="GC151" t="s">
        <v>57</v>
      </c>
      <c r="GD151" t="s">
        <v>57</v>
      </c>
      <c r="GE151" t="s">
        <v>57</v>
      </c>
      <c r="GF151" t="s">
        <v>57</v>
      </c>
      <c r="GG151" t="s">
        <v>175</v>
      </c>
      <c r="GH151" t="s">
        <v>57</v>
      </c>
      <c r="GI151" t="s">
        <v>57</v>
      </c>
      <c r="GJ151" t="s">
        <v>57</v>
      </c>
      <c r="GK151" t="s">
        <v>57</v>
      </c>
      <c r="GL151" t="s">
        <v>57</v>
      </c>
      <c r="GM151" t="s">
        <v>175</v>
      </c>
      <c r="GN151" t="s">
        <v>57</v>
      </c>
      <c r="GO151" t="s">
        <v>57</v>
      </c>
      <c r="GP151" t="s">
        <v>57</v>
      </c>
      <c r="GQ151" t="s">
        <v>57</v>
      </c>
      <c r="GR151" t="s">
        <v>57</v>
      </c>
      <c r="GS151" t="s">
        <v>57</v>
      </c>
      <c r="GT151" t="s">
        <v>57</v>
      </c>
      <c r="GU151" t="s">
        <v>57</v>
      </c>
      <c r="GV151" t="s">
        <v>57</v>
      </c>
      <c r="GW151" t="s">
        <v>175</v>
      </c>
      <c r="GX151" t="s">
        <v>175</v>
      </c>
      <c r="GY151" t="s">
        <v>57</v>
      </c>
      <c r="GZ151" t="s">
        <v>57</v>
      </c>
      <c r="HA151" t="s">
        <v>57</v>
      </c>
      <c r="HB151" t="s">
        <v>57</v>
      </c>
      <c r="HC151" t="s">
        <v>57</v>
      </c>
      <c r="HD151" t="s">
        <v>57</v>
      </c>
      <c r="HE151" t="s">
        <v>57</v>
      </c>
      <c r="HF151" t="s">
        <v>57</v>
      </c>
      <c r="HG151" t="s">
        <v>57</v>
      </c>
      <c r="HH151" t="s">
        <v>175</v>
      </c>
      <c r="HI151" t="s">
        <v>175</v>
      </c>
      <c r="HJ151" t="s">
        <v>175</v>
      </c>
      <c r="HK151" t="s">
        <v>175</v>
      </c>
      <c r="HL151" t="s">
        <v>57</v>
      </c>
      <c r="HM151" t="s">
        <v>57</v>
      </c>
      <c r="HN151" t="s">
        <v>57</v>
      </c>
      <c r="HO151" t="s">
        <v>57</v>
      </c>
      <c r="HP151" t="s">
        <v>57</v>
      </c>
      <c r="HQ151" t="s">
        <v>57</v>
      </c>
      <c r="HR151" t="s">
        <v>57</v>
      </c>
      <c r="HS151" t="s">
        <v>57</v>
      </c>
      <c r="HT151" t="s">
        <v>57</v>
      </c>
      <c r="HU151" t="s">
        <v>57</v>
      </c>
      <c r="HV151" t="s">
        <v>57</v>
      </c>
      <c r="HW151" t="s">
        <v>57</v>
      </c>
      <c r="HX151" t="s">
        <v>57</v>
      </c>
      <c r="HY151" t="s">
        <v>57</v>
      </c>
      <c r="HZ151" t="s">
        <v>57</v>
      </c>
      <c r="IA151" t="s">
        <v>57</v>
      </c>
      <c r="IB151" t="s">
        <v>57</v>
      </c>
      <c r="IC151" t="s">
        <v>57</v>
      </c>
      <c r="ID151" t="s">
        <v>57</v>
      </c>
      <c r="IE151" t="s">
        <v>57</v>
      </c>
      <c r="IF151" t="s">
        <v>124</v>
      </c>
      <c r="IG151" t="s">
        <v>148</v>
      </c>
      <c r="IH151" t="s">
        <v>123</v>
      </c>
      <c r="II151" t="s">
        <v>156</v>
      </c>
    </row>
    <row r="152" spans="1:243" x14ac:dyDescent="0.25">
      <c r="A152" s="201" t="str">
        <f>HYPERLINK("http://www.ofsted.gov.uk/inspection-reports/find-inspection-report/provider/ELS/135097 ","Ofsted School Webpage")</f>
        <v>Ofsted School Webpage</v>
      </c>
      <c r="B152">
        <v>135097</v>
      </c>
      <c r="C152">
        <v>9166081</v>
      </c>
      <c r="D152" t="s">
        <v>599</v>
      </c>
      <c r="E152" t="s">
        <v>36</v>
      </c>
      <c r="F152" t="s">
        <v>166</v>
      </c>
      <c r="G152" t="s">
        <v>182</v>
      </c>
      <c r="H152" t="s">
        <v>182</v>
      </c>
      <c r="I152" t="s">
        <v>222</v>
      </c>
      <c r="J152" t="s">
        <v>600</v>
      </c>
      <c r="K152" t="s">
        <v>142</v>
      </c>
      <c r="L152" t="s">
        <v>180</v>
      </c>
      <c r="M152" t="s">
        <v>2596</v>
      </c>
      <c r="N152" t="s">
        <v>143</v>
      </c>
      <c r="O152">
        <v>10033892</v>
      </c>
      <c r="P152" s="108">
        <v>43053</v>
      </c>
      <c r="Q152" s="108">
        <v>43055</v>
      </c>
      <c r="R152" s="108">
        <v>43109</v>
      </c>
      <c r="S152" t="s">
        <v>153</v>
      </c>
      <c r="T152" t="s">
        <v>154</v>
      </c>
      <c r="U152">
        <v>4</v>
      </c>
      <c r="V152">
        <v>4</v>
      </c>
      <c r="W152">
        <v>3</v>
      </c>
      <c r="X152">
        <v>3</v>
      </c>
      <c r="Y152">
        <v>3</v>
      </c>
      <c r="Z152">
        <v>4</v>
      </c>
      <c r="AA152" t="s">
        <v>2596</v>
      </c>
      <c r="AB152" t="s">
        <v>124</v>
      </c>
      <c r="AC152" t="s">
        <v>2596</v>
      </c>
      <c r="AD152" t="s">
        <v>2599</v>
      </c>
      <c r="AE152" t="s">
        <v>57</v>
      </c>
      <c r="AF152" t="s">
        <v>57</v>
      </c>
      <c r="AG152" t="s">
        <v>58</v>
      </c>
      <c r="AH152" t="s">
        <v>57</v>
      </c>
      <c r="AI152" t="s">
        <v>57</v>
      </c>
      <c r="AJ152" t="s">
        <v>57</v>
      </c>
      <c r="AK152" t="s">
        <v>57</v>
      </c>
      <c r="AL152" t="s">
        <v>58</v>
      </c>
      <c r="AM152" t="s">
        <v>57</v>
      </c>
      <c r="AN152" t="s">
        <v>57</v>
      </c>
      <c r="AO152" t="s">
        <v>57</v>
      </c>
      <c r="AP152" t="s">
        <v>57</v>
      </c>
      <c r="AQ152" t="s">
        <v>57</v>
      </c>
      <c r="AR152" t="s">
        <v>57</v>
      </c>
      <c r="AS152" t="s">
        <v>57</v>
      </c>
      <c r="AT152" t="s">
        <v>57</v>
      </c>
      <c r="AU152" t="s">
        <v>57</v>
      </c>
      <c r="AV152" t="s">
        <v>57</v>
      </c>
      <c r="AW152" t="s">
        <v>57</v>
      </c>
      <c r="AX152" t="s">
        <v>57</v>
      </c>
      <c r="AY152" t="s">
        <v>148</v>
      </c>
      <c r="AZ152" t="s">
        <v>148</v>
      </c>
      <c r="BA152" t="s">
        <v>148</v>
      </c>
      <c r="BB152" t="s">
        <v>148</v>
      </c>
      <c r="BC152" t="s">
        <v>57</v>
      </c>
      <c r="BD152" t="s">
        <v>57</v>
      </c>
      <c r="BE152" t="s">
        <v>57</v>
      </c>
      <c r="BF152" t="s">
        <v>57</v>
      </c>
      <c r="BG152" t="s">
        <v>58</v>
      </c>
      <c r="BH152" t="s">
        <v>58</v>
      </c>
      <c r="BI152" t="s">
        <v>57</v>
      </c>
      <c r="BJ152" t="s">
        <v>57</v>
      </c>
      <c r="BK152" t="s">
        <v>57</v>
      </c>
      <c r="BL152" t="s">
        <v>57</v>
      </c>
      <c r="BM152" t="s">
        <v>58</v>
      </c>
      <c r="BN152" t="s">
        <v>57</v>
      </c>
      <c r="BO152" t="s">
        <v>57</v>
      </c>
      <c r="BP152" t="s">
        <v>57</v>
      </c>
      <c r="BQ152" t="s">
        <v>57</v>
      </c>
      <c r="BR152" t="s">
        <v>57</v>
      </c>
      <c r="BS152" t="s">
        <v>57</v>
      </c>
      <c r="BT152" t="s">
        <v>57</v>
      </c>
      <c r="BU152" t="s">
        <v>57</v>
      </c>
      <c r="BV152" t="s">
        <v>57</v>
      </c>
      <c r="BW152" t="s">
        <v>57</v>
      </c>
      <c r="BX152" t="s">
        <v>57</v>
      </c>
      <c r="BY152" t="s">
        <v>57</v>
      </c>
      <c r="BZ152" t="s">
        <v>57</v>
      </c>
      <c r="CA152" t="s">
        <v>57</v>
      </c>
      <c r="CB152" t="s">
        <v>57</v>
      </c>
      <c r="CC152" t="s">
        <v>57</v>
      </c>
      <c r="CD152" t="s">
        <v>57</v>
      </c>
      <c r="CE152" t="s">
        <v>57</v>
      </c>
      <c r="CF152" t="s">
        <v>57</v>
      </c>
      <c r="CG152" t="s">
        <v>57</v>
      </c>
      <c r="CH152" t="s">
        <v>58</v>
      </c>
      <c r="CI152" t="s">
        <v>58</v>
      </c>
      <c r="CJ152" t="s">
        <v>58</v>
      </c>
      <c r="CK152" t="s">
        <v>148</v>
      </c>
      <c r="CL152" t="s">
        <v>148</v>
      </c>
      <c r="CM152" t="s">
        <v>148</v>
      </c>
      <c r="CN152" t="s">
        <v>57</v>
      </c>
      <c r="CO152" t="s">
        <v>57</v>
      </c>
      <c r="CP152" t="s">
        <v>57</v>
      </c>
      <c r="CQ152" t="s">
        <v>57</v>
      </c>
      <c r="CR152" t="s">
        <v>57</v>
      </c>
      <c r="CS152" t="s">
        <v>57</v>
      </c>
      <c r="CT152" t="s">
        <v>58</v>
      </c>
      <c r="CU152" t="s">
        <v>57</v>
      </c>
      <c r="CV152" t="s">
        <v>57</v>
      </c>
      <c r="CW152" t="s">
        <v>57</v>
      </c>
      <c r="CX152" t="s">
        <v>58</v>
      </c>
      <c r="CY152" t="s">
        <v>58</v>
      </c>
      <c r="CZ152" t="s">
        <v>58</v>
      </c>
      <c r="DA152" t="s">
        <v>57</v>
      </c>
      <c r="DB152" t="s">
        <v>57</v>
      </c>
      <c r="DC152" t="s">
        <v>57</v>
      </c>
      <c r="DD152" t="s">
        <v>57</v>
      </c>
      <c r="DE152" t="s">
        <v>57</v>
      </c>
      <c r="DF152" t="s">
        <v>57</v>
      </c>
      <c r="DG152" t="s">
        <v>57</v>
      </c>
      <c r="DH152" t="s">
        <v>57</v>
      </c>
      <c r="DI152" t="s">
        <v>57</v>
      </c>
      <c r="DJ152" t="s">
        <v>57</v>
      </c>
      <c r="DK152" t="s">
        <v>57</v>
      </c>
      <c r="DL152" t="s">
        <v>57</v>
      </c>
      <c r="DM152" t="s">
        <v>57</v>
      </c>
      <c r="DN152" t="s">
        <v>57</v>
      </c>
      <c r="DO152" t="s">
        <v>57</v>
      </c>
      <c r="DP152" t="s">
        <v>57</v>
      </c>
      <c r="DQ152" t="s">
        <v>57</v>
      </c>
      <c r="DR152" t="s">
        <v>57</v>
      </c>
      <c r="DS152" t="s">
        <v>57</v>
      </c>
      <c r="DT152" t="s">
        <v>57</v>
      </c>
      <c r="DU152" t="s">
        <v>57</v>
      </c>
      <c r="DV152" t="s">
        <v>57</v>
      </c>
      <c r="DW152" t="s">
        <v>57</v>
      </c>
      <c r="DX152" t="s">
        <v>57</v>
      </c>
      <c r="DY152" t="s">
        <v>57</v>
      </c>
      <c r="DZ152" t="s">
        <v>57</v>
      </c>
      <c r="EA152" t="s">
        <v>57</v>
      </c>
      <c r="EB152" t="s">
        <v>57</v>
      </c>
      <c r="EC152" t="s">
        <v>57</v>
      </c>
      <c r="ED152" t="s">
        <v>57</v>
      </c>
      <c r="EE152" t="s">
        <v>57</v>
      </c>
      <c r="EF152" t="s">
        <v>57</v>
      </c>
      <c r="EG152" t="s">
        <v>57</v>
      </c>
      <c r="EH152" t="s">
        <v>57</v>
      </c>
      <c r="EI152" t="s">
        <v>57</v>
      </c>
      <c r="EJ152" t="s">
        <v>57</v>
      </c>
      <c r="EK152" t="s">
        <v>57</v>
      </c>
      <c r="EL152" t="s">
        <v>57</v>
      </c>
      <c r="EM152" t="s">
        <v>57</v>
      </c>
      <c r="EN152" t="s">
        <v>57</v>
      </c>
      <c r="EO152" t="s">
        <v>57</v>
      </c>
      <c r="EP152" t="s">
        <v>57</v>
      </c>
      <c r="EQ152" t="s">
        <v>57</v>
      </c>
      <c r="ER152" t="s">
        <v>57</v>
      </c>
      <c r="ES152" t="s">
        <v>57</v>
      </c>
      <c r="ET152" t="s">
        <v>57</v>
      </c>
      <c r="EU152" t="s">
        <v>57</v>
      </c>
      <c r="EV152" t="s">
        <v>57</v>
      </c>
      <c r="EW152" t="s">
        <v>57</v>
      </c>
      <c r="EX152" t="s">
        <v>57</v>
      </c>
      <c r="EY152" t="s">
        <v>57</v>
      </c>
      <c r="EZ152" t="s">
        <v>57</v>
      </c>
      <c r="FA152" t="s">
        <v>57</v>
      </c>
      <c r="FB152" t="s">
        <v>57</v>
      </c>
      <c r="FC152" t="s">
        <v>57</v>
      </c>
      <c r="FD152" t="s">
        <v>57</v>
      </c>
      <c r="FE152" t="s">
        <v>57</v>
      </c>
      <c r="FF152" t="s">
        <v>57</v>
      </c>
      <c r="FG152" t="s">
        <v>57</v>
      </c>
      <c r="FH152" t="s">
        <v>57</v>
      </c>
      <c r="FI152" t="s">
        <v>57</v>
      </c>
      <c r="FJ152" t="s">
        <v>57</v>
      </c>
      <c r="FK152" t="s">
        <v>57</v>
      </c>
      <c r="FL152" t="s">
        <v>57</v>
      </c>
      <c r="FM152" t="s">
        <v>57</v>
      </c>
      <c r="FN152" t="s">
        <v>57</v>
      </c>
      <c r="FO152" t="s">
        <v>57</v>
      </c>
      <c r="FP152" t="s">
        <v>57</v>
      </c>
      <c r="FQ152" t="s">
        <v>58</v>
      </c>
      <c r="FR152" t="s">
        <v>57</v>
      </c>
      <c r="FS152" t="s">
        <v>57</v>
      </c>
      <c r="FT152" t="s">
        <v>57</v>
      </c>
      <c r="FU152" t="s">
        <v>57</v>
      </c>
      <c r="FV152" t="s">
        <v>57</v>
      </c>
      <c r="FW152" t="s">
        <v>57</v>
      </c>
      <c r="FX152" t="s">
        <v>57</v>
      </c>
      <c r="FY152" t="s">
        <v>57</v>
      </c>
      <c r="FZ152" t="s">
        <v>57</v>
      </c>
      <c r="GA152" t="s">
        <v>57</v>
      </c>
      <c r="GB152" t="s">
        <v>57</v>
      </c>
      <c r="GC152" t="s">
        <v>57</v>
      </c>
      <c r="GD152" t="s">
        <v>57</v>
      </c>
      <c r="GE152" t="s">
        <v>57</v>
      </c>
      <c r="GF152" t="s">
        <v>57</v>
      </c>
      <c r="GG152" t="s">
        <v>148</v>
      </c>
      <c r="GH152" t="s">
        <v>57</v>
      </c>
      <c r="GI152" t="s">
        <v>57</v>
      </c>
      <c r="GJ152" t="s">
        <v>57</v>
      </c>
      <c r="GK152" t="s">
        <v>57</v>
      </c>
      <c r="GL152" t="s">
        <v>57</v>
      </c>
      <c r="GM152" t="s">
        <v>57</v>
      </c>
      <c r="GN152" t="s">
        <v>57</v>
      </c>
      <c r="GO152" t="s">
        <v>57</v>
      </c>
      <c r="GP152" t="s">
        <v>57</v>
      </c>
      <c r="GQ152" t="s">
        <v>57</v>
      </c>
      <c r="GR152" t="s">
        <v>57</v>
      </c>
      <c r="GS152" t="s">
        <v>57</v>
      </c>
      <c r="GT152" t="s">
        <v>57</v>
      </c>
      <c r="GU152" t="s">
        <v>57</v>
      </c>
      <c r="GV152" t="s">
        <v>57</v>
      </c>
      <c r="GW152" t="s">
        <v>57</v>
      </c>
      <c r="GX152" t="s">
        <v>57</v>
      </c>
      <c r="GY152" t="s">
        <v>57</v>
      </c>
      <c r="GZ152" t="s">
        <v>57</v>
      </c>
      <c r="HA152" t="s">
        <v>57</v>
      </c>
      <c r="HB152" t="s">
        <v>57</v>
      </c>
      <c r="HC152" t="s">
        <v>57</v>
      </c>
      <c r="HD152" t="s">
        <v>57</v>
      </c>
      <c r="HE152" t="s">
        <v>57</v>
      </c>
      <c r="HF152" t="s">
        <v>57</v>
      </c>
      <c r="HG152" t="s">
        <v>57</v>
      </c>
      <c r="HH152" t="s">
        <v>57</v>
      </c>
      <c r="HI152" t="s">
        <v>57</v>
      </c>
      <c r="HJ152" t="s">
        <v>57</v>
      </c>
      <c r="HK152" t="s">
        <v>57</v>
      </c>
      <c r="HL152" t="s">
        <v>57</v>
      </c>
      <c r="HM152" t="s">
        <v>57</v>
      </c>
      <c r="HN152" t="s">
        <v>57</v>
      </c>
      <c r="HO152" t="s">
        <v>57</v>
      </c>
      <c r="HP152" t="s">
        <v>57</v>
      </c>
      <c r="HQ152" t="s">
        <v>57</v>
      </c>
      <c r="HR152" t="s">
        <v>57</v>
      </c>
      <c r="HS152" t="s">
        <v>57</v>
      </c>
      <c r="HT152" t="s">
        <v>57</v>
      </c>
      <c r="HU152" t="s">
        <v>57</v>
      </c>
      <c r="HV152" t="s">
        <v>57</v>
      </c>
      <c r="HW152" t="s">
        <v>57</v>
      </c>
      <c r="HX152" t="s">
        <v>57</v>
      </c>
      <c r="HY152" t="s">
        <v>57</v>
      </c>
      <c r="HZ152" t="s">
        <v>57</v>
      </c>
      <c r="IA152" t="s">
        <v>57</v>
      </c>
      <c r="IB152" t="s">
        <v>58</v>
      </c>
      <c r="IC152" t="s">
        <v>58</v>
      </c>
      <c r="ID152" t="s">
        <v>58</v>
      </c>
      <c r="IE152" t="s">
        <v>58</v>
      </c>
      <c r="IF152" t="s">
        <v>123</v>
      </c>
      <c r="IG152" t="s">
        <v>155</v>
      </c>
      <c r="IH152" t="s">
        <v>123</v>
      </c>
      <c r="II152" t="s">
        <v>156</v>
      </c>
    </row>
    <row r="153" spans="1:243" x14ac:dyDescent="0.25">
      <c r="A153" s="201" t="str">
        <f>HYPERLINK("http://www.ofsted.gov.uk/inspection-reports/find-inspection-report/provider/ELS/135105 ","Ofsted School Webpage")</f>
        <v>Ofsted School Webpage</v>
      </c>
      <c r="B153">
        <v>135105</v>
      </c>
      <c r="C153">
        <v>8506086</v>
      </c>
      <c r="D153" t="s">
        <v>325</v>
      </c>
      <c r="E153" t="s">
        <v>37</v>
      </c>
      <c r="F153" t="s">
        <v>138</v>
      </c>
      <c r="G153" t="s">
        <v>139</v>
      </c>
      <c r="H153" t="s">
        <v>139</v>
      </c>
      <c r="I153" t="s">
        <v>158</v>
      </c>
      <c r="J153" t="s">
        <v>326</v>
      </c>
      <c r="K153" t="s">
        <v>142</v>
      </c>
      <c r="L153" t="s">
        <v>142</v>
      </c>
      <c r="M153" t="s">
        <v>2596</v>
      </c>
      <c r="N153" t="s">
        <v>143</v>
      </c>
      <c r="O153">
        <v>10033961</v>
      </c>
      <c r="P153" s="108">
        <v>43004</v>
      </c>
      <c r="Q153" s="108">
        <v>43006</v>
      </c>
      <c r="R153" s="108">
        <v>43052</v>
      </c>
      <c r="S153" t="s">
        <v>153</v>
      </c>
      <c r="T153" t="s">
        <v>154</v>
      </c>
      <c r="U153">
        <v>1</v>
      </c>
      <c r="V153">
        <v>1</v>
      </c>
      <c r="W153">
        <v>1</v>
      </c>
      <c r="X153">
        <v>1</v>
      </c>
      <c r="Y153">
        <v>1</v>
      </c>
      <c r="Z153" t="s">
        <v>2596</v>
      </c>
      <c r="AA153" t="s">
        <v>2596</v>
      </c>
      <c r="AB153" t="s">
        <v>123</v>
      </c>
      <c r="AC153" t="s">
        <v>2596</v>
      </c>
      <c r="AD153" t="s">
        <v>2598</v>
      </c>
      <c r="AE153" t="s">
        <v>57</v>
      </c>
      <c r="AF153" t="s">
        <v>57</v>
      </c>
      <c r="AG153" t="s">
        <v>57</v>
      </c>
      <c r="AH153" t="s">
        <v>57</v>
      </c>
      <c r="AI153" t="s">
        <v>57</v>
      </c>
      <c r="AJ153" t="s">
        <v>57</v>
      </c>
      <c r="AK153" t="s">
        <v>57</v>
      </c>
      <c r="AL153" t="s">
        <v>57</v>
      </c>
      <c r="AM153" t="s">
        <v>57</v>
      </c>
      <c r="AN153" t="s">
        <v>57</v>
      </c>
      <c r="AO153" t="s">
        <v>57</v>
      </c>
      <c r="AP153" t="s">
        <v>57</v>
      </c>
      <c r="AQ153" t="s">
        <v>57</v>
      </c>
      <c r="AR153" t="s">
        <v>57</v>
      </c>
      <c r="AS153" t="s">
        <v>57</v>
      </c>
      <c r="AT153" t="s">
        <v>57</v>
      </c>
      <c r="AU153" t="s">
        <v>175</v>
      </c>
      <c r="AV153" t="s">
        <v>57</v>
      </c>
      <c r="AW153" t="s">
        <v>57</v>
      </c>
      <c r="AX153" t="s">
        <v>57</v>
      </c>
      <c r="AY153" t="s">
        <v>57</v>
      </c>
      <c r="AZ153" t="s">
        <v>57</v>
      </c>
      <c r="BA153" t="s">
        <v>57</v>
      </c>
      <c r="BB153" t="s">
        <v>57</v>
      </c>
      <c r="BC153" t="s">
        <v>175</v>
      </c>
      <c r="BD153" t="s">
        <v>175</v>
      </c>
      <c r="BE153" t="s">
        <v>57</v>
      </c>
      <c r="BF153" t="s">
        <v>57</v>
      </c>
      <c r="BG153" t="s">
        <v>57</v>
      </c>
      <c r="BH153" t="s">
        <v>57</v>
      </c>
      <c r="BI153" t="s">
        <v>57</v>
      </c>
      <c r="BJ153" t="s">
        <v>57</v>
      </c>
      <c r="BK153" t="s">
        <v>57</v>
      </c>
      <c r="BL153" t="s">
        <v>57</v>
      </c>
      <c r="BM153" t="s">
        <v>57</v>
      </c>
      <c r="BN153" t="s">
        <v>57</v>
      </c>
      <c r="BO153" t="s">
        <v>57</v>
      </c>
      <c r="BP153" t="s">
        <v>57</v>
      </c>
      <c r="BQ153" t="s">
        <v>57</v>
      </c>
      <c r="BR153" t="s">
        <v>57</v>
      </c>
      <c r="BS153" t="s">
        <v>57</v>
      </c>
      <c r="BT153" t="s">
        <v>57</v>
      </c>
      <c r="BU153" t="s">
        <v>57</v>
      </c>
      <c r="BV153" t="s">
        <v>57</v>
      </c>
      <c r="BW153" t="s">
        <v>57</v>
      </c>
      <c r="BX153" t="s">
        <v>57</v>
      </c>
      <c r="BY153" t="s">
        <v>57</v>
      </c>
      <c r="BZ153" t="s">
        <v>57</v>
      </c>
      <c r="CA153" t="s">
        <v>57</v>
      </c>
      <c r="CB153" t="s">
        <v>57</v>
      </c>
      <c r="CC153" t="s">
        <v>57</v>
      </c>
      <c r="CD153" t="s">
        <v>57</v>
      </c>
      <c r="CE153" t="s">
        <v>57</v>
      </c>
      <c r="CF153" t="s">
        <v>57</v>
      </c>
      <c r="CG153" t="s">
        <v>57</v>
      </c>
      <c r="CH153" t="s">
        <v>57</v>
      </c>
      <c r="CI153" t="s">
        <v>57</v>
      </c>
      <c r="CJ153" t="s">
        <v>57</v>
      </c>
      <c r="CK153" t="s">
        <v>175</v>
      </c>
      <c r="CL153" t="s">
        <v>175</v>
      </c>
      <c r="CM153" t="s">
        <v>175</v>
      </c>
      <c r="CN153" t="s">
        <v>57</v>
      </c>
      <c r="CO153" t="s">
        <v>57</v>
      </c>
      <c r="CP153" t="s">
        <v>57</v>
      </c>
      <c r="CQ153" t="s">
        <v>57</v>
      </c>
      <c r="CR153" t="s">
        <v>57</v>
      </c>
      <c r="CS153" t="s">
        <v>57</v>
      </c>
      <c r="CT153" t="s">
        <v>57</v>
      </c>
      <c r="CU153" t="s">
        <v>57</v>
      </c>
      <c r="CV153" t="s">
        <v>57</v>
      </c>
      <c r="CW153" t="s">
        <v>57</v>
      </c>
      <c r="CX153" t="s">
        <v>57</v>
      </c>
      <c r="CY153" t="s">
        <v>57</v>
      </c>
      <c r="CZ153" t="s">
        <v>57</v>
      </c>
      <c r="DA153" t="s">
        <v>57</v>
      </c>
      <c r="DB153" t="s">
        <v>57</v>
      </c>
      <c r="DC153" t="s">
        <v>57</v>
      </c>
      <c r="DD153" t="s">
        <v>57</v>
      </c>
      <c r="DE153" t="s">
        <v>57</v>
      </c>
      <c r="DF153" t="s">
        <v>57</v>
      </c>
      <c r="DG153" t="s">
        <v>57</v>
      </c>
      <c r="DH153" t="s">
        <v>57</v>
      </c>
      <c r="DI153" t="s">
        <v>57</v>
      </c>
      <c r="DJ153" t="s">
        <v>57</v>
      </c>
      <c r="DK153" t="s">
        <v>175</v>
      </c>
      <c r="DL153" t="s">
        <v>57</v>
      </c>
      <c r="DM153" t="s">
        <v>57</v>
      </c>
      <c r="DN153" t="s">
        <v>57</v>
      </c>
      <c r="DO153" t="s">
        <v>57</v>
      </c>
      <c r="DP153" t="s">
        <v>57</v>
      </c>
      <c r="DQ153" t="s">
        <v>57</v>
      </c>
      <c r="DR153" t="s">
        <v>57</v>
      </c>
      <c r="DS153" t="s">
        <v>57</v>
      </c>
      <c r="DT153" t="s">
        <v>57</v>
      </c>
      <c r="DU153" t="s">
        <v>57</v>
      </c>
      <c r="DV153" t="s">
        <v>57</v>
      </c>
      <c r="DW153" t="s">
        <v>57</v>
      </c>
      <c r="DX153" t="s">
        <v>57</v>
      </c>
      <c r="DY153" t="s">
        <v>175</v>
      </c>
      <c r="DZ153" t="s">
        <v>57</v>
      </c>
      <c r="EA153" t="s">
        <v>57</v>
      </c>
      <c r="EB153" t="s">
        <v>57</v>
      </c>
      <c r="EC153" t="s">
        <v>57</v>
      </c>
      <c r="ED153" t="s">
        <v>57</v>
      </c>
      <c r="EE153" t="s">
        <v>57</v>
      </c>
      <c r="EF153" t="s">
        <v>57</v>
      </c>
      <c r="EG153" t="s">
        <v>57</v>
      </c>
      <c r="EH153" t="s">
        <v>57</v>
      </c>
      <c r="EI153" t="s">
        <v>57</v>
      </c>
      <c r="EJ153" t="s">
        <v>57</v>
      </c>
      <c r="EK153" t="s">
        <v>57</v>
      </c>
      <c r="EL153" t="s">
        <v>57</v>
      </c>
      <c r="EM153" t="s">
        <v>57</v>
      </c>
      <c r="EN153" t="s">
        <v>57</v>
      </c>
      <c r="EO153" t="s">
        <v>57</v>
      </c>
      <c r="EP153" t="s">
        <v>57</v>
      </c>
      <c r="EQ153" t="s">
        <v>57</v>
      </c>
      <c r="ER153" t="s">
        <v>57</v>
      </c>
      <c r="ES153" t="s">
        <v>57</v>
      </c>
      <c r="ET153" t="s">
        <v>57</v>
      </c>
      <c r="EU153" t="s">
        <v>57</v>
      </c>
      <c r="EV153" t="s">
        <v>57</v>
      </c>
      <c r="EW153" t="s">
        <v>57</v>
      </c>
      <c r="EX153" t="s">
        <v>57</v>
      </c>
      <c r="EY153" t="s">
        <v>57</v>
      </c>
      <c r="EZ153" t="s">
        <v>57</v>
      </c>
      <c r="FA153" t="s">
        <v>57</v>
      </c>
      <c r="FB153" t="s">
        <v>57</v>
      </c>
      <c r="FC153" t="s">
        <v>57</v>
      </c>
      <c r="FD153" t="s">
        <v>57</v>
      </c>
      <c r="FE153" t="s">
        <v>57</v>
      </c>
      <c r="FF153" t="s">
        <v>57</v>
      </c>
      <c r="FG153" t="s">
        <v>57</v>
      </c>
      <c r="FH153" t="s">
        <v>57</v>
      </c>
      <c r="FI153" t="s">
        <v>57</v>
      </c>
      <c r="FJ153" t="s">
        <v>57</v>
      </c>
      <c r="FK153" t="s">
        <v>57</v>
      </c>
      <c r="FL153" t="s">
        <v>57</v>
      </c>
      <c r="FM153" t="s">
        <v>57</v>
      </c>
      <c r="FN153" t="s">
        <v>57</v>
      </c>
      <c r="FO153" t="s">
        <v>175</v>
      </c>
      <c r="FP153" t="s">
        <v>57</v>
      </c>
      <c r="FQ153" t="s">
        <v>57</v>
      </c>
      <c r="FR153" t="s">
        <v>57</v>
      </c>
      <c r="FS153" t="s">
        <v>57</v>
      </c>
      <c r="FT153" t="s">
        <v>57</v>
      </c>
      <c r="FU153" t="s">
        <v>57</v>
      </c>
      <c r="FV153" t="s">
        <v>57</v>
      </c>
      <c r="FW153" t="s">
        <v>57</v>
      </c>
      <c r="FX153" t="s">
        <v>57</v>
      </c>
      <c r="FY153" t="s">
        <v>57</v>
      </c>
      <c r="FZ153" t="s">
        <v>57</v>
      </c>
      <c r="GA153" t="s">
        <v>57</v>
      </c>
      <c r="GB153" t="s">
        <v>57</v>
      </c>
      <c r="GC153" t="s">
        <v>57</v>
      </c>
      <c r="GD153" t="s">
        <v>57</v>
      </c>
      <c r="GE153" t="s">
        <v>57</v>
      </c>
      <c r="GF153" t="s">
        <v>57</v>
      </c>
      <c r="GG153" t="s">
        <v>175</v>
      </c>
      <c r="GH153" t="s">
        <v>57</v>
      </c>
      <c r="GI153" t="s">
        <v>57</v>
      </c>
      <c r="GJ153" t="s">
        <v>57</v>
      </c>
      <c r="GK153" t="s">
        <v>57</v>
      </c>
      <c r="GL153" t="s">
        <v>57</v>
      </c>
      <c r="GM153" t="s">
        <v>57</v>
      </c>
      <c r="GN153" t="s">
        <v>57</v>
      </c>
      <c r="GO153" t="s">
        <v>57</v>
      </c>
      <c r="GP153" t="s">
        <v>57</v>
      </c>
      <c r="GQ153" t="s">
        <v>57</v>
      </c>
      <c r="GR153" t="s">
        <v>57</v>
      </c>
      <c r="GS153" t="s">
        <v>57</v>
      </c>
      <c r="GT153" t="s">
        <v>57</v>
      </c>
      <c r="GU153" t="s">
        <v>57</v>
      </c>
      <c r="GV153" t="s">
        <v>57</v>
      </c>
      <c r="GW153" t="s">
        <v>57</v>
      </c>
      <c r="GX153" t="s">
        <v>57</v>
      </c>
      <c r="GY153" t="s">
        <v>57</v>
      </c>
      <c r="GZ153" t="s">
        <v>57</v>
      </c>
      <c r="HA153" t="s">
        <v>57</v>
      </c>
      <c r="HB153" t="s">
        <v>57</v>
      </c>
      <c r="HC153" t="s">
        <v>57</v>
      </c>
      <c r="HD153" t="s">
        <v>57</v>
      </c>
      <c r="HE153" t="s">
        <v>57</v>
      </c>
      <c r="HF153" t="s">
        <v>57</v>
      </c>
      <c r="HG153" t="s">
        <v>57</v>
      </c>
      <c r="HH153" t="s">
        <v>57</v>
      </c>
      <c r="HI153" t="s">
        <v>57</v>
      </c>
      <c r="HJ153" t="s">
        <v>57</v>
      </c>
      <c r="HK153" t="s">
        <v>57</v>
      </c>
      <c r="HL153" t="s">
        <v>57</v>
      </c>
      <c r="HM153" t="s">
        <v>57</v>
      </c>
      <c r="HN153" t="s">
        <v>57</v>
      </c>
      <c r="HO153" t="s">
        <v>57</v>
      </c>
      <c r="HP153" t="s">
        <v>57</v>
      </c>
      <c r="HQ153" t="s">
        <v>57</v>
      </c>
      <c r="HR153" t="s">
        <v>57</v>
      </c>
      <c r="HS153" t="s">
        <v>57</v>
      </c>
      <c r="HT153" t="s">
        <v>57</v>
      </c>
      <c r="HU153" t="s">
        <v>57</v>
      </c>
      <c r="HV153" t="s">
        <v>57</v>
      </c>
      <c r="HW153" t="s">
        <v>57</v>
      </c>
      <c r="HX153" t="s">
        <v>57</v>
      </c>
      <c r="HY153" t="s">
        <v>57</v>
      </c>
      <c r="HZ153" t="s">
        <v>57</v>
      </c>
      <c r="IA153" t="s">
        <v>57</v>
      </c>
      <c r="IB153" t="s">
        <v>57</v>
      </c>
      <c r="IC153" t="s">
        <v>57</v>
      </c>
      <c r="ID153" t="s">
        <v>57</v>
      </c>
      <c r="IE153" t="s">
        <v>57</v>
      </c>
      <c r="IF153" t="s">
        <v>123</v>
      </c>
      <c r="IG153" t="s">
        <v>123</v>
      </c>
      <c r="IH153" t="s">
        <v>123</v>
      </c>
      <c r="II153" t="s">
        <v>156</v>
      </c>
    </row>
    <row r="154" spans="1:243" x14ac:dyDescent="0.25">
      <c r="A154" s="201" t="str">
        <f>HYPERLINK("http://www.ofsted.gov.uk/inspection-reports/find-inspection-report/provider/ELS/135111 ","Ofsted School Webpage")</f>
        <v>Ofsted School Webpage</v>
      </c>
      <c r="B154">
        <v>135111</v>
      </c>
      <c r="C154">
        <v>9386272</v>
      </c>
      <c r="D154" t="s">
        <v>350</v>
      </c>
      <c r="E154" t="s">
        <v>37</v>
      </c>
      <c r="F154" t="s">
        <v>138</v>
      </c>
      <c r="G154" t="s">
        <v>139</v>
      </c>
      <c r="H154" t="s">
        <v>139</v>
      </c>
      <c r="I154" t="s">
        <v>351</v>
      </c>
      <c r="J154" t="s">
        <v>352</v>
      </c>
      <c r="K154" t="s">
        <v>142</v>
      </c>
      <c r="L154" t="s">
        <v>142</v>
      </c>
      <c r="M154" t="s">
        <v>2596</v>
      </c>
      <c r="N154" t="s">
        <v>143</v>
      </c>
      <c r="O154">
        <v>10026024</v>
      </c>
      <c r="P154" s="108">
        <v>42997</v>
      </c>
      <c r="Q154" s="108">
        <v>42999</v>
      </c>
      <c r="R154" s="108">
        <v>43020</v>
      </c>
      <c r="S154" t="s">
        <v>153</v>
      </c>
      <c r="T154" t="s">
        <v>154</v>
      </c>
      <c r="U154">
        <v>2</v>
      </c>
      <c r="V154">
        <v>2</v>
      </c>
      <c r="W154">
        <v>2</v>
      </c>
      <c r="X154">
        <v>2</v>
      </c>
      <c r="Y154">
        <v>2</v>
      </c>
      <c r="Z154" t="s">
        <v>2596</v>
      </c>
      <c r="AA154" t="s">
        <v>2596</v>
      </c>
      <c r="AB154" t="s">
        <v>123</v>
      </c>
      <c r="AC154" t="s">
        <v>2596</v>
      </c>
      <c r="AD154" t="s">
        <v>2598</v>
      </c>
      <c r="AE154" t="s">
        <v>57</v>
      </c>
      <c r="AF154" t="s">
        <v>57</v>
      </c>
      <c r="AG154" t="s">
        <v>57</v>
      </c>
      <c r="AH154" t="s">
        <v>57</v>
      </c>
      <c r="AI154" t="s">
        <v>57</v>
      </c>
      <c r="AJ154" t="s">
        <v>57</v>
      </c>
      <c r="AK154" t="s">
        <v>57</v>
      </c>
      <c r="AL154" t="s">
        <v>57</v>
      </c>
      <c r="AM154" t="s">
        <v>57</v>
      </c>
      <c r="AN154" t="s">
        <v>57</v>
      </c>
      <c r="AO154" t="s">
        <v>57</v>
      </c>
      <c r="AP154" t="s">
        <v>57</v>
      </c>
      <c r="AQ154" t="s">
        <v>57</v>
      </c>
      <c r="AR154" t="s">
        <v>57</v>
      </c>
      <c r="AS154" t="s">
        <v>57</v>
      </c>
      <c r="AT154" t="s">
        <v>57</v>
      </c>
      <c r="AU154" t="s">
        <v>175</v>
      </c>
      <c r="AV154" t="s">
        <v>57</v>
      </c>
      <c r="AW154" t="s">
        <v>57</v>
      </c>
      <c r="AX154" t="s">
        <v>57</v>
      </c>
      <c r="AY154" t="s">
        <v>57</v>
      </c>
      <c r="AZ154" t="s">
        <v>57</v>
      </c>
      <c r="BA154" t="s">
        <v>57</v>
      </c>
      <c r="BB154" t="s">
        <v>57</v>
      </c>
      <c r="BC154" t="s">
        <v>175</v>
      </c>
      <c r="BD154" t="s">
        <v>175</v>
      </c>
      <c r="BE154" t="s">
        <v>57</v>
      </c>
      <c r="BF154" t="s">
        <v>57</v>
      </c>
      <c r="BG154" t="s">
        <v>57</v>
      </c>
      <c r="BH154" t="s">
        <v>57</v>
      </c>
      <c r="BI154" t="s">
        <v>57</v>
      </c>
      <c r="BJ154" t="s">
        <v>57</v>
      </c>
      <c r="BK154" t="s">
        <v>57</v>
      </c>
      <c r="BL154" t="s">
        <v>57</v>
      </c>
      <c r="BM154" t="s">
        <v>57</v>
      </c>
      <c r="BN154" t="s">
        <v>57</v>
      </c>
      <c r="BO154" t="s">
        <v>57</v>
      </c>
      <c r="BP154" t="s">
        <v>57</v>
      </c>
      <c r="BQ154" t="s">
        <v>57</v>
      </c>
      <c r="BR154" t="s">
        <v>57</v>
      </c>
      <c r="BS154" t="s">
        <v>57</v>
      </c>
      <c r="BT154" t="s">
        <v>57</v>
      </c>
      <c r="BU154" t="s">
        <v>57</v>
      </c>
      <c r="BV154" t="s">
        <v>57</v>
      </c>
      <c r="BW154" t="s">
        <v>57</v>
      </c>
      <c r="BX154" t="s">
        <v>57</v>
      </c>
      <c r="BY154" t="s">
        <v>57</v>
      </c>
      <c r="BZ154" t="s">
        <v>57</v>
      </c>
      <c r="CA154" t="s">
        <v>57</v>
      </c>
      <c r="CB154" t="s">
        <v>57</v>
      </c>
      <c r="CC154" t="s">
        <v>57</v>
      </c>
      <c r="CD154" t="s">
        <v>57</v>
      </c>
      <c r="CE154" t="s">
        <v>57</v>
      </c>
      <c r="CF154" t="s">
        <v>57</v>
      </c>
      <c r="CG154" t="s">
        <v>57</v>
      </c>
      <c r="CH154" t="s">
        <v>57</v>
      </c>
      <c r="CI154" t="s">
        <v>57</v>
      </c>
      <c r="CJ154" t="s">
        <v>57</v>
      </c>
      <c r="CK154" t="s">
        <v>175</v>
      </c>
      <c r="CL154" t="s">
        <v>175</v>
      </c>
      <c r="CM154" t="s">
        <v>175</v>
      </c>
      <c r="CN154" t="s">
        <v>57</v>
      </c>
      <c r="CO154" t="s">
        <v>57</v>
      </c>
      <c r="CP154" t="s">
        <v>57</v>
      </c>
      <c r="CQ154" t="s">
        <v>57</v>
      </c>
      <c r="CR154" t="s">
        <v>57</v>
      </c>
      <c r="CS154" t="s">
        <v>57</v>
      </c>
      <c r="CT154" t="s">
        <v>57</v>
      </c>
      <c r="CU154" t="s">
        <v>57</v>
      </c>
      <c r="CV154" t="s">
        <v>57</v>
      </c>
      <c r="CW154" t="s">
        <v>57</v>
      </c>
      <c r="CX154" t="s">
        <v>57</v>
      </c>
      <c r="CY154" t="s">
        <v>57</v>
      </c>
      <c r="CZ154" t="s">
        <v>57</v>
      </c>
      <c r="DA154" t="s">
        <v>57</v>
      </c>
      <c r="DB154" t="s">
        <v>57</v>
      </c>
      <c r="DC154" t="s">
        <v>57</v>
      </c>
      <c r="DD154" t="s">
        <v>57</v>
      </c>
      <c r="DE154" t="s">
        <v>57</v>
      </c>
      <c r="DF154" t="s">
        <v>57</v>
      </c>
      <c r="DG154" t="s">
        <v>57</v>
      </c>
      <c r="DH154" t="s">
        <v>57</v>
      </c>
      <c r="DI154" t="s">
        <v>57</v>
      </c>
      <c r="DJ154" t="s">
        <v>57</v>
      </c>
      <c r="DK154" t="s">
        <v>175</v>
      </c>
      <c r="DL154" t="s">
        <v>175</v>
      </c>
      <c r="DM154" t="s">
        <v>57</v>
      </c>
      <c r="DN154" t="s">
        <v>57</v>
      </c>
      <c r="DO154" t="s">
        <v>57</v>
      </c>
      <c r="DP154" t="s">
        <v>57</v>
      </c>
      <c r="DQ154" t="s">
        <v>57</v>
      </c>
      <c r="DR154" t="s">
        <v>57</v>
      </c>
      <c r="DS154" t="s">
        <v>57</v>
      </c>
      <c r="DT154" t="s">
        <v>57</v>
      </c>
      <c r="DU154" t="s">
        <v>57</v>
      </c>
      <c r="DV154" t="s">
        <v>57</v>
      </c>
      <c r="DW154" t="s">
        <v>57</v>
      </c>
      <c r="DX154" t="s">
        <v>57</v>
      </c>
      <c r="DY154" t="s">
        <v>175</v>
      </c>
      <c r="DZ154" t="s">
        <v>175</v>
      </c>
      <c r="EA154" t="s">
        <v>57</v>
      </c>
      <c r="EB154" t="s">
        <v>57</v>
      </c>
      <c r="EC154" t="s">
        <v>57</v>
      </c>
      <c r="ED154" t="s">
        <v>57</v>
      </c>
      <c r="EE154" t="s">
        <v>57</v>
      </c>
      <c r="EF154" t="s">
        <v>57</v>
      </c>
      <c r="EG154" t="s">
        <v>57</v>
      </c>
      <c r="EH154" t="s">
        <v>57</v>
      </c>
      <c r="EI154" t="s">
        <v>57</v>
      </c>
      <c r="EJ154" t="s">
        <v>57</v>
      </c>
      <c r="EK154" t="s">
        <v>57</v>
      </c>
      <c r="EL154" t="s">
        <v>57</v>
      </c>
      <c r="EM154" t="s">
        <v>57</v>
      </c>
      <c r="EN154" t="s">
        <v>57</v>
      </c>
      <c r="EO154" t="s">
        <v>57</v>
      </c>
      <c r="EP154" t="s">
        <v>57</v>
      </c>
      <c r="EQ154" t="s">
        <v>57</v>
      </c>
      <c r="ER154" t="s">
        <v>57</v>
      </c>
      <c r="ES154" t="s">
        <v>57</v>
      </c>
      <c r="ET154" t="s">
        <v>57</v>
      </c>
      <c r="EU154" t="s">
        <v>57</v>
      </c>
      <c r="EV154" t="s">
        <v>57</v>
      </c>
      <c r="EW154" t="s">
        <v>57</v>
      </c>
      <c r="EX154" t="s">
        <v>57</v>
      </c>
      <c r="EY154" t="s">
        <v>57</v>
      </c>
      <c r="EZ154" t="s">
        <v>57</v>
      </c>
      <c r="FA154" t="s">
        <v>57</v>
      </c>
      <c r="FB154" t="s">
        <v>57</v>
      </c>
      <c r="FC154" t="s">
        <v>57</v>
      </c>
      <c r="FD154" t="s">
        <v>57</v>
      </c>
      <c r="FE154" t="s">
        <v>57</v>
      </c>
      <c r="FF154" t="s">
        <v>57</v>
      </c>
      <c r="FG154" t="s">
        <v>57</v>
      </c>
      <c r="FH154" t="s">
        <v>57</v>
      </c>
      <c r="FI154" t="s">
        <v>57</v>
      </c>
      <c r="FJ154" t="s">
        <v>57</v>
      </c>
      <c r="FK154" t="s">
        <v>57</v>
      </c>
      <c r="FL154" t="s">
        <v>57</v>
      </c>
      <c r="FM154" t="s">
        <v>57</v>
      </c>
      <c r="FN154" t="s">
        <v>57</v>
      </c>
      <c r="FO154" t="s">
        <v>175</v>
      </c>
      <c r="FP154" t="s">
        <v>57</v>
      </c>
      <c r="FQ154" t="s">
        <v>57</v>
      </c>
      <c r="FR154" t="s">
        <v>57</v>
      </c>
      <c r="FS154" t="s">
        <v>57</v>
      </c>
      <c r="FT154" t="s">
        <v>57</v>
      </c>
      <c r="FU154" t="s">
        <v>57</v>
      </c>
      <c r="FV154" t="s">
        <v>57</v>
      </c>
      <c r="FW154" t="s">
        <v>57</v>
      </c>
      <c r="FX154" t="s">
        <v>57</v>
      </c>
      <c r="FY154" t="s">
        <v>57</v>
      </c>
      <c r="FZ154" t="s">
        <v>57</v>
      </c>
      <c r="GA154" t="s">
        <v>57</v>
      </c>
      <c r="GB154" t="s">
        <v>57</v>
      </c>
      <c r="GC154" t="s">
        <v>57</v>
      </c>
      <c r="GD154" t="s">
        <v>57</v>
      </c>
      <c r="GE154" t="s">
        <v>57</v>
      </c>
      <c r="GF154" t="s">
        <v>57</v>
      </c>
      <c r="GG154" t="s">
        <v>175</v>
      </c>
      <c r="GH154" t="s">
        <v>57</v>
      </c>
      <c r="GI154" t="s">
        <v>57</v>
      </c>
      <c r="GJ154" t="s">
        <v>57</v>
      </c>
      <c r="GK154" t="s">
        <v>57</v>
      </c>
      <c r="GL154" t="s">
        <v>57</v>
      </c>
      <c r="GM154" t="s">
        <v>57</v>
      </c>
      <c r="GN154" t="s">
        <v>57</v>
      </c>
      <c r="GO154" t="s">
        <v>57</v>
      </c>
      <c r="GP154" t="s">
        <v>57</v>
      </c>
      <c r="GQ154" t="s">
        <v>57</v>
      </c>
      <c r="GR154" t="s">
        <v>57</v>
      </c>
      <c r="GS154" t="s">
        <v>57</v>
      </c>
      <c r="GT154" t="s">
        <v>57</v>
      </c>
      <c r="GU154" t="s">
        <v>57</v>
      </c>
      <c r="GV154" t="s">
        <v>57</v>
      </c>
      <c r="GW154" t="s">
        <v>57</v>
      </c>
      <c r="GX154" t="s">
        <v>175</v>
      </c>
      <c r="GY154" t="s">
        <v>57</v>
      </c>
      <c r="GZ154" t="s">
        <v>57</v>
      </c>
      <c r="HA154" t="s">
        <v>57</v>
      </c>
      <c r="HB154" t="s">
        <v>57</v>
      </c>
      <c r="HC154" t="s">
        <v>57</v>
      </c>
      <c r="HD154" t="s">
        <v>57</v>
      </c>
      <c r="HE154" t="s">
        <v>57</v>
      </c>
      <c r="HF154" t="s">
        <v>57</v>
      </c>
      <c r="HG154" t="s">
        <v>57</v>
      </c>
      <c r="HH154" t="s">
        <v>57</v>
      </c>
      <c r="HI154" t="s">
        <v>57</v>
      </c>
      <c r="HJ154" t="s">
        <v>57</v>
      </c>
      <c r="HK154" t="s">
        <v>57</v>
      </c>
      <c r="HL154" t="s">
        <v>57</v>
      </c>
      <c r="HM154" t="s">
        <v>57</v>
      </c>
      <c r="HN154" t="s">
        <v>57</v>
      </c>
      <c r="HO154" t="s">
        <v>57</v>
      </c>
      <c r="HP154" t="s">
        <v>57</v>
      </c>
      <c r="HQ154" t="s">
        <v>57</v>
      </c>
      <c r="HR154" t="s">
        <v>57</v>
      </c>
      <c r="HS154" t="s">
        <v>57</v>
      </c>
      <c r="HT154" t="s">
        <v>57</v>
      </c>
      <c r="HU154" t="s">
        <v>57</v>
      </c>
      <c r="HV154" t="s">
        <v>57</v>
      </c>
      <c r="HW154" t="s">
        <v>57</v>
      </c>
      <c r="HX154" t="s">
        <v>57</v>
      </c>
      <c r="HY154" t="s">
        <v>57</v>
      </c>
      <c r="HZ154" t="s">
        <v>57</v>
      </c>
      <c r="IA154" t="s">
        <v>57</v>
      </c>
      <c r="IB154" t="s">
        <v>57</v>
      </c>
      <c r="IC154" t="s">
        <v>57</v>
      </c>
      <c r="ID154" t="s">
        <v>57</v>
      </c>
      <c r="IE154" t="s">
        <v>57</v>
      </c>
      <c r="IF154" t="s">
        <v>124</v>
      </c>
      <c r="IG154" t="s">
        <v>148</v>
      </c>
      <c r="IH154" t="s">
        <v>123</v>
      </c>
      <c r="II154" t="s">
        <v>156</v>
      </c>
    </row>
    <row r="155" spans="1:243" x14ac:dyDescent="0.25">
      <c r="A155" s="201" t="str">
        <f>HYPERLINK("http://www.ofsted.gov.uk/inspection-reports/find-inspection-report/provider/ELS/135167 ","Ofsted School Webpage")</f>
        <v>Ofsted School Webpage</v>
      </c>
      <c r="B155">
        <v>135167</v>
      </c>
      <c r="C155">
        <v>2026401</v>
      </c>
      <c r="D155" t="s">
        <v>970</v>
      </c>
      <c r="E155" t="s">
        <v>37</v>
      </c>
      <c r="F155" t="s">
        <v>138</v>
      </c>
      <c r="G155" t="s">
        <v>189</v>
      </c>
      <c r="H155" t="s">
        <v>189</v>
      </c>
      <c r="I155" t="s">
        <v>491</v>
      </c>
      <c r="J155" t="s">
        <v>971</v>
      </c>
      <c r="K155" t="s">
        <v>142</v>
      </c>
      <c r="L155" t="s">
        <v>142</v>
      </c>
      <c r="M155" t="s">
        <v>2596</v>
      </c>
      <c r="N155" t="s">
        <v>143</v>
      </c>
      <c r="O155">
        <v>10035804</v>
      </c>
      <c r="P155" s="108">
        <v>43053</v>
      </c>
      <c r="Q155" s="108">
        <v>43055</v>
      </c>
      <c r="R155" s="108">
        <v>43112</v>
      </c>
      <c r="S155" t="s">
        <v>153</v>
      </c>
      <c r="T155" t="s">
        <v>154</v>
      </c>
      <c r="U155">
        <v>2</v>
      </c>
      <c r="V155">
        <v>2</v>
      </c>
      <c r="W155">
        <v>1</v>
      </c>
      <c r="X155">
        <v>2</v>
      </c>
      <c r="Y155">
        <v>2</v>
      </c>
      <c r="Z155" t="s">
        <v>2596</v>
      </c>
      <c r="AA155" t="s">
        <v>2596</v>
      </c>
      <c r="AB155" t="s">
        <v>123</v>
      </c>
      <c r="AC155" t="s">
        <v>2596</v>
      </c>
      <c r="AD155" t="s">
        <v>2598</v>
      </c>
      <c r="AE155" t="s">
        <v>57</v>
      </c>
      <c r="AF155" t="s">
        <v>57</v>
      </c>
      <c r="AG155" t="s">
        <v>57</v>
      </c>
      <c r="AH155" t="s">
        <v>57</v>
      </c>
      <c r="AI155" t="s">
        <v>57</v>
      </c>
      <c r="AJ155" t="s">
        <v>57</v>
      </c>
      <c r="AK155" t="s">
        <v>57</v>
      </c>
      <c r="AL155" t="s">
        <v>57</v>
      </c>
      <c r="AM155" t="s">
        <v>57</v>
      </c>
      <c r="AN155" t="s">
        <v>57</v>
      </c>
      <c r="AO155" t="s">
        <v>57</v>
      </c>
      <c r="AP155" t="s">
        <v>57</v>
      </c>
      <c r="AQ155" t="s">
        <v>57</v>
      </c>
      <c r="AR155" t="s">
        <v>57</v>
      </c>
      <c r="AS155" t="s">
        <v>57</v>
      </c>
      <c r="AT155" t="s">
        <v>57</v>
      </c>
      <c r="AU155" t="s">
        <v>175</v>
      </c>
      <c r="AV155" t="s">
        <v>57</v>
      </c>
      <c r="AW155" t="s">
        <v>57</v>
      </c>
      <c r="AX155" t="s">
        <v>57</v>
      </c>
      <c r="AY155" t="s">
        <v>57</v>
      </c>
      <c r="AZ155" t="s">
        <v>57</v>
      </c>
      <c r="BA155" t="s">
        <v>57</v>
      </c>
      <c r="BB155" t="s">
        <v>57</v>
      </c>
      <c r="BC155" t="s">
        <v>175</v>
      </c>
      <c r="BD155" t="s">
        <v>175</v>
      </c>
      <c r="BE155" t="s">
        <v>57</v>
      </c>
      <c r="BF155" t="s">
        <v>57</v>
      </c>
      <c r="BG155" t="s">
        <v>57</v>
      </c>
      <c r="BH155" t="s">
        <v>57</v>
      </c>
      <c r="BI155" t="s">
        <v>57</v>
      </c>
      <c r="BJ155" t="s">
        <v>57</v>
      </c>
      <c r="BK155" t="s">
        <v>57</v>
      </c>
      <c r="BL155" t="s">
        <v>57</v>
      </c>
      <c r="BM155" t="s">
        <v>57</v>
      </c>
      <c r="BN155" t="s">
        <v>57</v>
      </c>
      <c r="BO155" t="s">
        <v>57</v>
      </c>
      <c r="BP155" t="s">
        <v>57</v>
      </c>
      <c r="BQ155" t="s">
        <v>57</v>
      </c>
      <c r="BR155" t="s">
        <v>57</v>
      </c>
      <c r="BS155" t="s">
        <v>57</v>
      </c>
      <c r="BT155" t="s">
        <v>57</v>
      </c>
      <c r="BU155" t="s">
        <v>57</v>
      </c>
      <c r="BV155" t="s">
        <v>57</v>
      </c>
      <c r="BW155" t="s">
        <v>57</v>
      </c>
      <c r="BX155" t="s">
        <v>57</v>
      </c>
      <c r="BY155" t="s">
        <v>57</v>
      </c>
      <c r="BZ155" t="s">
        <v>57</v>
      </c>
      <c r="CA155" t="s">
        <v>57</v>
      </c>
      <c r="CB155" t="s">
        <v>57</v>
      </c>
      <c r="CC155" t="s">
        <v>57</v>
      </c>
      <c r="CD155" t="s">
        <v>57</v>
      </c>
      <c r="CE155" t="s">
        <v>57</v>
      </c>
      <c r="CF155" t="s">
        <v>57</v>
      </c>
      <c r="CG155" t="s">
        <v>57</v>
      </c>
      <c r="CH155" t="s">
        <v>57</v>
      </c>
      <c r="CI155" t="s">
        <v>57</v>
      </c>
      <c r="CJ155" t="s">
        <v>57</v>
      </c>
      <c r="CK155" t="s">
        <v>175</v>
      </c>
      <c r="CL155" t="s">
        <v>175</v>
      </c>
      <c r="CM155" t="s">
        <v>175</v>
      </c>
      <c r="CN155" t="s">
        <v>57</v>
      </c>
      <c r="CO155" t="s">
        <v>57</v>
      </c>
      <c r="CP155" t="s">
        <v>57</v>
      </c>
      <c r="CQ155" t="s">
        <v>57</v>
      </c>
      <c r="CR155" t="s">
        <v>57</v>
      </c>
      <c r="CS155" t="s">
        <v>57</v>
      </c>
      <c r="CT155" t="s">
        <v>57</v>
      </c>
      <c r="CU155" t="s">
        <v>57</v>
      </c>
      <c r="CV155" t="s">
        <v>57</v>
      </c>
      <c r="CW155" t="s">
        <v>57</v>
      </c>
      <c r="CX155" t="s">
        <v>57</v>
      </c>
      <c r="CY155" t="s">
        <v>57</v>
      </c>
      <c r="CZ155" t="s">
        <v>57</v>
      </c>
      <c r="DA155" t="s">
        <v>57</v>
      </c>
      <c r="DB155" t="s">
        <v>57</v>
      </c>
      <c r="DC155" t="s">
        <v>57</v>
      </c>
      <c r="DD155" t="s">
        <v>57</v>
      </c>
      <c r="DE155" t="s">
        <v>57</v>
      </c>
      <c r="DF155" t="s">
        <v>57</v>
      </c>
      <c r="DG155" t="s">
        <v>57</v>
      </c>
      <c r="DH155" t="s">
        <v>57</v>
      </c>
      <c r="DI155" t="s">
        <v>57</v>
      </c>
      <c r="DJ155" t="s">
        <v>57</v>
      </c>
      <c r="DK155" t="s">
        <v>175</v>
      </c>
      <c r="DL155" t="s">
        <v>57</v>
      </c>
      <c r="DM155" t="s">
        <v>57</v>
      </c>
      <c r="DN155" t="s">
        <v>57</v>
      </c>
      <c r="DO155" t="s">
        <v>57</v>
      </c>
      <c r="DP155" t="s">
        <v>57</v>
      </c>
      <c r="DQ155" t="s">
        <v>57</v>
      </c>
      <c r="DR155" t="s">
        <v>57</v>
      </c>
      <c r="DS155" t="s">
        <v>57</v>
      </c>
      <c r="DT155" t="s">
        <v>57</v>
      </c>
      <c r="DU155" t="s">
        <v>57</v>
      </c>
      <c r="DV155" t="s">
        <v>57</v>
      </c>
      <c r="DW155" t="s">
        <v>57</v>
      </c>
      <c r="DX155" t="s">
        <v>57</v>
      </c>
      <c r="DY155" t="s">
        <v>175</v>
      </c>
      <c r="DZ155" t="s">
        <v>57</v>
      </c>
      <c r="EA155" t="s">
        <v>57</v>
      </c>
      <c r="EB155" t="s">
        <v>57</v>
      </c>
      <c r="EC155" t="s">
        <v>57</v>
      </c>
      <c r="ED155" t="s">
        <v>57</v>
      </c>
      <c r="EE155" t="s">
        <v>57</v>
      </c>
      <c r="EF155" t="s">
        <v>57</v>
      </c>
      <c r="EG155" t="s">
        <v>57</v>
      </c>
      <c r="EH155" t="s">
        <v>57</v>
      </c>
      <c r="EI155" t="s">
        <v>57</v>
      </c>
      <c r="EJ155" t="s">
        <v>57</v>
      </c>
      <c r="EK155" t="s">
        <v>57</v>
      </c>
      <c r="EL155" t="s">
        <v>57</v>
      </c>
      <c r="EM155" t="s">
        <v>57</v>
      </c>
      <c r="EN155" t="s">
        <v>57</v>
      </c>
      <c r="EO155" t="s">
        <v>57</v>
      </c>
      <c r="EP155" t="s">
        <v>57</v>
      </c>
      <c r="EQ155" t="s">
        <v>57</v>
      </c>
      <c r="ER155" t="s">
        <v>57</v>
      </c>
      <c r="ES155" t="s">
        <v>57</v>
      </c>
      <c r="ET155" t="s">
        <v>57</v>
      </c>
      <c r="EU155" t="s">
        <v>57</v>
      </c>
      <c r="EV155" t="s">
        <v>57</v>
      </c>
      <c r="EW155" t="s">
        <v>57</v>
      </c>
      <c r="EX155" t="s">
        <v>57</v>
      </c>
      <c r="EY155" t="s">
        <v>57</v>
      </c>
      <c r="EZ155" t="s">
        <v>57</v>
      </c>
      <c r="FA155" t="s">
        <v>57</v>
      </c>
      <c r="FB155" t="s">
        <v>57</v>
      </c>
      <c r="FC155" t="s">
        <v>57</v>
      </c>
      <c r="FD155" t="s">
        <v>57</v>
      </c>
      <c r="FE155" t="s">
        <v>57</v>
      </c>
      <c r="FF155" t="s">
        <v>57</v>
      </c>
      <c r="FG155" t="s">
        <v>57</v>
      </c>
      <c r="FH155" t="s">
        <v>57</v>
      </c>
      <c r="FI155" t="s">
        <v>57</v>
      </c>
      <c r="FJ155" t="s">
        <v>57</v>
      </c>
      <c r="FK155" t="s">
        <v>57</v>
      </c>
      <c r="FL155" t="s">
        <v>57</v>
      </c>
      <c r="FM155" t="s">
        <v>57</v>
      </c>
      <c r="FN155" t="s">
        <v>57</v>
      </c>
      <c r="FO155" t="s">
        <v>175</v>
      </c>
      <c r="FP155" t="s">
        <v>57</v>
      </c>
      <c r="FQ155" t="s">
        <v>57</v>
      </c>
      <c r="FR155" t="s">
        <v>57</v>
      </c>
      <c r="FS155" t="s">
        <v>57</v>
      </c>
      <c r="FT155" t="s">
        <v>57</v>
      </c>
      <c r="FU155" t="s">
        <v>57</v>
      </c>
      <c r="FV155" t="s">
        <v>57</v>
      </c>
      <c r="FW155" t="s">
        <v>57</v>
      </c>
      <c r="FX155" t="s">
        <v>57</v>
      </c>
      <c r="FY155" t="s">
        <v>57</v>
      </c>
      <c r="FZ155" t="s">
        <v>57</v>
      </c>
      <c r="GA155" t="s">
        <v>57</v>
      </c>
      <c r="GB155" t="s">
        <v>57</v>
      </c>
      <c r="GC155" t="s">
        <v>57</v>
      </c>
      <c r="GD155" t="s">
        <v>57</v>
      </c>
      <c r="GE155" t="s">
        <v>57</v>
      </c>
      <c r="GF155" t="s">
        <v>57</v>
      </c>
      <c r="GG155" t="s">
        <v>175</v>
      </c>
      <c r="GH155" t="s">
        <v>57</v>
      </c>
      <c r="GI155" t="s">
        <v>57</v>
      </c>
      <c r="GJ155" t="s">
        <v>57</v>
      </c>
      <c r="GK155" t="s">
        <v>57</v>
      </c>
      <c r="GL155" t="s">
        <v>57</v>
      </c>
      <c r="GM155" t="s">
        <v>57</v>
      </c>
      <c r="GN155" t="s">
        <v>57</v>
      </c>
      <c r="GO155" t="s">
        <v>57</v>
      </c>
      <c r="GP155" t="s">
        <v>175</v>
      </c>
      <c r="GQ155" t="s">
        <v>175</v>
      </c>
      <c r="GR155" t="s">
        <v>175</v>
      </c>
      <c r="GS155" t="s">
        <v>57</v>
      </c>
      <c r="GT155" t="s">
        <v>57</v>
      </c>
      <c r="GU155" t="s">
        <v>57</v>
      </c>
      <c r="GV155" t="s">
        <v>57</v>
      </c>
      <c r="GW155" t="s">
        <v>57</v>
      </c>
      <c r="GX155" t="s">
        <v>57</v>
      </c>
      <c r="GY155" t="s">
        <v>57</v>
      </c>
      <c r="GZ155" t="s">
        <v>57</v>
      </c>
      <c r="HA155" t="s">
        <v>57</v>
      </c>
      <c r="HB155" t="s">
        <v>57</v>
      </c>
      <c r="HC155" t="s">
        <v>57</v>
      </c>
      <c r="HD155" t="s">
        <v>57</v>
      </c>
      <c r="HE155" t="s">
        <v>57</v>
      </c>
      <c r="HF155" t="s">
        <v>57</v>
      </c>
      <c r="HG155" t="s">
        <v>57</v>
      </c>
      <c r="HH155" t="s">
        <v>57</v>
      </c>
      <c r="HI155" t="s">
        <v>57</v>
      </c>
      <c r="HJ155" t="s">
        <v>57</v>
      </c>
      <c r="HK155" t="s">
        <v>57</v>
      </c>
      <c r="HL155" t="s">
        <v>57</v>
      </c>
      <c r="HM155" t="s">
        <v>57</v>
      </c>
      <c r="HN155" t="s">
        <v>57</v>
      </c>
      <c r="HO155" t="s">
        <v>57</v>
      </c>
      <c r="HP155" t="s">
        <v>57</v>
      </c>
      <c r="HQ155" t="s">
        <v>57</v>
      </c>
      <c r="HR155" t="s">
        <v>57</v>
      </c>
      <c r="HS155" t="s">
        <v>57</v>
      </c>
      <c r="HT155" t="s">
        <v>57</v>
      </c>
      <c r="HU155" t="s">
        <v>57</v>
      </c>
      <c r="HV155" t="s">
        <v>57</v>
      </c>
      <c r="HW155" t="s">
        <v>57</v>
      </c>
      <c r="HX155" t="s">
        <v>57</v>
      </c>
      <c r="HY155" t="s">
        <v>57</v>
      </c>
      <c r="HZ155" t="s">
        <v>57</v>
      </c>
      <c r="IA155" t="s">
        <v>57</v>
      </c>
      <c r="IB155" t="s">
        <v>57</v>
      </c>
      <c r="IC155" t="s">
        <v>57</v>
      </c>
      <c r="ID155" t="s">
        <v>57</v>
      </c>
      <c r="IE155" t="s">
        <v>57</v>
      </c>
      <c r="IF155" t="s">
        <v>124</v>
      </c>
      <c r="IG155" t="s">
        <v>148</v>
      </c>
      <c r="IH155" t="s">
        <v>123</v>
      </c>
      <c r="II155" t="s">
        <v>156</v>
      </c>
    </row>
    <row r="156" spans="1:243" x14ac:dyDescent="0.25">
      <c r="A156" s="201" t="str">
        <f>HYPERLINK("http://www.ofsted.gov.uk/inspection-reports/find-inspection-report/provider/ELS/135180 ","Ofsted School Webpage")</f>
        <v>Ofsted School Webpage</v>
      </c>
      <c r="B156">
        <v>135180</v>
      </c>
      <c r="C156">
        <v>9386050</v>
      </c>
      <c r="D156" t="s">
        <v>1125</v>
      </c>
      <c r="E156" t="s">
        <v>37</v>
      </c>
      <c r="F156" t="s">
        <v>138</v>
      </c>
      <c r="G156" t="s">
        <v>139</v>
      </c>
      <c r="H156" t="s">
        <v>139</v>
      </c>
      <c r="I156" t="s">
        <v>351</v>
      </c>
      <c r="J156" t="s">
        <v>1126</v>
      </c>
      <c r="K156" t="s">
        <v>142</v>
      </c>
      <c r="L156" t="s">
        <v>142</v>
      </c>
      <c r="M156" t="s">
        <v>2596</v>
      </c>
      <c r="N156" t="s">
        <v>143</v>
      </c>
      <c r="O156">
        <v>10020930</v>
      </c>
      <c r="P156" s="108">
        <v>43060</v>
      </c>
      <c r="Q156" s="108">
        <v>43062</v>
      </c>
      <c r="R156" s="108">
        <v>43080</v>
      </c>
      <c r="S156" t="s">
        <v>153</v>
      </c>
      <c r="T156" t="s">
        <v>154</v>
      </c>
      <c r="U156">
        <v>3</v>
      </c>
      <c r="V156">
        <v>3</v>
      </c>
      <c r="W156">
        <v>1</v>
      </c>
      <c r="X156">
        <v>3</v>
      </c>
      <c r="Y156">
        <v>3</v>
      </c>
      <c r="Z156" t="s">
        <v>2596</v>
      </c>
      <c r="AA156" t="s">
        <v>2596</v>
      </c>
      <c r="AB156" t="s">
        <v>123</v>
      </c>
      <c r="AC156" t="s">
        <v>2596</v>
      </c>
      <c r="AD156" t="s">
        <v>2598</v>
      </c>
      <c r="AE156" t="s">
        <v>57</v>
      </c>
      <c r="AF156" t="s">
        <v>57</v>
      </c>
      <c r="AG156" t="s">
        <v>57</v>
      </c>
      <c r="AH156" t="s">
        <v>57</v>
      </c>
      <c r="AI156" t="s">
        <v>57</v>
      </c>
      <c r="AJ156" t="s">
        <v>57</v>
      </c>
      <c r="AK156" t="s">
        <v>57</v>
      </c>
      <c r="AL156" t="s">
        <v>57</v>
      </c>
      <c r="AM156" t="s">
        <v>57</v>
      </c>
      <c r="AN156" t="s">
        <v>57</v>
      </c>
      <c r="AO156" t="s">
        <v>57</v>
      </c>
      <c r="AP156" t="s">
        <v>57</v>
      </c>
      <c r="AQ156" t="s">
        <v>57</v>
      </c>
      <c r="AR156" t="s">
        <v>57</v>
      </c>
      <c r="AS156" t="s">
        <v>57</v>
      </c>
      <c r="AT156" t="s">
        <v>57</v>
      </c>
      <c r="AU156" t="s">
        <v>148</v>
      </c>
      <c r="AV156" t="s">
        <v>57</v>
      </c>
      <c r="AW156" t="s">
        <v>57</v>
      </c>
      <c r="AX156" t="s">
        <v>57</v>
      </c>
      <c r="AY156" t="s">
        <v>57</v>
      </c>
      <c r="AZ156" t="s">
        <v>57</v>
      </c>
      <c r="BA156" t="s">
        <v>57</v>
      </c>
      <c r="BB156" t="s">
        <v>57</v>
      </c>
      <c r="BC156" t="s">
        <v>148</v>
      </c>
      <c r="BD156" t="s">
        <v>57</v>
      </c>
      <c r="BE156" t="s">
        <v>57</v>
      </c>
      <c r="BF156" t="s">
        <v>57</v>
      </c>
      <c r="BG156" t="s">
        <v>57</v>
      </c>
      <c r="BH156" t="s">
        <v>57</v>
      </c>
      <c r="BI156" t="s">
        <v>57</v>
      </c>
      <c r="BJ156" t="s">
        <v>57</v>
      </c>
      <c r="BK156" t="s">
        <v>57</v>
      </c>
      <c r="BL156" t="s">
        <v>57</v>
      </c>
      <c r="BM156" t="s">
        <v>57</v>
      </c>
      <c r="BN156" t="s">
        <v>57</v>
      </c>
      <c r="BO156" t="s">
        <v>57</v>
      </c>
      <c r="BP156" t="s">
        <v>57</v>
      </c>
      <c r="BQ156" t="s">
        <v>57</v>
      </c>
      <c r="BR156" t="s">
        <v>57</v>
      </c>
      <c r="BS156" t="s">
        <v>57</v>
      </c>
      <c r="BT156" t="s">
        <v>57</v>
      </c>
      <c r="BU156" t="s">
        <v>57</v>
      </c>
      <c r="BV156" t="s">
        <v>57</v>
      </c>
      <c r="BW156" t="s">
        <v>57</v>
      </c>
      <c r="BX156" t="s">
        <v>57</v>
      </c>
      <c r="BY156" t="s">
        <v>57</v>
      </c>
      <c r="BZ156" t="s">
        <v>57</v>
      </c>
      <c r="CA156" t="s">
        <v>57</v>
      </c>
      <c r="CB156" t="s">
        <v>57</v>
      </c>
      <c r="CC156" t="s">
        <v>57</v>
      </c>
      <c r="CD156" t="s">
        <v>57</v>
      </c>
      <c r="CE156" t="s">
        <v>57</v>
      </c>
      <c r="CF156" t="s">
        <v>57</v>
      </c>
      <c r="CG156" t="s">
        <v>57</v>
      </c>
      <c r="CH156" t="s">
        <v>57</v>
      </c>
      <c r="CI156" t="s">
        <v>57</v>
      </c>
      <c r="CJ156" t="s">
        <v>57</v>
      </c>
      <c r="CK156" t="s">
        <v>148</v>
      </c>
      <c r="CL156" t="s">
        <v>148</v>
      </c>
      <c r="CM156" t="s">
        <v>148</v>
      </c>
      <c r="CN156" t="s">
        <v>57</v>
      </c>
      <c r="CO156" t="s">
        <v>57</v>
      </c>
      <c r="CP156" t="s">
        <v>57</v>
      </c>
      <c r="CQ156" t="s">
        <v>57</v>
      </c>
      <c r="CR156" t="s">
        <v>57</v>
      </c>
      <c r="CS156" t="s">
        <v>57</v>
      </c>
      <c r="CT156" t="s">
        <v>57</v>
      </c>
      <c r="CU156" t="s">
        <v>57</v>
      </c>
      <c r="CV156" t="s">
        <v>57</v>
      </c>
      <c r="CW156" t="s">
        <v>57</v>
      </c>
      <c r="CX156" t="s">
        <v>57</v>
      </c>
      <c r="CY156" t="s">
        <v>57</v>
      </c>
      <c r="CZ156" t="s">
        <v>57</v>
      </c>
      <c r="DA156" t="s">
        <v>57</v>
      </c>
      <c r="DB156" t="s">
        <v>57</v>
      </c>
      <c r="DC156" t="s">
        <v>57</v>
      </c>
      <c r="DD156" t="s">
        <v>57</v>
      </c>
      <c r="DE156" t="s">
        <v>57</v>
      </c>
      <c r="DF156" t="s">
        <v>57</v>
      </c>
      <c r="DG156" t="s">
        <v>57</v>
      </c>
      <c r="DH156" t="s">
        <v>57</v>
      </c>
      <c r="DI156" t="s">
        <v>57</v>
      </c>
      <c r="DJ156" t="s">
        <v>57</v>
      </c>
      <c r="DK156" t="s">
        <v>148</v>
      </c>
      <c r="DL156" t="s">
        <v>57</v>
      </c>
      <c r="DM156" t="s">
        <v>57</v>
      </c>
      <c r="DN156" t="s">
        <v>57</v>
      </c>
      <c r="DO156" t="s">
        <v>57</v>
      </c>
      <c r="DP156" t="s">
        <v>57</v>
      </c>
      <c r="DQ156" t="s">
        <v>57</v>
      </c>
      <c r="DR156" t="s">
        <v>57</v>
      </c>
      <c r="DS156" t="s">
        <v>57</v>
      </c>
      <c r="DT156" t="s">
        <v>57</v>
      </c>
      <c r="DU156" t="s">
        <v>57</v>
      </c>
      <c r="DV156" t="s">
        <v>57</v>
      </c>
      <c r="DW156" t="s">
        <v>57</v>
      </c>
      <c r="DX156" t="s">
        <v>57</v>
      </c>
      <c r="DY156" t="s">
        <v>148</v>
      </c>
      <c r="DZ156" t="s">
        <v>57</v>
      </c>
      <c r="EA156" t="s">
        <v>57</v>
      </c>
      <c r="EB156" t="s">
        <v>57</v>
      </c>
      <c r="EC156" t="s">
        <v>57</v>
      </c>
      <c r="ED156" t="s">
        <v>57</v>
      </c>
      <c r="EE156" t="s">
        <v>57</v>
      </c>
      <c r="EF156" t="s">
        <v>57</v>
      </c>
      <c r="EG156" t="s">
        <v>57</v>
      </c>
      <c r="EH156" t="s">
        <v>57</v>
      </c>
      <c r="EI156" t="s">
        <v>57</v>
      </c>
      <c r="EJ156" t="s">
        <v>57</v>
      </c>
      <c r="EK156" t="s">
        <v>57</v>
      </c>
      <c r="EL156" t="s">
        <v>57</v>
      </c>
      <c r="EM156" t="s">
        <v>57</v>
      </c>
      <c r="EN156" t="s">
        <v>57</v>
      </c>
      <c r="EO156" t="s">
        <v>57</v>
      </c>
      <c r="EP156" t="s">
        <v>57</v>
      </c>
      <c r="EQ156" t="s">
        <v>57</v>
      </c>
      <c r="ER156" t="s">
        <v>57</v>
      </c>
      <c r="ES156" t="s">
        <v>57</v>
      </c>
      <c r="ET156" t="s">
        <v>57</v>
      </c>
      <c r="EU156" t="s">
        <v>57</v>
      </c>
      <c r="EV156" t="s">
        <v>57</v>
      </c>
      <c r="EW156" t="s">
        <v>57</v>
      </c>
      <c r="EX156" t="s">
        <v>57</v>
      </c>
      <c r="EY156" t="s">
        <v>57</v>
      </c>
      <c r="EZ156" t="s">
        <v>57</v>
      </c>
      <c r="FA156" t="s">
        <v>57</v>
      </c>
      <c r="FB156" t="s">
        <v>57</v>
      </c>
      <c r="FC156" t="s">
        <v>57</v>
      </c>
      <c r="FD156" t="s">
        <v>57</v>
      </c>
      <c r="FE156" t="s">
        <v>57</v>
      </c>
      <c r="FF156" t="s">
        <v>57</v>
      </c>
      <c r="FG156" t="s">
        <v>57</v>
      </c>
      <c r="FH156" t="s">
        <v>57</v>
      </c>
      <c r="FI156" t="s">
        <v>57</v>
      </c>
      <c r="FJ156" t="s">
        <v>57</v>
      </c>
      <c r="FK156" t="s">
        <v>57</v>
      </c>
      <c r="FL156" t="s">
        <v>57</v>
      </c>
      <c r="FM156" t="s">
        <v>57</v>
      </c>
      <c r="FN156" t="s">
        <v>57</v>
      </c>
      <c r="FO156" t="s">
        <v>148</v>
      </c>
      <c r="FP156" t="s">
        <v>57</v>
      </c>
      <c r="FQ156" t="s">
        <v>57</v>
      </c>
      <c r="FR156" t="s">
        <v>57</v>
      </c>
      <c r="FS156" t="s">
        <v>57</v>
      </c>
      <c r="FT156" t="s">
        <v>57</v>
      </c>
      <c r="FU156" t="s">
        <v>57</v>
      </c>
      <c r="FV156" t="s">
        <v>57</v>
      </c>
      <c r="FW156" t="s">
        <v>57</v>
      </c>
      <c r="FX156" t="s">
        <v>57</v>
      </c>
      <c r="FY156" t="s">
        <v>57</v>
      </c>
      <c r="FZ156" t="s">
        <v>57</v>
      </c>
      <c r="GA156" t="s">
        <v>57</v>
      </c>
      <c r="GB156" t="s">
        <v>57</v>
      </c>
      <c r="GC156" t="s">
        <v>57</v>
      </c>
      <c r="GD156" t="s">
        <v>57</v>
      </c>
      <c r="GE156" t="s">
        <v>57</v>
      </c>
      <c r="GF156" t="s">
        <v>57</v>
      </c>
      <c r="GG156" t="s">
        <v>148</v>
      </c>
      <c r="GH156" t="s">
        <v>57</v>
      </c>
      <c r="GI156" t="s">
        <v>57</v>
      </c>
      <c r="GJ156" t="s">
        <v>57</v>
      </c>
      <c r="GK156" t="s">
        <v>57</v>
      </c>
      <c r="GL156" t="s">
        <v>57</v>
      </c>
      <c r="GM156" t="s">
        <v>148</v>
      </c>
      <c r="GN156" t="s">
        <v>57</v>
      </c>
      <c r="GO156" t="s">
        <v>57</v>
      </c>
      <c r="GP156" t="s">
        <v>57</v>
      </c>
      <c r="GQ156" t="s">
        <v>57</v>
      </c>
      <c r="GR156" t="s">
        <v>57</v>
      </c>
      <c r="GS156" t="s">
        <v>57</v>
      </c>
      <c r="GT156" t="s">
        <v>57</v>
      </c>
      <c r="GU156" t="s">
        <v>57</v>
      </c>
      <c r="GV156" t="s">
        <v>57</v>
      </c>
      <c r="GW156" t="s">
        <v>57</v>
      </c>
      <c r="GX156" t="s">
        <v>148</v>
      </c>
      <c r="GY156" t="s">
        <v>57</v>
      </c>
      <c r="GZ156" t="s">
        <v>57</v>
      </c>
      <c r="HA156" t="s">
        <v>57</v>
      </c>
      <c r="HB156" t="s">
        <v>57</v>
      </c>
      <c r="HC156" t="s">
        <v>57</v>
      </c>
      <c r="HD156" t="s">
        <v>57</v>
      </c>
      <c r="HE156" t="s">
        <v>57</v>
      </c>
      <c r="HF156" t="s">
        <v>57</v>
      </c>
      <c r="HG156" t="s">
        <v>57</v>
      </c>
      <c r="HH156" t="s">
        <v>57</v>
      </c>
      <c r="HI156" t="s">
        <v>148</v>
      </c>
      <c r="HJ156" t="s">
        <v>148</v>
      </c>
      <c r="HK156" t="s">
        <v>148</v>
      </c>
      <c r="HL156" t="s">
        <v>57</v>
      </c>
      <c r="HM156" t="s">
        <v>57</v>
      </c>
      <c r="HN156" t="s">
        <v>57</v>
      </c>
      <c r="HO156" t="s">
        <v>57</v>
      </c>
      <c r="HP156" t="s">
        <v>57</v>
      </c>
      <c r="HQ156" t="s">
        <v>57</v>
      </c>
      <c r="HR156" t="s">
        <v>57</v>
      </c>
      <c r="HS156" t="s">
        <v>57</v>
      </c>
      <c r="HT156" t="s">
        <v>57</v>
      </c>
      <c r="HU156" t="s">
        <v>57</v>
      </c>
      <c r="HV156" t="s">
        <v>57</v>
      </c>
      <c r="HW156" t="s">
        <v>57</v>
      </c>
      <c r="HX156" t="s">
        <v>57</v>
      </c>
      <c r="HY156" t="s">
        <v>57</v>
      </c>
      <c r="HZ156" t="s">
        <v>57</v>
      </c>
      <c r="IA156" t="s">
        <v>57</v>
      </c>
      <c r="IB156" t="s">
        <v>57</v>
      </c>
      <c r="IC156" t="s">
        <v>57</v>
      </c>
      <c r="ID156" t="s">
        <v>57</v>
      </c>
      <c r="IE156" t="s">
        <v>57</v>
      </c>
      <c r="IF156" t="s">
        <v>124</v>
      </c>
      <c r="IG156" t="s">
        <v>155</v>
      </c>
      <c r="IH156" t="s">
        <v>123</v>
      </c>
      <c r="II156" t="s">
        <v>156</v>
      </c>
    </row>
    <row r="157" spans="1:243" x14ac:dyDescent="0.25">
      <c r="A157" s="201" t="str">
        <f>HYPERLINK("http://www.ofsted.gov.uk/inspection-reports/find-inspection-report/provider/ELS/135240 ","Ofsted School Webpage")</f>
        <v>Ofsted School Webpage</v>
      </c>
      <c r="B157">
        <v>135240</v>
      </c>
      <c r="C157">
        <v>8506088</v>
      </c>
      <c r="D157" t="s">
        <v>1926</v>
      </c>
      <c r="E157" t="s">
        <v>36</v>
      </c>
      <c r="F157" t="s">
        <v>166</v>
      </c>
      <c r="G157" t="s">
        <v>139</v>
      </c>
      <c r="H157" t="s">
        <v>139</v>
      </c>
      <c r="I157" t="s">
        <v>158</v>
      </c>
      <c r="J157" t="s">
        <v>1927</v>
      </c>
      <c r="K157" t="s">
        <v>142</v>
      </c>
      <c r="L157" t="s">
        <v>142</v>
      </c>
      <c r="M157" t="s">
        <v>2596</v>
      </c>
      <c r="N157" t="s">
        <v>143</v>
      </c>
      <c r="O157">
        <v>10033952</v>
      </c>
      <c r="P157" s="108">
        <v>43123</v>
      </c>
      <c r="Q157" s="108">
        <v>43125</v>
      </c>
      <c r="R157" s="108">
        <v>43166</v>
      </c>
      <c r="S157" t="s">
        <v>153</v>
      </c>
      <c r="T157" t="s">
        <v>154</v>
      </c>
      <c r="U157">
        <v>1</v>
      </c>
      <c r="V157">
        <v>1</v>
      </c>
      <c r="W157">
        <v>1</v>
      </c>
      <c r="X157">
        <v>1</v>
      </c>
      <c r="Y157">
        <v>1</v>
      </c>
      <c r="Z157" t="s">
        <v>2596</v>
      </c>
      <c r="AA157">
        <v>1</v>
      </c>
      <c r="AB157" t="s">
        <v>123</v>
      </c>
      <c r="AC157" t="s">
        <v>2596</v>
      </c>
      <c r="AD157" t="s">
        <v>2598</v>
      </c>
      <c r="AE157" t="s">
        <v>57</v>
      </c>
      <c r="AF157" t="s">
        <v>57</v>
      </c>
      <c r="AG157" t="s">
        <v>57</v>
      </c>
      <c r="AH157" t="s">
        <v>57</v>
      </c>
      <c r="AI157" t="s">
        <v>57</v>
      </c>
      <c r="AJ157" t="s">
        <v>57</v>
      </c>
      <c r="AK157" t="s">
        <v>57</v>
      </c>
      <c r="AL157" t="s">
        <v>57</v>
      </c>
      <c r="AM157" t="s">
        <v>57</v>
      </c>
      <c r="AN157" t="s">
        <v>57</v>
      </c>
      <c r="AO157" t="s">
        <v>57</v>
      </c>
      <c r="AP157" t="s">
        <v>57</v>
      </c>
      <c r="AQ157" t="s">
        <v>57</v>
      </c>
      <c r="AR157" t="s">
        <v>57</v>
      </c>
      <c r="AS157" t="s">
        <v>57</v>
      </c>
      <c r="AT157" t="s">
        <v>57</v>
      </c>
      <c r="AU157" t="s">
        <v>175</v>
      </c>
      <c r="AV157" t="s">
        <v>57</v>
      </c>
      <c r="AW157" t="s">
        <v>57</v>
      </c>
      <c r="AX157" t="s">
        <v>57</v>
      </c>
      <c r="AY157" t="s">
        <v>57</v>
      </c>
      <c r="AZ157" t="s">
        <v>57</v>
      </c>
      <c r="BA157" t="s">
        <v>57</v>
      </c>
      <c r="BB157" t="s">
        <v>57</v>
      </c>
      <c r="BC157" t="s">
        <v>175</v>
      </c>
      <c r="BD157" t="s">
        <v>57</v>
      </c>
      <c r="BE157" t="s">
        <v>57</v>
      </c>
      <c r="BF157" t="s">
        <v>57</v>
      </c>
      <c r="BG157" t="s">
        <v>57</v>
      </c>
      <c r="BH157" t="s">
        <v>57</v>
      </c>
      <c r="BI157" t="s">
        <v>57</v>
      </c>
      <c r="BJ157" t="s">
        <v>57</v>
      </c>
      <c r="BK157" t="s">
        <v>57</v>
      </c>
      <c r="BL157" t="s">
        <v>57</v>
      </c>
      <c r="BM157" t="s">
        <v>57</v>
      </c>
      <c r="BN157" t="s">
        <v>57</v>
      </c>
      <c r="BO157" t="s">
        <v>57</v>
      </c>
      <c r="BP157" t="s">
        <v>57</v>
      </c>
      <c r="BQ157" t="s">
        <v>57</v>
      </c>
      <c r="BR157" t="s">
        <v>57</v>
      </c>
      <c r="BS157" t="s">
        <v>57</v>
      </c>
      <c r="BT157" t="s">
        <v>57</v>
      </c>
      <c r="BU157" t="s">
        <v>57</v>
      </c>
      <c r="BV157" t="s">
        <v>57</v>
      </c>
      <c r="BW157" t="s">
        <v>57</v>
      </c>
      <c r="BX157" t="s">
        <v>57</v>
      </c>
      <c r="BY157" t="s">
        <v>57</v>
      </c>
      <c r="BZ157" t="s">
        <v>57</v>
      </c>
      <c r="CA157" t="s">
        <v>57</v>
      </c>
      <c r="CB157" t="s">
        <v>57</v>
      </c>
      <c r="CC157" t="s">
        <v>57</v>
      </c>
      <c r="CD157" t="s">
        <v>57</v>
      </c>
      <c r="CE157" t="s">
        <v>57</v>
      </c>
      <c r="CF157" t="s">
        <v>57</v>
      </c>
      <c r="CG157" t="s">
        <v>57</v>
      </c>
      <c r="CH157" t="s">
        <v>57</v>
      </c>
      <c r="CI157" t="s">
        <v>57</v>
      </c>
      <c r="CJ157" t="s">
        <v>57</v>
      </c>
      <c r="CK157" t="s">
        <v>57</v>
      </c>
      <c r="CL157" t="s">
        <v>57</v>
      </c>
      <c r="CM157" t="s">
        <v>57</v>
      </c>
      <c r="CN157" t="s">
        <v>57</v>
      </c>
      <c r="CO157" t="s">
        <v>57</v>
      </c>
      <c r="CP157" t="s">
        <v>57</v>
      </c>
      <c r="CQ157" t="s">
        <v>57</v>
      </c>
      <c r="CR157" t="s">
        <v>57</v>
      </c>
      <c r="CS157" t="s">
        <v>57</v>
      </c>
      <c r="CT157" t="s">
        <v>57</v>
      </c>
      <c r="CU157" t="s">
        <v>57</v>
      </c>
      <c r="CV157" t="s">
        <v>57</v>
      </c>
      <c r="CW157" t="s">
        <v>57</v>
      </c>
      <c r="CX157" t="s">
        <v>57</v>
      </c>
      <c r="CY157" t="s">
        <v>57</v>
      </c>
      <c r="CZ157" t="s">
        <v>57</v>
      </c>
      <c r="DA157" t="s">
        <v>57</v>
      </c>
      <c r="DB157" t="s">
        <v>57</v>
      </c>
      <c r="DC157" t="s">
        <v>57</v>
      </c>
      <c r="DD157" t="s">
        <v>57</v>
      </c>
      <c r="DE157" t="s">
        <v>57</v>
      </c>
      <c r="DF157" t="s">
        <v>57</v>
      </c>
      <c r="DG157" t="s">
        <v>57</v>
      </c>
      <c r="DH157" t="s">
        <v>57</v>
      </c>
      <c r="DI157" t="s">
        <v>57</v>
      </c>
      <c r="DJ157" t="s">
        <v>57</v>
      </c>
      <c r="DK157" t="s">
        <v>175</v>
      </c>
      <c r="DL157" t="s">
        <v>57</v>
      </c>
      <c r="DM157" t="s">
        <v>57</v>
      </c>
      <c r="DN157" t="s">
        <v>57</v>
      </c>
      <c r="DO157" t="s">
        <v>57</v>
      </c>
      <c r="DP157" t="s">
        <v>57</v>
      </c>
      <c r="DQ157" t="s">
        <v>57</v>
      </c>
      <c r="DR157" t="s">
        <v>57</v>
      </c>
      <c r="DS157" t="s">
        <v>57</v>
      </c>
      <c r="DT157" t="s">
        <v>57</v>
      </c>
      <c r="DU157" t="s">
        <v>57</v>
      </c>
      <c r="DV157" t="s">
        <v>57</v>
      </c>
      <c r="DW157" t="s">
        <v>57</v>
      </c>
      <c r="DX157" t="s">
        <v>57</v>
      </c>
      <c r="DY157" t="s">
        <v>175</v>
      </c>
      <c r="DZ157" t="s">
        <v>57</v>
      </c>
      <c r="EA157" t="s">
        <v>57</v>
      </c>
      <c r="EB157" t="s">
        <v>57</v>
      </c>
      <c r="EC157" t="s">
        <v>57</v>
      </c>
      <c r="ED157" t="s">
        <v>57</v>
      </c>
      <c r="EE157" t="s">
        <v>57</v>
      </c>
      <c r="EF157" t="s">
        <v>57</v>
      </c>
      <c r="EG157" t="s">
        <v>57</v>
      </c>
      <c r="EH157" t="s">
        <v>57</v>
      </c>
      <c r="EI157" t="s">
        <v>57</v>
      </c>
      <c r="EJ157" t="s">
        <v>57</v>
      </c>
      <c r="EK157" t="s">
        <v>57</v>
      </c>
      <c r="EL157" t="s">
        <v>57</v>
      </c>
      <c r="EM157" t="s">
        <v>57</v>
      </c>
      <c r="EN157" t="s">
        <v>57</v>
      </c>
      <c r="EO157" t="s">
        <v>57</v>
      </c>
      <c r="EP157" t="s">
        <v>57</v>
      </c>
      <c r="EQ157" t="s">
        <v>57</v>
      </c>
      <c r="ER157" t="s">
        <v>57</v>
      </c>
      <c r="ES157" t="s">
        <v>57</v>
      </c>
      <c r="ET157" t="s">
        <v>57</v>
      </c>
      <c r="EU157" t="s">
        <v>57</v>
      </c>
      <c r="EV157" t="s">
        <v>57</v>
      </c>
      <c r="EW157" t="s">
        <v>57</v>
      </c>
      <c r="EX157" t="s">
        <v>57</v>
      </c>
      <c r="EY157" t="s">
        <v>57</v>
      </c>
      <c r="EZ157" t="s">
        <v>57</v>
      </c>
      <c r="FA157" t="s">
        <v>57</v>
      </c>
      <c r="FB157" t="s">
        <v>57</v>
      </c>
      <c r="FC157" t="s">
        <v>57</v>
      </c>
      <c r="FD157" t="s">
        <v>57</v>
      </c>
      <c r="FE157" t="s">
        <v>57</v>
      </c>
      <c r="FF157" t="s">
        <v>57</v>
      </c>
      <c r="FG157" t="s">
        <v>57</v>
      </c>
      <c r="FH157" t="s">
        <v>57</v>
      </c>
      <c r="FI157" t="s">
        <v>57</v>
      </c>
      <c r="FJ157" t="s">
        <v>57</v>
      </c>
      <c r="FK157" t="s">
        <v>57</v>
      </c>
      <c r="FL157" t="s">
        <v>57</v>
      </c>
      <c r="FM157" t="s">
        <v>57</v>
      </c>
      <c r="FN157" t="s">
        <v>57</v>
      </c>
      <c r="FO157" t="s">
        <v>57</v>
      </c>
      <c r="FP157" t="s">
        <v>57</v>
      </c>
      <c r="FQ157" t="s">
        <v>57</v>
      </c>
      <c r="FR157" t="s">
        <v>57</v>
      </c>
      <c r="FS157" t="s">
        <v>57</v>
      </c>
      <c r="FT157" t="s">
        <v>57</v>
      </c>
      <c r="FU157" t="s">
        <v>57</v>
      </c>
      <c r="FV157" t="s">
        <v>57</v>
      </c>
      <c r="FW157" t="s">
        <v>57</v>
      </c>
      <c r="FX157" t="s">
        <v>57</v>
      </c>
      <c r="FY157" t="s">
        <v>57</v>
      </c>
      <c r="FZ157" t="s">
        <v>57</v>
      </c>
      <c r="GA157" t="s">
        <v>57</v>
      </c>
      <c r="GB157" t="s">
        <v>57</v>
      </c>
      <c r="GC157" t="s">
        <v>57</v>
      </c>
      <c r="GD157" t="s">
        <v>57</v>
      </c>
      <c r="GE157" t="s">
        <v>57</v>
      </c>
      <c r="GF157" t="s">
        <v>57</v>
      </c>
      <c r="GG157" t="s">
        <v>57</v>
      </c>
      <c r="GH157" t="s">
        <v>57</v>
      </c>
      <c r="GI157" t="s">
        <v>57</v>
      </c>
      <c r="GJ157" t="s">
        <v>57</v>
      </c>
      <c r="GK157" t="s">
        <v>57</v>
      </c>
      <c r="GL157" t="s">
        <v>57</v>
      </c>
      <c r="GM157" t="s">
        <v>57</v>
      </c>
      <c r="GN157" t="s">
        <v>57</v>
      </c>
      <c r="GO157" t="s">
        <v>57</v>
      </c>
      <c r="GP157" t="s">
        <v>57</v>
      </c>
      <c r="GQ157" t="s">
        <v>57</v>
      </c>
      <c r="GR157" t="s">
        <v>57</v>
      </c>
      <c r="GS157" t="s">
        <v>57</v>
      </c>
      <c r="GT157" t="s">
        <v>57</v>
      </c>
      <c r="GU157" t="s">
        <v>57</v>
      </c>
      <c r="GV157" t="s">
        <v>57</v>
      </c>
      <c r="GW157" t="s">
        <v>57</v>
      </c>
      <c r="GX157" t="s">
        <v>57</v>
      </c>
      <c r="GY157" t="s">
        <v>57</v>
      </c>
      <c r="GZ157" t="s">
        <v>57</v>
      </c>
      <c r="HA157" t="s">
        <v>57</v>
      </c>
      <c r="HB157" t="s">
        <v>57</v>
      </c>
      <c r="HC157" t="s">
        <v>57</v>
      </c>
      <c r="HD157" t="s">
        <v>57</v>
      </c>
      <c r="HE157" t="s">
        <v>57</v>
      </c>
      <c r="HF157" t="s">
        <v>57</v>
      </c>
      <c r="HG157" t="s">
        <v>57</v>
      </c>
      <c r="HH157" t="s">
        <v>57</v>
      </c>
      <c r="HI157" t="s">
        <v>57</v>
      </c>
      <c r="HJ157" t="s">
        <v>57</v>
      </c>
      <c r="HK157" t="s">
        <v>57</v>
      </c>
      <c r="HL157" t="s">
        <v>57</v>
      </c>
      <c r="HM157" t="s">
        <v>57</v>
      </c>
      <c r="HN157" t="s">
        <v>57</v>
      </c>
      <c r="HO157" t="s">
        <v>57</v>
      </c>
      <c r="HP157" t="s">
        <v>57</v>
      </c>
      <c r="HQ157" t="s">
        <v>57</v>
      </c>
      <c r="HR157" t="s">
        <v>57</v>
      </c>
      <c r="HS157" t="s">
        <v>57</v>
      </c>
      <c r="HT157" t="s">
        <v>57</v>
      </c>
      <c r="HU157" t="s">
        <v>57</v>
      </c>
      <c r="HV157" t="s">
        <v>57</v>
      </c>
      <c r="HW157" t="s">
        <v>57</v>
      </c>
      <c r="HX157" t="s">
        <v>57</v>
      </c>
      <c r="HY157" t="s">
        <v>57</v>
      </c>
      <c r="HZ157" t="s">
        <v>57</v>
      </c>
      <c r="IA157" t="s">
        <v>57</v>
      </c>
      <c r="IB157" t="s">
        <v>57</v>
      </c>
      <c r="IC157" t="s">
        <v>57</v>
      </c>
      <c r="ID157" t="s">
        <v>57</v>
      </c>
      <c r="IE157" t="s">
        <v>57</v>
      </c>
      <c r="IF157" t="s">
        <v>123</v>
      </c>
      <c r="IG157" t="s">
        <v>124</v>
      </c>
      <c r="IH157" t="s">
        <v>123</v>
      </c>
      <c r="II157" t="s">
        <v>156</v>
      </c>
    </row>
    <row r="158" spans="1:243" x14ac:dyDescent="0.25">
      <c r="A158" s="201" t="str">
        <f>HYPERLINK("http://www.ofsted.gov.uk/inspection-reports/find-inspection-report/provider/ELS/135259 ","Ofsted School Webpage")</f>
        <v>Ofsted School Webpage</v>
      </c>
      <c r="B158">
        <v>135259</v>
      </c>
      <c r="C158">
        <v>9376105</v>
      </c>
      <c r="D158" t="s">
        <v>332</v>
      </c>
      <c r="E158" t="s">
        <v>37</v>
      </c>
      <c r="F158" t="s">
        <v>138</v>
      </c>
      <c r="G158" t="s">
        <v>150</v>
      </c>
      <c r="H158" t="s">
        <v>150</v>
      </c>
      <c r="I158" t="s">
        <v>333</v>
      </c>
      <c r="J158" t="s">
        <v>334</v>
      </c>
      <c r="K158" t="s">
        <v>142</v>
      </c>
      <c r="L158" t="s">
        <v>142</v>
      </c>
      <c r="M158" t="s">
        <v>2596</v>
      </c>
      <c r="N158" t="s">
        <v>143</v>
      </c>
      <c r="O158">
        <v>10006087</v>
      </c>
      <c r="P158" s="108">
        <v>43011</v>
      </c>
      <c r="Q158" s="108">
        <v>43013</v>
      </c>
      <c r="R158" s="108">
        <v>43052</v>
      </c>
      <c r="S158" t="s">
        <v>153</v>
      </c>
      <c r="T158" t="s">
        <v>154</v>
      </c>
      <c r="U158">
        <v>2</v>
      </c>
      <c r="V158">
        <v>2</v>
      </c>
      <c r="W158">
        <v>1</v>
      </c>
      <c r="X158">
        <v>2</v>
      </c>
      <c r="Y158">
        <v>2</v>
      </c>
      <c r="Z158" t="s">
        <v>2596</v>
      </c>
      <c r="AA158">
        <v>2</v>
      </c>
      <c r="AB158" t="s">
        <v>123</v>
      </c>
      <c r="AC158" t="s">
        <v>2596</v>
      </c>
      <c r="AD158" t="s">
        <v>2598</v>
      </c>
      <c r="AE158" t="s">
        <v>57</v>
      </c>
      <c r="AF158" t="s">
        <v>57</v>
      </c>
      <c r="AG158" t="s">
        <v>57</v>
      </c>
      <c r="AH158" t="s">
        <v>57</v>
      </c>
      <c r="AI158" t="s">
        <v>57</v>
      </c>
      <c r="AJ158" t="s">
        <v>57</v>
      </c>
      <c r="AK158" t="s">
        <v>57</v>
      </c>
      <c r="AL158" t="s">
        <v>57</v>
      </c>
      <c r="AM158" t="s">
        <v>57</v>
      </c>
      <c r="AN158" t="s">
        <v>57</v>
      </c>
      <c r="AO158" t="s">
        <v>57</v>
      </c>
      <c r="AP158" t="s">
        <v>57</v>
      </c>
      <c r="AQ158" t="s">
        <v>57</v>
      </c>
      <c r="AR158" t="s">
        <v>57</v>
      </c>
      <c r="AS158" t="s">
        <v>57</v>
      </c>
      <c r="AT158" t="s">
        <v>57</v>
      </c>
      <c r="AU158" t="s">
        <v>148</v>
      </c>
      <c r="AV158" t="s">
        <v>57</v>
      </c>
      <c r="AW158" t="s">
        <v>57</v>
      </c>
      <c r="AX158" t="s">
        <v>57</v>
      </c>
      <c r="AY158" t="s">
        <v>57</v>
      </c>
      <c r="AZ158" t="s">
        <v>57</v>
      </c>
      <c r="BA158" t="s">
        <v>57</v>
      </c>
      <c r="BB158" t="s">
        <v>57</v>
      </c>
      <c r="BC158" t="s">
        <v>148</v>
      </c>
      <c r="BD158" t="s">
        <v>57</v>
      </c>
      <c r="BE158" t="s">
        <v>57</v>
      </c>
      <c r="BF158" t="s">
        <v>57</v>
      </c>
      <c r="BG158" t="s">
        <v>57</v>
      </c>
      <c r="BH158" t="s">
        <v>57</v>
      </c>
      <c r="BI158" t="s">
        <v>57</v>
      </c>
      <c r="BJ158" t="s">
        <v>57</v>
      </c>
      <c r="BK158" t="s">
        <v>57</v>
      </c>
      <c r="BL158" t="s">
        <v>57</v>
      </c>
      <c r="BM158" t="s">
        <v>57</v>
      </c>
      <c r="BN158" t="s">
        <v>57</v>
      </c>
      <c r="BO158" t="s">
        <v>57</v>
      </c>
      <c r="BP158" t="s">
        <v>57</v>
      </c>
      <c r="BQ158" t="s">
        <v>57</v>
      </c>
      <c r="BR158" t="s">
        <v>57</v>
      </c>
      <c r="BS158" t="s">
        <v>57</v>
      </c>
      <c r="BT158" t="s">
        <v>57</v>
      </c>
      <c r="BU158" t="s">
        <v>57</v>
      </c>
      <c r="BV158" t="s">
        <v>57</v>
      </c>
      <c r="BW158" t="s">
        <v>57</v>
      </c>
      <c r="BX158" t="s">
        <v>57</v>
      </c>
      <c r="BY158" t="s">
        <v>57</v>
      </c>
      <c r="BZ158" t="s">
        <v>57</v>
      </c>
      <c r="CA158" t="s">
        <v>57</v>
      </c>
      <c r="CB158" t="s">
        <v>57</v>
      </c>
      <c r="CC158" t="s">
        <v>57</v>
      </c>
      <c r="CD158" t="s">
        <v>57</v>
      </c>
      <c r="CE158" t="s">
        <v>57</v>
      </c>
      <c r="CF158" t="s">
        <v>57</v>
      </c>
      <c r="CG158" t="s">
        <v>57</v>
      </c>
      <c r="CH158" t="s">
        <v>57</v>
      </c>
      <c r="CI158" t="s">
        <v>57</v>
      </c>
      <c r="CJ158" t="s">
        <v>57</v>
      </c>
      <c r="CK158" t="s">
        <v>148</v>
      </c>
      <c r="CL158" t="s">
        <v>148</v>
      </c>
      <c r="CM158" t="s">
        <v>148</v>
      </c>
      <c r="CN158" t="s">
        <v>57</v>
      </c>
      <c r="CO158" t="s">
        <v>57</v>
      </c>
      <c r="CP158" t="s">
        <v>57</v>
      </c>
      <c r="CQ158" t="s">
        <v>57</v>
      </c>
      <c r="CR158" t="s">
        <v>57</v>
      </c>
      <c r="CS158" t="s">
        <v>57</v>
      </c>
      <c r="CT158" t="s">
        <v>57</v>
      </c>
      <c r="CU158" t="s">
        <v>57</v>
      </c>
      <c r="CV158" t="s">
        <v>57</v>
      </c>
      <c r="CW158" t="s">
        <v>57</v>
      </c>
      <c r="CX158" t="s">
        <v>57</v>
      </c>
      <c r="CY158" t="s">
        <v>57</v>
      </c>
      <c r="CZ158" t="s">
        <v>57</v>
      </c>
      <c r="DA158" t="s">
        <v>57</v>
      </c>
      <c r="DB158" t="s">
        <v>57</v>
      </c>
      <c r="DC158" t="s">
        <v>57</v>
      </c>
      <c r="DD158" t="s">
        <v>57</v>
      </c>
      <c r="DE158" t="s">
        <v>57</v>
      </c>
      <c r="DF158" t="s">
        <v>57</v>
      </c>
      <c r="DG158" t="s">
        <v>57</v>
      </c>
      <c r="DH158" t="s">
        <v>57</v>
      </c>
      <c r="DI158" t="s">
        <v>57</v>
      </c>
      <c r="DJ158" t="s">
        <v>148</v>
      </c>
      <c r="DK158" t="s">
        <v>148</v>
      </c>
      <c r="DL158" t="s">
        <v>57</v>
      </c>
      <c r="DM158" t="s">
        <v>57</v>
      </c>
      <c r="DN158" t="s">
        <v>57</v>
      </c>
      <c r="DO158" t="s">
        <v>57</v>
      </c>
      <c r="DP158" t="s">
        <v>57</v>
      </c>
      <c r="DQ158" t="s">
        <v>57</v>
      </c>
      <c r="DR158" t="s">
        <v>57</v>
      </c>
      <c r="DS158" t="s">
        <v>57</v>
      </c>
      <c r="DT158" t="s">
        <v>57</v>
      </c>
      <c r="DU158" t="s">
        <v>57</v>
      </c>
      <c r="DV158" t="s">
        <v>57</v>
      </c>
      <c r="DW158" t="s">
        <v>57</v>
      </c>
      <c r="DX158" t="s">
        <v>57</v>
      </c>
      <c r="DY158" t="s">
        <v>148</v>
      </c>
      <c r="DZ158" t="s">
        <v>148</v>
      </c>
      <c r="EA158" t="s">
        <v>57</v>
      </c>
      <c r="EB158" t="s">
        <v>57</v>
      </c>
      <c r="EC158" t="s">
        <v>57</v>
      </c>
      <c r="ED158" t="s">
        <v>57</v>
      </c>
      <c r="EE158" t="s">
        <v>57</v>
      </c>
      <c r="EF158" t="s">
        <v>57</v>
      </c>
      <c r="EG158" t="s">
        <v>57</v>
      </c>
      <c r="EH158" t="s">
        <v>57</v>
      </c>
      <c r="EI158" t="s">
        <v>57</v>
      </c>
      <c r="EJ158" t="s">
        <v>57</v>
      </c>
      <c r="EK158" t="s">
        <v>57</v>
      </c>
      <c r="EL158" t="s">
        <v>57</v>
      </c>
      <c r="EM158" t="s">
        <v>57</v>
      </c>
      <c r="EN158" t="s">
        <v>57</v>
      </c>
      <c r="EO158" t="s">
        <v>57</v>
      </c>
      <c r="EP158" t="s">
        <v>57</v>
      </c>
      <c r="EQ158" t="s">
        <v>57</v>
      </c>
      <c r="ER158" t="s">
        <v>57</v>
      </c>
      <c r="ES158" t="s">
        <v>57</v>
      </c>
      <c r="ET158" t="s">
        <v>57</v>
      </c>
      <c r="EU158" t="s">
        <v>57</v>
      </c>
      <c r="EV158" t="s">
        <v>57</v>
      </c>
      <c r="EW158" t="s">
        <v>57</v>
      </c>
      <c r="EX158" t="s">
        <v>57</v>
      </c>
      <c r="EY158" t="s">
        <v>57</v>
      </c>
      <c r="EZ158" t="s">
        <v>57</v>
      </c>
      <c r="FA158" t="s">
        <v>57</v>
      </c>
      <c r="FB158" t="s">
        <v>57</v>
      </c>
      <c r="FC158" t="s">
        <v>57</v>
      </c>
      <c r="FD158" t="s">
        <v>57</v>
      </c>
      <c r="FE158" t="s">
        <v>57</v>
      </c>
      <c r="FF158" t="s">
        <v>57</v>
      </c>
      <c r="FG158" t="s">
        <v>57</v>
      </c>
      <c r="FH158" t="s">
        <v>57</v>
      </c>
      <c r="FI158" t="s">
        <v>57</v>
      </c>
      <c r="FJ158" t="s">
        <v>57</v>
      </c>
      <c r="FK158" t="s">
        <v>57</v>
      </c>
      <c r="FL158" t="s">
        <v>57</v>
      </c>
      <c r="FM158" t="s">
        <v>57</v>
      </c>
      <c r="FN158" t="s">
        <v>57</v>
      </c>
      <c r="FO158" t="s">
        <v>57</v>
      </c>
      <c r="FP158" t="s">
        <v>57</v>
      </c>
      <c r="FQ158" t="s">
        <v>57</v>
      </c>
      <c r="FR158" t="s">
        <v>57</v>
      </c>
      <c r="FS158" t="s">
        <v>57</v>
      </c>
      <c r="FT158" t="s">
        <v>57</v>
      </c>
      <c r="FU158" t="s">
        <v>57</v>
      </c>
      <c r="FV158" t="s">
        <v>57</v>
      </c>
      <c r="FW158" t="s">
        <v>57</v>
      </c>
      <c r="FX158" t="s">
        <v>57</v>
      </c>
      <c r="FY158" t="s">
        <v>57</v>
      </c>
      <c r="FZ158" t="s">
        <v>57</v>
      </c>
      <c r="GA158" t="s">
        <v>57</v>
      </c>
      <c r="GB158" t="s">
        <v>57</v>
      </c>
      <c r="GC158" t="s">
        <v>57</v>
      </c>
      <c r="GD158" t="s">
        <v>57</v>
      </c>
      <c r="GE158" t="s">
        <v>57</v>
      </c>
      <c r="GF158" t="s">
        <v>57</v>
      </c>
      <c r="GG158" t="s">
        <v>148</v>
      </c>
      <c r="GH158" t="s">
        <v>57</v>
      </c>
      <c r="GI158" t="s">
        <v>57</v>
      </c>
      <c r="GJ158" t="s">
        <v>57</v>
      </c>
      <c r="GK158" t="s">
        <v>57</v>
      </c>
      <c r="GL158" t="s">
        <v>57</v>
      </c>
      <c r="GM158" t="s">
        <v>57</v>
      </c>
      <c r="GN158" t="s">
        <v>57</v>
      </c>
      <c r="GO158" t="s">
        <v>57</v>
      </c>
      <c r="GP158" t="s">
        <v>57</v>
      </c>
      <c r="GQ158" t="s">
        <v>57</v>
      </c>
      <c r="GR158" t="s">
        <v>57</v>
      </c>
      <c r="GS158" t="s">
        <v>57</v>
      </c>
      <c r="GT158" t="s">
        <v>57</v>
      </c>
      <c r="GU158" t="s">
        <v>57</v>
      </c>
      <c r="GV158" t="s">
        <v>57</v>
      </c>
      <c r="GW158" t="s">
        <v>57</v>
      </c>
      <c r="GX158" t="s">
        <v>57</v>
      </c>
      <c r="GY158" t="s">
        <v>57</v>
      </c>
      <c r="GZ158" t="s">
        <v>57</v>
      </c>
      <c r="HA158" t="s">
        <v>57</v>
      </c>
      <c r="HB158" t="s">
        <v>57</v>
      </c>
      <c r="HC158" t="s">
        <v>57</v>
      </c>
      <c r="HD158" t="s">
        <v>57</v>
      </c>
      <c r="HE158" t="s">
        <v>57</v>
      </c>
      <c r="HF158" t="s">
        <v>57</v>
      </c>
      <c r="HG158" t="s">
        <v>57</v>
      </c>
      <c r="HH158" t="s">
        <v>57</v>
      </c>
      <c r="HI158" t="s">
        <v>57</v>
      </c>
      <c r="HJ158" t="s">
        <v>57</v>
      </c>
      <c r="HK158" t="s">
        <v>57</v>
      </c>
      <c r="HL158" t="s">
        <v>57</v>
      </c>
      <c r="HM158" t="s">
        <v>57</v>
      </c>
      <c r="HN158" t="s">
        <v>57</v>
      </c>
      <c r="HO158" t="s">
        <v>57</v>
      </c>
      <c r="HP158" t="s">
        <v>57</v>
      </c>
      <c r="HQ158" t="s">
        <v>57</v>
      </c>
      <c r="HR158" t="s">
        <v>57</v>
      </c>
      <c r="HS158" t="s">
        <v>57</v>
      </c>
      <c r="HT158" t="s">
        <v>57</v>
      </c>
      <c r="HU158" t="s">
        <v>57</v>
      </c>
      <c r="HV158" t="s">
        <v>57</v>
      </c>
      <c r="HW158" t="s">
        <v>57</v>
      </c>
      <c r="HX158" t="s">
        <v>57</v>
      </c>
      <c r="HY158" t="s">
        <v>57</v>
      </c>
      <c r="HZ158" t="s">
        <v>57</v>
      </c>
      <c r="IA158" t="s">
        <v>57</v>
      </c>
      <c r="IB158" t="s">
        <v>57</v>
      </c>
      <c r="IC158" t="s">
        <v>57</v>
      </c>
      <c r="ID158" t="s">
        <v>57</v>
      </c>
      <c r="IE158" t="s">
        <v>57</v>
      </c>
      <c r="IF158" t="s">
        <v>124</v>
      </c>
      <c r="IG158" t="s">
        <v>155</v>
      </c>
      <c r="IH158" t="s">
        <v>123</v>
      </c>
      <c r="II158" t="s">
        <v>156</v>
      </c>
    </row>
    <row r="159" spans="1:243" x14ac:dyDescent="0.25">
      <c r="A159" s="201" t="str">
        <f>HYPERLINK("http://www.ofsted.gov.uk/inspection-reports/find-inspection-report/provider/ELS/135278 ","Ofsted School Webpage")</f>
        <v>Ofsted School Webpage</v>
      </c>
      <c r="B159">
        <v>135278</v>
      </c>
      <c r="C159">
        <v>9336215</v>
      </c>
      <c r="D159" t="s">
        <v>1548</v>
      </c>
      <c r="E159" t="s">
        <v>37</v>
      </c>
      <c r="F159" t="s">
        <v>138</v>
      </c>
      <c r="G159" t="s">
        <v>182</v>
      </c>
      <c r="H159" t="s">
        <v>182</v>
      </c>
      <c r="I159" t="s">
        <v>219</v>
      </c>
      <c r="J159" t="s">
        <v>1549</v>
      </c>
      <c r="K159" t="s">
        <v>142</v>
      </c>
      <c r="L159" t="s">
        <v>142</v>
      </c>
      <c r="M159" t="s">
        <v>2596</v>
      </c>
      <c r="N159" t="s">
        <v>143</v>
      </c>
      <c r="O159">
        <v>10041376</v>
      </c>
      <c r="P159" s="108">
        <v>43116</v>
      </c>
      <c r="Q159" s="108">
        <v>43118</v>
      </c>
      <c r="R159" s="108">
        <v>43171</v>
      </c>
      <c r="S159" t="s">
        <v>3005</v>
      </c>
      <c r="T159" t="s">
        <v>154</v>
      </c>
      <c r="U159">
        <v>4</v>
      </c>
      <c r="V159">
        <v>4</v>
      </c>
      <c r="W159">
        <v>3</v>
      </c>
      <c r="X159">
        <v>4</v>
      </c>
      <c r="Y159">
        <v>4</v>
      </c>
      <c r="Z159" t="s">
        <v>2596</v>
      </c>
      <c r="AA159" t="s">
        <v>2596</v>
      </c>
      <c r="AB159" t="s">
        <v>123</v>
      </c>
      <c r="AC159" t="s">
        <v>2596</v>
      </c>
      <c r="AD159" t="s">
        <v>2599</v>
      </c>
      <c r="AE159" t="s">
        <v>58</v>
      </c>
      <c r="AF159" t="s">
        <v>58</v>
      </c>
      <c r="AG159" t="s">
        <v>57</v>
      </c>
      <c r="AH159" t="s">
        <v>57</v>
      </c>
      <c r="AI159" t="s">
        <v>57</v>
      </c>
      <c r="AJ159" t="s">
        <v>57</v>
      </c>
      <c r="AK159" t="s">
        <v>57</v>
      </c>
      <c r="AL159" t="s">
        <v>58</v>
      </c>
      <c r="AM159" t="s">
        <v>58</v>
      </c>
      <c r="AN159" t="s">
        <v>58</v>
      </c>
      <c r="AO159" t="s">
        <v>57</v>
      </c>
      <c r="AP159" t="s">
        <v>57</v>
      </c>
      <c r="AQ159" t="s">
        <v>57</v>
      </c>
      <c r="AR159" t="s">
        <v>58</v>
      </c>
      <c r="AS159" t="s">
        <v>57</v>
      </c>
      <c r="AT159" t="s">
        <v>57</v>
      </c>
      <c r="AU159" t="s">
        <v>175</v>
      </c>
      <c r="AV159" t="s">
        <v>57</v>
      </c>
      <c r="AW159" t="s">
        <v>57</v>
      </c>
      <c r="AX159" t="s">
        <v>57</v>
      </c>
      <c r="AY159" t="s">
        <v>58</v>
      </c>
      <c r="AZ159" t="s">
        <v>58</v>
      </c>
      <c r="BA159" t="s">
        <v>58</v>
      </c>
      <c r="BB159" t="s">
        <v>57</v>
      </c>
      <c r="BC159" t="s">
        <v>175</v>
      </c>
      <c r="BD159" t="s">
        <v>175</v>
      </c>
      <c r="BE159" t="s">
        <v>57</v>
      </c>
      <c r="BF159" t="s">
        <v>57</v>
      </c>
      <c r="BG159" t="s">
        <v>58</v>
      </c>
      <c r="BH159" t="s">
        <v>58</v>
      </c>
      <c r="BI159" t="s">
        <v>57</v>
      </c>
      <c r="BJ159" t="s">
        <v>58</v>
      </c>
      <c r="BK159" t="s">
        <v>58</v>
      </c>
      <c r="BL159" t="s">
        <v>58</v>
      </c>
      <c r="BM159" t="s">
        <v>58</v>
      </c>
      <c r="BN159" t="s">
        <v>58</v>
      </c>
      <c r="BO159" t="s">
        <v>57</v>
      </c>
      <c r="BP159" t="s">
        <v>57</v>
      </c>
      <c r="BQ159" t="s">
        <v>57</v>
      </c>
      <c r="BR159" t="s">
        <v>58</v>
      </c>
      <c r="BS159" t="s">
        <v>58</v>
      </c>
      <c r="BT159" t="s">
        <v>57</v>
      </c>
      <c r="BU159" t="s">
        <v>58</v>
      </c>
      <c r="BV159" t="s">
        <v>57</v>
      </c>
      <c r="BW159" t="s">
        <v>57</v>
      </c>
      <c r="BX159" t="s">
        <v>57</v>
      </c>
      <c r="BY159" t="s">
        <v>57</v>
      </c>
      <c r="BZ159" t="s">
        <v>58</v>
      </c>
      <c r="CA159" t="s">
        <v>57</v>
      </c>
      <c r="CB159" t="s">
        <v>57</v>
      </c>
      <c r="CC159" t="s">
        <v>57</v>
      </c>
      <c r="CD159" t="s">
        <v>57</v>
      </c>
      <c r="CE159" t="s">
        <v>57</v>
      </c>
      <c r="CF159" t="s">
        <v>57</v>
      </c>
      <c r="CG159" t="s">
        <v>57</v>
      </c>
      <c r="CH159" t="s">
        <v>57</v>
      </c>
      <c r="CI159" t="s">
        <v>57</v>
      </c>
      <c r="CJ159" t="s">
        <v>57</v>
      </c>
      <c r="CK159" t="s">
        <v>57</v>
      </c>
      <c r="CL159" t="s">
        <v>57</v>
      </c>
      <c r="CM159" t="s">
        <v>57</v>
      </c>
      <c r="CN159" t="s">
        <v>57</v>
      </c>
      <c r="CO159" t="s">
        <v>57</v>
      </c>
      <c r="CP159" t="s">
        <v>57</v>
      </c>
      <c r="CQ159" t="s">
        <v>57</v>
      </c>
      <c r="CR159" t="s">
        <v>57</v>
      </c>
      <c r="CS159" t="s">
        <v>57</v>
      </c>
      <c r="CT159" t="s">
        <v>57</v>
      </c>
      <c r="CU159" t="s">
        <v>57</v>
      </c>
      <c r="CV159" t="s">
        <v>57</v>
      </c>
      <c r="CW159" t="s">
        <v>57</v>
      </c>
      <c r="CX159" t="s">
        <v>58</v>
      </c>
      <c r="CY159" t="s">
        <v>58</v>
      </c>
      <c r="CZ159" t="s">
        <v>58</v>
      </c>
      <c r="DA159" t="s">
        <v>57</v>
      </c>
      <c r="DB159" t="s">
        <v>57</v>
      </c>
      <c r="DC159" t="s">
        <v>57</v>
      </c>
      <c r="DD159" t="s">
        <v>57</v>
      </c>
      <c r="DE159" t="s">
        <v>57</v>
      </c>
      <c r="DF159" t="s">
        <v>57</v>
      </c>
      <c r="DG159" t="s">
        <v>57</v>
      </c>
      <c r="DH159" t="s">
        <v>57</v>
      </c>
      <c r="DI159" t="s">
        <v>57</v>
      </c>
      <c r="DJ159" t="s">
        <v>57</v>
      </c>
      <c r="DK159" t="s">
        <v>57</v>
      </c>
      <c r="DL159" t="s">
        <v>57</v>
      </c>
      <c r="DM159" t="s">
        <v>57</v>
      </c>
      <c r="DN159" t="s">
        <v>57</v>
      </c>
      <c r="DO159" t="s">
        <v>57</v>
      </c>
      <c r="DP159" t="s">
        <v>57</v>
      </c>
      <c r="DQ159" t="s">
        <v>57</v>
      </c>
      <c r="DR159" t="s">
        <v>57</v>
      </c>
      <c r="DS159" t="s">
        <v>57</v>
      </c>
      <c r="DT159" t="s">
        <v>57</v>
      </c>
      <c r="DU159" t="s">
        <v>57</v>
      </c>
      <c r="DV159" t="s">
        <v>57</v>
      </c>
      <c r="DW159" t="s">
        <v>57</v>
      </c>
      <c r="DX159" t="s">
        <v>57</v>
      </c>
      <c r="DY159" t="s">
        <v>57</v>
      </c>
      <c r="DZ159" t="s">
        <v>57</v>
      </c>
      <c r="EA159" t="s">
        <v>57</v>
      </c>
      <c r="EB159" t="s">
        <v>57</v>
      </c>
      <c r="EC159" t="s">
        <v>57</v>
      </c>
      <c r="ED159" t="s">
        <v>57</v>
      </c>
      <c r="EE159" t="s">
        <v>57</v>
      </c>
      <c r="EF159" t="s">
        <v>57</v>
      </c>
      <c r="EG159" t="s">
        <v>57</v>
      </c>
      <c r="EH159" t="s">
        <v>57</v>
      </c>
      <c r="EI159" t="s">
        <v>57</v>
      </c>
      <c r="EJ159" t="s">
        <v>57</v>
      </c>
      <c r="EK159" t="s">
        <v>57</v>
      </c>
      <c r="EL159" t="s">
        <v>57</v>
      </c>
      <c r="EM159" t="s">
        <v>57</v>
      </c>
      <c r="EN159" t="s">
        <v>57</v>
      </c>
      <c r="EO159" t="s">
        <v>57</v>
      </c>
      <c r="EP159" t="s">
        <v>57</v>
      </c>
      <c r="EQ159" t="s">
        <v>57</v>
      </c>
      <c r="ER159" t="s">
        <v>57</v>
      </c>
      <c r="ES159" t="s">
        <v>57</v>
      </c>
      <c r="ET159" t="s">
        <v>57</v>
      </c>
      <c r="EU159" t="s">
        <v>57</v>
      </c>
      <c r="EV159" t="s">
        <v>57</v>
      </c>
      <c r="EW159" t="s">
        <v>57</v>
      </c>
      <c r="EX159" t="s">
        <v>57</v>
      </c>
      <c r="EY159" t="s">
        <v>57</v>
      </c>
      <c r="EZ159" t="s">
        <v>57</v>
      </c>
      <c r="FA159" t="s">
        <v>57</v>
      </c>
      <c r="FB159" t="s">
        <v>57</v>
      </c>
      <c r="FC159" t="s">
        <v>57</v>
      </c>
      <c r="FD159" t="s">
        <v>57</v>
      </c>
      <c r="FE159" t="s">
        <v>57</v>
      </c>
      <c r="FF159" t="s">
        <v>57</v>
      </c>
      <c r="FG159" t="s">
        <v>57</v>
      </c>
      <c r="FH159" t="s">
        <v>57</v>
      </c>
      <c r="FI159" t="s">
        <v>57</v>
      </c>
      <c r="FJ159" t="s">
        <v>57</v>
      </c>
      <c r="FK159" t="s">
        <v>57</v>
      </c>
      <c r="FL159" t="s">
        <v>57</v>
      </c>
      <c r="FM159" t="s">
        <v>57</v>
      </c>
      <c r="FN159" t="s">
        <v>57</v>
      </c>
      <c r="FO159" t="s">
        <v>57</v>
      </c>
      <c r="FP159" t="s">
        <v>57</v>
      </c>
      <c r="FQ159" t="s">
        <v>57</v>
      </c>
      <c r="FR159" t="s">
        <v>57</v>
      </c>
      <c r="FS159" t="s">
        <v>57</v>
      </c>
      <c r="FT159" t="s">
        <v>57</v>
      </c>
      <c r="FU159" t="s">
        <v>57</v>
      </c>
      <c r="FV159" t="s">
        <v>57</v>
      </c>
      <c r="FW159" t="s">
        <v>57</v>
      </c>
      <c r="FX159" t="s">
        <v>57</v>
      </c>
      <c r="FY159" t="s">
        <v>57</v>
      </c>
      <c r="FZ159" t="s">
        <v>57</v>
      </c>
      <c r="GA159" t="s">
        <v>57</v>
      </c>
      <c r="GB159" t="s">
        <v>57</v>
      </c>
      <c r="GC159" t="s">
        <v>57</v>
      </c>
      <c r="GD159" t="s">
        <v>57</v>
      </c>
      <c r="GE159" t="s">
        <v>57</v>
      </c>
      <c r="GF159" t="s">
        <v>57</v>
      </c>
      <c r="GG159" t="s">
        <v>57</v>
      </c>
      <c r="GH159" t="s">
        <v>57</v>
      </c>
      <c r="GI159" t="s">
        <v>57</v>
      </c>
      <c r="GJ159" t="s">
        <v>57</v>
      </c>
      <c r="GK159" t="s">
        <v>57</v>
      </c>
      <c r="GL159" t="s">
        <v>57</v>
      </c>
      <c r="GM159" t="s">
        <v>57</v>
      </c>
      <c r="GN159" t="s">
        <v>57</v>
      </c>
      <c r="GO159" t="s">
        <v>57</v>
      </c>
      <c r="GP159" t="s">
        <v>57</v>
      </c>
      <c r="GQ159" t="s">
        <v>57</v>
      </c>
      <c r="GR159" t="s">
        <v>57</v>
      </c>
      <c r="GS159" t="s">
        <v>57</v>
      </c>
      <c r="GT159" t="s">
        <v>57</v>
      </c>
      <c r="GU159" t="s">
        <v>57</v>
      </c>
      <c r="GV159" t="s">
        <v>57</v>
      </c>
      <c r="GW159" t="s">
        <v>57</v>
      </c>
      <c r="GX159" t="s">
        <v>57</v>
      </c>
      <c r="GY159" t="s">
        <v>57</v>
      </c>
      <c r="GZ159" t="s">
        <v>57</v>
      </c>
      <c r="HA159" t="s">
        <v>57</v>
      </c>
      <c r="HB159" t="s">
        <v>57</v>
      </c>
      <c r="HC159" t="s">
        <v>57</v>
      </c>
      <c r="HD159" t="s">
        <v>57</v>
      </c>
      <c r="HE159" t="s">
        <v>57</v>
      </c>
      <c r="HF159" t="s">
        <v>57</v>
      </c>
      <c r="HG159" t="s">
        <v>57</v>
      </c>
      <c r="HH159" t="s">
        <v>57</v>
      </c>
      <c r="HI159" t="s">
        <v>57</v>
      </c>
      <c r="HJ159" t="s">
        <v>57</v>
      </c>
      <c r="HK159" t="s">
        <v>57</v>
      </c>
      <c r="HL159" t="s">
        <v>57</v>
      </c>
      <c r="HM159" t="s">
        <v>57</v>
      </c>
      <c r="HN159" t="s">
        <v>57</v>
      </c>
      <c r="HO159" t="s">
        <v>57</v>
      </c>
      <c r="HP159" t="s">
        <v>57</v>
      </c>
      <c r="HQ159" t="s">
        <v>57</v>
      </c>
      <c r="HR159" t="s">
        <v>57</v>
      </c>
      <c r="HS159" t="s">
        <v>57</v>
      </c>
      <c r="HT159" t="s">
        <v>57</v>
      </c>
      <c r="HU159" t="s">
        <v>57</v>
      </c>
      <c r="HV159" t="s">
        <v>57</v>
      </c>
      <c r="HW159" t="s">
        <v>57</v>
      </c>
      <c r="HX159" t="s">
        <v>57</v>
      </c>
      <c r="HY159" t="s">
        <v>57</v>
      </c>
      <c r="HZ159" t="s">
        <v>57</v>
      </c>
      <c r="IA159" t="s">
        <v>57</v>
      </c>
      <c r="IB159" t="s">
        <v>58</v>
      </c>
      <c r="IC159" t="s">
        <v>58</v>
      </c>
      <c r="ID159" t="s">
        <v>58</v>
      </c>
      <c r="IE159" t="s">
        <v>57</v>
      </c>
      <c r="IF159" t="s">
        <v>124</v>
      </c>
      <c r="IG159" t="s">
        <v>148</v>
      </c>
      <c r="IH159" t="s">
        <v>123</v>
      </c>
      <c r="II159" t="s">
        <v>156</v>
      </c>
    </row>
    <row r="160" spans="1:243" x14ac:dyDescent="0.25">
      <c r="A160" s="201" t="str">
        <f>HYPERLINK("http://www.ofsted.gov.uk/inspection-reports/find-inspection-report/provider/ELS/135292 ","Ofsted School Webpage")</f>
        <v>Ofsted School Webpage</v>
      </c>
      <c r="B160">
        <v>135292</v>
      </c>
      <c r="C160">
        <v>8886098</v>
      </c>
      <c r="D160" t="s">
        <v>1233</v>
      </c>
      <c r="E160" t="s">
        <v>37</v>
      </c>
      <c r="F160" t="s">
        <v>138</v>
      </c>
      <c r="G160" t="s">
        <v>162</v>
      </c>
      <c r="H160" t="s">
        <v>162</v>
      </c>
      <c r="I160" t="s">
        <v>163</v>
      </c>
      <c r="J160" t="s">
        <v>1234</v>
      </c>
      <c r="K160" t="s">
        <v>142</v>
      </c>
      <c r="L160" t="s">
        <v>1220</v>
      </c>
      <c r="M160" t="s">
        <v>2596</v>
      </c>
      <c r="N160" t="s">
        <v>143</v>
      </c>
      <c r="O160">
        <v>10038844</v>
      </c>
      <c r="P160" s="108">
        <v>43109</v>
      </c>
      <c r="Q160" s="108">
        <v>43110</v>
      </c>
      <c r="R160" s="108">
        <v>43130</v>
      </c>
      <c r="S160" t="s">
        <v>153</v>
      </c>
      <c r="T160" t="s">
        <v>154</v>
      </c>
      <c r="U160">
        <v>2</v>
      </c>
      <c r="V160">
        <v>2</v>
      </c>
      <c r="W160">
        <v>1</v>
      </c>
      <c r="X160">
        <v>2</v>
      </c>
      <c r="Y160">
        <v>2</v>
      </c>
      <c r="Z160" t="s">
        <v>2596</v>
      </c>
      <c r="AA160" t="s">
        <v>2596</v>
      </c>
      <c r="AB160" t="s">
        <v>123</v>
      </c>
      <c r="AC160" t="s">
        <v>2596</v>
      </c>
      <c r="AD160" t="s">
        <v>2598</v>
      </c>
      <c r="AE160" t="s">
        <v>57</v>
      </c>
      <c r="AF160" t="s">
        <v>57</v>
      </c>
      <c r="AG160" t="s">
        <v>57</v>
      </c>
      <c r="AH160" t="s">
        <v>57</v>
      </c>
      <c r="AI160" t="s">
        <v>57</v>
      </c>
      <c r="AJ160" t="s">
        <v>57</v>
      </c>
      <c r="AK160" t="s">
        <v>57</v>
      </c>
      <c r="AL160" t="s">
        <v>57</v>
      </c>
      <c r="AM160" t="s">
        <v>57</v>
      </c>
      <c r="AN160" t="s">
        <v>57</v>
      </c>
      <c r="AO160" t="s">
        <v>57</v>
      </c>
      <c r="AP160" t="s">
        <v>57</v>
      </c>
      <c r="AQ160" t="s">
        <v>57</v>
      </c>
      <c r="AR160" t="s">
        <v>57</v>
      </c>
      <c r="AS160" t="s">
        <v>57</v>
      </c>
      <c r="AT160" t="s">
        <v>57</v>
      </c>
      <c r="AU160" t="s">
        <v>175</v>
      </c>
      <c r="AV160" t="s">
        <v>57</v>
      </c>
      <c r="AW160" t="s">
        <v>57</v>
      </c>
      <c r="AX160" t="s">
        <v>57</v>
      </c>
      <c r="AY160" t="s">
        <v>57</v>
      </c>
      <c r="AZ160" t="s">
        <v>57</v>
      </c>
      <c r="BA160" t="s">
        <v>57</v>
      </c>
      <c r="BB160" t="s">
        <v>57</v>
      </c>
      <c r="BC160" t="s">
        <v>175</v>
      </c>
      <c r="BD160" t="s">
        <v>175</v>
      </c>
      <c r="BE160" t="s">
        <v>57</v>
      </c>
      <c r="BF160" t="s">
        <v>57</v>
      </c>
      <c r="BG160" t="s">
        <v>57</v>
      </c>
      <c r="BH160" t="s">
        <v>57</v>
      </c>
      <c r="BI160" t="s">
        <v>57</v>
      </c>
      <c r="BJ160" t="s">
        <v>57</v>
      </c>
      <c r="BK160" t="s">
        <v>57</v>
      </c>
      <c r="BL160" t="s">
        <v>57</v>
      </c>
      <c r="BM160" t="s">
        <v>57</v>
      </c>
      <c r="BN160" t="s">
        <v>57</v>
      </c>
      <c r="BO160" t="s">
        <v>57</v>
      </c>
      <c r="BP160" t="s">
        <v>57</v>
      </c>
      <c r="BQ160" t="s">
        <v>57</v>
      </c>
      <c r="BR160" t="s">
        <v>57</v>
      </c>
      <c r="BS160" t="s">
        <v>57</v>
      </c>
      <c r="BT160" t="s">
        <v>57</v>
      </c>
      <c r="BU160" t="s">
        <v>57</v>
      </c>
      <c r="BV160" t="s">
        <v>57</v>
      </c>
      <c r="BW160" t="s">
        <v>57</v>
      </c>
      <c r="BX160" t="s">
        <v>57</v>
      </c>
      <c r="BY160" t="s">
        <v>57</v>
      </c>
      <c r="BZ160" t="s">
        <v>57</v>
      </c>
      <c r="CA160" t="s">
        <v>57</v>
      </c>
      <c r="CB160" t="s">
        <v>57</v>
      </c>
      <c r="CC160" t="s">
        <v>57</v>
      </c>
      <c r="CD160" t="s">
        <v>57</v>
      </c>
      <c r="CE160" t="s">
        <v>57</v>
      </c>
      <c r="CF160" t="s">
        <v>57</v>
      </c>
      <c r="CG160" t="s">
        <v>57</v>
      </c>
      <c r="CH160" t="s">
        <v>57</v>
      </c>
      <c r="CI160" t="s">
        <v>57</v>
      </c>
      <c r="CJ160" t="s">
        <v>57</v>
      </c>
      <c r="CK160" t="s">
        <v>57</v>
      </c>
      <c r="CL160" t="s">
        <v>57</v>
      </c>
      <c r="CM160" t="s">
        <v>57</v>
      </c>
      <c r="CN160" t="s">
        <v>57</v>
      </c>
      <c r="CO160" t="s">
        <v>57</v>
      </c>
      <c r="CP160" t="s">
        <v>57</v>
      </c>
      <c r="CQ160" t="s">
        <v>57</v>
      </c>
      <c r="CR160" t="s">
        <v>57</v>
      </c>
      <c r="CS160" t="s">
        <v>57</v>
      </c>
      <c r="CT160" t="s">
        <v>57</v>
      </c>
      <c r="CU160" t="s">
        <v>57</v>
      </c>
      <c r="CV160" t="s">
        <v>57</v>
      </c>
      <c r="CW160" t="s">
        <v>57</v>
      </c>
      <c r="CX160" t="s">
        <v>57</v>
      </c>
      <c r="CY160" t="s">
        <v>57</v>
      </c>
      <c r="CZ160" t="s">
        <v>57</v>
      </c>
      <c r="DA160" t="s">
        <v>57</v>
      </c>
      <c r="DB160" t="s">
        <v>57</v>
      </c>
      <c r="DC160" t="s">
        <v>57</v>
      </c>
      <c r="DD160" t="s">
        <v>57</v>
      </c>
      <c r="DE160" t="s">
        <v>57</v>
      </c>
      <c r="DF160" t="s">
        <v>57</v>
      </c>
      <c r="DG160" t="s">
        <v>57</v>
      </c>
      <c r="DH160" t="s">
        <v>57</v>
      </c>
      <c r="DI160" t="s">
        <v>57</v>
      </c>
      <c r="DJ160" t="s">
        <v>57</v>
      </c>
      <c r="DK160" t="s">
        <v>175</v>
      </c>
      <c r="DL160" t="s">
        <v>57</v>
      </c>
      <c r="DM160" t="s">
        <v>175</v>
      </c>
      <c r="DN160" t="s">
        <v>175</v>
      </c>
      <c r="DO160" t="s">
        <v>175</v>
      </c>
      <c r="DP160" t="s">
        <v>175</v>
      </c>
      <c r="DQ160" t="s">
        <v>175</v>
      </c>
      <c r="DR160" t="s">
        <v>175</v>
      </c>
      <c r="DS160" t="s">
        <v>175</v>
      </c>
      <c r="DT160" t="s">
        <v>175</v>
      </c>
      <c r="DU160" t="s">
        <v>175</v>
      </c>
      <c r="DV160" t="s">
        <v>175</v>
      </c>
      <c r="DW160" t="s">
        <v>175</v>
      </c>
      <c r="DX160" t="s">
        <v>175</v>
      </c>
      <c r="DY160" t="s">
        <v>175</v>
      </c>
      <c r="DZ160" t="s">
        <v>175</v>
      </c>
      <c r="EA160" t="s">
        <v>57</v>
      </c>
      <c r="EB160" t="s">
        <v>57</v>
      </c>
      <c r="EC160" t="s">
        <v>57</v>
      </c>
      <c r="ED160" t="s">
        <v>57</v>
      </c>
      <c r="EE160" t="s">
        <v>57</v>
      </c>
      <c r="EF160" t="s">
        <v>57</v>
      </c>
      <c r="EG160" t="s">
        <v>57</v>
      </c>
      <c r="EH160" t="s">
        <v>57</v>
      </c>
      <c r="EI160" t="s">
        <v>57</v>
      </c>
      <c r="EJ160" t="s">
        <v>57</v>
      </c>
      <c r="EK160" t="s">
        <v>57</v>
      </c>
      <c r="EL160" t="s">
        <v>57</v>
      </c>
      <c r="EM160" t="s">
        <v>57</v>
      </c>
      <c r="EN160" t="s">
        <v>57</v>
      </c>
      <c r="EO160" t="s">
        <v>57</v>
      </c>
      <c r="EP160" t="s">
        <v>57</v>
      </c>
      <c r="EQ160" t="s">
        <v>57</v>
      </c>
      <c r="ER160" t="s">
        <v>57</v>
      </c>
      <c r="ES160" t="s">
        <v>57</v>
      </c>
      <c r="ET160" t="s">
        <v>57</v>
      </c>
      <c r="EU160" t="s">
        <v>57</v>
      </c>
      <c r="EV160" t="s">
        <v>57</v>
      </c>
      <c r="EW160" t="s">
        <v>57</v>
      </c>
      <c r="EX160" t="s">
        <v>175</v>
      </c>
      <c r="EY160" t="s">
        <v>175</v>
      </c>
      <c r="EZ160" t="s">
        <v>175</v>
      </c>
      <c r="FA160" t="s">
        <v>175</v>
      </c>
      <c r="FB160" t="s">
        <v>175</v>
      </c>
      <c r="FC160" t="s">
        <v>175</v>
      </c>
      <c r="FD160" t="s">
        <v>57</v>
      </c>
      <c r="FE160" t="s">
        <v>57</v>
      </c>
      <c r="FF160" t="s">
        <v>57</v>
      </c>
      <c r="FG160" t="s">
        <v>57</v>
      </c>
      <c r="FH160" t="s">
        <v>57</v>
      </c>
      <c r="FI160" t="s">
        <v>57</v>
      </c>
      <c r="FJ160" t="s">
        <v>175</v>
      </c>
      <c r="FK160" t="s">
        <v>57</v>
      </c>
      <c r="FL160" t="s">
        <v>57</v>
      </c>
      <c r="FM160" t="s">
        <v>57</v>
      </c>
      <c r="FN160" t="s">
        <v>57</v>
      </c>
      <c r="FO160" t="s">
        <v>175</v>
      </c>
      <c r="FP160" t="s">
        <v>57</v>
      </c>
      <c r="FQ160" t="s">
        <v>57</v>
      </c>
      <c r="FR160" t="s">
        <v>57</v>
      </c>
      <c r="FS160" t="s">
        <v>57</v>
      </c>
      <c r="FT160" t="s">
        <v>57</v>
      </c>
      <c r="FU160" t="s">
        <v>57</v>
      </c>
      <c r="FV160" t="s">
        <v>57</v>
      </c>
      <c r="FW160" t="s">
        <v>57</v>
      </c>
      <c r="FX160" t="s">
        <v>57</v>
      </c>
      <c r="FY160" t="s">
        <v>57</v>
      </c>
      <c r="FZ160" t="s">
        <v>57</v>
      </c>
      <c r="GA160" t="s">
        <v>57</v>
      </c>
      <c r="GB160" t="s">
        <v>57</v>
      </c>
      <c r="GC160" t="s">
        <v>57</v>
      </c>
      <c r="GD160" t="s">
        <v>57</v>
      </c>
      <c r="GE160" t="s">
        <v>57</v>
      </c>
      <c r="GF160" t="s">
        <v>57</v>
      </c>
      <c r="GG160" t="s">
        <v>175</v>
      </c>
      <c r="GH160" t="s">
        <v>57</v>
      </c>
      <c r="GI160" t="s">
        <v>57</v>
      </c>
      <c r="GJ160" t="s">
        <v>57</v>
      </c>
      <c r="GK160" t="s">
        <v>57</v>
      </c>
      <c r="GL160" t="s">
        <v>57</v>
      </c>
      <c r="GM160" t="s">
        <v>57</v>
      </c>
      <c r="GN160" t="s">
        <v>57</v>
      </c>
      <c r="GO160" t="s">
        <v>57</v>
      </c>
      <c r="GP160" t="s">
        <v>57</v>
      </c>
      <c r="GQ160" t="s">
        <v>57</v>
      </c>
      <c r="GR160" t="s">
        <v>57</v>
      </c>
      <c r="GS160" t="s">
        <v>57</v>
      </c>
      <c r="GT160" t="s">
        <v>57</v>
      </c>
      <c r="GU160" t="s">
        <v>57</v>
      </c>
      <c r="GV160" t="s">
        <v>57</v>
      </c>
      <c r="GW160" t="s">
        <v>57</v>
      </c>
      <c r="GX160" t="s">
        <v>57</v>
      </c>
      <c r="GY160" t="s">
        <v>57</v>
      </c>
      <c r="GZ160" t="s">
        <v>57</v>
      </c>
      <c r="HA160" t="s">
        <v>57</v>
      </c>
      <c r="HB160" t="s">
        <v>57</v>
      </c>
      <c r="HC160" t="s">
        <v>57</v>
      </c>
      <c r="HD160" t="s">
        <v>57</v>
      </c>
      <c r="HE160" t="s">
        <v>57</v>
      </c>
      <c r="HF160" t="s">
        <v>57</v>
      </c>
      <c r="HG160" t="s">
        <v>57</v>
      </c>
      <c r="HH160" t="s">
        <v>175</v>
      </c>
      <c r="HI160" t="s">
        <v>175</v>
      </c>
      <c r="HJ160" t="s">
        <v>175</v>
      </c>
      <c r="HK160" t="s">
        <v>175</v>
      </c>
      <c r="HL160" t="s">
        <v>57</v>
      </c>
      <c r="HM160" t="s">
        <v>57</v>
      </c>
      <c r="HN160" t="s">
        <v>57</v>
      </c>
      <c r="HO160" t="s">
        <v>57</v>
      </c>
      <c r="HP160" t="s">
        <v>57</v>
      </c>
      <c r="HQ160" t="s">
        <v>57</v>
      </c>
      <c r="HR160" t="s">
        <v>57</v>
      </c>
      <c r="HS160" t="s">
        <v>57</v>
      </c>
      <c r="HT160" t="s">
        <v>57</v>
      </c>
      <c r="HU160" t="s">
        <v>57</v>
      </c>
      <c r="HV160" t="s">
        <v>57</v>
      </c>
      <c r="HW160" t="s">
        <v>57</v>
      </c>
      <c r="HX160" t="s">
        <v>57</v>
      </c>
      <c r="HY160" t="s">
        <v>57</v>
      </c>
      <c r="HZ160" t="s">
        <v>57</v>
      </c>
      <c r="IA160" t="s">
        <v>57</v>
      </c>
      <c r="IB160" t="s">
        <v>57</v>
      </c>
      <c r="IC160" t="s">
        <v>57</v>
      </c>
      <c r="ID160" t="s">
        <v>57</v>
      </c>
      <c r="IE160" t="s">
        <v>57</v>
      </c>
      <c r="IF160" t="s">
        <v>124</v>
      </c>
      <c r="IG160" t="s">
        <v>148</v>
      </c>
      <c r="IH160" t="s">
        <v>123</v>
      </c>
      <c r="II160" t="s">
        <v>156</v>
      </c>
    </row>
    <row r="161" spans="1:243" x14ac:dyDescent="0.25">
      <c r="A161" s="201" t="str">
        <f>HYPERLINK("http://www.ofsted.gov.uk/inspection-reports/find-inspection-report/provider/ELS/135303 ","Ofsted School Webpage")</f>
        <v>Ofsted School Webpage</v>
      </c>
      <c r="B161">
        <v>135303</v>
      </c>
      <c r="C161">
        <v>8886099</v>
      </c>
      <c r="D161" t="s">
        <v>1305</v>
      </c>
      <c r="E161" t="s">
        <v>37</v>
      </c>
      <c r="F161" t="s">
        <v>138</v>
      </c>
      <c r="G161" t="s">
        <v>162</v>
      </c>
      <c r="H161" t="s">
        <v>162</v>
      </c>
      <c r="I161" t="s">
        <v>163</v>
      </c>
      <c r="J161" t="s">
        <v>1306</v>
      </c>
      <c r="K161" t="s">
        <v>142</v>
      </c>
      <c r="L161" t="s">
        <v>142</v>
      </c>
      <c r="M161" t="s">
        <v>2596</v>
      </c>
      <c r="N161" t="s">
        <v>143</v>
      </c>
      <c r="O161">
        <v>10038928</v>
      </c>
      <c r="P161" s="108">
        <v>43075</v>
      </c>
      <c r="Q161" s="108">
        <v>43076</v>
      </c>
      <c r="R161" s="108">
        <v>43126</v>
      </c>
      <c r="S161" t="s">
        <v>3005</v>
      </c>
      <c r="T161" t="s">
        <v>154</v>
      </c>
      <c r="U161">
        <v>3</v>
      </c>
      <c r="V161">
        <v>3</v>
      </c>
      <c r="W161">
        <v>2</v>
      </c>
      <c r="X161">
        <v>2</v>
      </c>
      <c r="Y161">
        <v>2</v>
      </c>
      <c r="Z161" t="s">
        <v>2596</v>
      </c>
      <c r="AA161" t="s">
        <v>2596</v>
      </c>
      <c r="AB161" t="s">
        <v>123</v>
      </c>
      <c r="AC161" t="s">
        <v>2596</v>
      </c>
      <c r="AD161" t="s">
        <v>2599</v>
      </c>
      <c r="AE161" t="s">
        <v>57</v>
      </c>
      <c r="AF161" t="s">
        <v>57</v>
      </c>
      <c r="AG161" t="s">
        <v>57</v>
      </c>
      <c r="AH161" t="s">
        <v>57</v>
      </c>
      <c r="AI161" t="s">
        <v>57</v>
      </c>
      <c r="AJ161" t="s">
        <v>58</v>
      </c>
      <c r="AK161" t="s">
        <v>57</v>
      </c>
      <c r="AL161" t="s">
        <v>58</v>
      </c>
      <c r="AM161" t="s">
        <v>57</v>
      </c>
      <c r="AN161" t="s">
        <v>57</v>
      </c>
      <c r="AO161" t="s">
        <v>57</v>
      </c>
      <c r="AP161" t="s">
        <v>57</v>
      </c>
      <c r="AQ161" t="s">
        <v>57</v>
      </c>
      <c r="AR161" t="s">
        <v>57</v>
      </c>
      <c r="AS161" t="s">
        <v>57</v>
      </c>
      <c r="AT161" t="s">
        <v>57</v>
      </c>
      <c r="AU161" t="s">
        <v>57</v>
      </c>
      <c r="AV161" t="s">
        <v>57</v>
      </c>
      <c r="AW161" t="s">
        <v>57</v>
      </c>
      <c r="AX161" t="s">
        <v>57</v>
      </c>
      <c r="AY161" t="s">
        <v>57</v>
      </c>
      <c r="AZ161" t="s">
        <v>57</v>
      </c>
      <c r="BA161" t="s">
        <v>57</v>
      </c>
      <c r="BB161" t="s">
        <v>57</v>
      </c>
      <c r="BC161" t="s">
        <v>175</v>
      </c>
      <c r="BD161" t="s">
        <v>175</v>
      </c>
      <c r="BE161" t="s">
        <v>57</v>
      </c>
      <c r="BF161" t="s">
        <v>57</v>
      </c>
      <c r="BG161" t="s">
        <v>57</v>
      </c>
      <c r="BH161" t="s">
        <v>57</v>
      </c>
      <c r="BI161" t="s">
        <v>57</v>
      </c>
      <c r="BJ161" t="s">
        <v>57</v>
      </c>
      <c r="BK161" t="s">
        <v>57</v>
      </c>
      <c r="BL161" t="s">
        <v>57</v>
      </c>
      <c r="BM161" t="s">
        <v>57</v>
      </c>
      <c r="BN161" t="s">
        <v>57</v>
      </c>
      <c r="BO161" t="s">
        <v>57</v>
      </c>
      <c r="BP161" t="s">
        <v>57</v>
      </c>
      <c r="BQ161" t="s">
        <v>57</v>
      </c>
      <c r="BR161" t="s">
        <v>57</v>
      </c>
      <c r="BS161" t="s">
        <v>57</v>
      </c>
      <c r="BT161" t="s">
        <v>57</v>
      </c>
      <c r="BU161" t="s">
        <v>57</v>
      </c>
      <c r="BV161" t="s">
        <v>57</v>
      </c>
      <c r="BW161" t="s">
        <v>57</v>
      </c>
      <c r="BX161" t="s">
        <v>57</v>
      </c>
      <c r="BY161" t="s">
        <v>57</v>
      </c>
      <c r="BZ161" t="s">
        <v>57</v>
      </c>
      <c r="CA161" t="s">
        <v>57</v>
      </c>
      <c r="CB161" t="s">
        <v>57</v>
      </c>
      <c r="CC161" t="s">
        <v>57</v>
      </c>
      <c r="CD161" t="s">
        <v>57</v>
      </c>
      <c r="CE161" t="s">
        <v>57</v>
      </c>
      <c r="CF161" t="s">
        <v>57</v>
      </c>
      <c r="CG161" t="s">
        <v>57</v>
      </c>
      <c r="CH161" t="s">
        <v>57</v>
      </c>
      <c r="CI161" t="s">
        <v>57</v>
      </c>
      <c r="CJ161" t="s">
        <v>57</v>
      </c>
      <c r="CK161" t="s">
        <v>57</v>
      </c>
      <c r="CL161" t="s">
        <v>175</v>
      </c>
      <c r="CM161" t="s">
        <v>175</v>
      </c>
      <c r="CN161" t="s">
        <v>57</v>
      </c>
      <c r="CO161" t="s">
        <v>57</v>
      </c>
      <c r="CP161" t="s">
        <v>57</v>
      </c>
      <c r="CQ161" t="s">
        <v>57</v>
      </c>
      <c r="CR161" t="s">
        <v>57</v>
      </c>
      <c r="CS161" t="s">
        <v>57</v>
      </c>
      <c r="CT161" t="s">
        <v>57</v>
      </c>
      <c r="CU161" t="s">
        <v>57</v>
      </c>
      <c r="CV161" t="s">
        <v>57</v>
      </c>
      <c r="CW161" t="s">
        <v>58</v>
      </c>
      <c r="CX161" t="s">
        <v>57</v>
      </c>
      <c r="CY161" t="s">
        <v>57</v>
      </c>
      <c r="CZ161" t="s">
        <v>57</v>
      </c>
      <c r="DA161" t="s">
        <v>57</v>
      </c>
      <c r="DB161" t="s">
        <v>57</v>
      </c>
      <c r="DC161" t="s">
        <v>57</v>
      </c>
      <c r="DD161" t="s">
        <v>57</v>
      </c>
      <c r="DE161" t="s">
        <v>57</v>
      </c>
      <c r="DF161" t="s">
        <v>57</v>
      </c>
      <c r="DG161" t="s">
        <v>57</v>
      </c>
      <c r="DH161" t="s">
        <v>57</v>
      </c>
      <c r="DI161" t="s">
        <v>57</v>
      </c>
      <c r="DJ161" t="s">
        <v>57</v>
      </c>
      <c r="DK161" t="s">
        <v>175</v>
      </c>
      <c r="DL161" t="s">
        <v>57</v>
      </c>
      <c r="DM161" t="s">
        <v>57</v>
      </c>
      <c r="DN161" t="s">
        <v>57</v>
      </c>
      <c r="DO161" t="s">
        <v>57</v>
      </c>
      <c r="DP161" t="s">
        <v>57</v>
      </c>
      <c r="DQ161" t="s">
        <v>57</v>
      </c>
      <c r="DR161" t="s">
        <v>57</v>
      </c>
      <c r="DS161" t="s">
        <v>57</v>
      </c>
      <c r="DT161" t="s">
        <v>57</v>
      </c>
      <c r="DU161" t="s">
        <v>57</v>
      </c>
      <c r="DV161" t="s">
        <v>57</v>
      </c>
      <c r="DW161" t="s">
        <v>57</v>
      </c>
      <c r="DX161" t="s">
        <v>57</v>
      </c>
      <c r="DY161" t="s">
        <v>175</v>
      </c>
      <c r="DZ161" t="s">
        <v>57</v>
      </c>
      <c r="EA161" t="s">
        <v>57</v>
      </c>
      <c r="EB161" t="s">
        <v>57</v>
      </c>
      <c r="EC161" t="s">
        <v>57</v>
      </c>
      <c r="ED161" t="s">
        <v>57</v>
      </c>
      <c r="EE161" t="s">
        <v>57</v>
      </c>
      <c r="EF161" t="s">
        <v>57</v>
      </c>
      <c r="EG161" t="s">
        <v>57</v>
      </c>
      <c r="EH161" t="s">
        <v>57</v>
      </c>
      <c r="EI161" t="s">
        <v>57</v>
      </c>
      <c r="EJ161" t="s">
        <v>57</v>
      </c>
      <c r="EK161" t="s">
        <v>57</v>
      </c>
      <c r="EL161" t="s">
        <v>57</v>
      </c>
      <c r="EM161" t="s">
        <v>57</v>
      </c>
      <c r="EN161" t="s">
        <v>57</v>
      </c>
      <c r="EO161" t="s">
        <v>57</v>
      </c>
      <c r="EP161" t="s">
        <v>57</v>
      </c>
      <c r="EQ161" t="s">
        <v>57</v>
      </c>
      <c r="ER161" t="s">
        <v>57</v>
      </c>
      <c r="ES161" t="s">
        <v>57</v>
      </c>
      <c r="ET161" t="s">
        <v>57</v>
      </c>
      <c r="EU161" t="s">
        <v>57</v>
      </c>
      <c r="EV161" t="s">
        <v>57</v>
      </c>
      <c r="EW161" t="s">
        <v>57</v>
      </c>
      <c r="EX161" t="s">
        <v>57</v>
      </c>
      <c r="EY161" t="s">
        <v>57</v>
      </c>
      <c r="EZ161" t="s">
        <v>57</v>
      </c>
      <c r="FA161" t="s">
        <v>57</v>
      </c>
      <c r="FB161" t="s">
        <v>57</v>
      </c>
      <c r="FC161" t="s">
        <v>57</v>
      </c>
      <c r="FD161" t="s">
        <v>57</v>
      </c>
      <c r="FE161" t="s">
        <v>57</v>
      </c>
      <c r="FF161" t="s">
        <v>57</v>
      </c>
      <c r="FG161" t="s">
        <v>57</v>
      </c>
      <c r="FH161" t="s">
        <v>57</v>
      </c>
      <c r="FI161" t="s">
        <v>57</v>
      </c>
      <c r="FJ161" t="s">
        <v>57</v>
      </c>
      <c r="FK161" t="s">
        <v>57</v>
      </c>
      <c r="FL161" t="s">
        <v>58</v>
      </c>
      <c r="FM161" t="s">
        <v>57</v>
      </c>
      <c r="FN161" t="s">
        <v>58</v>
      </c>
      <c r="FO161" t="s">
        <v>175</v>
      </c>
      <c r="FP161" t="s">
        <v>57</v>
      </c>
      <c r="FQ161" t="s">
        <v>57</v>
      </c>
      <c r="FR161" t="s">
        <v>57</v>
      </c>
      <c r="FS161" t="s">
        <v>57</v>
      </c>
      <c r="FT161" t="s">
        <v>57</v>
      </c>
      <c r="FU161" t="s">
        <v>57</v>
      </c>
      <c r="FV161" t="s">
        <v>57</v>
      </c>
      <c r="FW161" t="s">
        <v>57</v>
      </c>
      <c r="FX161" t="s">
        <v>57</v>
      </c>
      <c r="FY161" t="s">
        <v>57</v>
      </c>
      <c r="FZ161" t="s">
        <v>57</v>
      </c>
      <c r="GA161" t="s">
        <v>57</v>
      </c>
      <c r="GB161" t="s">
        <v>57</v>
      </c>
      <c r="GC161" t="s">
        <v>57</v>
      </c>
      <c r="GD161" t="s">
        <v>57</v>
      </c>
      <c r="GE161" t="s">
        <v>57</v>
      </c>
      <c r="GF161" t="s">
        <v>57</v>
      </c>
      <c r="GG161" t="s">
        <v>175</v>
      </c>
      <c r="GH161" t="s">
        <v>58</v>
      </c>
      <c r="GI161" t="s">
        <v>57</v>
      </c>
      <c r="GJ161" t="s">
        <v>57</v>
      </c>
      <c r="GK161" t="s">
        <v>58</v>
      </c>
      <c r="GL161" t="s">
        <v>58</v>
      </c>
      <c r="GM161" t="s">
        <v>175</v>
      </c>
      <c r="GN161" t="s">
        <v>57</v>
      </c>
      <c r="GO161" t="s">
        <v>57</v>
      </c>
      <c r="GP161" t="s">
        <v>57</v>
      </c>
      <c r="GQ161" t="s">
        <v>57</v>
      </c>
      <c r="GR161" t="s">
        <v>175</v>
      </c>
      <c r="GS161" t="s">
        <v>57</v>
      </c>
      <c r="GT161" t="s">
        <v>57</v>
      </c>
      <c r="GU161" t="s">
        <v>57</v>
      </c>
      <c r="GV161" t="s">
        <v>57</v>
      </c>
      <c r="GW161" t="s">
        <v>175</v>
      </c>
      <c r="GX161" t="s">
        <v>175</v>
      </c>
      <c r="GY161" t="s">
        <v>57</v>
      </c>
      <c r="GZ161" t="s">
        <v>58</v>
      </c>
      <c r="HA161" t="s">
        <v>58</v>
      </c>
      <c r="HB161" t="s">
        <v>58</v>
      </c>
      <c r="HC161" t="s">
        <v>58</v>
      </c>
      <c r="HD161" t="s">
        <v>58</v>
      </c>
      <c r="HE161" t="s">
        <v>175</v>
      </c>
      <c r="HF161" t="s">
        <v>57</v>
      </c>
      <c r="HG161" t="s">
        <v>58</v>
      </c>
      <c r="HH161" t="s">
        <v>57</v>
      </c>
      <c r="HI161" t="s">
        <v>175</v>
      </c>
      <c r="HJ161" t="s">
        <v>175</v>
      </c>
      <c r="HK161" t="s">
        <v>175</v>
      </c>
      <c r="HL161" t="s">
        <v>57</v>
      </c>
      <c r="HM161" t="s">
        <v>57</v>
      </c>
      <c r="HN161" t="s">
        <v>57</v>
      </c>
      <c r="HO161" t="s">
        <v>57</v>
      </c>
      <c r="HP161" t="s">
        <v>57</v>
      </c>
      <c r="HQ161" t="s">
        <v>57</v>
      </c>
      <c r="HR161" t="s">
        <v>57</v>
      </c>
      <c r="HS161" t="s">
        <v>57</v>
      </c>
      <c r="HT161" t="s">
        <v>57</v>
      </c>
      <c r="HU161" t="s">
        <v>57</v>
      </c>
      <c r="HV161" t="s">
        <v>57</v>
      </c>
      <c r="HW161" t="s">
        <v>57</v>
      </c>
      <c r="HX161" t="s">
        <v>57</v>
      </c>
      <c r="HY161" t="s">
        <v>57</v>
      </c>
      <c r="HZ161" t="s">
        <v>57</v>
      </c>
      <c r="IA161" t="s">
        <v>57</v>
      </c>
      <c r="IB161" t="s">
        <v>58</v>
      </c>
      <c r="IC161" t="s">
        <v>58</v>
      </c>
      <c r="ID161" t="s">
        <v>58</v>
      </c>
      <c r="IE161" t="s">
        <v>57</v>
      </c>
      <c r="IF161" t="s">
        <v>124</v>
      </c>
      <c r="IG161" t="s">
        <v>148</v>
      </c>
      <c r="IH161" t="s">
        <v>123</v>
      </c>
      <c r="II161" t="s">
        <v>156</v>
      </c>
    </row>
    <row r="162" spans="1:243" x14ac:dyDescent="0.25">
      <c r="A162" s="201" t="str">
        <f>HYPERLINK("http://www.ofsted.gov.uk/inspection-reports/find-inspection-report/provider/ELS/135373 ","Ofsted School Webpage")</f>
        <v>Ofsted School Webpage</v>
      </c>
      <c r="B162">
        <v>135373</v>
      </c>
      <c r="C162">
        <v>3046121</v>
      </c>
      <c r="D162" t="s">
        <v>1228</v>
      </c>
      <c r="E162" t="s">
        <v>37</v>
      </c>
      <c r="F162" t="s">
        <v>138</v>
      </c>
      <c r="G162" t="s">
        <v>189</v>
      </c>
      <c r="H162" t="s">
        <v>189</v>
      </c>
      <c r="I162" t="s">
        <v>702</v>
      </c>
      <c r="J162" t="s">
        <v>1229</v>
      </c>
      <c r="K162" t="s">
        <v>142</v>
      </c>
      <c r="L162" t="s">
        <v>142</v>
      </c>
      <c r="M162" t="s">
        <v>2596</v>
      </c>
      <c r="N162" t="s">
        <v>143</v>
      </c>
      <c r="O162">
        <v>10041399</v>
      </c>
      <c r="P162" s="108">
        <v>43137</v>
      </c>
      <c r="Q162" s="108">
        <v>43139</v>
      </c>
      <c r="R162" s="108">
        <v>43166</v>
      </c>
      <c r="S162" t="s">
        <v>153</v>
      </c>
      <c r="T162" t="s">
        <v>154</v>
      </c>
      <c r="U162">
        <v>2</v>
      </c>
      <c r="V162">
        <v>2</v>
      </c>
      <c r="W162">
        <v>1</v>
      </c>
      <c r="X162">
        <v>1</v>
      </c>
      <c r="Y162">
        <v>1</v>
      </c>
      <c r="Z162" t="s">
        <v>2596</v>
      </c>
      <c r="AA162" t="s">
        <v>2596</v>
      </c>
      <c r="AB162" t="s">
        <v>123</v>
      </c>
      <c r="AC162" t="s">
        <v>2596</v>
      </c>
      <c r="AD162" t="s">
        <v>2598</v>
      </c>
      <c r="AE162" t="s">
        <v>57</v>
      </c>
      <c r="AF162" t="s">
        <v>57</v>
      </c>
      <c r="AG162" t="s">
        <v>57</v>
      </c>
      <c r="AH162" t="s">
        <v>57</v>
      </c>
      <c r="AI162" t="s">
        <v>57</v>
      </c>
      <c r="AJ162" t="s">
        <v>57</v>
      </c>
      <c r="AK162" t="s">
        <v>57</v>
      </c>
      <c r="AL162" t="s">
        <v>57</v>
      </c>
      <c r="AM162" t="s">
        <v>57</v>
      </c>
      <c r="AN162" t="s">
        <v>57</v>
      </c>
      <c r="AO162" t="s">
        <v>57</v>
      </c>
      <c r="AP162" t="s">
        <v>57</v>
      </c>
      <c r="AQ162" t="s">
        <v>57</v>
      </c>
      <c r="AR162" t="s">
        <v>57</v>
      </c>
      <c r="AS162" t="s">
        <v>57</v>
      </c>
      <c r="AT162" t="s">
        <v>57</v>
      </c>
      <c r="AU162" t="s">
        <v>175</v>
      </c>
      <c r="AV162" t="s">
        <v>57</v>
      </c>
      <c r="AW162" t="s">
        <v>57</v>
      </c>
      <c r="AX162" t="s">
        <v>57</v>
      </c>
      <c r="AY162" t="s">
        <v>57</v>
      </c>
      <c r="AZ162" t="s">
        <v>57</v>
      </c>
      <c r="BA162" t="s">
        <v>57</v>
      </c>
      <c r="BB162" t="s">
        <v>57</v>
      </c>
      <c r="BC162" t="s">
        <v>175</v>
      </c>
      <c r="BD162" t="s">
        <v>57</v>
      </c>
      <c r="BE162" t="s">
        <v>57</v>
      </c>
      <c r="BF162" t="s">
        <v>57</v>
      </c>
      <c r="BG162" t="s">
        <v>57</v>
      </c>
      <c r="BH162" t="s">
        <v>57</v>
      </c>
      <c r="BI162" t="s">
        <v>57</v>
      </c>
      <c r="BJ162" t="s">
        <v>57</v>
      </c>
      <c r="BK162" t="s">
        <v>57</v>
      </c>
      <c r="BL162" t="s">
        <v>57</v>
      </c>
      <c r="BM162" t="s">
        <v>57</v>
      </c>
      <c r="BN162" t="s">
        <v>57</v>
      </c>
      <c r="BO162" t="s">
        <v>57</v>
      </c>
      <c r="BP162" t="s">
        <v>57</v>
      </c>
      <c r="BQ162" t="s">
        <v>57</v>
      </c>
      <c r="BR162" t="s">
        <v>57</v>
      </c>
      <c r="BS162" t="s">
        <v>57</v>
      </c>
      <c r="BT162" t="s">
        <v>57</v>
      </c>
      <c r="BU162" t="s">
        <v>57</v>
      </c>
      <c r="BV162" t="s">
        <v>57</v>
      </c>
      <c r="BW162" t="s">
        <v>57</v>
      </c>
      <c r="BX162" t="s">
        <v>57</v>
      </c>
      <c r="BY162" t="s">
        <v>57</v>
      </c>
      <c r="BZ162" t="s">
        <v>57</v>
      </c>
      <c r="CA162" t="s">
        <v>57</v>
      </c>
      <c r="CB162" t="s">
        <v>57</v>
      </c>
      <c r="CC162" t="s">
        <v>57</v>
      </c>
      <c r="CD162" t="s">
        <v>57</v>
      </c>
      <c r="CE162" t="s">
        <v>57</v>
      </c>
      <c r="CF162" t="s">
        <v>57</v>
      </c>
      <c r="CG162" t="s">
        <v>57</v>
      </c>
      <c r="CH162" t="s">
        <v>57</v>
      </c>
      <c r="CI162" t="s">
        <v>57</v>
      </c>
      <c r="CJ162" t="s">
        <v>57</v>
      </c>
      <c r="CK162" t="s">
        <v>175</v>
      </c>
      <c r="CL162" t="s">
        <v>175</v>
      </c>
      <c r="CM162" t="s">
        <v>175</v>
      </c>
      <c r="CN162" t="s">
        <v>57</v>
      </c>
      <c r="CO162" t="s">
        <v>57</v>
      </c>
      <c r="CP162" t="s">
        <v>57</v>
      </c>
      <c r="CQ162" t="s">
        <v>57</v>
      </c>
      <c r="CR162" t="s">
        <v>57</v>
      </c>
      <c r="CS162" t="s">
        <v>57</v>
      </c>
      <c r="CT162" t="s">
        <v>57</v>
      </c>
      <c r="CU162" t="s">
        <v>57</v>
      </c>
      <c r="CV162" t="s">
        <v>57</v>
      </c>
      <c r="CW162" t="s">
        <v>57</v>
      </c>
      <c r="CX162" t="s">
        <v>57</v>
      </c>
      <c r="CY162" t="s">
        <v>57</v>
      </c>
      <c r="CZ162" t="s">
        <v>57</v>
      </c>
      <c r="DA162" t="s">
        <v>57</v>
      </c>
      <c r="DB162" t="s">
        <v>57</v>
      </c>
      <c r="DC162" t="s">
        <v>57</v>
      </c>
      <c r="DD162" t="s">
        <v>57</v>
      </c>
      <c r="DE162" t="s">
        <v>57</v>
      </c>
      <c r="DF162" t="s">
        <v>57</v>
      </c>
      <c r="DG162" t="s">
        <v>57</v>
      </c>
      <c r="DH162" t="s">
        <v>57</v>
      </c>
      <c r="DI162" t="s">
        <v>57</v>
      </c>
      <c r="DJ162" t="s">
        <v>57</v>
      </c>
      <c r="DK162" t="s">
        <v>175</v>
      </c>
      <c r="DL162" t="s">
        <v>57</v>
      </c>
      <c r="DM162" t="s">
        <v>175</v>
      </c>
      <c r="DN162" t="s">
        <v>175</v>
      </c>
      <c r="DO162" t="s">
        <v>175</v>
      </c>
      <c r="DP162" t="s">
        <v>175</v>
      </c>
      <c r="DQ162" t="s">
        <v>175</v>
      </c>
      <c r="DR162" t="s">
        <v>175</v>
      </c>
      <c r="DS162" t="s">
        <v>175</v>
      </c>
      <c r="DT162" t="s">
        <v>175</v>
      </c>
      <c r="DU162" t="s">
        <v>175</v>
      </c>
      <c r="DV162" t="s">
        <v>175</v>
      </c>
      <c r="DW162" t="s">
        <v>175</v>
      </c>
      <c r="DX162" t="s">
        <v>175</v>
      </c>
      <c r="DY162" t="s">
        <v>175</v>
      </c>
      <c r="DZ162" t="s">
        <v>175</v>
      </c>
      <c r="EA162" t="s">
        <v>57</v>
      </c>
      <c r="EB162" t="s">
        <v>57</v>
      </c>
      <c r="EC162" t="s">
        <v>57</v>
      </c>
      <c r="ED162" t="s">
        <v>57</v>
      </c>
      <c r="EE162" t="s">
        <v>57</v>
      </c>
      <c r="EF162" t="s">
        <v>57</v>
      </c>
      <c r="EG162" t="s">
        <v>57</v>
      </c>
      <c r="EH162" t="s">
        <v>57</v>
      </c>
      <c r="EI162" t="s">
        <v>57</v>
      </c>
      <c r="EJ162" t="s">
        <v>57</v>
      </c>
      <c r="EK162" t="s">
        <v>57</v>
      </c>
      <c r="EL162" t="s">
        <v>57</v>
      </c>
      <c r="EM162" t="s">
        <v>57</v>
      </c>
      <c r="EN162" t="s">
        <v>57</v>
      </c>
      <c r="EO162" t="s">
        <v>57</v>
      </c>
      <c r="EP162" t="s">
        <v>57</v>
      </c>
      <c r="EQ162" t="s">
        <v>57</v>
      </c>
      <c r="ER162" t="s">
        <v>57</v>
      </c>
      <c r="ES162" t="s">
        <v>57</v>
      </c>
      <c r="ET162" t="s">
        <v>57</v>
      </c>
      <c r="EU162" t="s">
        <v>57</v>
      </c>
      <c r="EV162" t="s">
        <v>57</v>
      </c>
      <c r="EW162" t="s">
        <v>57</v>
      </c>
      <c r="EX162" t="s">
        <v>175</v>
      </c>
      <c r="EY162" t="s">
        <v>175</v>
      </c>
      <c r="EZ162" t="s">
        <v>175</v>
      </c>
      <c r="FA162" t="s">
        <v>175</v>
      </c>
      <c r="FB162" t="s">
        <v>175</v>
      </c>
      <c r="FC162" t="s">
        <v>175</v>
      </c>
      <c r="FD162" t="s">
        <v>57</v>
      </c>
      <c r="FE162" t="s">
        <v>175</v>
      </c>
      <c r="FF162" t="s">
        <v>148</v>
      </c>
      <c r="FG162" t="s">
        <v>175</v>
      </c>
      <c r="FH162" t="s">
        <v>57</v>
      </c>
      <c r="FI162" t="s">
        <v>57</v>
      </c>
      <c r="FJ162" t="s">
        <v>57</v>
      </c>
      <c r="FK162" t="s">
        <v>57</v>
      </c>
      <c r="FL162" t="s">
        <v>57</v>
      </c>
      <c r="FM162" t="s">
        <v>57</v>
      </c>
      <c r="FN162" t="s">
        <v>57</v>
      </c>
      <c r="FO162" t="s">
        <v>175</v>
      </c>
      <c r="FP162" t="s">
        <v>57</v>
      </c>
      <c r="FQ162" t="s">
        <v>57</v>
      </c>
      <c r="FR162" t="s">
        <v>57</v>
      </c>
      <c r="FS162" t="s">
        <v>57</v>
      </c>
      <c r="FT162" t="s">
        <v>57</v>
      </c>
      <c r="FU162" t="s">
        <v>57</v>
      </c>
      <c r="FV162" t="s">
        <v>57</v>
      </c>
      <c r="FW162" t="s">
        <v>57</v>
      </c>
      <c r="FX162" t="s">
        <v>57</v>
      </c>
      <c r="FY162" t="s">
        <v>57</v>
      </c>
      <c r="FZ162" t="s">
        <v>57</v>
      </c>
      <c r="GA162" t="s">
        <v>57</v>
      </c>
      <c r="GB162" t="s">
        <v>57</v>
      </c>
      <c r="GC162" t="s">
        <v>57</v>
      </c>
      <c r="GD162" t="s">
        <v>57</v>
      </c>
      <c r="GE162" t="s">
        <v>57</v>
      </c>
      <c r="GF162" t="s">
        <v>57</v>
      </c>
      <c r="GG162" t="s">
        <v>175</v>
      </c>
      <c r="GH162" t="s">
        <v>57</v>
      </c>
      <c r="GI162" t="s">
        <v>57</v>
      </c>
      <c r="GJ162" t="s">
        <v>57</v>
      </c>
      <c r="GK162" t="s">
        <v>57</v>
      </c>
      <c r="GL162" t="s">
        <v>57</v>
      </c>
      <c r="GM162" t="s">
        <v>175</v>
      </c>
      <c r="GN162" t="s">
        <v>57</v>
      </c>
      <c r="GO162" t="s">
        <v>57</v>
      </c>
      <c r="GP162" t="s">
        <v>57</v>
      </c>
      <c r="GQ162" t="s">
        <v>57</v>
      </c>
      <c r="GR162" t="s">
        <v>57</v>
      </c>
      <c r="GS162" t="s">
        <v>57</v>
      </c>
      <c r="GT162" t="s">
        <v>57</v>
      </c>
      <c r="GU162" t="s">
        <v>57</v>
      </c>
      <c r="GV162" t="s">
        <v>175</v>
      </c>
      <c r="GW162" t="s">
        <v>57</v>
      </c>
      <c r="GX162" t="s">
        <v>57</v>
      </c>
      <c r="GY162" t="s">
        <v>57</v>
      </c>
      <c r="GZ162" t="s">
        <v>57</v>
      </c>
      <c r="HA162" t="s">
        <v>57</v>
      </c>
      <c r="HB162" t="s">
        <v>57</v>
      </c>
      <c r="HC162" t="s">
        <v>57</v>
      </c>
      <c r="HD162" t="s">
        <v>57</v>
      </c>
      <c r="HE162" t="s">
        <v>57</v>
      </c>
      <c r="HF162" t="s">
        <v>57</v>
      </c>
      <c r="HG162" t="s">
        <v>57</v>
      </c>
      <c r="HH162" t="s">
        <v>175</v>
      </c>
      <c r="HI162" t="s">
        <v>175</v>
      </c>
      <c r="HJ162" t="s">
        <v>175</v>
      </c>
      <c r="HK162" t="s">
        <v>175</v>
      </c>
      <c r="HL162" t="s">
        <v>57</v>
      </c>
      <c r="HM162" t="s">
        <v>57</v>
      </c>
      <c r="HN162" t="s">
        <v>57</v>
      </c>
      <c r="HO162" t="s">
        <v>57</v>
      </c>
      <c r="HP162" t="s">
        <v>57</v>
      </c>
      <c r="HQ162" t="s">
        <v>57</v>
      </c>
      <c r="HR162" t="s">
        <v>57</v>
      </c>
      <c r="HS162" t="s">
        <v>57</v>
      </c>
      <c r="HT162" t="s">
        <v>57</v>
      </c>
      <c r="HU162" t="s">
        <v>57</v>
      </c>
      <c r="HV162" t="s">
        <v>57</v>
      </c>
      <c r="HW162" t="s">
        <v>57</v>
      </c>
      <c r="HX162" t="s">
        <v>57</v>
      </c>
      <c r="HY162" t="s">
        <v>57</v>
      </c>
      <c r="HZ162" t="s">
        <v>57</v>
      </c>
      <c r="IA162" t="s">
        <v>57</v>
      </c>
      <c r="IB162" t="s">
        <v>57</v>
      </c>
      <c r="IC162" t="s">
        <v>57</v>
      </c>
      <c r="ID162" t="s">
        <v>57</v>
      </c>
      <c r="IE162" t="s">
        <v>57</v>
      </c>
      <c r="IF162" t="s">
        <v>124</v>
      </c>
      <c r="IG162" t="s">
        <v>148</v>
      </c>
      <c r="IH162" t="s">
        <v>123</v>
      </c>
      <c r="II162" t="s">
        <v>156</v>
      </c>
    </row>
    <row r="163" spans="1:243" x14ac:dyDescent="0.25">
      <c r="A163" s="201" t="str">
        <f>HYPERLINK("http://www.ofsted.gov.uk/inspection-reports/find-inspection-report/provider/ELS/135376 ","Ofsted School Webpage")</f>
        <v>Ofsted School Webpage</v>
      </c>
      <c r="B163">
        <v>135376</v>
      </c>
      <c r="C163">
        <v>3706005</v>
      </c>
      <c r="D163" t="s">
        <v>520</v>
      </c>
      <c r="E163" t="s">
        <v>37</v>
      </c>
      <c r="F163" t="s">
        <v>138</v>
      </c>
      <c r="G163" t="s">
        <v>202</v>
      </c>
      <c r="H163" t="s">
        <v>203</v>
      </c>
      <c r="I163" t="s">
        <v>521</v>
      </c>
      <c r="J163" t="s">
        <v>522</v>
      </c>
      <c r="K163" t="s">
        <v>142</v>
      </c>
      <c r="L163" t="s">
        <v>142</v>
      </c>
      <c r="M163" t="s">
        <v>2596</v>
      </c>
      <c r="N163" t="s">
        <v>143</v>
      </c>
      <c r="O163">
        <v>10043655</v>
      </c>
      <c r="P163" s="108">
        <v>43137</v>
      </c>
      <c r="Q163" s="108">
        <v>43138</v>
      </c>
      <c r="R163" s="108">
        <v>43168</v>
      </c>
      <c r="S163" t="s">
        <v>153</v>
      </c>
      <c r="T163" t="s">
        <v>154</v>
      </c>
      <c r="U163">
        <v>3</v>
      </c>
      <c r="V163">
        <v>3</v>
      </c>
      <c r="W163">
        <v>3</v>
      </c>
      <c r="X163">
        <v>2</v>
      </c>
      <c r="Y163">
        <v>2</v>
      </c>
      <c r="Z163" t="s">
        <v>2596</v>
      </c>
      <c r="AA163" t="s">
        <v>2596</v>
      </c>
      <c r="AB163" t="s">
        <v>123</v>
      </c>
      <c r="AC163" t="s">
        <v>2596</v>
      </c>
      <c r="AD163" t="s">
        <v>2599</v>
      </c>
      <c r="AE163" t="s">
        <v>58</v>
      </c>
      <c r="AF163" t="s">
        <v>58</v>
      </c>
      <c r="AG163" t="s">
        <v>57</v>
      </c>
      <c r="AH163" t="s">
        <v>57</v>
      </c>
      <c r="AI163" t="s">
        <v>57</v>
      </c>
      <c r="AJ163" t="s">
        <v>57</v>
      </c>
      <c r="AK163" t="s">
        <v>57</v>
      </c>
      <c r="AL163" t="s">
        <v>58</v>
      </c>
      <c r="AM163" t="s">
        <v>58</v>
      </c>
      <c r="AN163" t="s">
        <v>58</v>
      </c>
      <c r="AO163" t="s">
        <v>57</v>
      </c>
      <c r="AP163" t="s">
        <v>57</v>
      </c>
      <c r="AQ163" t="s">
        <v>57</v>
      </c>
      <c r="AR163" t="s">
        <v>57</v>
      </c>
      <c r="AS163" t="s">
        <v>57</v>
      </c>
      <c r="AT163" t="s">
        <v>57</v>
      </c>
      <c r="AU163" t="s">
        <v>175</v>
      </c>
      <c r="AV163" t="s">
        <v>58</v>
      </c>
      <c r="AW163" t="s">
        <v>57</v>
      </c>
      <c r="AX163" t="s">
        <v>58</v>
      </c>
      <c r="AY163" t="s">
        <v>57</v>
      </c>
      <c r="AZ163" t="s">
        <v>57</v>
      </c>
      <c r="BA163" t="s">
        <v>57</v>
      </c>
      <c r="BB163" t="s">
        <v>57</v>
      </c>
      <c r="BC163" t="s">
        <v>57</v>
      </c>
      <c r="BD163" t="s">
        <v>58</v>
      </c>
      <c r="BE163" t="s">
        <v>57</v>
      </c>
      <c r="BF163" t="s">
        <v>57</v>
      </c>
      <c r="BG163" t="s">
        <v>57</v>
      </c>
      <c r="BH163" t="s">
        <v>57</v>
      </c>
      <c r="BI163" t="s">
        <v>57</v>
      </c>
      <c r="BJ163" t="s">
        <v>57</v>
      </c>
      <c r="BK163" t="s">
        <v>57</v>
      </c>
      <c r="BL163" t="s">
        <v>57</v>
      </c>
      <c r="BM163" t="s">
        <v>57</v>
      </c>
      <c r="BN163" t="s">
        <v>57</v>
      </c>
      <c r="BO163" t="s">
        <v>57</v>
      </c>
      <c r="BP163" t="s">
        <v>57</v>
      </c>
      <c r="BQ163" t="s">
        <v>57</v>
      </c>
      <c r="BR163" t="s">
        <v>57</v>
      </c>
      <c r="BS163" t="s">
        <v>58</v>
      </c>
      <c r="BT163" t="s">
        <v>58</v>
      </c>
      <c r="BU163" t="s">
        <v>58</v>
      </c>
      <c r="BV163" t="s">
        <v>57</v>
      </c>
      <c r="BW163" t="s">
        <v>58</v>
      </c>
      <c r="BX163" t="s">
        <v>57</v>
      </c>
      <c r="BY163" t="s">
        <v>58</v>
      </c>
      <c r="BZ163" t="s">
        <v>57</v>
      </c>
      <c r="CA163" t="s">
        <v>58</v>
      </c>
      <c r="CB163" t="s">
        <v>58</v>
      </c>
      <c r="CC163" t="s">
        <v>57</v>
      </c>
      <c r="CD163" t="s">
        <v>57</v>
      </c>
      <c r="CE163" t="s">
        <v>57</v>
      </c>
      <c r="CF163" t="s">
        <v>57</v>
      </c>
      <c r="CG163" t="s">
        <v>57</v>
      </c>
      <c r="CH163" t="s">
        <v>57</v>
      </c>
      <c r="CI163" t="s">
        <v>57</v>
      </c>
      <c r="CJ163" t="s">
        <v>57</v>
      </c>
      <c r="CK163" t="s">
        <v>57</v>
      </c>
      <c r="CL163" t="s">
        <v>57</v>
      </c>
      <c r="CM163" t="s">
        <v>175</v>
      </c>
      <c r="CN163" t="s">
        <v>57</v>
      </c>
      <c r="CO163" t="s">
        <v>57</v>
      </c>
      <c r="CP163" t="s">
        <v>57</v>
      </c>
      <c r="CQ163" t="s">
        <v>57</v>
      </c>
      <c r="CR163" t="s">
        <v>57</v>
      </c>
      <c r="CS163" t="s">
        <v>57</v>
      </c>
      <c r="CT163" t="s">
        <v>57</v>
      </c>
      <c r="CU163" t="s">
        <v>57</v>
      </c>
      <c r="CV163" t="s">
        <v>57</v>
      </c>
      <c r="CW163" t="s">
        <v>57</v>
      </c>
      <c r="CX163" t="s">
        <v>57</v>
      </c>
      <c r="CY163" t="s">
        <v>57</v>
      </c>
      <c r="CZ163" t="s">
        <v>57</v>
      </c>
      <c r="DA163" t="s">
        <v>57</v>
      </c>
      <c r="DB163" t="s">
        <v>57</v>
      </c>
      <c r="DC163" t="s">
        <v>57</v>
      </c>
      <c r="DD163" t="s">
        <v>57</v>
      </c>
      <c r="DE163" t="s">
        <v>57</v>
      </c>
      <c r="DF163" t="s">
        <v>57</v>
      </c>
      <c r="DG163" t="s">
        <v>57</v>
      </c>
      <c r="DH163" t="s">
        <v>57</v>
      </c>
      <c r="DI163" t="s">
        <v>57</v>
      </c>
      <c r="DJ163" t="s">
        <v>57</v>
      </c>
      <c r="DK163" t="s">
        <v>57</v>
      </c>
      <c r="DL163" t="s">
        <v>57</v>
      </c>
      <c r="DM163" t="s">
        <v>57</v>
      </c>
      <c r="DN163" t="s">
        <v>57</v>
      </c>
      <c r="DO163" t="s">
        <v>57</v>
      </c>
      <c r="DP163" t="s">
        <v>57</v>
      </c>
      <c r="DQ163" t="s">
        <v>57</v>
      </c>
      <c r="DR163" t="s">
        <v>57</v>
      </c>
      <c r="DS163" t="s">
        <v>57</v>
      </c>
      <c r="DT163" t="s">
        <v>57</v>
      </c>
      <c r="DU163" t="s">
        <v>57</v>
      </c>
      <c r="DV163" t="s">
        <v>57</v>
      </c>
      <c r="DW163" t="s">
        <v>57</v>
      </c>
      <c r="DX163" t="s">
        <v>57</v>
      </c>
      <c r="DY163" t="s">
        <v>175</v>
      </c>
      <c r="DZ163" t="s">
        <v>57</v>
      </c>
      <c r="EA163" t="s">
        <v>57</v>
      </c>
      <c r="EB163" t="s">
        <v>57</v>
      </c>
      <c r="EC163" t="s">
        <v>57</v>
      </c>
      <c r="ED163" t="s">
        <v>57</v>
      </c>
      <c r="EE163" t="s">
        <v>57</v>
      </c>
      <c r="EF163" t="s">
        <v>57</v>
      </c>
      <c r="EG163" t="s">
        <v>57</v>
      </c>
      <c r="EH163" t="s">
        <v>57</v>
      </c>
      <c r="EI163" t="s">
        <v>57</v>
      </c>
      <c r="EJ163" t="s">
        <v>57</v>
      </c>
      <c r="EK163" t="s">
        <v>57</v>
      </c>
      <c r="EL163" t="s">
        <v>57</v>
      </c>
      <c r="EM163" t="s">
        <v>57</v>
      </c>
      <c r="EN163" t="s">
        <v>57</v>
      </c>
      <c r="EO163" t="s">
        <v>57</v>
      </c>
      <c r="EP163" t="s">
        <v>57</v>
      </c>
      <c r="EQ163" t="s">
        <v>57</v>
      </c>
      <c r="ER163" t="s">
        <v>57</v>
      </c>
      <c r="ES163" t="s">
        <v>57</v>
      </c>
      <c r="ET163" t="s">
        <v>57</v>
      </c>
      <c r="EU163" t="s">
        <v>57</v>
      </c>
      <c r="EV163" t="s">
        <v>57</v>
      </c>
      <c r="EW163" t="s">
        <v>57</v>
      </c>
      <c r="EX163" t="s">
        <v>57</v>
      </c>
      <c r="EY163" t="s">
        <v>57</v>
      </c>
      <c r="EZ163" t="s">
        <v>57</v>
      </c>
      <c r="FA163" t="s">
        <v>57</v>
      </c>
      <c r="FB163" t="s">
        <v>57</v>
      </c>
      <c r="FC163" t="s">
        <v>57</v>
      </c>
      <c r="FD163" t="s">
        <v>57</v>
      </c>
      <c r="FE163" t="s">
        <v>57</v>
      </c>
      <c r="FF163" t="s">
        <v>57</v>
      </c>
      <c r="FG163" t="s">
        <v>57</v>
      </c>
      <c r="FH163" t="s">
        <v>57</v>
      </c>
      <c r="FI163" t="s">
        <v>57</v>
      </c>
      <c r="FJ163" t="s">
        <v>57</v>
      </c>
      <c r="FK163" t="s">
        <v>175</v>
      </c>
      <c r="FL163" t="s">
        <v>57</v>
      </c>
      <c r="FM163" t="s">
        <v>57</v>
      </c>
      <c r="FN163" t="s">
        <v>57</v>
      </c>
      <c r="FO163" t="s">
        <v>175</v>
      </c>
      <c r="FP163" t="s">
        <v>57</v>
      </c>
      <c r="FQ163" t="s">
        <v>57</v>
      </c>
      <c r="FR163" t="s">
        <v>57</v>
      </c>
      <c r="FS163" t="s">
        <v>57</v>
      </c>
      <c r="FT163" t="s">
        <v>57</v>
      </c>
      <c r="FU163" t="s">
        <v>58</v>
      </c>
      <c r="FV163" t="s">
        <v>57</v>
      </c>
      <c r="FW163" t="s">
        <v>57</v>
      </c>
      <c r="FX163" t="s">
        <v>57</v>
      </c>
      <c r="FY163" t="s">
        <v>57</v>
      </c>
      <c r="FZ163" t="s">
        <v>57</v>
      </c>
      <c r="GA163" t="s">
        <v>57</v>
      </c>
      <c r="GB163" t="s">
        <v>57</v>
      </c>
      <c r="GC163" t="s">
        <v>57</v>
      </c>
      <c r="GD163" t="s">
        <v>58</v>
      </c>
      <c r="GE163" t="s">
        <v>175</v>
      </c>
      <c r="GF163" t="s">
        <v>58</v>
      </c>
      <c r="GG163" t="s">
        <v>175</v>
      </c>
      <c r="GH163" t="s">
        <v>57</v>
      </c>
      <c r="GI163" t="s">
        <v>57</v>
      </c>
      <c r="GJ163" t="s">
        <v>57</v>
      </c>
      <c r="GK163" t="s">
        <v>57</v>
      </c>
      <c r="GL163" t="s">
        <v>57</v>
      </c>
      <c r="GM163" t="s">
        <v>57</v>
      </c>
      <c r="GN163" t="s">
        <v>57</v>
      </c>
      <c r="GO163" t="s">
        <v>57</v>
      </c>
      <c r="GP163" t="s">
        <v>57</v>
      </c>
      <c r="GQ163" t="s">
        <v>57</v>
      </c>
      <c r="GR163" t="s">
        <v>57</v>
      </c>
      <c r="GS163" t="s">
        <v>57</v>
      </c>
      <c r="GT163" t="s">
        <v>57</v>
      </c>
      <c r="GU163" t="s">
        <v>57</v>
      </c>
      <c r="GV163" t="s">
        <v>57</v>
      </c>
      <c r="GW163" t="s">
        <v>57</v>
      </c>
      <c r="GX163" t="s">
        <v>57</v>
      </c>
      <c r="GY163" t="s">
        <v>57</v>
      </c>
      <c r="GZ163" t="s">
        <v>57</v>
      </c>
      <c r="HA163" t="s">
        <v>57</v>
      </c>
      <c r="HB163" t="s">
        <v>57</v>
      </c>
      <c r="HC163" t="s">
        <v>57</v>
      </c>
      <c r="HD163" t="s">
        <v>57</v>
      </c>
      <c r="HE163" t="s">
        <v>57</v>
      </c>
      <c r="HF163" t="s">
        <v>57</v>
      </c>
      <c r="HG163" t="s">
        <v>57</v>
      </c>
      <c r="HH163" t="s">
        <v>57</v>
      </c>
      <c r="HI163" t="s">
        <v>57</v>
      </c>
      <c r="HJ163" t="s">
        <v>57</v>
      </c>
      <c r="HK163" t="s">
        <v>57</v>
      </c>
      <c r="HL163" t="s">
        <v>57</v>
      </c>
      <c r="HM163" t="s">
        <v>57</v>
      </c>
      <c r="HN163" t="s">
        <v>57</v>
      </c>
      <c r="HO163" t="s">
        <v>57</v>
      </c>
      <c r="HP163" t="s">
        <v>57</v>
      </c>
      <c r="HQ163" t="s">
        <v>57</v>
      </c>
      <c r="HR163" t="s">
        <v>57</v>
      </c>
      <c r="HS163" t="s">
        <v>57</v>
      </c>
      <c r="HT163" t="s">
        <v>57</v>
      </c>
      <c r="HU163" t="s">
        <v>57</v>
      </c>
      <c r="HV163" t="s">
        <v>57</v>
      </c>
      <c r="HW163" t="s">
        <v>57</v>
      </c>
      <c r="HX163" t="s">
        <v>57</v>
      </c>
      <c r="HY163" t="s">
        <v>57</v>
      </c>
      <c r="HZ163" t="s">
        <v>57</v>
      </c>
      <c r="IA163" t="s">
        <v>57</v>
      </c>
      <c r="IB163" t="s">
        <v>58</v>
      </c>
      <c r="IC163" t="s">
        <v>58</v>
      </c>
      <c r="ID163" t="s">
        <v>58</v>
      </c>
      <c r="IE163" t="s">
        <v>57</v>
      </c>
      <c r="IF163" t="s">
        <v>124</v>
      </c>
      <c r="IG163" t="s">
        <v>148</v>
      </c>
      <c r="IH163" t="s">
        <v>123</v>
      </c>
      <c r="II163" t="s">
        <v>156</v>
      </c>
    </row>
    <row r="164" spans="1:243" x14ac:dyDescent="0.25">
      <c r="A164" s="201" t="str">
        <f>HYPERLINK("http://www.ofsted.gov.uk/inspection-reports/find-inspection-report/provider/ELS/135406 ","Ofsted School Webpage")</f>
        <v>Ofsted School Webpage</v>
      </c>
      <c r="B164">
        <v>135406</v>
      </c>
      <c r="C164">
        <v>3306120</v>
      </c>
      <c r="D164" t="s">
        <v>1521</v>
      </c>
      <c r="E164" t="s">
        <v>36</v>
      </c>
      <c r="F164" t="s">
        <v>166</v>
      </c>
      <c r="G164" t="s">
        <v>150</v>
      </c>
      <c r="H164" t="s">
        <v>150</v>
      </c>
      <c r="I164" t="s">
        <v>167</v>
      </c>
      <c r="J164" t="s">
        <v>1522</v>
      </c>
      <c r="K164" t="s">
        <v>142</v>
      </c>
      <c r="L164" t="s">
        <v>142</v>
      </c>
      <c r="M164" t="s">
        <v>2596</v>
      </c>
      <c r="N164" t="s">
        <v>143</v>
      </c>
      <c r="O164">
        <v>10020748</v>
      </c>
      <c r="P164" s="108">
        <v>43025</v>
      </c>
      <c r="Q164" s="108">
        <v>43027</v>
      </c>
      <c r="R164" s="108">
        <v>43070</v>
      </c>
      <c r="S164" t="s">
        <v>153</v>
      </c>
      <c r="T164" t="s">
        <v>154</v>
      </c>
      <c r="U164">
        <v>4</v>
      </c>
      <c r="V164">
        <v>4</v>
      </c>
      <c r="W164">
        <v>4</v>
      </c>
      <c r="X164">
        <v>4</v>
      </c>
      <c r="Y164">
        <v>3</v>
      </c>
      <c r="Z164" t="s">
        <v>2596</v>
      </c>
      <c r="AA164" t="s">
        <v>2596</v>
      </c>
      <c r="AB164" t="s">
        <v>124</v>
      </c>
      <c r="AC164" t="s">
        <v>2596</v>
      </c>
      <c r="AD164" t="s">
        <v>2599</v>
      </c>
      <c r="AE164" t="s">
        <v>58</v>
      </c>
      <c r="AF164" t="s">
        <v>57</v>
      </c>
      <c r="AG164" t="s">
        <v>58</v>
      </c>
      <c r="AH164" t="s">
        <v>57</v>
      </c>
      <c r="AI164" t="s">
        <v>57</v>
      </c>
      <c r="AJ164" t="s">
        <v>58</v>
      </c>
      <c r="AK164" t="s">
        <v>58</v>
      </c>
      <c r="AL164" t="s">
        <v>58</v>
      </c>
      <c r="AM164" t="s">
        <v>58</v>
      </c>
      <c r="AN164" t="s">
        <v>58</v>
      </c>
      <c r="AO164" t="s">
        <v>58</v>
      </c>
      <c r="AP164" t="s">
        <v>58</v>
      </c>
      <c r="AQ164" t="s">
        <v>57</v>
      </c>
      <c r="AR164" t="s">
        <v>58</v>
      </c>
      <c r="AS164" t="s">
        <v>58</v>
      </c>
      <c r="AT164" t="s">
        <v>57</v>
      </c>
      <c r="AU164" t="s">
        <v>148</v>
      </c>
      <c r="AV164" t="s">
        <v>57</v>
      </c>
      <c r="AW164" t="s">
        <v>57</v>
      </c>
      <c r="AX164" t="s">
        <v>57</v>
      </c>
      <c r="AY164" t="s">
        <v>57</v>
      </c>
      <c r="AZ164" t="s">
        <v>57</v>
      </c>
      <c r="BA164" t="s">
        <v>57</v>
      </c>
      <c r="BB164" t="s">
        <v>57</v>
      </c>
      <c r="BC164" t="s">
        <v>148</v>
      </c>
      <c r="BD164" t="s">
        <v>57</v>
      </c>
      <c r="BE164" t="s">
        <v>57</v>
      </c>
      <c r="BF164" t="s">
        <v>57</v>
      </c>
      <c r="BG164" t="s">
        <v>58</v>
      </c>
      <c r="BH164" t="s">
        <v>58</v>
      </c>
      <c r="BI164" t="s">
        <v>57</v>
      </c>
      <c r="BJ164" t="s">
        <v>58</v>
      </c>
      <c r="BK164" t="s">
        <v>58</v>
      </c>
      <c r="BL164" t="s">
        <v>58</v>
      </c>
      <c r="BM164" t="s">
        <v>58</v>
      </c>
      <c r="BN164" t="s">
        <v>57</v>
      </c>
      <c r="BO164" t="s">
        <v>57</v>
      </c>
      <c r="BP164" t="s">
        <v>57</v>
      </c>
      <c r="BQ164" t="s">
        <v>57</v>
      </c>
      <c r="BR164" t="s">
        <v>57</v>
      </c>
      <c r="BS164" t="s">
        <v>57</v>
      </c>
      <c r="BT164" t="s">
        <v>57</v>
      </c>
      <c r="BU164" t="s">
        <v>57</v>
      </c>
      <c r="BV164" t="s">
        <v>57</v>
      </c>
      <c r="BW164" t="s">
        <v>57</v>
      </c>
      <c r="BX164" t="s">
        <v>57</v>
      </c>
      <c r="BY164" t="s">
        <v>57</v>
      </c>
      <c r="BZ164" t="s">
        <v>57</v>
      </c>
      <c r="CA164" t="s">
        <v>57</v>
      </c>
      <c r="CB164" t="s">
        <v>57</v>
      </c>
      <c r="CC164" t="s">
        <v>57</v>
      </c>
      <c r="CD164" t="s">
        <v>57</v>
      </c>
      <c r="CE164" t="s">
        <v>57</v>
      </c>
      <c r="CF164" t="s">
        <v>57</v>
      </c>
      <c r="CG164" t="s">
        <v>57</v>
      </c>
      <c r="CH164" t="s">
        <v>58</v>
      </c>
      <c r="CI164" t="s">
        <v>58</v>
      </c>
      <c r="CJ164" t="s">
        <v>57</v>
      </c>
      <c r="CK164" t="s">
        <v>148</v>
      </c>
      <c r="CL164" t="s">
        <v>148</v>
      </c>
      <c r="CM164" t="s">
        <v>148</v>
      </c>
      <c r="CN164" t="s">
        <v>57</v>
      </c>
      <c r="CO164" t="s">
        <v>57</v>
      </c>
      <c r="CP164" t="s">
        <v>57</v>
      </c>
      <c r="CQ164" t="s">
        <v>57</v>
      </c>
      <c r="CR164" t="s">
        <v>57</v>
      </c>
      <c r="CS164" t="s">
        <v>58</v>
      </c>
      <c r="CT164" t="s">
        <v>58</v>
      </c>
      <c r="CU164" t="s">
        <v>57</v>
      </c>
      <c r="CV164" t="s">
        <v>57</v>
      </c>
      <c r="CW164" t="s">
        <v>57</v>
      </c>
      <c r="CX164" t="s">
        <v>58</v>
      </c>
      <c r="CY164" t="s">
        <v>58</v>
      </c>
      <c r="CZ164" t="s">
        <v>58</v>
      </c>
      <c r="DA164" t="s">
        <v>57</v>
      </c>
      <c r="DB164" t="s">
        <v>57</v>
      </c>
      <c r="DC164" t="s">
        <v>57</v>
      </c>
      <c r="DD164" t="s">
        <v>57</v>
      </c>
      <c r="DE164" t="s">
        <v>57</v>
      </c>
      <c r="DF164" t="s">
        <v>57</v>
      </c>
      <c r="DG164" t="s">
        <v>57</v>
      </c>
      <c r="DH164" t="s">
        <v>57</v>
      </c>
      <c r="DI164" t="s">
        <v>57</v>
      </c>
      <c r="DJ164" t="s">
        <v>57</v>
      </c>
      <c r="DK164" t="s">
        <v>148</v>
      </c>
      <c r="DL164" t="s">
        <v>57</v>
      </c>
      <c r="DM164" t="s">
        <v>148</v>
      </c>
      <c r="DN164" t="s">
        <v>148</v>
      </c>
      <c r="DO164" t="s">
        <v>148</v>
      </c>
      <c r="DP164" t="s">
        <v>148</v>
      </c>
      <c r="DQ164" t="s">
        <v>148</v>
      </c>
      <c r="DR164" t="s">
        <v>148</v>
      </c>
      <c r="DS164" t="s">
        <v>148</v>
      </c>
      <c r="DT164" t="s">
        <v>148</v>
      </c>
      <c r="DU164" t="s">
        <v>148</v>
      </c>
      <c r="DV164" t="s">
        <v>148</v>
      </c>
      <c r="DW164" t="s">
        <v>148</v>
      </c>
      <c r="DX164" t="s">
        <v>148</v>
      </c>
      <c r="DY164" t="s">
        <v>148</v>
      </c>
      <c r="DZ164" t="s">
        <v>57</v>
      </c>
      <c r="EA164" t="s">
        <v>57</v>
      </c>
      <c r="EB164" t="s">
        <v>57</v>
      </c>
      <c r="EC164" t="s">
        <v>57</v>
      </c>
      <c r="ED164" t="s">
        <v>57</v>
      </c>
      <c r="EE164" t="s">
        <v>57</v>
      </c>
      <c r="EF164" t="s">
        <v>57</v>
      </c>
      <c r="EG164" t="s">
        <v>57</v>
      </c>
      <c r="EH164" t="s">
        <v>148</v>
      </c>
      <c r="EI164" t="s">
        <v>57</v>
      </c>
      <c r="EJ164" t="s">
        <v>57</v>
      </c>
      <c r="EK164" t="s">
        <v>57</v>
      </c>
      <c r="EL164" t="s">
        <v>57</v>
      </c>
      <c r="EM164" t="s">
        <v>57</v>
      </c>
      <c r="EN164" t="s">
        <v>57</v>
      </c>
      <c r="EO164" t="s">
        <v>57</v>
      </c>
      <c r="EP164" t="s">
        <v>57</v>
      </c>
      <c r="EQ164" t="s">
        <v>57</v>
      </c>
      <c r="ER164" t="s">
        <v>57</v>
      </c>
      <c r="ES164" t="s">
        <v>57</v>
      </c>
      <c r="ET164" t="s">
        <v>57</v>
      </c>
      <c r="EU164" t="s">
        <v>57</v>
      </c>
      <c r="EV164" t="s">
        <v>57</v>
      </c>
      <c r="EW164" t="s">
        <v>57</v>
      </c>
      <c r="EX164" t="s">
        <v>148</v>
      </c>
      <c r="EY164" t="s">
        <v>148</v>
      </c>
      <c r="EZ164" t="s">
        <v>148</v>
      </c>
      <c r="FA164" t="s">
        <v>148</v>
      </c>
      <c r="FB164" t="s">
        <v>148</v>
      </c>
      <c r="FC164" t="s">
        <v>148</v>
      </c>
      <c r="FD164" t="s">
        <v>57</v>
      </c>
      <c r="FE164" t="s">
        <v>57</v>
      </c>
      <c r="FF164" t="s">
        <v>57</v>
      </c>
      <c r="FG164" t="s">
        <v>57</v>
      </c>
      <c r="FH164" t="s">
        <v>57</v>
      </c>
      <c r="FI164" t="s">
        <v>57</v>
      </c>
      <c r="FJ164" t="s">
        <v>57</v>
      </c>
      <c r="FK164" t="s">
        <v>58</v>
      </c>
      <c r="FL164" t="s">
        <v>57</v>
      </c>
      <c r="FM164" t="s">
        <v>57</v>
      </c>
      <c r="FN164" t="s">
        <v>57</v>
      </c>
      <c r="FO164" t="s">
        <v>148</v>
      </c>
      <c r="FP164" t="s">
        <v>57</v>
      </c>
      <c r="FQ164" t="s">
        <v>58</v>
      </c>
      <c r="FR164" t="s">
        <v>57</v>
      </c>
      <c r="FS164" t="s">
        <v>57</v>
      </c>
      <c r="FT164" t="s">
        <v>57</v>
      </c>
      <c r="FU164" t="s">
        <v>57</v>
      </c>
      <c r="FV164" t="s">
        <v>57</v>
      </c>
      <c r="FW164" t="s">
        <v>57</v>
      </c>
      <c r="FX164" t="s">
        <v>57</v>
      </c>
      <c r="FY164" t="s">
        <v>57</v>
      </c>
      <c r="FZ164" t="s">
        <v>57</v>
      </c>
      <c r="GA164" t="s">
        <v>57</v>
      </c>
      <c r="GB164" t="s">
        <v>57</v>
      </c>
      <c r="GC164" t="s">
        <v>57</v>
      </c>
      <c r="GD164" t="s">
        <v>58</v>
      </c>
      <c r="GE164" t="s">
        <v>58</v>
      </c>
      <c r="GF164" t="s">
        <v>58</v>
      </c>
      <c r="GG164" t="s">
        <v>148</v>
      </c>
      <c r="GH164" t="s">
        <v>58</v>
      </c>
      <c r="GI164" t="s">
        <v>57</v>
      </c>
      <c r="GJ164" t="s">
        <v>57</v>
      </c>
      <c r="GK164" t="s">
        <v>57</v>
      </c>
      <c r="GL164" t="s">
        <v>148</v>
      </c>
      <c r="GM164" t="s">
        <v>148</v>
      </c>
      <c r="GN164" t="s">
        <v>57</v>
      </c>
      <c r="GO164" t="s">
        <v>57</v>
      </c>
      <c r="GP164" t="s">
        <v>57</v>
      </c>
      <c r="GQ164" t="s">
        <v>57</v>
      </c>
      <c r="GR164" t="s">
        <v>57</v>
      </c>
      <c r="GS164" t="s">
        <v>57</v>
      </c>
      <c r="GT164" t="s">
        <v>57</v>
      </c>
      <c r="GU164" t="s">
        <v>57</v>
      </c>
      <c r="GV164" t="s">
        <v>57</v>
      </c>
      <c r="GW164" t="s">
        <v>148</v>
      </c>
      <c r="GX164" t="s">
        <v>57</v>
      </c>
      <c r="GY164" t="s">
        <v>57</v>
      </c>
      <c r="GZ164" t="s">
        <v>57</v>
      </c>
      <c r="HA164" t="s">
        <v>57</v>
      </c>
      <c r="HB164" t="s">
        <v>57</v>
      </c>
      <c r="HC164" t="s">
        <v>58</v>
      </c>
      <c r="HD164" t="s">
        <v>57</v>
      </c>
      <c r="HE164" t="s">
        <v>58</v>
      </c>
      <c r="HF164" t="s">
        <v>58</v>
      </c>
      <c r="HG164" t="s">
        <v>148</v>
      </c>
      <c r="HH164" t="s">
        <v>57</v>
      </c>
      <c r="HI164" t="s">
        <v>148</v>
      </c>
      <c r="HJ164" t="s">
        <v>148</v>
      </c>
      <c r="HK164" t="s">
        <v>148</v>
      </c>
      <c r="HL164" t="s">
        <v>58</v>
      </c>
      <c r="HM164" t="s">
        <v>57</v>
      </c>
      <c r="HN164" t="s">
        <v>57</v>
      </c>
      <c r="HO164" t="s">
        <v>57</v>
      </c>
      <c r="HP164" t="s">
        <v>57</v>
      </c>
      <c r="HQ164" t="s">
        <v>57</v>
      </c>
      <c r="HR164" t="s">
        <v>57</v>
      </c>
      <c r="HS164" t="s">
        <v>57</v>
      </c>
      <c r="HT164" t="s">
        <v>57</v>
      </c>
      <c r="HU164" t="s">
        <v>57</v>
      </c>
      <c r="HV164" t="s">
        <v>57</v>
      </c>
      <c r="HW164" t="s">
        <v>58</v>
      </c>
      <c r="HX164" t="s">
        <v>58</v>
      </c>
      <c r="HY164" t="s">
        <v>57</v>
      </c>
      <c r="HZ164" t="s">
        <v>58</v>
      </c>
      <c r="IA164" t="s">
        <v>58</v>
      </c>
      <c r="IB164" t="s">
        <v>58</v>
      </c>
      <c r="IC164" t="s">
        <v>58</v>
      </c>
      <c r="ID164" t="s">
        <v>58</v>
      </c>
      <c r="IE164" t="s">
        <v>58</v>
      </c>
      <c r="IF164" t="s">
        <v>124</v>
      </c>
      <c r="IG164" t="s">
        <v>155</v>
      </c>
      <c r="IH164" t="s">
        <v>123</v>
      </c>
      <c r="II164" t="s">
        <v>363</v>
      </c>
    </row>
    <row r="165" spans="1:243" x14ac:dyDescent="0.25">
      <c r="A165" s="201" t="str">
        <f>HYPERLINK("http://www.ofsted.gov.uk/inspection-reports/find-inspection-report/provider/ELS/135410 ","Ofsted School Webpage")</f>
        <v>Ofsted School Webpage</v>
      </c>
      <c r="B165">
        <v>135410</v>
      </c>
      <c r="C165">
        <v>9096056</v>
      </c>
      <c r="D165" t="s">
        <v>1389</v>
      </c>
      <c r="E165" t="s">
        <v>37</v>
      </c>
      <c r="F165" t="s">
        <v>138</v>
      </c>
      <c r="G165" t="s">
        <v>162</v>
      </c>
      <c r="H165" t="s">
        <v>162</v>
      </c>
      <c r="I165" t="s">
        <v>895</v>
      </c>
      <c r="J165" t="s">
        <v>1390</v>
      </c>
      <c r="K165" t="s">
        <v>142</v>
      </c>
      <c r="L165" t="s">
        <v>142</v>
      </c>
      <c r="M165" t="s">
        <v>2596</v>
      </c>
      <c r="N165" t="s">
        <v>143</v>
      </c>
      <c r="O165">
        <v>10038929</v>
      </c>
      <c r="P165" s="108">
        <v>43081</v>
      </c>
      <c r="Q165" s="108">
        <v>43083</v>
      </c>
      <c r="R165" s="108">
        <v>43129</v>
      </c>
      <c r="S165" t="s">
        <v>3005</v>
      </c>
      <c r="T165" t="s">
        <v>154</v>
      </c>
      <c r="U165">
        <v>1</v>
      </c>
      <c r="V165">
        <v>1</v>
      </c>
      <c r="W165">
        <v>1</v>
      </c>
      <c r="X165">
        <v>1</v>
      </c>
      <c r="Y165">
        <v>1</v>
      </c>
      <c r="Z165" t="s">
        <v>2596</v>
      </c>
      <c r="AA165" t="s">
        <v>2596</v>
      </c>
      <c r="AB165" t="s">
        <v>123</v>
      </c>
      <c r="AC165" t="s">
        <v>2596</v>
      </c>
      <c r="AD165" t="s">
        <v>2598</v>
      </c>
      <c r="AE165" t="s">
        <v>57</v>
      </c>
      <c r="AF165" t="s">
        <v>57</v>
      </c>
      <c r="AG165" t="s">
        <v>57</v>
      </c>
      <c r="AH165" t="s">
        <v>57</v>
      </c>
      <c r="AI165" t="s">
        <v>57</v>
      </c>
      <c r="AJ165" t="s">
        <v>57</v>
      </c>
      <c r="AK165" t="s">
        <v>57</v>
      </c>
      <c r="AL165" t="s">
        <v>57</v>
      </c>
      <c r="AM165" t="s">
        <v>57</v>
      </c>
      <c r="AN165" t="s">
        <v>57</v>
      </c>
      <c r="AO165" t="s">
        <v>57</v>
      </c>
      <c r="AP165" t="s">
        <v>57</v>
      </c>
      <c r="AQ165" t="s">
        <v>57</v>
      </c>
      <c r="AR165" t="s">
        <v>57</v>
      </c>
      <c r="AS165" t="s">
        <v>57</v>
      </c>
      <c r="AT165" t="s">
        <v>57</v>
      </c>
      <c r="AU165" t="s">
        <v>175</v>
      </c>
      <c r="AV165" t="s">
        <v>57</v>
      </c>
      <c r="AW165" t="s">
        <v>57</v>
      </c>
      <c r="AX165" t="s">
        <v>57</v>
      </c>
      <c r="AY165" t="s">
        <v>57</v>
      </c>
      <c r="AZ165" t="s">
        <v>57</v>
      </c>
      <c r="BA165" t="s">
        <v>57</v>
      </c>
      <c r="BB165" t="s">
        <v>57</v>
      </c>
      <c r="BC165" t="s">
        <v>175</v>
      </c>
      <c r="BD165" t="s">
        <v>175</v>
      </c>
      <c r="BE165" t="s">
        <v>57</v>
      </c>
      <c r="BF165" t="s">
        <v>57</v>
      </c>
      <c r="BG165" t="s">
        <v>57</v>
      </c>
      <c r="BH165" t="s">
        <v>57</v>
      </c>
      <c r="BI165" t="s">
        <v>57</v>
      </c>
      <c r="BJ165" t="s">
        <v>57</v>
      </c>
      <c r="BK165" t="s">
        <v>57</v>
      </c>
      <c r="BL165" t="s">
        <v>57</v>
      </c>
      <c r="BM165" t="s">
        <v>57</v>
      </c>
      <c r="BN165" t="s">
        <v>57</v>
      </c>
      <c r="BO165" t="s">
        <v>57</v>
      </c>
      <c r="BP165" t="s">
        <v>57</v>
      </c>
      <c r="BQ165" t="s">
        <v>57</v>
      </c>
      <c r="BR165" t="s">
        <v>57</v>
      </c>
      <c r="BS165" t="s">
        <v>57</v>
      </c>
      <c r="BT165" t="s">
        <v>57</v>
      </c>
      <c r="BU165" t="s">
        <v>57</v>
      </c>
      <c r="BV165" t="s">
        <v>57</v>
      </c>
      <c r="BW165" t="s">
        <v>57</v>
      </c>
      <c r="BX165" t="s">
        <v>57</v>
      </c>
      <c r="BY165" t="s">
        <v>57</v>
      </c>
      <c r="BZ165" t="s">
        <v>57</v>
      </c>
      <c r="CA165" t="s">
        <v>57</v>
      </c>
      <c r="CB165" t="s">
        <v>57</v>
      </c>
      <c r="CC165" t="s">
        <v>57</v>
      </c>
      <c r="CD165" t="s">
        <v>57</v>
      </c>
      <c r="CE165" t="s">
        <v>57</v>
      </c>
      <c r="CF165" t="s">
        <v>57</v>
      </c>
      <c r="CG165" t="s">
        <v>57</v>
      </c>
      <c r="CH165" t="s">
        <v>57</v>
      </c>
      <c r="CI165" t="s">
        <v>57</v>
      </c>
      <c r="CJ165" t="s">
        <v>57</v>
      </c>
      <c r="CK165" t="s">
        <v>175</v>
      </c>
      <c r="CL165" t="s">
        <v>175</v>
      </c>
      <c r="CM165" t="s">
        <v>175</v>
      </c>
      <c r="CN165" t="s">
        <v>57</v>
      </c>
      <c r="CO165" t="s">
        <v>57</v>
      </c>
      <c r="CP165" t="s">
        <v>57</v>
      </c>
      <c r="CQ165" t="s">
        <v>57</v>
      </c>
      <c r="CR165" t="s">
        <v>57</v>
      </c>
      <c r="CS165" t="s">
        <v>57</v>
      </c>
      <c r="CT165" t="s">
        <v>57</v>
      </c>
      <c r="CU165" t="s">
        <v>57</v>
      </c>
      <c r="CV165" t="s">
        <v>57</v>
      </c>
      <c r="CW165" t="s">
        <v>57</v>
      </c>
      <c r="CX165" t="s">
        <v>57</v>
      </c>
      <c r="CY165" t="s">
        <v>57</v>
      </c>
      <c r="CZ165" t="s">
        <v>57</v>
      </c>
      <c r="DA165" t="s">
        <v>57</v>
      </c>
      <c r="DB165" t="s">
        <v>57</v>
      </c>
      <c r="DC165" t="s">
        <v>57</v>
      </c>
      <c r="DD165" t="s">
        <v>57</v>
      </c>
      <c r="DE165" t="s">
        <v>57</v>
      </c>
      <c r="DF165" t="s">
        <v>57</v>
      </c>
      <c r="DG165" t="s">
        <v>57</v>
      </c>
      <c r="DH165" t="s">
        <v>57</v>
      </c>
      <c r="DI165" t="s">
        <v>57</v>
      </c>
      <c r="DJ165" t="s">
        <v>175</v>
      </c>
      <c r="DK165" t="s">
        <v>175</v>
      </c>
      <c r="DL165" t="s">
        <v>57</v>
      </c>
      <c r="DM165" t="s">
        <v>57</v>
      </c>
      <c r="DN165" t="s">
        <v>57</v>
      </c>
      <c r="DO165" t="s">
        <v>57</v>
      </c>
      <c r="DP165" t="s">
        <v>57</v>
      </c>
      <c r="DQ165" t="s">
        <v>57</v>
      </c>
      <c r="DR165" t="s">
        <v>57</v>
      </c>
      <c r="DS165" t="s">
        <v>57</v>
      </c>
      <c r="DT165" t="s">
        <v>57</v>
      </c>
      <c r="DU165" t="s">
        <v>57</v>
      </c>
      <c r="DV165" t="s">
        <v>57</v>
      </c>
      <c r="DW165" t="s">
        <v>57</v>
      </c>
      <c r="DX165" t="s">
        <v>57</v>
      </c>
      <c r="DY165" t="s">
        <v>175</v>
      </c>
      <c r="DZ165" t="s">
        <v>57</v>
      </c>
      <c r="EA165" t="s">
        <v>57</v>
      </c>
      <c r="EB165" t="s">
        <v>57</v>
      </c>
      <c r="EC165" t="s">
        <v>57</v>
      </c>
      <c r="ED165" t="s">
        <v>57</v>
      </c>
      <c r="EE165" t="s">
        <v>57</v>
      </c>
      <c r="EF165" t="s">
        <v>57</v>
      </c>
      <c r="EG165" t="s">
        <v>57</v>
      </c>
      <c r="EH165" t="s">
        <v>175</v>
      </c>
      <c r="EI165" t="s">
        <v>57</v>
      </c>
      <c r="EJ165" t="s">
        <v>57</v>
      </c>
      <c r="EK165" t="s">
        <v>57</v>
      </c>
      <c r="EL165" t="s">
        <v>57</v>
      </c>
      <c r="EM165" t="s">
        <v>57</v>
      </c>
      <c r="EN165" t="s">
        <v>57</v>
      </c>
      <c r="EO165" t="s">
        <v>57</v>
      </c>
      <c r="EP165" t="s">
        <v>57</v>
      </c>
      <c r="EQ165" t="s">
        <v>57</v>
      </c>
      <c r="ER165" t="s">
        <v>57</v>
      </c>
      <c r="ES165" t="s">
        <v>57</v>
      </c>
      <c r="ET165" t="s">
        <v>57</v>
      </c>
      <c r="EU165" t="s">
        <v>175</v>
      </c>
      <c r="EV165" t="s">
        <v>57</v>
      </c>
      <c r="EW165" t="s">
        <v>57</v>
      </c>
      <c r="EX165" t="s">
        <v>57</v>
      </c>
      <c r="EY165" t="s">
        <v>57</v>
      </c>
      <c r="EZ165" t="s">
        <v>57</v>
      </c>
      <c r="FA165" t="s">
        <v>57</v>
      </c>
      <c r="FB165" t="s">
        <v>57</v>
      </c>
      <c r="FC165" t="s">
        <v>57</v>
      </c>
      <c r="FD165" t="s">
        <v>57</v>
      </c>
      <c r="FE165" t="s">
        <v>57</v>
      </c>
      <c r="FF165" t="s">
        <v>57</v>
      </c>
      <c r="FG165" t="s">
        <v>57</v>
      </c>
      <c r="FH165" t="s">
        <v>57</v>
      </c>
      <c r="FI165" t="s">
        <v>57</v>
      </c>
      <c r="FJ165" t="s">
        <v>57</v>
      </c>
      <c r="FK165" t="s">
        <v>57</v>
      </c>
      <c r="FL165" t="s">
        <v>57</v>
      </c>
      <c r="FM165" t="s">
        <v>57</v>
      </c>
      <c r="FN165" t="s">
        <v>57</v>
      </c>
      <c r="FO165" t="s">
        <v>57</v>
      </c>
      <c r="FP165" t="s">
        <v>57</v>
      </c>
      <c r="FQ165" t="s">
        <v>57</v>
      </c>
      <c r="FR165" t="s">
        <v>57</v>
      </c>
      <c r="FS165" t="s">
        <v>57</v>
      </c>
      <c r="FT165" t="s">
        <v>57</v>
      </c>
      <c r="FU165" t="s">
        <v>57</v>
      </c>
      <c r="FV165" t="s">
        <v>57</v>
      </c>
      <c r="FW165" t="s">
        <v>57</v>
      </c>
      <c r="FX165" t="s">
        <v>57</v>
      </c>
      <c r="FY165" t="s">
        <v>57</v>
      </c>
      <c r="FZ165" t="s">
        <v>57</v>
      </c>
      <c r="GA165" t="s">
        <v>57</v>
      </c>
      <c r="GB165" t="s">
        <v>57</v>
      </c>
      <c r="GC165" t="s">
        <v>57</v>
      </c>
      <c r="GD165" t="s">
        <v>57</v>
      </c>
      <c r="GE165" t="s">
        <v>57</v>
      </c>
      <c r="GF165" t="s">
        <v>57</v>
      </c>
      <c r="GG165" t="s">
        <v>175</v>
      </c>
      <c r="GH165" t="s">
        <v>57</v>
      </c>
      <c r="GI165" t="s">
        <v>57</v>
      </c>
      <c r="GJ165" t="s">
        <v>57</v>
      </c>
      <c r="GK165" t="s">
        <v>57</v>
      </c>
      <c r="GL165" t="s">
        <v>57</v>
      </c>
      <c r="GM165" t="s">
        <v>175</v>
      </c>
      <c r="GN165" t="s">
        <v>57</v>
      </c>
      <c r="GO165" t="s">
        <v>57</v>
      </c>
      <c r="GP165" t="s">
        <v>57</v>
      </c>
      <c r="GQ165" t="s">
        <v>57</v>
      </c>
      <c r="GR165" t="s">
        <v>57</v>
      </c>
      <c r="GS165" t="s">
        <v>57</v>
      </c>
      <c r="GT165" t="s">
        <v>57</v>
      </c>
      <c r="GU165" t="s">
        <v>57</v>
      </c>
      <c r="GV165" t="s">
        <v>175</v>
      </c>
      <c r="GW165" t="s">
        <v>57</v>
      </c>
      <c r="GX165" t="s">
        <v>57</v>
      </c>
      <c r="GY165" t="s">
        <v>57</v>
      </c>
      <c r="GZ165" t="s">
        <v>57</v>
      </c>
      <c r="HA165" t="s">
        <v>57</v>
      </c>
      <c r="HB165" t="s">
        <v>57</v>
      </c>
      <c r="HC165" t="s">
        <v>57</v>
      </c>
      <c r="HD165" t="s">
        <v>57</v>
      </c>
      <c r="HE165" t="s">
        <v>57</v>
      </c>
      <c r="HF165" t="s">
        <v>57</v>
      </c>
      <c r="HG165" t="s">
        <v>57</v>
      </c>
      <c r="HH165" t="s">
        <v>175</v>
      </c>
      <c r="HI165" t="s">
        <v>175</v>
      </c>
      <c r="HJ165" t="s">
        <v>175</v>
      </c>
      <c r="HK165" t="s">
        <v>175</v>
      </c>
      <c r="HL165" t="s">
        <v>57</v>
      </c>
      <c r="HM165" t="s">
        <v>57</v>
      </c>
      <c r="HN165" t="s">
        <v>57</v>
      </c>
      <c r="HO165" t="s">
        <v>57</v>
      </c>
      <c r="HP165" t="s">
        <v>57</v>
      </c>
      <c r="HQ165" t="s">
        <v>57</v>
      </c>
      <c r="HR165" t="s">
        <v>57</v>
      </c>
      <c r="HS165" t="s">
        <v>57</v>
      </c>
      <c r="HT165" t="s">
        <v>57</v>
      </c>
      <c r="HU165" t="s">
        <v>57</v>
      </c>
      <c r="HV165" t="s">
        <v>57</v>
      </c>
      <c r="HW165" t="s">
        <v>57</v>
      </c>
      <c r="HX165" t="s">
        <v>57</v>
      </c>
      <c r="HY165" t="s">
        <v>57</v>
      </c>
      <c r="HZ165" t="s">
        <v>57</v>
      </c>
      <c r="IA165" t="s">
        <v>57</v>
      </c>
      <c r="IB165" t="s">
        <v>57</v>
      </c>
      <c r="IC165" t="s">
        <v>57</v>
      </c>
      <c r="ID165" t="s">
        <v>57</v>
      </c>
      <c r="IE165" t="s">
        <v>57</v>
      </c>
      <c r="IF165" t="s">
        <v>124</v>
      </c>
      <c r="IG165" t="s">
        <v>148</v>
      </c>
      <c r="IH165" t="s">
        <v>123</v>
      </c>
      <c r="II165" t="s">
        <v>156</v>
      </c>
    </row>
    <row r="166" spans="1:243" x14ac:dyDescent="0.25">
      <c r="A166" s="201" t="str">
        <f>HYPERLINK("http://www.ofsted.gov.uk/inspection-reports/find-inspection-report/provider/ELS/135422 ","Ofsted School Webpage")</f>
        <v>Ofsted School Webpage</v>
      </c>
      <c r="B166">
        <v>135422</v>
      </c>
      <c r="C166">
        <v>3306121</v>
      </c>
      <c r="D166" t="s">
        <v>2220</v>
      </c>
      <c r="E166" t="s">
        <v>36</v>
      </c>
      <c r="F166" t="s">
        <v>166</v>
      </c>
      <c r="G166" t="s">
        <v>150</v>
      </c>
      <c r="H166" t="s">
        <v>150</v>
      </c>
      <c r="I166" t="s">
        <v>167</v>
      </c>
      <c r="J166" t="s">
        <v>2221</v>
      </c>
      <c r="K166" t="s">
        <v>142</v>
      </c>
      <c r="L166" t="s">
        <v>142</v>
      </c>
      <c r="M166" t="s">
        <v>2596</v>
      </c>
      <c r="N166" t="s">
        <v>143</v>
      </c>
      <c r="O166">
        <v>10020740</v>
      </c>
      <c r="P166" s="108">
        <v>43060</v>
      </c>
      <c r="Q166" s="108">
        <v>43062</v>
      </c>
      <c r="R166" s="108">
        <v>43084</v>
      </c>
      <c r="S166" t="s">
        <v>153</v>
      </c>
      <c r="T166" t="s">
        <v>154</v>
      </c>
      <c r="U166">
        <v>2</v>
      </c>
      <c r="V166">
        <v>2</v>
      </c>
      <c r="W166">
        <v>2</v>
      </c>
      <c r="X166">
        <v>2</v>
      </c>
      <c r="Y166">
        <v>2</v>
      </c>
      <c r="Z166" t="s">
        <v>2596</v>
      </c>
      <c r="AA166" t="s">
        <v>2596</v>
      </c>
      <c r="AB166" t="s">
        <v>123</v>
      </c>
      <c r="AC166" t="s">
        <v>2596</v>
      </c>
      <c r="AD166" t="s">
        <v>2598</v>
      </c>
      <c r="AE166" t="s">
        <v>57</v>
      </c>
      <c r="AF166" t="s">
        <v>57</v>
      </c>
      <c r="AG166" t="s">
        <v>57</v>
      </c>
      <c r="AH166" t="s">
        <v>57</v>
      </c>
      <c r="AI166" t="s">
        <v>57</v>
      </c>
      <c r="AJ166" t="s">
        <v>57</v>
      </c>
      <c r="AK166" t="s">
        <v>57</v>
      </c>
      <c r="AL166" t="s">
        <v>57</v>
      </c>
      <c r="AM166" t="s">
        <v>57</v>
      </c>
      <c r="AN166" t="s">
        <v>57</v>
      </c>
      <c r="AO166" t="s">
        <v>57</v>
      </c>
      <c r="AP166" t="s">
        <v>57</v>
      </c>
      <c r="AQ166" t="s">
        <v>57</v>
      </c>
      <c r="AR166" t="s">
        <v>57</v>
      </c>
      <c r="AS166" t="s">
        <v>57</v>
      </c>
      <c r="AT166" t="s">
        <v>57</v>
      </c>
      <c r="AU166" t="s">
        <v>57</v>
      </c>
      <c r="AV166" t="s">
        <v>57</v>
      </c>
      <c r="AW166" t="s">
        <v>57</v>
      </c>
      <c r="AX166" t="s">
        <v>57</v>
      </c>
      <c r="AY166" t="s">
        <v>57</v>
      </c>
      <c r="AZ166" t="s">
        <v>57</v>
      </c>
      <c r="BA166" t="s">
        <v>57</v>
      </c>
      <c r="BB166" t="s">
        <v>57</v>
      </c>
      <c r="BC166" t="s">
        <v>57</v>
      </c>
      <c r="BD166" t="s">
        <v>57</v>
      </c>
      <c r="BE166" t="s">
        <v>57</v>
      </c>
      <c r="BF166" t="s">
        <v>57</v>
      </c>
      <c r="BG166" t="s">
        <v>57</v>
      </c>
      <c r="BH166" t="s">
        <v>57</v>
      </c>
      <c r="BI166" t="s">
        <v>57</v>
      </c>
      <c r="BJ166" t="s">
        <v>57</v>
      </c>
      <c r="BK166" t="s">
        <v>57</v>
      </c>
      <c r="BL166" t="s">
        <v>57</v>
      </c>
      <c r="BM166" t="s">
        <v>57</v>
      </c>
      <c r="BN166" t="s">
        <v>57</v>
      </c>
      <c r="BO166" t="s">
        <v>57</v>
      </c>
      <c r="BP166" t="s">
        <v>57</v>
      </c>
      <c r="BQ166" t="s">
        <v>57</v>
      </c>
      <c r="BR166" t="s">
        <v>57</v>
      </c>
      <c r="BS166" t="s">
        <v>57</v>
      </c>
      <c r="BT166" t="s">
        <v>57</v>
      </c>
      <c r="BU166" t="s">
        <v>57</v>
      </c>
      <c r="BV166" t="s">
        <v>57</v>
      </c>
      <c r="BW166" t="s">
        <v>57</v>
      </c>
      <c r="BX166" t="s">
        <v>57</v>
      </c>
      <c r="BY166" t="s">
        <v>57</v>
      </c>
      <c r="BZ166" t="s">
        <v>57</v>
      </c>
      <c r="CA166" t="s">
        <v>57</v>
      </c>
      <c r="CB166" t="s">
        <v>57</v>
      </c>
      <c r="CC166" t="s">
        <v>57</v>
      </c>
      <c r="CD166" t="s">
        <v>57</v>
      </c>
      <c r="CE166" t="s">
        <v>57</v>
      </c>
      <c r="CF166" t="s">
        <v>57</v>
      </c>
      <c r="CG166" t="s">
        <v>57</v>
      </c>
      <c r="CH166" t="s">
        <v>57</v>
      </c>
      <c r="CI166" t="s">
        <v>57</v>
      </c>
      <c r="CJ166" t="s">
        <v>57</v>
      </c>
      <c r="CK166" t="s">
        <v>148</v>
      </c>
      <c r="CL166" t="s">
        <v>148</v>
      </c>
      <c r="CM166" t="s">
        <v>148</v>
      </c>
      <c r="CN166" t="s">
        <v>57</v>
      </c>
      <c r="CO166" t="s">
        <v>57</v>
      </c>
      <c r="CP166" t="s">
        <v>57</v>
      </c>
      <c r="CQ166" t="s">
        <v>57</v>
      </c>
      <c r="CR166" t="s">
        <v>57</v>
      </c>
      <c r="CS166" t="s">
        <v>57</v>
      </c>
      <c r="CT166" t="s">
        <v>57</v>
      </c>
      <c r="CU166" t="s">
        <v>57</v>
      </c>
      <c r="CV166" t="s">
        <v>57</v>
      </c>
      <c r="CW166" t="s">
        <v>57</v>
      </c>
      <c r="CX166" t="s">
        <v>57</v>
      </c>
      <c r="CY166" t="s">
        <v>57</v>
      </c>
      <c r="CZ166" t="s">
        <v>57</v>
      </c>
      <c r="DA166" t="s">
        <v>57</v>
      </c>
      <c r="DB166" t="s">
        <v>57</v>
      </c>
      <c r="DC166" t="s">
        <v>57</v>
      </c>
      <c r="DD166" t="s">
        <v>57</v>
      </c>
      <c r="DE166" t="s">
        <v>57</v>
      </c>
      <c r="DF166" t="s">
        <v>57</v>
      </c>
      <c r="DG166" t="s">
        <v>57</v>
      </c>
      <c r="DH166" t="s">
        <v>57</v>
      </c>
      <c r="DI166" t="s">
        <v>57</v>
      </c>
      <c r="DJ166" t="s">
        <v>57</v>
      </c>
      <c r="DK166" t="s">
        <v>148</v>
      </c>
      <c r="DL166" t="s">
        <v>57</v>
      </c>
      <c r="DM166" t="s">
        <v>148</v>
      </c>
      <c r="DN166" t="s">
        <v>148</v>
      </c>
      <c r="DO166" t="s">
        <v>148</v>
      </c>
      <c r="DP166" t="s">
        <v>148</v>
      </c>
      <c r="DQ166" t="s">
        <v>148</v>
      </c>
      <c r="DR166" t="s">
        <v>148</v>
      </c>
      <c r="DS166" t="s">
        <v>148</v>
      </c>
      <c r="DT166" t="s">
        <v>148</v>
      </c>
      <c r="DU166" t="s">
        <v>148</v>
      </c>
      <c r="DV166" t="s">
        <v>148</v>
      </c>
      <c r="DW166" t="s">
        <v>148</v>
      </c>
      <c r="DX166" t="s">
        <v>160</v>
      </c>
      <c r="DY166" t="s">
        <v>148</v>
      </c>
      <c r="DZ166" t="s">
        <v>160</v>
      </c>
      <c r="EA166" t="s">
        <v>57</v>
      </c>
      <c r="EB166" t="s">
        <v>57</v>
      </c>
      <c r="EC166" t="s">
        <v>57</v>
      </c>
      <c r="ED166" t="s">
        <v>57</v>
      </c>
      <c r="EE166" t="s">
        <v>57</v>
      </c>
      <c r="EF166" t="s">
        <v>57</v>
      </c>
      <c r="EG166" t="s">
        <v>57</v>
      </c>
      <c r="EH166" t="s">
        <v>57</v>
      </c>
      <c r="EI166" t="s">
        <v>57</v>
      </c>
      <c r="EJ166" t="s">
        <v>57</v>
      </c>
      <c r="EK166" t="s">
        <v>57</v>
      </c>
      <c r="EL166" t="s">
        <v>57</v>
      </c>
      <c r="EM166" t="s">
        <v>57</v>
      </c>
      <c r="EN166" t="s">
        <v>57</v>
      </c>
      <c r="EO166" t="s">
        <v>57</v>
      </c>
      <c r="EP166" t="s">
        <v>57</v>
      </c>
      <c r="EQ166" t="s">
        <v>57</v>
      </c>
      <c r="ER166" t="s">
        <v>57</v>
      </c>
      <c r="ES166" t="s">
        <v>57</v>
      </c>
      <c r="ET166" t="s">
        <v>57</v>
      </c>
      <c r="EU166" t="s">
        <v>57</v>
      </c>
      <c r="EV166" t="s">
        <v>57</v>
      </c>
      <c r="EW166" t="s">
        <v>57</v>
      </c>
      <c r="EX166" t="s">
        <v>148</v>
      </c>
      <c r="EY166" t="s">
        <v>148</v>
      </c>
      <c r="EZ166" t="s">
        <v>148</v>
      </c>
      <c r="FA166" t="s">
        <v>148</v>
      </c>
      <c r="FB166" t="s">
        <v>148</v>
      </c>
      <c r="FC166" t="s">
        <v>148</v>
      </c>
      <c r="FD166" t="s">
        <v>57</v>
      </c>
      <c r="FE166" t="s">
        <v>57</v>
      </c>
      <c r="FF166" t="s">
        <v>57</v>
      </c>
      <c r="FG166" t="s">
        <v>57</v>
      </c>
      <c r="FH166" t="s">
        <v>57</v>
      </c>
      <c r="FI166" t="s">
        <v>57</v>
      </c>
      <c r="FJ166" t="s">
        <v>57</v>
      </c>
      <c r="FK166" t="s">
        <v>57</v>
      </c>
      <c r="FL166" t="s">
        <v>57</v>
      </c>
      <c r="FM166" t="s">
        <v>57</v>
      </c>
      <c r="FN166" t="s">
        <v>57</v>
      </c>
      <c r="FO166" t="s">
        <v>148</v>
      </c>
      <c r="FP166" t="s">
        <v>57</v>
      </c>
      <c r="FQ166" t="s">
        <v>57</v>
      </c>
      <c r="FR166" t="s">
        <v>57</v>
      </c>
      <c r="FS166" t="s">
        <v>57</v>
      </c>
      <c r="FT166" t="s">
        <v>57</v>
      </c>
      <c r="FU166" t="s">
        <v>57</v>
      </c>
      <c r="FV166" t="s">
        <v>57</v>
      </c>
      <c r="FW166" t="s">
        <v>57</v>
      </c>
      <c r="FX166" t="s">
        <v>57</v>
      </c>
      <c r="FY166" t="s">
        <v>57</v>
      </c>
      <c r="FZ166" t="s">
        <v>57</v>
      </c>
      <c r="GA166" t="s">
        <v>57</v>
      </c>
      <c r="GB166" t="s">
        <v>57</v>
      </c>
      <c r="GC166" t="s">
        <v>57</v>
      </c>
      <c r="GD166" t="s">
        <v>57</v>
      </c>
      <c r="GE166" t="s">
        <v>57</v>
      </c>
      <c r="GF166" t="s">
        <v>57</v>
      </c>
      <c r="GG166" t="s">
        <v>148</v>
      </c>
      <c r="GH166" t="s">
        <v>57</v>
      </c>
      <c r="GI166" t="s">
        <v>57</v>
      </c>
      <c r="GJ166" t="s">
        <v>57</v>
      </c>
      <c r="GK166" t="s">
        <v>57</v>
      </c>
      <c r="GL166" t="s">
        <v>57</v>
      </c>
      <c r="GM166" t="s">
        <v>57</v>
      </c>
      <c r="GN166" t="s">
        <v>57</v>
      </c>
      <c r="GO166" t="s">
        <v>57</v>
      </c>
      <c r="GP166" t="s">
        <v>57</v>
      </c>
      <c r="GQ166" t="s">
        <v>57</v>
      </c>
      <c r="GR166" t="s">
        <v>57</v>
      </c>
      <c r="GS166" t="s">
        <v>57</v>
      </c>
      <c r="GT166" t="s">
        <v>57</v>
      </c>
      <c r="GU166" t="s">
        <v>57</v>
      </c>
      <c r="GV166" t="s">
        <v>57</v>
      </c>
      <c r="GW166" t="s">
        <v>148</v>
      </c>
      <c r="GX166" t="s">
        <v>57</v>
      </c>
      <c r="GY166" t="s">
        <v>57</v>
      </c>
      <c r="GZ166" t="s">
        <v>57</v>
      </c>
      <c r="HA166" t="s">
        <v>57</v>
      </c>
      <c r="HB166" t="s">
        <v>57</v>
      </c>
      <c r="HC166" t="s">
        <v>57</v>
      </c>
      <c r="HD166" t="s">
        <v>57</v>
      </c>
      <c r="HE166" t="s">
        <v>57</v>
      </c>
      <c r="HF166" t="s">
        <v>57</v>
      </c>
      <c r="HG166" t="s">
        <v>57</v>
      </c>
      <c r="HH166" t="s">
        <v>57</v>
      </c>
      <c r="HI166" t="s">
        <v>148</v>
      </c>
      <c r="HJ166" t="s">
        <v>148</v>
      </c>
      <c r="HK166" t="s">
        <v>148</v>
      </c>
      <c r="HL166" t="s">
        <v>57</v>
      </c>
      <c r="HM166" t="s">
        <v>57</v>
      </c>
      <c r="HN166" t="s">
        <v>57</v>
      </c>
      <c r="HO166" t="s">
        <v>57</v>
      </c>
      <c r="HP166" t="s">
        <v>57</v>
      </c>
      <c r="HQ166" t="s">
        <v>57</v>
      </c>
      <c r="HR166" t="s">
        <v>57</v>
      </c>
      <c r="HS166" t="s">
        <v>57</v>
      </c>
      <c r="HT166" t="s">
        <v>57</v>
      </c>
      <c r="HU166" t="s">
        <v>57</v>
      </c>
      <c r="HV166" t="s">
        <v>57</v>
      </c>
      <c r="HW166" t="s">
        <v>57</v>
      </c>
      <c r="HX166" t="s">
        <v>57</v>
      </c>
      <c r="HY166" t="s">
        <v>57</v>
      </c>
      <c r="HZ166" t="s">
        <v>57</v>
      </c>
      <c r="IA166" t="s">
        <v>57</v>
      </c>
      <c r="IB166" t="s">
        <v>57</v>
      </c>
      <c r="IC166" t="s">
        <v>57</v>
      </c>
      <c r="ID166" t="s">
        <v>57</v>
      </c>
      <c r="IE166" t="s">
        <v>57</v>
      </c>
      <c r="IF166" t="s">
        <v>124</v>
      </c>
      <c r="IG166" t="s">
        <v>155</v>
      </c>
      <c r="IH166" t="s">
        <v>123</v>
      </c>
      <c r="II166" t="s">
        <v>156</v>
      </c>
    </row>
    <row r="167" spans="1:243" x14ac:dyDescent="0.25">
      <c r="A167" s="201" t="str">
        <f>HYPERLINK("http://www.ofsted.gov.uk/inspection-reports/find-inspection-report/provider/ELS/135424 ","Ofsted School Webpage")</f>
        <v>Ofsted School Webpage</v>
      </c>
      <c r="B167">
        <v>135424</v>
      </c>
      <c r="C167">
        <v>8056002</v>
      </c>
      <c r="D167" t="s">
        <v>897</v>
      </c>
      <c r="E167" t="s">
        <v>37</v>
      </c>
      <c r="F167" t="s">
        <v>138</v>
      </c>
      <c r="G167" t="s">
        <v>202</v>
      </c>
      <c r="H167" t="s">
        <v>234</v>
      </c>
      <c r="I167" t="s">
        <v>898</v>
      </c>
      <c r="J167" t="s">
        <v>899</v>
      </c>
      <c r="K167" t="s">
        <v>142</v>
      </c>
      <c r="L167" t="s">
        <v>142</v>
      </c>
      <c r="M167" t="s">
        <v>2596</v>
      </c>
      <c r="N167" t="s">
        <v>143</v>
      </c>
      <c r="O167">
        <v>10043656</v>
      </c>
      <c r="P167" s="108">
        <v>43137</v>
      </c>
      <c r="Q167" s="108">
        <v>43139</v>
      </c>
      <c r="R167" s="108">
        <v>43165</v>
      </c>
      <c r="S167" t="s">
        <v>153</v>
      </c>
      <c r="T167" t="s">
        <v>154</v>
      </c>
      <c r="U167">
        <v>2</v>
      </c>
      <c r="V167">
        <v>2</v>
      </c>
      <c r="W167">
        <v>2</v>
      </c>
      <c r="X167">
        <v>2</v>
      </c>
      <c r="Y167">
        <v>2</v>
      </c>
      <c r="Z167" t="s">
        <v>2596</v>
      </c>
      <c r="AA167" t="s">
        <v>2596</v>
      </c>
      <c r="AB167" t="s">
        <v>123</v>
      </c>
      <c r="AC167" t="s">
        <v>2596</v>
      </c>
      <c r="AD167" t="s">
        <v>2598</v>
      </c>
      <c r="AE167" t="s">
        <v>57</v>
      </c>
      <c r="AF167" t="s">
        <v>57</v>
      </c>
      <c r="AG167" t="s">
        <v>57</v>
      </c>
      <c r="AH167" t="s">
        <v>57</v>
      </c>
      <c r="AI167" t="s">
        <v>57</v>
      </c>
      <c r="AJ167" t="s">
        <v>57</v>
      </c>
      <c r="AK167" t="s">
        <v>57</v>
      </c>
      <c r="AL167" t="s">
        <v>57</v>
      </c>
      <c r="AM167" t="s">
        <v>57</v>
      </c>
      <c r="AN167" t="s">
        <v>57</v>
      </c>
      <c r="AO167" t="s">
        <v>57</v>
      </c>
      <c r="AP167" t="s">
        <v>57</v>
      </c>
      <c r="AQ167" t="s">
        <v>57</v>
      </c>
      <c r="AR167" t="s">
        <v>57</v>
      </c>
      <c r="AS167" t="s">
        <v>57</v>
      </c>
      <c r="AT167" t="s">
        <v>57</v>
      </c>
      <c r="AU167" t="s">
        <v>175</v>
      </c>
      <c r="AV167" t="s">
        <v>57</v>
      </c>
      <c r="AW167" t="s">
        <v>57</v>
      </c>
      <c r="AX167" t="s">
        <v>57</v>
      </c>
      <c r="AY167" t="s">
        <v>57</v>
      </c>
      <c r="AZ167" t="s">
        <v>57</v>
      </c>
      <c r="BA167" t="s">
        <v>57</v>
      </c>
      <c r="BB167" t="s">
        <v>57</v>
      </c>
      <c r="BC167" t="s">
        <v>175</v>
      </c>
      <c r="BD167" t="s">
        <v>175</v>
      </c>
      <c r="BE167" t="s">
        <v>57</v>
      </c>
      <c r="BF167" t="s">
        <v>57</v>
      </c>
      <c r="BG167" t="s">
        <v>57</v>
      </c>
      <c r="BH167" t="s">
        <v>57</v>
      </c>
      <c r="BI167" t="s">
        <v>57</v>
      </c>
      <c r="BJ167" t="s">
        <v>57</v>
      </c>
      <c r="BK167" t="s">
        <v>57</v>
      </c>
      <c r="BL167" t="s">
        <v>57</v>
      </c>
      <c r="BM167" t="s">
        <v>57</v>
      </c>
      <c r="BN167" t="s">
        <v>57</v>
      </c>
      <c r="BO167" t="s">
        <v>57</v>
      </c>
      <c r="BP167" t="s">
        <v>57</v>
      </c>
      <c r="BQ167" t="s">
        <v>57</v>
      </c>
      <c r="BR167" t="s">
        <v>57</v>
      </c>
      <c r="BS167" t="s">
        <v>57</v>
      </c>
      <c r="BT167" t="s">
        <v>57</v>
      </c>
      <c r="BU167" t="s">
        <v>57</v>
      </c>
      <c r="BV167" t="s">
        <v>57</v>
      </c>
      <c r="BW167" t="s">
        <v>57</v>
      </c>
      <c r="BX167" t="s">
        <v>57</v>
      </c>
      <c r="BY167" t="s">
        <v>57</v>
      </c>
      <c r="BZ167" t="s">
        <v>57</v>
      </c>
      <c r="CA167" t="s">
        <v>57</v>
      </c>
      <c r="CB167" t="s">
        <v>57</v>
      </c>
      <c r="CC167" t="s">
        <v>57</v>
      </c>
      <c r="CD167" t="s">
        <v>57</v>
      </c>
      <c r="CE167" t="s">
        <v>57</v>
      </c>
      <c r="CF167" t="s">
        <v>57</v>
      </c>
      <c r="CG167" t="s">
        <v>57</v>
      </c>
      <c r="CH167" t="s">
        <v>57</v>
      </c>
      <c r="CI167" t="s">
        <v>57</v>
      </c>
      <c r="CJ167" t="s">
        <v>57</v>
      </c>
      <c r="CK167" t="s">
        <v>175</v>
      </c>
      <c r="CL167" t="s">
        <v>175</v>
      </c>
      <c r="CM167" t="s">
        <v>175</v>
      </c>
      <c r="CN167" t="s">
        <v>57</v>
      </c>
      <c r="CO167" t="s">
        <v>57</v>
      </c>
      <c r="CP167" t="s">
        <v>57</v>
      </c>
      <c r="CQ167" t="s">
        <v>57</v>
      </c>
      <c r="CR167" t="s">
        <v>57</v>
      </c>
      <c r="CS167" t="s">
        <v>57</v>
      </c>
      <c r="CT167" t="s">
        <v>57</v>
      </c>
      <c r="CU167" t="s">
        <v>57</v>
      </c>
      <c r="CV167" t="s">
        <v>57</v>
      </c>
      <c r="CW167" t="s">
        <v>57</v>
      </c>
      <c r="CX167" t="s">
        <v>57</v>
      </c>
      <c r="CY167" t="s">
        <v>57</v>
      </c>
      <c r="CZ167" t="s">
        <v>57</v>
      </c>
      <c r="DA167" t="s">
        <v>57</v>
      </c>
      <c r="DB167" t="s">
        <v>57</v>
      </c>
      <c r="DC167" t="s">
        <v>57</v>
      </c>
      <c r="DD167" t="s">
        <v>57</v>
      </c>
      <c r="DE167" t="s">
        <v>57</v>
      </c>
      <c r="DF167" t="s">
        <v>57</v>
      </c>
      <c r="DG167" t="s">
        <v>57</v>
      </c>
      <c r="DH167" t="s">
        <v>57</v>
      </c>
      <c r="DI167" t="s">
        <v>57</v>
      </c>
      <c r="DJ167" t="s">
        <v>57</v>
      </c>
      <c r="DK167" t="s">
        <v>175</v>
      </c>
      <c r="DL167" t="s">
        <v>57</v>
      </c>
      <c r="DM167" t="s">
        <v>57</v>
      </c>
      <c r="DN167" t="s">
        <v>57</v>
      </c>
      <c r="DO167" t="s">
        <v>57</v>
      </c>
      <c r="DP167" t="s">
        <v>57</v>
      </c>
      <c r="DQ167" t="s">
        <v>57</v>
      </c>
      <c r="DR167" t="s">
        <v>57</v>
      </c>
      <c r="DS167" t="s">
        <v>57</v>
      </c>
      <c r="DT167" t="s">
        <v>57</v>
      </c>
      <c r="DU167" t="s">
        <v>57</v>
      </c>
      <c r="DV167" t="s">
        <v>57</v>
      </c>
      <c r="DW167" t="s">
        <v>57</v>
      </c>
      <c r="DX167" t="s">
        <v>57</v>
      </c>
      <c r="DY167" t="s">
        <v>175</v>
      </c>
      <c r="DZ167" t="s">
        <v>57</v>
      </c>
      <c r="EA167" t="s">
        <v>57</v>
      </c>
      <c r="EB167" t="s">
        <v>57</v>
      </c>
      <c r="EC167" t="s">
        <v>57</v>
      </c>
      <c r="ED167" t="s">
        <v>57</v>
      </c>
      <c r="EE167" t="s">
        <v>57</v>
      </c>
      <c r="EF167" t="s">
        <v>57</v>
      </c>
      <c r="EG167" t="s">
        <v>57</v>
      </c>
      <c r="EH167" t="s">
        <v>57</v>
      </c>
      <c r="EI167" t="s">
        <v>57</v>
      </c>
      <c r="EJ167" t="s">
        <v>57</v>
      </c>
      <c r="EK167" t="s">
        <v>57</v>
      </c>
      <c r="EL167" t="s">
        <v>57</v>
      </c>
      <c r="EM167" t="s">
        <v>57</v>
      </c>
      <c r="EN167" t="s">
        <v>57</v>
      </c>
      <c r="EO167" t="s">
        <v>57</v>
      </c>
      <c r="EP167" t="s">
        <v>57</v>
      </c>
      <c r="EQ167" t="s">
        <v>57</v>
      </c>
      <c r="ER167" t="s">
        <v>57</v>
      </c>
      <c r="ES167" t="s">
        <v>57</v>
      </c>
      <c r="ET167" t="s">
        <v>57</v>
      </c>
      <c r="EU167" t="s">
        <v>57</v>
      </c>
      <c r="EV167" t="s">
        <v>57</v>
      </c>
      <c r="EW167" t="s">
        <v>57</v>
      </c>
      <c r="EX167" t="s">
        <v>57</v>
      </c>
      <c r="EY167" t="s">
        <v>57</v>
      </c>
      <c r="EZ167" t="s">
        <v>57</v>
      </c>
      <c r="FA167" t="s">
        <v>57</v>
      </c>
      <c r="FB167" t="s">
        <v>57</v>
      </c>
      <c r="FC167" t="s">
        <v>57</v>
      </c>
      <c r="FD167" t="s">
        <v>57</v>
      </c>
      <c r="FE167" t="s">
        <v>57</v>
      </c>
      <c r="FF167" t="s">
        <v>57</v>
      </c>
      <c r="FG167" t="s">
        <v>57</v>
      </c>
      <c r="FH167" t="s">
        <v>57</v>
      </c>
      <c r="FI167" t="s">
        <v>57</v>
      </c>
      <c r="FJ167" t="s">
        <v>57</v>
      </c>
      <c r="FK167" t="s">
        <v>57</v>
      </c>
      <c r="FL167" t="s">
        <v>57</v>
      </c>
      <c r="FM167" t="s">
        <v>57</v>
      </c>
      <c r="FN167" t="s">
        <v>57</v>
      </c>
      <c r="FO167" t="s">
        <v>175</v>
      </c>
      <c r="FP167" t="s">
        <v>57</v>
      </c>
      <c r="FQ167" t="s">
        <v>57</v>
      </c>
      <c r="FR167" t="s">
        <v>57</v>
      </c>
      <c r="FS167" t="s">
        <v>57</v>
      </c>
      <c r="FT167" t="s">
        <v>57</v>
      </c>
      <c r="FU167" t="s">
        <v>57</v>
      </c>
      <c r="FV167" t="s">
        <v>57</v>
      </c>
      <c r="FW167" t="s">
        <v>57</v>
      </c>
      <c r="FX167" t="s">
        <v>57</v>
      </c>
      <c r="FY167" t="s">
        <v>57</v>
      </c>
      <c r="FZ167" t="s">
        <v>57</v>
      </c>
      <c r="GA167" t="s">
        <v>57</v>
      </c>
      <c r="GB167" t="s">
        <v>57</v>
      </c>
      <c r="GC167" t="s">
        <v>57</v>
      </c>
      <c r="GD167" t="s">
        <v>57</v>
      </c>
      <c r="GE167" t="s">
        <v>57</v>
      </c>
      <c r="GF167" t="s">
        <v>57</v>
      </c>
      <c r="GG167" t="s">
        <v>175</v>
      </c>
      <c r="GH167" t="s">
        <v>57</v>
      </c>
      <c r="GI167" t="s">
        <v>57</v>
      </c>
      <c r="GJ167" t="s">
        <v>57</v>
      </c>
      <c r="GK167" t="s">
        <v>57</v>
      </c>
      <c r="GL167" t="s">
        <v>57</v>
      </c>
      <c r="GM167" t="s">
        <v>175</v>
      </c>
      <c r="GN167" t="s">
        <v>57</v>
      </c>
      <c r="GO167" t="s">
        <v>57</v>
      </c>
      <c r="GP167" t="s">
        <v>57</v>
      </c>
      <c r="GQ167" t="s">
        <v>57</v>
      </c>
      <c r="GR167" t="s">
        <v>57</v>
      </c>
      <c r="GS167" t="s">
        <v>57</v>
      </c>
      <c r="GT167" t="s">
        <v>57</v>
      </c>
      <c r="GU167" t="s">
        <v>57</v>
      </c>
      <c r="GV167" t="s">
        <v>175</v>
      </c>
      <c r="GW167" t="s">
        <v>57</v>
      </c>
      <c r="GX167" t="s">
        <v>57</v>
      </c>
      <c r="GY167" t="s">
        <v>57</v>
      </c>
      <c r="GZ167" t="s">
        <v>57</v>
      </c>
      <c r="HA167" t="s">
        <v>57</v>
      </c>
      <c r="HB167" t="s">
        <v>57</v>
      </c>
      <c r="HC167" t="s">
        <v>57</v>
      </c>
      <c r="HD167" t="s">
        <v>57</v>
      </c>
      <c r="HE167" t="s">
        <v>57</v>
      </c>
      <c r="HF167" t="s">
        <v>57</v>
      </c>
      <c r="HG167" t="s">
        <v>57</v>
      </c>
      <c r="HH167" t="s">
        <v>175</v>
      </c>
      <c r="HI167" t="s">
        <v>175</v>
      </c>
      <c r="HJ167" t="s">
        <v>175</v>
      </c>
      <c r="HK167" t="s">
        <v>175</v>
      </c>
      <c r="HL167" t="s">
        <v>57</v>
      </c>
      <c r="HM167" t="s">
        <v>57</v>
      </c>
      <c r="HN167" t="s">
        <v>57</v>
      </c>
      <c r="HO167" t="s">
        <v>57</v>
      </c>
      <c r="HP167" t="s">
        <v>57</v>
      </c>
      <c r="HQ167" t="s">
        <v>57</v>
      </c>
      <c r="HR167" t="s">
        <v>57</v>
      </c>
      <c r="HS167" t="s">
        <v>57</v>
      </c>
      <c r="HT167" t="s">
        <v>57</v>
      </c>
      <c r="HU167" t="s">
        <v>57</v>
      </c>
      <c r="HV167" t="s">
        <v>57</v>
      </c>
      <c r="HW167" t="s">
        <v>57</v>
      </c>
      <c r="HX167" t="s">
        <v>57</v>
      </c>
      <c r="HY167" t="s">
        <v>57</v>
      </c>
      <c r="HZ167" t="s">
        <v>57</v>
      </c>
      <c r="IA167" t="s">
        <v>57</v>
      </c>
      <c r="IB167" t="s">
        <v>57</v>
      </c>
      <c r="IC167" t="s">
        <v>57</v>
      </c>
      <c r="ID167" t="s">
        <v>57</v>
      </c>
      <c r="IE167" t="s">
        <v>57</v>
      </c>
      <c r="IF167" t="s">
        <v>124</v>
      </c>
      <c r="IG167" t="s">
        <v>148</v>
      </c>
      <c r="IH167" t="s">
        <v>123</v>
      </c>
      <c r="II167" t="s">
        <v>156</v>
      </c>
    </row>
    <row r="168" spans="1:243" x14ac:dyDescent="0.25">
      <c r="A168" s="201" t="str">
        <f>HYPERLINK("http://www.ofsted.gov.uk/inspection-reports/find-inspection-report/provider/ELS/135452 ","Ofsted School Webpage")</f>
        <v>Ofsted School Webpage</v>
      </c>
      <c r="B168">
        <v>135452</v>
      </c>
      <c r="C168">
        <v>2116395</v>
      </c>
      <c r="D168" t="s">
        <v>493</v>
      </c>
      <c r="E168" t="s">
        <v>36</v>
      </c>
      <c r="F168" t="s">
        <v>166</v>
      </c>
      <c r="G168" t="s">
        <v>189</v>
      </c>
      <c r="H168" t="s">
        <v>189</v>
      </c>
      <c r="I168" t="s">
        <v>494</v>
      </c>
      <c r="J168" t="s">
        <v>495</v>
      </c>
      <c r="K168" t="s">
        <v>142</v>
      </c>
      <c r="L168" t="s">
        <v>142</v>
      </c>
      <c r="M168" t="s">
        <v>2596</v>
      </c>
      <c r="N168" t="s">
        <v>143</v>
      </c>
      <c r="O168">
        <v>10006020</v>
      </c>
      <c r="P168" s="108">
        <v>42997</v>
      </c>
      <c r="Q168" s="108">
        <v>42999</v>
      </c>
      <c r="R168" s="108">
        <v>43040</v>
      </c>
      <c r="S168" t="s">
        <v>153</v>
      </c>
      <c r="T168" t="s">
        <v>154</v>
      </c>
      <c r="U168">
        <v>3</v>
      </c>
      <c r="V168">
        <v>3</v>
      </c>
      <c r="W168">
        <v>0</v>
      </c>
      <c r="X168">
        <v>0</v>
      </c>
      <c r="Y168">
        <v>0</v>
      </c>
      <c r="Z168">
        <v>0</v>
      </c>
      <c r="AA168" t="s">
        <v>2596</v>
      </c>
      <c r="AB168" t="s">
        <v>123</v>
      </c>
      <c r="AC168" t="s">
        <v>2596</v>
      </c>
      <c r="AD168" t="s">
        <v>2599</v>
      </c>
      <c r="AE168" t="s">
        <v>160</v>
      </c>
      <c r="AF168" t="s">
        <v>160</v>
      </c>
      <c r="AG168" t="s">
        <v>57</v>
      </c>
      <c r="AH168" t="s">
        <v>57</v>
      </c>
      <c r="AI168" t="s">
        <v>58</v>
      </c>
      <c r="AJ168" t="s">
        <v>58</v>
      </c>
      <c r="AK168" t="s">
        <v>58</v>
      </c>
      <c r="AL168" t="s">
        <v>58</v>
      </c>
      <c r="AM168" t="s">
        <v>160</v>
      </c>
      <c r="AN168" t="s">
        <v>160</v>
      </c>
      <c r="AO168" t="s">
        <v>57</v>
      </c>
      <c r="AP168" t="s">
        <v>57</v>
      </c>
      <c r="AQ168" t="s">
        <v>57</v>
      </c>
      <c r="AR168" t="s">
        <v>160</v>
      </c>
      <c r="AS168" t="s">
        <v>57</v>
      </c>
      <c r="AT168" t="s">
        <v>160</v>
      </c>
      <c r="AU168" t="s">
        <v>148</v>
      </c>
      <c r="AV168" t="s">
        <v>160</v>
      </c>
      <c r="AW168" t="s">
        <v>57</v>
      </c>
      <c r="AX168" t="s">
        <v>57</v>
      </c>
      <c r="AY168" t="s">
        <v>160</v>
      </c>
      <c r="AZ168" t="s">
        <v>160</v>
      </c>
      <c r="BA168" t="s">
        <v>160</v>
      </c>
      <c r="BB168" t="s">
        <v>160</v>
      </c>
      <c r="BC168" t="s">
        <v>57</v>
      </c>
      <c r="BD168" t="s">
        <v>160</v>
      </c>
      <c r="BE168" t="s">
        <v>160</v>
      </c>
      <c r="BF168" t="s">
        <v>160</v>
      </c>
      <c r="BG168" t="s">
        <v>160</v>
      </c>
      <c r="BH168" t="s">
        <v>160</v>
      </c>
      <c r="BI168" t="s">
        <v>160</v>
      </c>
      <c r="BJ168" t="s">
        <v>160</v>
      </c>
      <c r="BK168" t="s">
        <v>160</v>
      </c>
      <c r="BL168" t="s">
        <v>160</v>
      </c>
      <c r="BM168" t="s">
        <v>160</v>
      </c>
      <c r="BN168" t="s">
        <v>160</v>
      </c>
      <c r="BO168" t="s">
        <v>160</v>
      </c>
      <c r="BP168" t="s">
        <v>160</v>
      </c>
      <c r="BQ168" t="s">
        <v>160</v>
      </c>
      <c r="BR168" t="s">
        <v>57</v>
      </c>
      <c r="BS168" t="s">
        <v>160</v>
      </c>
      <c r="BT168" t="s">
        <v>160</v>
      </c>
      <c r="BU168" t="s">
        <v>160</v>
      </c>
      <c r="BV168" t="s">
        <v>160</v>
      </c>
      <c r="BW168" t="s">
        <v>160</v>
      </c>
      <c r="BX168" t="s">
        <v>160</v>
      </c>
      <c r="BY168" t="s">
        <v>160</v>
      </c>
      <c r="BZ168" t="s">
        <v>160</v>
      </c>
      <c r="CA168" t="s">
        <v>160</v>
      </c>
      <c r="CB168" t="s">
        <v>160</v>
      </c>
      <c r="CC168" t="s">
        <v>160</v>
      </c>
      <c r="CD168" t="s">
        <v>160</v>
      </c>
      <c r="CE168" t="s">
        <v>160</v>
      </c>
      <c r="CF168" t="s">
        <v>160</v>
      </c>
      <c r="CG168" t="s">
        <v>160</v>
      </c>
      <c r="CH168" t="s">
        <v>57</v>
      </c>
      <c r="CI168" t="s">
        <v>57</v>
      </c>
      <c r="CJ168" t="s">
        <v>57</v>
      </c>
      <c r="CK168" t="s">
        <v>148</v>
      </c>
      <c r="CL168" t="s">
        <v>148</v>
      </c>
      <c r="CM168" t="s">
        <v>148</v>
      </c>
      <c r="CN168" t="s">
        <v>57</v>
      </c>
      <c r="CO168" t="s">
        <v>57</v>
      </c>
      <c r="CP168" t="s">
        <v>160</v>
      </c>
      <c r="CQ168" t="s">
        <v>57</v>
      </c>
      <c r="CR168" t="s">
        <v>160</v>
      </c>
      <c r="CS168" t="s">
        <v>57</v>
      </c>
      <c r="CT168" t="s">
        <v>58</v>
      </c>
      <c r="CU168" t="s">
        <v>57</v>
      </c>
      <c r="CV168" t="s">
        <v>57</v>
      </c>
      <c r="CW168" t="s">
        <v>58</v>
      </c>
      <c r="CX168" t="s">
        <v>160</v>
      </c>
      <c r="CY168" t="s">
        <v>57</v>
      </c>
      <c r="CZ168" t="s">
        <v>160</v>
      </c>
      <c r="DA168" t="s">
        <v>57</v>
      </c>
      <c r="DB168" t="s">
        <v>57</v>
      </c>
      <c r="DC168" t="s">
        <v>57</v>
      </c>
      <c r="DD168" t="s">
        <v>57</v>
      </c>
      <c r="DE168" t="s">
        <v>57</v>
      </c>
      <c r="DF168" t="s">
        <v>57</v>
      </c>
      <c r="DG168" t="s">
        <v>57</v>
      </c>
      <c r="DH168" t="s">
        <v>57</v>
      </c>
      <c r="DI168" t="s">
        <v>57</v>
      </c>
      <c r="DJ168" t="s">
        <v>148</v>
      </c>
      <c r="DK168" t="s">
        <v>148</v>
      </c>
      <c r="DL168" t="s">
        <v>57</v>
      </c>
      <c r="DM168" t="s">
        <v>148</v>
      </c>
      <c r="DN168" t="s">
        <v>148</v>
      </c>
      <c r="DO168" t="s">
        <v>148</v>
      </c>
      <c r="DP168" t="s">
        <v>148</v>
      </c>
      <c r="DQ168" t="s">
        <v>148</v>
      </c>
      <c r="DR168" t="s">
        <v>148</v>
      </c>
      <c r="DS168" t="s">
        <v>148</v>
      </c>
      <c r="DT168" t="s">
        <v>148</v>
      </c>
      <c r="DU168" t="s">
        <v>148</v>
      </c>
      <c r="DV168" t="s">
        <v>148</v>
      </c>
      <c r="DW168" t="s">
        <v>148</v>
      </c>
      <c r="DX168" t="s">
        <v>148</v>
      </c>
      <c r="DY168" t="s">
        <v>148</v>
      </c>
      <c r="DZ168" t="s">
        <v>57</v>
      </c>
      <c r="EA168" t="s">
        <v>57</v>
      </c>
      <c r="EB168" t="s">
        <v>57</v>
      </c>
      <c r="EC168" t="s">
        <v>57</v>
      </c>
      <c r="ED168" t="s">
        <v>57</v>
      </c>
      <c r="EE168" t="s">
        <v>57</v>
      </c>
      <c r="EF168" t="s">
        <v>57</v>
      </c>
      <c r="EG168" t="s">
        <v>57</v>
      </c>
      <c r="EH168" t="s">
        <v>57</v>
      </c>
      <c r="EI168" t="s">
        <v>57</v>
      </c>
      <c r="EJ168" t="s">
        <v>57</v>
      </c>
      <c r="EK168" t="s">
        <v>57</v>
      </c>
      <c r="EL168" t="s">
        <v>57</v>
      </c>
      <c r="EM168" t="s">
        <v>57</v>
      </c>
      <c r="EN168" t="s">
        <v>57</v>
      </c>
      <c r="EO168" t="s">
        <v>57</v>
      </c>
      <c r="EP168" t="s">
        <v>57</v>
      </c>
      <c r="EQ168" t="s">
        <v>57</v>
      </c>
      <c r="ER168" t="s">
        <v>57</v>
      </c>
      <c r="ES168" t="s">
        <v>57</v>
      </c>
      <c r="ET168" t="s">
        <v>57</v>
      </c>
      <c r="EU168" t="s">
        <v>57</v>
      </c>
      <c r="EV168" t="s">
        <v>57</v>
      </c>
      <c r="EW168" t="s">
        <v>57</v>
      </c>
      <c r="EX168" t="s">
        <v>148</v>
      </c>
      <c r="EY168" t="s">
        <v>148</v>
      </c>
      <c r="EZ168" t="s">
        <v>148</v>
      </c>
      <c r="FA168" t="s">
        <v>148</v>
      </c>
      <c r="FB168" t="s">
        <v>148</v>
      </c>
      <c r="FC168" t="s">
        <v>148</v>
      </c>
      <c r="FD168" t="s">
        <v>57</v>
      </c>
      <c r="FE168" t="s">
        <v>57</v>
      </c>
      <c r="FF168" t="s">
        <v>57</v>
      </c>
      <c r="FG168" t="s">
        <v>57</v>
      </c>
      <c r="FH168" t="s">
        <v>58</v>
      </c>
      <c r="FI168" t="s">
        <v>57</v>
      </c>
      <c r="FJ168" t="s">
        <v>57</v>
      </c>
      <c r="FK168" t="s">
        <v>58</v>
      </c>
      <c r="FL168" t="s">
        <v>57</v>
      </c>
      <c r="FM168" t="s">
        <v>57</v>
      </c>
      <c r="FN168" t="s">
        <v>57</v>
      </c>
      <c r="FO168" t="s">
        <v>148</v>
      </c>
      <c r="FP168" t="s">
        <v>57</v>
      </c>
      <c r="FQ168" t="s">
        <v>58</v>
      </c>
      <c r="FR168" t="s">
        <v>57</v>
      </c>
      <c r="FS168" t="s">
        <v>57</v>
      </c>
      <c r="FT168" t="s">
        <v>57</v>
      </c>
      <c r="FU168" t="s">
        <v>57</v>
      </c>
      <c r="FV168" t="s">
        <v>57</v>
      </c>
      <c r="FW168" t="s">
        <v>57</v>
      </c>
      <c r="FX168" t="s">
        <v>57</v>
      </c>
      <c r="FY168" t="s">
        <v>57</v>
      </c>
      <c r="FZ168" t="s">
        <v>57</v>
      </c>
      <c r="GA168" t="s">
        <v>57</v>
      </c>
      <c r="GB168" t="s">
        <v>57</v>
      </c>
      <c r="GC168" t="s">
        <v>57</v>
      </c>
      <c r="GD168" t="s">
        <v>58</v>
      </c>
      <c r="GE168" t="s">
        <v>58</v>
      </c>
      <c r="GF168" t="s">
        <v>58</v>
      </c>
      <c r="GG168" t="s">
        <v>148</v>
      </c>
      <c r="GH168" t="s">
        <v>58</v>
      </c>
      <c r="GI168" t="s">
        <v>58</v>
      </c>
      <c r="GJ168" t="s">
        <v>58</v>
      </c>
      <c r="GK168" t="s">
        <v>57</v>
      </c>
      <c r="GL168" t="s">
        <v>57</v>
      </c>
      <c r="GM168" t="s">
        <v>148</v>
      </c>
      <c r="GN168" t="s">
        <v>57</v>
      </c>
      <c r="GO168" t="s">
        <v>57</v>
      </c>
      <c r="GP168" t="s">
        <v>148</v>
      </c>
      <c r="GQ168" t="s">
        <v>148</v>
      </c>
      <c r="GR168" t="s">
        <v>160</v>
      </c>
      <c r="GS168" t="s">
        <v>58</v>
      </c>
      <c r="GT168" t="s">
        <v>58</v>
      </c>
      <c r="GU168" t="s">
        <v>58</v>
      </c>
      <c r="GV168" t="s">
        <v>58</v>
      </c>
      <c r="GW168" t="s">
        <v>148</v>
      </c>
      <c r="GX168" t="s">
        <v>58</v>
      </c>
      <c r="GY168" t="s">
        <v>57</v>
      </c>
      <c r="GZ168" t="s">
        <v>58</v>
      </c>
      <c r="HA168" t="s">
        <v>58</v>
      </c>
      <c r="HB168" t="s">
        <v>148</v>
      </c>
      <c r="HC168" t="s">
        <v>57</v>
      </c>
      <c r="HD168" t="s">
        <v>57</v>
      </c>
      <c r="HE168" t="s">
        <v>160</v>
      </c>
      <c r="HF168" t="s">
        <v>57</v>
      </c>
      <c r="HG168" t="s">
        <v>58</v>
      </c>
      <c r="HH168" t="s">
        <v>148</v>
      </c>
      <c r="HI168" t="s">
        <v>148</v>
      </c>
      <c r="HJ168" t="s">
        <v>148</v>
      </c>
      <c r="HK168" t="s">
        <v>148</v>
      </c>
      <c r="HL168" t="s">
        <v>58</v>
      </c>
      <c r="HM168" t="s">
        <v>57</v>
      </c>
      <c r="HN168" t="s">
        <v>57</v>
      </c>
      <c r="HO168" t="s">
        <v>57</v>
      </c>
      <c r="HP168" t="s">
        <v>57</v>
      </c>
      <c r="HQ168" t="s">
        <v>57</v>
      </c>
      <c r="HR168" t="s">
        <v>58</v>
      </c>
      <c r="HS168" t="s">
        <v>57</v>
      </c>
      <c r="HT168" t="s">
        <v>58</v>
      </c>
      <c r="HU168" t="s">
        <v>58</v>
      </c>
      <c r="HV168" t="s">
        <v>58</v>
      </c>
      <c r="HW168" t="s">
        <v>58</v>
      </c>
      <c r="HX168" t="s">
        <v>57</v>
      </c>
      <c r="HY168" t="s">
        <v>57</v>
      </c>
      <c r="HZ168" t="s">
        <v>57</v>
      </c>
      <c r="IA168" t="s">
        <v>57</v>
      </c>
      <c r="IB168" t="s">
        <v>58</v>
      </c>
      <c r="IC168" t="s">
        <v>58</v>
      </c>
      <c r="ID168" t="s">
        <v>58</v>
      </c>
      <c r="IE168" t="s">
        <v>57</v>
      </c>
      <c r="IF168" t="s">
        <v>124</v>
      </c>
      <c r="IG168" t="s">
        <v>155</v>
      </c>
      <c r="IH168" t="s">
        <v>123</v>
      </c>
      <c r="II168" t="s">
        <v>363</v>
      </c>
    </row>
    <row r="169" spans="1:243" x14ac:dyDescent="0.25">
      <c r="A169" s="201" t="str">
        <f>HYPERLINK("http://www.ofsted.gov.uk/inspection-reports/find-inspection-report/provider/ELS/135526 ","Ofsted School Webpage")</f>
        <v>Ofsted School Webpage</v>
      </c>
      <c r="B169">
        <v>135526</v>
      </c>
      <c r="C169">
        <v>3566031</v>
      </c>
      <c r="D169" t="s">
        <v>421</v>
      </c>
      <c r="E169" t="s">
        <v>36</v>
      </c>
      <c r="F169" t="s">
        <v>166</v>
      </c>
      <c r="G169" t="s">
        <v>162</v>
      </c>
      <c r="H169" t="s">
        <v>162</v>
      </c>
      <c r="I169" t="s">
        <v>302</v>
      </c>
      <c r="J169" t="s">
        <v>2880</v>
      </c>
      <c r="K169" t="s">
        <v>142</v>
      </c>
      <c r="L169" t="s">
        <v>142</v>
      </c>
      <c r="M169" t="s">
        <v>2596</v>
      </c>
      <c r="N169" t="s">
        <v>143</v>
      </c>
      <c r="O169">
        <v>10040275</v>
      </c>
      <c r="P169" s="108">
        <v>43039</v>
      </c>
      <c r="Q169" s="108">
        <v>43041</v>
      </c>
      <c r="R169" s="108">
        <v>43066</v>
      </c>
      <c r="S169" t="s">
        <v>153</v>
      </c>
      <c r="T169" t="s">
        <v>154</v>
      </c>
      <c r="U169">
        <v>3</v>
      </c>
      <c r="V169">
        <v>3</v>
      </c>
      <c r="W169">
        <v>2</v>
      </c>
      <c r="X169">
        <v>3</v>
      </c>
      <c r="Y169">
        <v>3</v>
      </c>
      <c r="Z169" t="s">
        <v>2596</v>
      </c>
      <c r="AA169">
        <v>2</v>
      </c>
      <c r="AB169" t="s">
        <v>123</v>
      </c>
      <c r="AC169" t="s">
        <v>2596</v>
      </c>
      <c r="AD169" t="s">
        <v>2598</v>
      </c>
      <c r="AE169" t="s">
        <v>57</v>
      </c>
      <c r="AF169" t="s">
        <v>57</v>
      </c>
      <c r="AG169" t="s">
        <v>57</v>
      </c>
      <c r="AH169" t="s">
        <v>57</v>
      </c>
      <c r="AI169" t="s">
        <v>57</v>
      </c>
      <c r="AJ169" t="s">
        <v>57</v>
      </c>
      <c r="AK169" t="s">
        <v>57</v>
      </c>
      <c r="AL169" t="s">
        <v>57</v>
      </c>
      <c r="AM169" t="s">
        <v>57</v>
      </c>
      <c r="AN169" t="s">
        <v>57</v>
      </c>
      <c r="AO169" t="s">
        <v>57</v>
      </c>
      <c r="AP169" t="s">
        <v>57</v>
      </c>
      <c r="AQ169" t="s">
        <v>57</v>
      </c>
      <c r="AR169" t="s">
        <v>57</v>
      </c>
      <c r="AS169" t="s">
        <v>57</v>
      </c>
      <c r="AT169" t="s">
        <v>57</v>
      </c>
      <c r="AU169" t="s">
        <v>175</v>
      </c>
      <c r="AV169" t="s">
        <v>57</v>
      </c>
      <c r="AW169" t="s">
        <v>57</v>
      </c>
      <c r="AX169" t="s">
        <v>57</v>
      </c>
      <c r="AY169" t="s">
        <v>57</v>
      </c>
      <c r="AZ169" t="s">
        <v>57</v>
      </c>
      <c r="BA169" t="s">
        <v>57</v>
      </c>
      <c r="BB169" t="s">
        <v>57</v>
      </c>
      <c r="BC169" t="s">
        <v>175</v>
      </c>
      <c r="BD169" t="s">
        <v>57</v>
      </c>
      <c r="BE169" t="s">
        <v>57</v>
      </c>
      <c r="BF169" t="s">
        <v>57</v>
      </c>
      <c r="BG169" t="s">
        <v>57</v>
      </c>
      <c r="BH169" t="s">
        <v>57</v>
      </c>
      <c r="BI169" t="s">
        <v>57</v>
      </c>
      <c r="BJ169" t="s">
        <v>57</v>
      </c>
      <c r="BK169" t="s">
        <v>57</v>
      </c>
      <c r="BL169" t="s">
        <v>57</v>
      </c>
      <c r="BM169" t="s">
        <v>57</v>
      </c>
      <c r="BN169" t="s">
        <v>57</v>
      </c>
      <c r="BO169" t="s">
        <v>57</v>
      </c>
      <c r="BP169" t="s">
        <v>57</v>
      </c>
      <c r="BQ169" t="s">
        <v>57</v>
      </c>
      <c r="BR169" t="s">
        <v>57</v>
      </c>
      <c r="BS169" t="s">
        <v>57</v>
      </c>
      <c r="BT169" t="s">
        <v>57</v>
      </c>
      <c r="BU169" t="s">
        <v>57</v>
      </c>
      <c r="BV169" t="s">
        <v>57</v>
      </c>
      <c r="BW169" t="s">
        <v>57</v>
      </c>
      <c r="BX169" t="s">
        <v>57</v>
      </c>
      <c r="BY169" t="s">
        <v>57</v>
      </c>
      <c r="BZ169" t="s">
        <v>57</v>
      </c>
      <c r="CA169" t="s">
        <v>57</v>
      </c>
      <c r="CB169" t="s">
        <v>57</v>
      </c>
      <c r="CC169" t="s">
        <v>57</v>
      </c>
      <c r="CD169" t="s">
        <v>57</v>
      </c>
      <c r="CE169" t="s">
        <v>57</v>
      </c>
      <c r="CF169" t="s">
        <v>57</v>
      </c>
      <c r="CG169" t="s">
        <v>57</v>
      </c>
      <c r="CH169" t="s">
        <v>57</v>
      </c>
      <c r="CI169" t="s">
        <v>57</v>
      </c>
      <c r="CJ169" t="s">
        <v>57</v>
      </c>
      <c r="CK169" t="s">
        <v>175</v>
      </c>
      <c r="CL169" t="s">
        <v>175</v>
      </c>
      <c r="CM169" t="s">
        <v>175</v>
      </c>
      <c r="CN169" t="s">
        <v>57</v>
      </c>
      <c r="CO169" t="s">
        <v>57</v>
      </c>
      <c r="CP169" t="s">
        <v>57</v>
      </c>
      <c r="CQ169" t="s">
        <v>57</v>
      </c>
      <c r="CR169" t="s">
        <v>57</v>
      </c>
      <c r="CS169" t="s">
        <v>57</v>
      </c>
      <c r="CT169" t="s">
        <v>57</v>
      </c>
      <c r="CU169" t="s">
        <v>57</v>
      </c>
      <c r="CV169" t="s">
        <v>57</v>
      </c>
      <c r="CW169" t="s">
        <v>57</v>
      </c>
      <c r="CX169" t="s">
        <v>57</v>
      </c>
      <c r="CY169" t="s">
        <v>57</v>
      </c>
      <c r="CZ169" t="s">
        <v>57</v>
      </c>
      <c r="DA169" t="s">
        <v>57</v>
      </c>
      <c r="DB169" t="s">
        <v>57</v>
      </c>
      <c r="DC169" t="s">
        <v>57</v>
      </c>
      <c r="DD169" t="s">
        <v>57</v>
      </c>
      <c r="DE169" t="s">
        <v>57</v>
      </c>
      <c r="DF169" t="s">
        <v>57</v>
      </c>
      <c r="DG169" t="s">
        <v>57</v>
      </c>
      <c r="DH169" t="s">
        <v>57</v>
      </c>
      <c r="DI169" t="s">
        <v>57</v>
      </c>
      <c r="DJ169" t="s">
        <v>57</v>
      </c>
      <c r="DK169" t="s">
        <v>175</v>
      </c>
      <c r="DL169" t="s">
        <v>57</v>
      </c>
      <c r="DM169" t="s">
        <v>57</v>
      </c>
      <c r="DN169" t="s">
        <v>57</v>
      </c>
      <c r="DO169" t="s">
        <v>57</v>
      </c>
      <c r="DP169" t="s">
        <v>57</v>
      </c>
      <c r="DQ169" t="s">
        <v>57</v>
      </c>
      <c r="DR169" t="s">
        <v>57</v>
      </c>
      <c r="DS169" t="s">
        <v>57</v>
      </c>
      <c r="DT169" t="s">
        <v>57</v>
      </c>
      <c r="DU169" t="s">
        <v>57</v>
      </c>
      <c r="DV169" t="s">
        <v>57</v>
      </c>
      <c r="DW169" t="s">
        <v>57</v>
      </c>
      <c r="DX169" t="s">
        <v>57</v>
      </c>
      <c r="DY169" t="s">
        <v>175</v>
      </c>
      <c r="DZ169" t="s">
        <v>57</v>
      </c>
      <c r="EA169" t="s">
        <v>175</v>
      </c>
      <c r="EB169" t="s">
        <v>175</v>
      </c>
      <c r="EC169" t="s">
        <v>175</v>
      </c>
      <c r="ED169" t="s">
        <v>175</v>
      </c>
      <c r="EE169" t="s">
        <v>175</v>
      </c>
      <c r="EF169" t="s">
        <v>175</v>
      </c>
      <c r="EG169" t="s">
        <v>175</v>
      </c>
      <c r="EH169" t="s">
        <v>175</v>
      </c>
      <c r="EI169" t="s">
        <v>175</v>
      </c>
      <c r="EJ169" t="s">
        <v>57</v>
      </c>
      <c r="EK169" t="s">
        <v>57</v>
      </c>
      <c r="EL169" t="s">
        <v>57</v>
      </c>
      <c r="EM169" t="s">
        <v>57</v>
      </c>
      <c r="EN169" t="s">
        <v>57</v>
      </c>
      <c r="EO169" t="s">
        <v>57</v>
      </c>
      <c r="EP169" t="s">
        <v>57</v>
      </c>
      <c r="EQ169" t="s">
        <v>57</v>
      </c>
      <c r="ER169" t="s">
        <v>57</v>
      </c>
      <c r="ES169" t="s">
        <v>57</v>
      </c>
      <c r="ET169" t="s">
        <v>57</v>
      </c>
      <c r="EU169" t="s">
        <v>57</v>
      </c>
      <c r="EV169" t="s">
        <v>57</v>
      </c>
      <c r="EW169" t="s">
        <v>57</v>
      </c>
      <c r="EX169" t="s">
        <v>57</v>
      </c>
      <c r="EY169" t="s">
        <v>57</v>
      </c>
      <c r="EZ169" t="s">
        <v>57</v>
      </c>
      <c r="FA169" t="s">
        <v>57</v>
      </c>
      <c r="FB169" t="s">
        <v>57</v>
      </c>
      <c r="FC169" t="s">
        <v>57</v>
      </c>
      <c r="FD169" t="s">
        <v>57</v>
      </c>
      <c r="FE169" t="s">
        <v>57</v>
      </c>
      <c r="FF169" t="s">
        <v>57</v>
      </c>
      <c r="FG169" t="s">
        <v>57</v>
      </c>
      <c r="FH169" t="s">
        <v>57</v>
      </c>
      <c r="FI169" t="s">
        <v>57</v>
      </c>
      <c r="FJ169" t="s">
        <v>57</v>
      </c>
      <c r="FK169" t="s">
        <v>57</v>
      </c>
      <c r="FL169" t="s">
        <v>57</v>
      </c>
      <c r="FM169" t="s">
        <v>57</v>
      </c>
      <c r="FN169" t="s">
        <v>57</v>
      </c>
      <c r="FO169" t="s">
        <v>175</v>
      </c>
      <c r="FP169" t="s">
        <v>57</v>
      </c>
      <c r="FQ169" t="s">
        <v>57</v>
      </c>
      <c r="FR169" t="s">
        <v>57</v>
      </c>
      <c r="FS169" t="s">
        <v>57</v>
      </c>
      <c r="FT169" t="s">
        <v>57</v>
      </c>
      <c r="FU169" t="s">
        <v>57</v>
      </c>
      <c r="FV169" t="s">
        <v>57</v>
      </c>
      <c r="FW169" t="s">
        <v>57</v>
      </c>
      <c r="FX169" t="s">
        <v>57</v>
      </c>
      <c r="FY169" t="s">
        <v>57</v>
      </c>
      <c r="FZ169" t="s">
        <v>57</v>
      </c>
      <c r="GA169" t="s">
        <v>57</v>
      </c>
      <c r="GB169" t="s">
        <v>57</v>
      </c>
      <c r="GC169" t="s">
        <v>57</v>
      </c>
      <c r="GD169" t="s">
        <v>57</v>
      </c>
      <c r="GE169" t="s">
        <v>57</v>
      </c>
      <c r="GF169" t="s">
        <v>57</v>
      </c>
      <c r="GG169" t="s">
        <v>175</v>
      </c>
      <c r="GH169" t="s">
        <v>57</v>
      </c>
      <c r="GI169" t="s">
        <v>57</v>
      </c>
      <c r="GJ169" t="s">
        <v>57</v>
      </c>
      <c r="GK169" t="s">
        <v>57</v>
      </c>
      <c r="GL169" t="s">
        <v>57</v>
      </c>
      <c r="GM169" t="s">
        <v>175</v>
      </c>
      <c r="GN169" t="s">
        <v>57</v>
      </c>
      <c r="GO169" t="s">
        <v>57</v>
      </c>
      <c r="GP169" t="s">
        <v>57</v>
      </c>
      <c r="GQ169" t="s">
        <v>57</v>
      </c>
      <c r="GR169" t="s">
        <v>57</v>
      </c>
      <c r="GS169" t="s">
        <v>57</v>
      </c>
      <c r="GT169" t="s">
        <v>57</v>
      </c>
      <c r="GU169" t="s">
        <v>57</v>
      </c>
      <c r="GV169" t="s">
        <v>57</v>
      </c>
      <c r="GW169" t="s">
        <v>175</v>
      </c>
      <c r="GX169" t="s">
        <v>57</v>
      </c>
      <c r="GY169" t="s">
        <v>57</v>
      </c>
      <c r="GZ169" t="s">
        <v>57</v>
      </c>
      <c r="HA169" t="s">
        <v>57</v>
      </c>
      <c r="HB169" t="s">
        <v>57</v>
      </c>
      <c r="HC169" t="s">
        <v>57</v>
      </c>
      <c r="HD169" t="s">
        <v>57</v>
      </c>
      <c r="HE169" t="s">
        <v>57</v>
      </c>
      <c r="HF169" t="s">
        <v>57</v>
      </c>
      <c r="HG169" t="s">
        <v>57</v>
      </c>
      <c r="HH169" t="s">
        <v>57</v>
      </c>
      <c r="HI169" t="s">
        <v>175</v>
      </c>
      <c r="HJ169" t="s">
        <v>175</v>
      </c>
      <c r="HK169" t="s">
        <v>175</v>
      </c>
      <c r="HL169" t="s">
        <v>57</v>
      </c>
      <c r="HM169" t="s">
        <v>57</v>
      </c>
      <c r="HN169" t="s">
        <v>57</v>
      </c>
      <c r="HO169" t="s">
        <v>57</v>
      </c>
      <c r="HP169" t="s">
        <v>57</v>
      </c>
      <c r="HQ169" t="s">
        <v>57</v>
      </c>
      <c r="HR169" t="s">
        <v>57</v>
      </c>
      <c r="HS169" t="s">
        <v>57</v>
      </c>
      <c r="HT169" t="s">
        <v>57</v>
      </c>
      <c r="HU169" t="s">
        <v>57</v>
      </c>
      <c r="HV169" t="s">
        <v>57</v>
      </c>
      <c r="HW169" t="s">
        <v>57</v>
      </c>
      <c r="HX169" t="s">
        <v>57</v>
      </c>
      <c r="HY169" t="s">
        <v>57</v>
      </c>
      <c r="HZ169" t="s">
        <v>57</v>
      </c>
      <c r="IA169" t="s">
        <v>57</v>
      </c>
      <c r="IB169" t="s">
        <v>57</v>
      </c>
      <c r="IC169" t="s">
        <v>57</v>
      </c>
      <c r="ID169" t="s">
        <v>57</v>
      </c>
      <c r="IE169" t="s">
        <v>57</v>
      </c>
      <c r="IF169" t="s">
        <v>124</v>
      </c>
      <c r="IG169" t="s">
        <v>148</v>
      </c>
      <c r="IH169" t="s">
        <v>123</v>
      </c>
      <c r="II169" t="s">
        <v>156</v>
      </c>
    </row>
    <row r="170" spans="1:243" x14ac:dyDescent="0.25">
      <c r="A170" s="201" t="str">
        <f>HYPERLINK("http://www.ofsted.gov.uk/inspection-reports/find-inspection-report/provider/ELS/135561 ","Ofsted School Webpage")</f>
        <v>Ofsted School Webpage</v>
      </c>
      <c r="B170">
        <v>135561</v>
      </c>
      <c r="C170">
        <v>3306128</v>
      </c>
      <c r="D170" t="s">
        <v>647</v>
      </c>
      <c r="E170" t="s">
        <v>36</v>
      </c>
      <c r="F170" t="s">
        <v>166</v>
      </c>
      <c r="G170" t="s">
        <v>150</v>
      </c>
      <c r="H170" t="s">
        <v>150</v>
      </c>
      <c r="I170" t="s">
        <v>167</v>
      </c>
      <c r="J170" t="s">
        <v>648</v>
      </c>
      <c r="K170" t="s">
        <v>142</v>
      </c>
      <c r="L170" t="s">
        <v>142</v>
      </c>
      <c r="M170" t="s">
        <v>2596</v>
      </c>
      <c r="N170" t="s">
        <v>143</v>
      </c>
      <c r="O170">
        <v>10020744</v>
      </c>
      <c r="P170" s="108">
        <v>43067</v>
      </c>
      <c r="Q170" s="108">
        <v>43069</v>
      </c>
      <c r="R170" s="108">
        <v>43125</v>
      </c>
      <c r="S170" t="s">
        <v>153</v>
      </c>
      <c r="T170" t="s">
        <v>154</v>
      </c>
      <c r="U170">
        <v>2</v>
      </c>
      <c r="V170">
        <v>2</v>
      </c>
      <c r="W170">
        <v>1</v>
      </c>
      <c r="X170">
        <v>2</v>
      </c>
      <c r="Y170">
        <v>2</v>
      </c>
      <c r="Z170" t="s">
        <v>2596</v>
      </c>
      <c r="AA170" t="s">
        <v>2596</v>
      </c>
      <c r="AB170" t="s">
        <v>123</v>
      </c>
      <c r="AC170" t="s">
        <v>2596</v>
      </c>
      <c r="AD170" t="s">
        <v>2598</v>
      </c>
      <c r="AE170" t="s">
        <v>57</v>
      </c>
      <c r="AF170" t="s">
        <v>57</v>
      </c>
      <c r="AG170" t="s">
        <v>57</v>
      </c>
      <c r="AH170" t="s">
        <v>57</v>
      </c>
      <c r="AI170" t="s">
        <v>57</v>
      </c>
      <c r="AJ170" t="s">
        <v>57</v>
      </c>
      <c r="AK170" t="s">
        <v>57</v>
      </c>
      <c r="AL170" t="s">
        <v>57</v>
      </c>
      <c r="AM170" t="s">
        <v>57</v>
      </c>
      <c r="AN170" t="s">
        <v>57</v>
      </c>
      <c r="AO170" t="s">
        <v>57</v>
      </c>
      <c r="AP170" t="s">
        <v>57</v>
      </c>
      <c r="AQ170" t="s">
        <v>57</v>
      </c>
      <c r="AR170" t="s">
        <v>57</v>
      </c>
      <c r="AS170" t="s">
        <v>57</v>
      </c>
      <c r="AT170" t="s">
        <v>57</v>
      </c>
      <c r="AU170" t="s">
        <v>57</v>
      </c>
      <c r="AV170" t="s">
        <v>57</v>
      </c>
      <c r="AW170" t="s">
        <v>57</v>
      </c>
      <c r="AX170" t="s">
        <v>57</v>
      </c>
      <c r="AY170" t="s">
        <v>57</v>
      </c>
      <c r="AZ170" t="s">
        <v>57</v>
      </c>
      <c r="BA170" t="s">
        <v>57</v>
      </c>
      <c r="BB170" t="s">
        <v>57</v>
      </c>
      <c r="BC170" t="s">
        <v>57</v>
      </c>
      <c r="BD170" t="s">
        <v>57</v>
      </c>
      <c r="BE170" t="s">
        <v>57</v>
      </c>
      <c r="BF170" t="s">
        <v>57</v>
      </c>
      <c r="BG170" t="s">
        <v>57</v>
      </c>
      <c r="BH170" t="s">
        <v>57</v>
      </c>
      <c r="BI170" t="s">
        <v>57</v>
      </c>
      <c r="BJ170" t="s">
        <v>57</v>
      </c>
      <c r="BK170" t="s">
        <v>57</v>
      </c>
      <c r="BL170" t="s">
        <v>57</v>
      </c>
      <c r="BM170" t="s">
        <v>57</v>
      </c>
      <c r="BN170" t="s">
        <v>57</v>
      </c>
      <c r="BO170" t="s">
        <v>57</v>
      </c>
      <c r="BP170" t="s">
        <v>57</v>
      </c>
      <c r="BQ170" t="s">
        <v>57</v>
      </c>
      <c r="BR170" t="s">
        <v>57</v>
      </c>
      <c r="BS170" t="s">
        <v>57</v>
      </c>
      <c r="BT170" t="s">
        <v>57</v>
      </c>
      <c r="BU170" t="s">
        <v>57</v>
      </c>
      <c r="BV170" t="s">
        <v>57</v>
      </c>
      <c r="BW170" t="s">
        <v>57</v>
      </c>
      <c r="BX170" t="s">
        <v>57</v>
      </c>
      <c r="BY170" t="s">
        <v>57</v>
      </c>
      <c r="BZ170" t="s">
        <v>57</v>
      </c>
      <c r="CA170" t="s">
        <v>57</v>
      </c>
      <c r="CB170" t="s">
        <v>57</v>
      </c>
      <c r="CC170" t="s">
        <v>57</v>
      </c>
      <c r="CD170" t="s">
        <v>57</v>
      </c>
      <c r="CE170" t="s">
        <v>57</v>
      </c>
      <c r="CF170" t="s">
        <v>57</v>
      </c>
      <c r="CG170" t="s">
        <v>57</v>
      </c>
      <c r="CH170" t="s">
        <v>57</v>
      </c>
      <c r="CI170" t="s">
        <v>57</v>
      </c>
      <c r="CJ170" t="s">
        <v>57</v>
      </c>
      <c r="CK170" t="s">
        <v>148</v>
      </c>
      <c r="CL170" t="s">
        <v>148</v>
      </c>
      <c r="CM170" t="s">
        <v>148</v>
      </c>
      <c r="CN170" t="s">
        <v>57</v>
      </c>
      <c r="CO170" t="s">
        <v>57</v>
      </c>
      <c r="CP170" t="s">
        <v>57</v>
      </c>
      <c r="CQ170" t="s">
        <v>57</v>
      </c>
      <c r="CR170" t="s">
        <v>57</v>
      </c>
      <c r="CS170" t="s">
        <v>57</v>
      </c>
      <c r="CT170" t="s">
        <v>57</v>
      </c>
      <c r="CU170" t="s">
        <v>57</v>
      </c>
      <c r="CV170" t="s">
        <v>57</v>
      </c>
      <c r="CW170" t="s">
        <v>57</v>
      </c>
      <c r="CX170" t="s">
        <v>57</v>
      </c>
      <c r="CY170" t="s">
        <v>57</v>
      </c>
      <c r="CZ170" t="s">
        <v>57</v>
      </c>
      <c r="DA170" t="s">
        <v>57</v>
      </c>
      <c r="DB170" t="s">
        <v>57</v>
      </c>
      <c r="DC170" t="s">
        <v>57</v>
      </c>
      <c r="DD170" t="s">
        <v>57</v>
      </c>
      <c r="DE170" t="s">
        <v>57</v>
      </c>
      <c r="DF170" t="s">
        <v>57</v>
      </c>
      <c r="DG170" t="s">
        <v>57</v>
      </c>
      <c r="DH170" t="s">
        <v>57</v>
      </c>
      <c r="DI170" t="s">
        <v>57</v>
      </c>
      <c r="DJ170" t="s">
        <v>57</v>
      </c>
      <c r="DK170" t="s">
        <v>57</v>
      </c>
      <c r="DL170" t="s">
        <v>57</v>
      </c>
      <c r="DM170" t="s">
        <v>57</v>
      </c>
      <c r="DN170" t="s">
        <v>57</v>
      </c>
      <c r="DO170" t="s">
        <v>57</v>
      </c>
      <c r="DP170" t="s">
        <v>57</v>
      </c>
      <c r="DQ170" t="s">
        <v>57</v>
      </c>
      <c r="DR170" t="s">
        <v>57</v>
      </c>
      <c r="DS170" t="s">
        <v>57</v>
      </c>
      <c r="DT170" t="s">
        <v>57</v>
      </c>
      <c r="DU170" t="s">
        <v>57</v>
      </c>
      <c r="DV170" t="s">
        <v>57</v>
      </c>
      <c r="DW170" t="s">
        <v>57</v>
      </c>
      <c r="DX170" t="s">
        <v>57</v>
      </c>
      <c r="DY170" t="s">
        <v>148</v>
      </c>
      <c r="DZ170" t="s">
        <v>57</v>
      </c>
      <c r="EA170" t="s">
        <v>57</v>
      </c>
      <c r="EB170" t="s">
        <v>57</v>
      </c>
      <c r="EC170" t="s">
        <v>57</v>
      </c>
      <c r="ED170" t="s">
        <v>57</v>
      </c>
      <c r="EE170" t="s">
        <v>57</v>
      </c>
      <c r="EF170" t="s">
        <v>57</v>
      </c>
      <c r="EG170" t="s">
        <v>57</v>
      </c>
      <c r="EH170" t="s">
        <v>57</v>
      </c>
      <c r="EI170" t="s">
        <v>57</v>
      </c>
      <c r="EJ170" t="s">
        <v>57</v>
      </c>
      <c r="EK170" t="s">
        <v>57</v>
      </c>
      <c r="EL170" t="s">
        <v>57</v>
      </c>
      <c r="EM170" t="s">
        <v>57</v>
      </c>
      <c r="EN170" t="s">
        <v>57</v>
      </c>
      <c r="EO170" t="s">
        <v>57</v>
      </c>
      <c r="EP170" t="s">
        <v>57</v>
      </c>
      <c r="EQ170" t="s">
        <v>57</v>
      </c>
      <c r="ER170" t="s">
        <v>57</v>
      </c>
      <c r="ES170" t="s">
        <v>57</v>
      </c>
      <c r="ET170" t="s">
        <v>57</v>
      </c>
      <c r="EU170" t="s">
        <v>57</v>
      </c>
      <c r="EV170" t="s">
        <v>57</v>
      </c>
      <c r="EW170" t="s">
        <v>57</v>
      </c>
      <c r="EX170" t="s">
        <v>57</v>
      </c>
      <c r="EY170" t="s">
        <v>57</v>
      </c>
      <c r="EZ170" t="s">
        <v>57</v>
      </c>
      <c r="FA170" t="s">
        <v>57</v>
      </c>
      <c r="FB170" t="s">
        <v>57</v>
      </c>
      <c r="FC170" t="s">
        <v>57</v>
      </c>
      <c r="FD170" t="s">
        <v>57</v>
      </c>
      <c r="FE170" t="s">
        <v>57</v>
      </c>
      <c r="FF170" t="s">
        <v>57</v>
      </c>
      <c r="FG170" t="s">
        <v>57</v>
      </c>
      <c r="FH170" t="s">
        <v>57</v>
      </c>
      <c r="FI170" t="s">
        <v>57</v>
      </c>
      <c r="FJ170" t="s">
        <v>57</v>
      </c>
      <c r="FK170" t="s">
        <v>57</v>
      </c>
      <c r="FL170" t="s">
        <v>57</v>
      </c>
      <c r="FM170" t="s">
        <v>57</v>
      </c>
      <c r="FN170" t="s">
        <v>57</v>
      </c>
      <c r="FO170" t="s">
        <v>148</v>
      </c>
      <c r="FP170" t="s">
        <v>57</v>
      </c>
      <c r="FQ170" t="s">
        <v>57</v>
      </c>
      <c r="FR170" t="s">
        <v>57</v>
      </c>
      <c r="FS170" t="s">
        <v>57</v>
      </c>
      <c r="FT170" t="s">
        <v>57</v>
      </c>
      <c r="FU170" t="s">
        <v>57</v>
      </c>
      <c r="FV170" t="s">
        <v>57</v>
      </c>
      <c r="FW170" t="s">
        <v>57</v>
      </c>
      <c r="FX170" t="s">
        <v>57</v>
      </c>
      <c r="FY170" t="s">
        <v>57</v>
      </c>
      <c r="FZ170" t="s">
        <v>57</v>
      </c>
      <c r="GA170" t="s">
        <v>57</v>
      </c>
      <c r="GB170" t="s">
        <v>57</v>
      </c>
      <c r="GC170" t="s">
        <v>57</v>
      </c>
      <c r="GD170" t="s">
        <v>57</v>
      </c>
      <c r="GE170" t="s">
        <v>57</v>
      </c>
      <c r="GF170" t="s">
        <v>57</v>
      </c>
      <c r="GG170" t="s">
        <v>148</v>
      </c>
      <c r="GH170" t="s">
        <v>57</v>
      </c>
      <c r="GI170" t="s">
        <v>57</v>
      </c>
      <c r="GJ170" t="s">
        <v>57</v>
      </c>
      <c r="GK170" t="s">
        <v>57</v>
      </c>
      <c r="GL170" t="s">
        <v>57</v>
      </c>
      <c r="GM170" t="s">
        <v>148</v>
      </c>
      <c r="GN170" t="s">
        <v>57</v>
      </c>
      <c r="GO170" t="s">
        <v>57</v>
      </c>
      <c r="GP170" t="s">
        <v>57</v>
      </c>
      <c r="GQ170" t="s">
        <v>57</v>
      </c>
      <c r="GR170" t="s">
        <v>57</v>
      </c>
      <c r="GS170" t="s">
        <v>57</v>
      </c>
      <c r="GT170" t="s">
        <v>57</v>
      </c>
      <c r="GU170" t="s">
        <v>57</v>
      </c>
      <c r="GV170" t="s">
        <v>57</v>
      </c>
      <c r="GW170" t="s">
        <v>148</v>
      </c>
      <c r="GX170" t="s">
        <v>148</v>
      </c>
      <c r="GY170" t="s">
        <v>57</v>
      </c>
      <c r="GZ170" t="s">
        <v>57</v>
      </c>
      <c r="HA170" t="s">
        <v>57</v>
      </c>
      <c r="HB170" t="s">
        <v>57</v>
      </c>
      <c r="HC170" t="s">
        <v>57</v>
      </c>
      <c r="HD170" t="s">
        <v>57</v>
      </c>
      <c r="HE170" t="s">
        <v>57</v>
      </c>
      <c r="HF170" t="s">
        <v>57</v>
      </c>
      <c r="HG170" t="s">
        <v>57</v>
      </c>
      <c r="HH170" t="s">
        <v>57</v>
      </c>
      <c r="HI170" t="s">
        <v>57</v>
      </c>
      <c r="HJ170" t="s">
        <v>57</v>
      </c>
      <c r="HK170" t="s">
        <v>57</v>
      </c>
      <c r="HL170" t="s">
        <v>57</v>
      </c>
      <c r="HM170" t="s">
        <v>57</v>
      </c>
      <c r="HN170" t="s">
        <v>57</v>
      </c>
      <c r="HO170" t="s">
        <v>57</v>
      </c>
      <c r="HP170" t="s">
        <v>57</v>
      </c>
      <c r="HQ170" t="s">
        <v>57</v>
      </c>
      <c r="HR170" t="s">
        <v>57</v>
      </c>
      <c r="HS170" t="s">
        <v>57</v>
      </c>
      <c r="HT170" t="s">
        <v>57</v>
      </c>
      <c r="HU170" t="s">
        <v>57</v>
      </c>
      <c r="HV170" t="s">
        <v>57</v>
      </c>
      <c r="HW170" t="s">
        <v>57</v>
      </c>
      <c r="HX170" t="s">
        <v>57</v>
      </c>
      <c r="HY170" t="s">
        <v>57</v>
      </c>
      <c r="HZ170" t="s">
        <v>57</v>
      </c>
      <c r="IA170" t="s">
        <v>57</v>
      </c>
      <c r="IB170" t="s">
        <v>57</v>
      </c>
      <c r="IC170" t="s">
        <v>57</v>
      </c>
      <c r="ID170" t="s">
        <v>57</v>
      </c>
      <c r="IE170" t="s">
        <v>57</v>
      </c>
      <c r="IF170" t="s">
        <v>124</v>
      </c>
      <c r="IG170" t="s">
        <v>155</v>
      </c>
      <c r="IH170" t="s">
        <v>123</v>
      </c>
      <c r="II170" t="s">
        <v>156</v>
      </c>
    </row>
    <row r="171" spans="1:243" x14ac:dyDescent="0.25">
      <c r="A171" s="201" t="str">
        <f>HYPERLINK("http://www.ofsted.gov.uk/inspection-reports/find-inspection-report/provider/ELS/135608 ","Ofsted School Webpage")</f>
        <v>Ofsted School Webpage</v>
      </c>
      <c r="B171">
        <v>135608</v>
      </c>
      <c r="C171">
        <v>3306129</v>
      </c>
      <c r="D171" t="s">
        <v>165</v>
      </c>
      <c r="E171" t="s">
        <v>36</v>
      </c>
      <c r="F171" t="s">
        <v>166</v>
      </c>
      <c r="G171" t="s">
        <v>150</v>
      </c>
      <c r="H171" t="s">
        <v>150</v>
      </c>
      <c r="I171" t="s">
        <v>167</v>
      </c>
      <c r="J171" t="s">
        <v>168</v>
      </c>
      <c r="K171" t="s">
        <v>142</v>
      </c>
      <c r="L171" t="s">
        <v>169</v>
      </c>
      <c r="M171" t="s">
        <v>2596</v>
      </c>
      <c r="N171" t="s">
        <v>143</v>
      </c>
      <c r="O171">
        <v>10006093</v>
      </c>
      <c r="P171" s="108">
        <v>43011</v>
      </c>
      <c r="Q171" s="108">
        <v>43013</v>
      </c>
      <c r="R171" s="108">
        <v>43045</v>
      </c>
      <c r="S171" t="s">
        <v>153</v>
      </c>
      <c r="T171" t="s">
        <v>154</v>
      </c>
      <c r="U171">
        <v>2</v>
      </c>
      <c r="V171">
        <v>2</v>
      </c>
      <c r="W171">
        <v>2</v>
      </c>
      <c r="X171">
        <v>2</v>
      </c>
      <c r="Y171">
        <v>2</v>
      </c>
      <c r="Z171" t="s">
        <v>2596</v>
      </c>
      <c r="AA171" t="s">
        <v>2596</v>
      </c>
      <c r="AB171" t="s">
        <v>123</v>
      </c>
      <c r="AC171" t="s">
        <v>2596</v>
      </c>
      <c r="AD171" t="s">
        <v>2598</v>
      </c>
      <c r="AE171" t="s">
        <v>57</v>
      </c>
      <c r="AF171" t="s">
        <v>57</v>
      </c>
      <c r="AG171" t="s">
        <v>57</v>
      </c>
      <c r="AH171" t="s">
        <v>57</v>
      </c>
      <c r="AI171" t="s">
        <v>57</v>
      </c>
      <c r="AJ171" t="s">
        <v>57</v>
      </c>
      <c r="AK171" t="s">
        <v>57</v>
      </c>
      <c r="AL171" t="s">
        <v>57</v>
      </c>
      <c r="AM171" t="s">
        <v>57</v>
      </c>
      <c r="AN171" t="s">
        <v>57</v>
      </c>
      <c r="AO171" t="s">
        <v>57</v>
      </c>
      <c r="AP171" t="s">
        <v>57</v>
      </c>
      <c r="AQ171" t="s">
        <v>57</v>
      </c>
      <c r="AR171" t="s">
        <v>57</v>
      </c>
      <c r="AS171" t="s">
        <v>57</v>
      </c>
      <c r="AT171" t="s">
        <v>57</v>
      </c>
      <c r="AU171" t="s">
        <v>148</v>
      </c>
      <c r="AV171" t="s">
        <v>57</v>
      </c>
      <c r="AW171" t="s">
        <v>57</v>
      </c>
      <c r="AX171" t="s">
        <v>57</v>
      </c>
      <c r="AY171" t="s">
        <v>57</v>
      </c>
      <c r="AZ171" t="s">
        <v>57</v>
      </c>
      <c r="BA171" t="s">
        <v>57</v>
      </c>
      <c r="BB171" t="s">
        <v>57</v>
      </c>
      <c r="BC171" t="s">
        <v>148</v>
      </c>
      <c r="BD171" t="s">
        <v>148</v>
      </c>
      <c r="BE171" t="s">
        <v>57</v>
      </c>
      <c r="BF171" t="s">
        <v>57</v>
      </c>
      <c r="BG171" t="s">
        <v>57</v>
      </c>
      <c r="BH171" t="s">
        <v>57</v>
      </c>
      <c r="BI171" t="s">
        <v>57</v>
      </c>
      <c r="BJ171" t="s">
        <v>57</v>
      </c>
      <c r="BK171" t="s">
        <v>57</v>
      </c>
      <c r="BL171" t="s">
        <v>57</v>
      </c>
      <c r="BM171" t="s">
        <v>57</v>
      </c>
      <c r="BN171" t="s">
        <v>57</v>
      </c>
      <c r="BO171" t="s">
        <v>57</v>
      </c>
      <c r="BP171" t="s">
        <v>57</v>
      </c>
      <c r="BQ171" t="s">
        <v>57</v>
      </c>
      <c r="BR171" t="s">
        <v>57</v>
      </c>
      <c r="BS171" t="s">
        <v>57</v>
      </c>
      <c r="BT171" t="s">
        <v>57</v>
      </c>
      <c r="BU171" t="s">
        <v>57</v>
      </c>
      <c r="BV171" t="s">
        <v>57</v>
      </c>
      <c r="BW171" t="s">
        <v>57</v>
      </c>
      <c r="BX171" t="s">
        <v>57</v>
      </c>
      <c r="BY171" t="s">
        <v>57</v>
      </c>
      <c r="BZ171" t="s">
        <v>57</v>
      </c>
      <c r="CA171" t="s">
        <v>57</v>
      </c>
      <c r="CB171" t="s">
        <v>57</v>
      </c>
      <c r="CC171" t="s">
        <v>57</v>
      </c>
      <c r="CD171" t="s">
        <v>57</v>
      </c>
      <c r="CE171" t="s">
        <v>57</v>
      </c>
      <c r="CF171" t="s">
        <v>57</v>
      </c>
      <c r="CG171" t="s">
        <v>57</v>
      </c>
      <c r="CH171" t="s">
        <v>57</v>
      </c>
      <c r="CI171" t="s">
        <v>57</v>
      </c>
      <c r="CJ171" t="s">
        <v>57</v>
      </c>
      <c r="CK171" t="s">
        <v>148</v>
      </c>
      <c r="CL171" t="s">
        <v>148</v>
      </c>
      <c r="CM171" t="s">
        <v>148</v>
      </c>
      <c r="CN171" t="s">
        <v>57</v>
      </c>
      <c r="CO171" t="s">
        <v>57</v>
      </c>
      <c r="CP171" t="s">
        <v>57</v>
      </c>
      <c r="CQ171" t="s">
        <v>57</v>
      </c>
      <c r="CR171" t="s">
        <v>57</v>
      </c>
      <c r="CS171" t="s">
        <v>57</v>
      </c>
      <c r="CT171" t="s">
        <v>57</v>
      </c>
      <c r="CU171" t="s">
        <v>57</v>
      </c>
      <c r="CV171" t="s">
        <v>57</v>
      </c>
      <c r="CW171" t="s">
        <v>57</v>
      </c>
      <c r="CX171" t="s">
        <v>57</v>
      </c>
      <c r="CY171" t="s">
        <v>57</v>
      </c>
      <c r="CZ171" t="s">
        <v>57</v>
      </c>
      <c r="DA171" t="s">
        <v>57</v>
      </c>
      <c r="DB171" t="s">
        <v>57</v>
      </c>
      <c r="DC171" t="s">
        <v>57</v>
      </c>
      <c r="DD171" t="s">
        <v>57</v>
      </c>
      <c r="DE171" t="s">
        <v>57</v>
      </c>
      <c r="DF171" t="s">
        <v>57</v>
      </c>
      <c r="DG171" t="s">
        <v>57</v>
      </c>
      <c r="DH171" t="s">
        <v>57</v>
      </c>
      <c r="DI171" t="s">
        <v>57</v>
      </c>
      <c r="DJ171" t="s">
        <v>57</v>
      </c>
      <c r="DK171" t="s">
        <v>148</v>
      </c>
      <c r="DL171" t="s">
        <v>57</v>
      </c>
      <c r="DM171" t="s">
        <v>148</v>
      </c>
      <c r="DN171" t="s">
        <v>148</v>
      </c>
      <c r="DO171" t="s">
        <v>148</v>
      </c>
      <c r="DP171" t="s">
        <v>148</v>
      </c>
      <c r="DQ171" t="s">
        <v>148</v>
      </c>
      <c r="DR171" t="s">
        <v>148</v>
      </c>
      <c r="DS171" t="s">
        <v>148</v>
      </c>
      <c r="DT171" t="s">
        <v>148</v>
      </c>
      <c r="DU171" t="s">
        <v>148</v>
      </c>
      <c r="DV171" t="s">
        <v>148</v>
      </c>
      <c r="DW171" t="s">
        <v>148</v>
      </c>
      <c r="DX171" t="s">
        <v>148</v>
      </c>
      <c r="DY171" t="s">
        <v>148</v>
      </c>
      <c r="DZ171" t="s">
        <v>57</v>
      </c>
      <c r="EA171" t="s">
        <v>57</v>
      </c>
      <c r="EB171" t="s">
        <v>57</v>
      </c>
      <c r="EC171" t="s">
        <v>57</v>
      </c>
      <c r="ED171" t="s">
        <v>57</v>
      </c>
      <c r="EE171" t="s">
        <v>57</v>
      </c>
      <c r="EF171" t="s">
        <v>57</v>
      </c>
      <c r="EG171" t="s">
        <v>57</v>
      </c>
      <c r="EH171" t="s">
        <v>57</v>
      </c>
      <c r="EI171" t="s">
        <v>57</v>
      </c>
      <c r="EJ171" t="s">
        <v>57</v>
      </c>
      <c r="EK171" t="s">
        <v>57</v>
      </c>
      <c r="EL171" t="s">
        <v>57</v>
      </c>
      <c r="EM171" t="s">
        <v>57</v>
      </c>
      <c r="EN171" t="s">
        <v>57</v>
      </c>
      <c r="EO171" t="s">
        <v>57</v>
      </c>
      <c r="EP171" t="s">
        <v>57</v>
      </c>
      <c r="EQ171" t="s">
        <v>57</v>
      </c>
      <c r="ER171" t="s">
        <v>57</v>
      </c>
      <c r="ES171" t="s">
        <v>57</v>
      </c>
      <c r="ET171" t="s">
        <v>57</v>
      </c>
      <c r="EU171" t="s">
        <v>57</v>
      </c>
      <c r="EV171" t="s">
        <v>57</v>
      </c>
      <c r="EW171" t="s">
        <v>148</v>
      </c>
      <c r="EX171" t="s">
        <v>148</v>
      </c>
      <c r="EY171" t="s">
        <v>148</v>
      </c>
      <c r="EZ171" t="s">
        <v>148</v>
      </c>
      <c r="FA171" t="s">
        <v>148</v>
      </c>
      <c r="FB171" t="s">
        <v>148</v>
      </c>
      <c r="FC171" t="s">
        <v>148</v>
      </c>
      <c r="FD171" t="s">
        <v>148</v>
      </c>
      <c r="FE171" t="s">
        <v>148</v>
      </c>
      <c r="FF171" t="s">
        <v>148</v>
      </c>
      <c r="FG171" t="s">
        <v>148</v>
      </c>
      <c r="FH171" t="s">
        <v>57</v>
      </c>
      <c r="FI171" t="s">
        <v>57</v>
      </c>
      <c r="FJ171" t="s">
        <v>57</v>
      </c>
      <c r="FK171" t="s">
        <v>57</v>
      </c>
      <c r="FL171" t="s">
        <v>57</v>
      </c>
      <c r="FM171" t="s">
        <v>57</v>
      </c>
      <c r="FN171" t="s">
        <v>57</v>
      </c>
      <c r="FO171" t="s">
        <v>148</v>
      </c>
      <c r="FP171" t="s">
        <v>57</v>
      </c>
      <c r="FQ171" t="s">
        <v>57</v>
      </c>
      <c r="FR171" t="s">
        <v>57</v>
      </c>
      <c r="FS171" t="s">
        <v>57</v>
      </c>
      <c r="FT171" t="s">
        <v>57</v>
      </c>
      <c r="FU171" t="s">
        <v>57</v>
      </c>
      <c r="FV171" t="s">
        <v>57</v>
      </c>
      <c r="FW171" t="s">
        <v>57</v>
      </c>
      <c r="FX171" t="s">
        <v>57</v>
      </c>
      <c r="FY171" t="s">
        <v>57</v>
      </c>
      <c r="FZ171" t="s">
        <v>57</v>
      </c>
      <c r="GA171" t="s">
        <v>57</v>
      </c>
      <c r="GB171" t="s">
        <v>57</v>
      </c>
      <c r="GC171" t="s">
        <v>57</v>
      </c>
      <c r="GD171" t="s">
        <v>57</v>
      </c>
      <c r="GE171" t="s">
        <v>57</v>
      </c>
      <c r="GF171" t="s">
        <v>57</v>
      </c>
      <c r="GG171" t="s">
        <v>148</v>
      </c>
      <c r="GH171" t="s">
        <v>57</v>
      </c>
      <c r="GI171" t="s">
        <v>57</v>
      </c>
      <c r="GJ171" t="s">
        <v>57</v>
      </c>
      <c r="GK171" t="s">
        <v>57</v>
      </c>
      <c r="GL171" t="s">
        <v>57</v>
      </c>
      <c r="GM171" t="s">
        <v>148</v>
      </c>
      <c r="GN171" t="s">
        <v>57</v>
      </c>
      <c r="GO171" t="s">
        <v>57</v>
      </c>
      <c r="GP171" t="s">
        <v>148</v>
      </c>
      <c r="GQ171" t="s">
        <v>57</v>
      </c>
      <c r="GR171" t="s">
        <v>57</v>
      </c>
      <c r="GS171" t="s">
        <v>57</v>
      </c>
      <c r="GT171" t="s">
        <v>57</v>
      </c>
      <c r="GU171" t="s">
        <v>57</v>
      </c>
      <c r="GV171" t="s">
        <v>148</v>
      </c>
      <c r="GW171" t="s">
        <v>57</v>
      </c>
      <c r="GX171" t="s">
        <v>57</v>
      </c>
      <c r="GY171" t="s">
        <v>57</v>
      </c>
      <c r="GZ171" t="s">
        <v>57</v>
      </c>
      <c r="HA171" t="s">
        <v>57</v>
      </c>
      <c r="HB171" t="s">
        <v>57</v>
      </c>
      <c r="HC171" t="s">
        <v>57</v>
      </c>
      <c r="HD171" t="s">
        <v>57</v>
      </c>
      <c r="HE171" t="s">
        <v>57</v>
      </c>
      <c r="HF171" t="s">
        <v>57</v>
      </c>
      <c r="HG171" t="s">
        <v>57</v>
      </c>
      <c r="HH171" t="s">
        <v>57</v>
      </c>
      <c r="HI171" t="s">
        <v>148</v>
      </c>
      <c r="HJ171" t="s">
        <v>148</v>
      </c>
      <c r="HK171" t="s">
        <v>148</v>
      </c>
      <c r="HL171" t="s">
        <v>57</v>
      </c>
      <c r="HM171" t="s">
        <v>57</v>
      </c>
      <c r="HN171" t="s">
        <v>57</v>
      </c>
      <c r="HO171" t="s">
        <v>57</v>
      </c>
      <c r="HP171" t="s">
        <v>57</v>
      </c>
      <c r="HQ171" t="s">
        <v>57</v>
      </c>
      <c r="HR171" t="s">
        <v>57</v>
      </c>
      <c r="HS171" t="s">
        <v>57</v>
      </c>
      <c r="HT171" t="s">
        <v>57</v>
      </c>
      <c r="HU171" t="s">
        <v>57</v>
      </c>
      <c r="HV171" t="s">
        <v>57</v>
      </c>
      <c r="HW171" t="s">
        <v>57</v>
      </c>
      <c r="HX171" t="s">
        <v>57</v>
      </c>
      <c r="HY171" t="s">
        <v>57</v>
      </c>
      <c r="HZ171" t="s">
        <v>57</v>
      </c>
      <c r="IA171" t="s">
        <v>57</v>
      </c>
      <c r="IB171" t="s">
        <v>57</v>
      </c>
      <c r="IC171" t="s">
        <v>57</v>
      </c>
      <c r="ID171" t="s">
        <v>57</v>
      </c>
      <c r="IE171" t="s">
        <v>57</v>
      </c>
      <c r="IF171" t="s">
        <v>124</v>
      </c>
      <c r="IG171" t="s">
        <v>155</v>
      </c>
      <c r="IH171" t="s">
        <v>123</v>
      </c>
      <c r="II171" t="s">
        <v>156</v>
      </c>
    </row>
    <row r="172" spans="1:243" x14ac:dyDescent="0.25">
      <c r="A172" s="201" t="str">
        <f>HYPERLINK("http://www.ofsted.gov.uk/inspection-reports/find-inspection-report/provider/ELS/135637 ","Ofsted School Webpage")</f>
        <v>Ofsted School Webpage</v>
      </c>
      <c r="B172">
        <v>135637</v>
      </c>
      <c r="C172">
        <v>8016132</v>
      </c>
      <c r="D172" t="s">
        <v>406</v>
      </c>
      <c r="E172" t="s">
        <v>37</v>
      </c>
      <c r="F172" t="s">
        <v>138</v>
      </c>
      <c r="G172" t="s">
        <v>182</v>
      </c>
      <c r="H172" t="s">
        <v>182</v>
      </c>
      <c r="I172" t="s">
        <v>317</v>
      </c>
      <c r="J172" t="s">
        <v>407</v>
      </c>
      <c r="K172" t="s">
        <v>142</v>
      </c>
      <c r="L172" t="s">
        <v>142</v>
      </c>
      <c r="M172" t="s">
        <v>2596</v>
      </c>
      <c r="N172" t="s">
        <v>143</v>
      </c>
      <c r="O172">
        <v>10033895</v>
      </c>
      <c r="P172" s="108">
        <v>43019</v>
      </c>
      <c r="Q172" s="108">
        <v>43021</v>
      </c>
      <c r="R172" s="108">
        <v>43056</v>
      </c>
      <c r="S172" t="s">
        <v>3005</v>
      </c>
      <c r="T172" t="s">
        <v>154</v>
      </c>
      <c r="U172">
        <v>4</v>
      </c>
      <c r="V172">
        <v>4</v>
      </c>
      <c r="W172">
        <v>4</v>
      </c>
      <c r="X172">
        <v>3</v>
      </c>
      <c r="Y172">
        <v>3</v>
      </c>
      <c r="Z172" t="s">
        <v>2596</v>
      </c>
      <c r="AA172" t="s">
        <v>2596</v>
      </c>
      <c r="AB172" t="s">
        <v>124</v>
      </c>
      <c r="AC172" t="s">
        <v>2596</v>
      </c>
      <c r="AD172" t="s">
        <v>2599</v>
      </c>
      <c r="AE172" t="s">
        <v>57</v>
      </c>
      <c r="AF172" t="s">
        <v>57</v>
      </c>
      <c r="AG172" t="s">
        <v>58</v>
      </c>
      <c r="AH172" t="s">
        <v>58</v>
      </c>
      <c r="AI172" t="s">
        <v>57</v>
      </c>
      <c r="AJ172" t="s">
        <v>57</v>
      </c>
      <c r="AK172" t="s">
        <v>58</v>
      </c>
      <c r="AL172" t="s">
        <v>58</v>
      </c>
      <c r="AM172" t="s">
        <v>57</v>
      </c>
      <c r="AN172" t="s">
        <v>57</v>
      </c>
      <c r="AO172" t="s">
        <v>57</v>
      </c>
      <c r="AP172" t="s">
        <v>57</v>
      </c>
      <c r="AQ172" t="s">
        <v>57</v>
      </c>
      <c r="AR172" t="s">
        <v>57</v>
      </c>
      <c r="AS172" t="s">
        <v>57</v>
      </c>
      <c r="AT172" t="s">
        <v>57</v>
      </c>
      <c r="AU172" t="s">
        <v>175</v>
      </c>
      <c r="AV172" t="s">
        <v>57</v>
      </c>
      <c r="AW172" t="s">
        <v>57</v>
      </c>
      <c r="AX172" t="s">
        <v>57</v>
      </c>
      <c r="AY172" t="s">
        <v>57</v>
      </c>
      <c r="AZ172" t="s">
        <v>57</v>
      </c>
      <c r="BA172" t="s">
        <v>57</v>
      </c>
      <c r="BB172" t="s">
        <v>57</v>
      </c>
      <c r="BC172" t="s">
        <v>175</v>
      </c>
      <c r="BD172" t="s">
        <v>175</v>
      </c>
      <c r="BE172" t="s">
        <v>57</v>
      </c>
      <c r="BF172" t="s">
        <v>57</v>
      </c>
      <c r="BG172" t="s">
        <v>57</v>
      </c>
      <c r="BH172" t="s">
        <v>57</v>
      </c>
      <c r="BI172" t="s">
        <v>57</v>
      </c>
      <c r="BJ172" t="s">
        <v>57</v>
      </c>
      <c r="BK172" t="s">
        <v>57</v>
      </c>
      <c r="BL172" t="s">
        <v>57</v>
      </c>
      <c r="BM172" t="s">
        <v>57</v>
      </c>
      <c r="BN172" t="s">
        <v>57</v>
      </c>
      <c r="BO172" t="s">
        <v>57</v>
      </c>
      <c r="BP172" t="s">
        <v>57</v>
      </c>
      <c r="BQ172" t="s">
        <v>57</v>
      </c>
      <c r="BR172" t="s">
        <v>57</v>
      </c>
      <c r="BS172" t="s">
        <v>57</v>
      </c>
      <c r="BT172" t="s">
        <v>57</v>
      </c>
      <c r="BU172" t="s">
        <v>57</v>
      </c>
      <c r="BV172" t="s">
        <v>57</v>
      </c>
      <c r="BW172" t="s">
        <v>57</v>
      </c>
      <c r="BX172" t="s">
        <v>57</v>
      </c>
      <c r="BY172" t="s">
        <v>57</v>
      </c>
      <c r="BZ172" t="s">
        <v>57</v>
      </c>
      <c r="CA172" t="s">
        <v>57</v>
      </c>
      <c r="CB172" t="s">
        <v>57</v>
      </c>
      <c r="CC172" t="s">
        <v>57</v>
      </c>
      <c r="CD172" t="s">
        <v>57</v>
      </c>
      <c r="CE172" t="s">
        <v>57</v>
      </c>
      <c r="CF172" t="s">
        <v>57</v>
      </c>
      <c r="CG172" t="s">
        <v>57</v>
      </c>
      <c r="CH172" t="s">
        <v>58</v>
      </c>
      <c r="CI172" t="s">
        <v>58</v>
      </c>
      <c r="CJ172" t="s">
        <v>58</v>
      </c>
      <c r="CK172" t="s">
        <v>175</v>
      </c>
      <c r="CL172" t="s">
        <v>175</v>
      </c>
      <c r="CM172" t="s">
        <v>175</v>
      </c>
      <c r="CN172" t="s">
        <v>57</v>
      </c>
      <c r="CO172" t="s">
        <v>57</v>
      </c>
      <c r="CP172" t="s">
        <v>57</v>
      </c>
      <c r="CQ172" t="s">
        <v>57</v>
      </c>
      <c r="CR172" t="s">
        <v>57</v>
      </c>
      <c r="CS172" t="s">
        <v>57</v>
      </c>
      <c r="CT172" t="s">
        <v>57</v>
      </c>
      <c r="CU172" t="s">
        <v>57</v>
      </c>
      <c r="CV172" t="s">
        <v>58</v>
      </c>
      <c r="CW172" t="s">
        <v>57</v>
      </c>
      <c r="CX172" t="s">
        <v>58</v>
      </c>
      <c r="CY172" t="s">
        <v>58</v>
      </c>
      <c r="CZ172" t="s">
        <v>58</v>
      </c>
      <c r="DA172" t="s">
        <v>58</v>
      </c>
      <c r="DB172" t="s">
        <v>57</v>
      </c>
      <c r="DC172" t="s">
        <v>57</v>
      </c>
      <c r="DD172" t="s">
        <v>58</v>
      </c>
      <c r="DE172" t="s">
        <v>57</v>
      </c>
      <c r="DF172" t="s">
        <v>58</v>
      </c>
      <c r="DG172" t="s">
        <v>57</v>
      </c>
      <c r="DH172" t="s">
        <v>57</v>
      </c>
      <c r="DI172" t="s">
        <v>57</v>
      </c>
      <c r="DJ172" t="s">
        <v>58</v>
      </c>
      <c r="DK172" t="s">
        <v>175</v>
      </c>
      <c r="DL172" t="s">
        <v>57</v>
      </c>
      <c r="DM172" t="s">
        <v>175</v>
      </c>
      <c r="DN172" t="s">
        <v>175</v>
      </c>
      <c r="DO172" t="s">
        <v>175</v>
      </c>
      <c r="DP172" t="s">
        <v>175</v>
      </c>
      <c r="DQ172" t="s">
        <v>175</v>
      </c>
      <c r="DR172" t="s">
        <v>175</v>
      </c>
      <c r="DS172" t="s">
        <v>175</v>
      </c>
      <c r="DT172" t="s">
        <v>175</v>
      </c>
      <c r="DU172" t="s">
        <v>175</v>
      </c>
      <c r="DV172" t="s">
        <v>175</v>
      </c>
      <c r="DW172" t="s">
        <v>175</v>
      </c>
      <c r="DX172" t="s">
        <v>175</v>
      </c>
      <c r="DY172" t="s">
        <v>175</v>
      </c>
      <c r="DZ172" t="s">
        <v>175</v>
      </c>
      <c r="EA172" t="s">
        <v>58</v>
      </c>
      <c r="EB172" t="s">
        <v>58</v>
      </c>
      <c r="EC172" t="s">
        <v>58</v>
      </c>
      <c r="ED172" t="s">
        <v>58</v>
      </c>
      <c r="EE172" t="s">
        <v>58</v>
      </c>
      <c r="EF172" t="s">
        <v>58</v>
      </c>
      <c r="EG172" t="s">
        <v>58</v>
      </c>
      <c r="EH172" t="s">
        <v>58</v>
      </c>
      <c r="EI172" t="s">
        <v>58</v>
      </c>
      <c r="EJ172" t="s">
        <v>58</v>
      </c>
      <c r="EK172" t="s">
        <v>57</v>
      </c>
      <c r="EL172" t="s">
        <v>58</v>
      </c>
      <c r="EM172" t="s">
        <v>58</v>
      </c>
      <c r="EN172" t="s">
        <v>58</v>
      </c>
      <c r="EO172" t="s">
        <v>58</v>
      </c>
      <c r="EP172" t="s">
        <v>175</v>
      </c>
      <c r="EQ172" t="s">
        <v>57</v>
      </c>
      <c r="ER172" t="s">
        <v>57</v>
      </c>
      <c r="ES172" t="s">
        <v>57</v>
      </c>
      <c r="ET172" t="s">
        <v>57</v>
      </c>
      <c r="EU172" t="s">
        <v>57</v>
      </c>
      <c r="EV172" t="s">
        <v>58</v>
      </c>
      <c r="EW172" t="s">
        <v>175</v>
      </c>
      <c r="EX172" t="s">
        <v>175</v>
      </c>
      <c r="EY172" t="s">
        <v>175</v>
      </c>
      <c r="EZ172" t="s">
        <v>175</v>
      </c>
      <c r="FA172" t="s">
        <v>175</v>
      </c>
      <c r="FB172" t="s">
        <v>175</v>
      </c>
      <c r="FC172" t="s">
        <v>175</v>
      </c>
      <c r="FD172" t="s">
        <v>175</v>
      </c>
      <c r="FE172" t="s">
        <v>58</v>
      </c>
      <c r="FF172" t="s">
        <v>58</v>
      </c>
      <c r="FG172" t="s">
        <v>58</v>
      </c>
      <c r="FH172" t="s">
        <v>57</v>
      </c>
      <c r="FI172" t="s">
        <v>57</v>
      </c>
      <c r="FJ172" t="s">
        <v>57</v>
      </c>
      <c r="FK172" t="s">
        <v>57</v>
      </c>
      <c r="FL172" t="s">
        <v>57</v>
      </c>
      <c r="FM172" t="s">
        <v>57</v>
      </c>
      <c r="FN172" t="s">
        <v>57</v>
      </c>
      <c r="FO172" t="s">
        <v>57</v>
      </c>
      <c r="FP172" t="s">
        <v>57</v>
      </c>
      <c r="FQ172" t="s">
        <v>57</v>
      </c>
      <c r="FR172" t="s">
        <v>57</v>
      </c>
      <c r="FS172" t="s">
        <v>57</v>
      </c>
      <c r="FT172" t="s">
        <v>57</v>
      </c>
      <c r="FU172" t="s">
        <v>57</v>
      </c>
      <c r="FV172" t="s">
        <v>57</v>
      </c>
      <c r="FW172" t="s">
        <v>57</v>
      </c>
      <c r="FX172" t="s">
        <v>57</v>
      </c>
      <c r="FY172" t="s">
        <v>57</v>
      </c>
      <c r="FZ172" t="s">
        <v>57</v>
      </c>
      <c r="GA172" t="s">
        <v>57</v>
      </c>
      <c r="GB172" t="s">
        <v>57</v>
      </c>
      <c r="GC172" t="s">
        <v>57</v>
      </c>
      <c r="GD172" t="s">
        <v>57</v>
      </c>
      <c r="GE172" t="s">
        <v>57</v>
      </c>
      <c r="GF172" t="s">
        <v>57</v>
      </c>
      <c r="GG172" t="s">
        <v>175</v>
      </c>
      <c r="GH172" t="s">
        <v>57</v>
      </c>
      <c r="GI172" t="s">
        <v>57</v>
      </c>
      <c r="GJ172" t="s">
        <v>57</v>
      </c>
      <c r="GK172" t="s">
        <v>57</v>
      </c>
      <c r="GL172" t="s">
        <v>57</v>
      </c>
      <c r="GM172" t="s">
        <v>57</v>
      </c>
      <c r="GN172" t="s">
        <v>57</v>
      </c>
      <c r="GO172" t="s">
        <v>57</v>
      </c>
      <c r="GP172" t="s">
        <v>57</v>
      </c>
      <c r="GQ172" t="s">
        <v>57</v>
      </c>
      <c r="GR172" t="s">
        <v>57</v>
      </c>
      <c r="GS172" t="s">
        <v>57</v>
      </c>
      <c r="GT172" t="s">
        <v>57</v>
      </c>
      <c r="GU172" t="s">
        <v>57</v>
      </c>
      <c r="GV172" t="s">
        <v>57</v>
      </c>
      <c r="GW172" t="s">
        <v>175</v>
      </c>
      <c r="GX172" t="s">
        <v>175</v>
      </c>
      <c r="GY172" t="s">
        <v>57</v>
      </c>
      <c r="GZ172" t="s">
        <v>57</v>
      </c>
      <c r="HA172" t="s">
        <v>57</v>
      </c>
      <c r="HB172" t="s">
        <v>175</v>
      </c>
      <c r="HC172" t="s">
        <v>57</v>
      </c>
      <c r="HD172" t="s">
        <v>57</v>
      </c>
      <c r="HE172" t="s">
        <v>57</v>
      </c>
      <c r="HF172" t="s">
        <v>57</v>
      </c>
      <c r="HG172" t="s">
        <v>57</v>
      </c>
      <c r="HH172" t="s">
        <v>57</v>
      </c>
      <c r="HI172" t="s">
        <v>57</v>
      </c>
      <c r="HJ172" t="s">
        <v>57</v>
      </c>
      <c r="HK172" t="s">
        <v>57</v>
      </c>
      <c r="HL172" t="s">
        <v>58</v>
      </c>
      <c r="HM172" t="s">
        <v>57</v>
      </c>
      <c r="HN172" t="s">
        <v>57</v>
      </c>
      <c r="HO172" t="s">
        <v>57</v>
      </c>
      <c r="HP172" t="s">
        <v>57</v>
      </c>
      <c r="HQ172" t="s">
        <v>57</v>
      </c>
      <c r="HR172" t="s">
        <v>58</v>
      </c>
      <c r="HS172" t="s">
        <v>58</v>
      </c>
      <c r="HT172" t="s">
        <v>57</v>
      </c>
      <c r="HU172" t="s">
        <v>57</v>
      </c>
      <c r="HV172" t="s">
        <v>57</v>
      </c>
      <c r="HW172" t="s">
        <v>57</v>
      </c>
      <c r="HX172" t="s">
        <v>57</v>
      </c>
      <c r="HY172" t="s">
        <v>57</v>
      </c>
      <c r="HZ172" t="s">
        <v>57</v>
      </c>
      <c r="IA172" t="s">
        <v>57</v>
      </c>
      <c r="IB172" t="s">
        <v>58</v>
      </c>
      <c r="IC172" t="s">
        <v>58</v>
      </c>
      <c r="ID172" t="s">
        <v>58</v>
      </c>
      <c r="IE172" t="s">
        <v>58</v>
      </c>
      <c r="IF172" t="s">
        <v>124</v>
      </c>
      <c r="IG172" t="s">
        <v>148</v>
      </c>
      <c r="IH172" t="s">
        <v>123</v>
      </c>
      <c r="II172" t="s">
        <v>156</v>
      </c>
    </row>
    <row r="173" spans="1:243" x14ac:dyDescent="0.25">
      <c r="A173" s="201" t="str">
        <f>HYPERLINK("http://www.ofsted.gov.uk/inspection-reports/find-inspection-report/provider/ELS/135670 ","Ofsted School Webpage")</f>
        <v>Ofsted School Webpage</v>
      </c>
      <c r="B173">
        <v>135670</v>
      </c>
      <c r="C173">
        <v>3056080</v>
      </c>
      <c r="D173" t="s">
        <v>1811</v>
      </c>
      <c r="E173" t="s">
        <v>37</v>
      </c>
      <c r="F173" t="s">
        <v>138</v>
      </c>
      <c r="G173" t="s">
        <v>189</v>
      </c>
      <c r="H173" t="s">
        <v>189</v>
      </c>
      <c r="I173" t="s">
        <v>540</v>
      </c>
      <c r="J173" t="s">
        <v>1812</v>
      </c>
      <c r="K173" t="s">
        <v>142</v>
      </c>
      <c r="L173" t="s">
        <v>142</v>
      </c>
      <c r="M173" t="s">
        <v>2596</v>
      </c>
      <c r="N173" t="s">
        <v>143</v>
      </c>
      <c r="O173">
        <v>10012823</v>
      </c>
      <c r="P173" s="108">
        <v>43081</v>
      </c>
      <c r="Q173" s="108">
        <v>43083</v>
      </c>
      <c r="R173" s="108">
        <v>43126</v>
      </c>
      <c r="S173" t="s">
        <v>153</v>
      </c>
      <c r="T173" t="s">
        <v>154</v>
      </c>
      <c r="U173">
        <v>2</v>
      </c>
      <c r="V173">
        <v>2</v>
      </c>
      <c r="W173">
        <v>2</v>
      </c>
      <c r="X173">
        <v>2</v>
      </c>
      <c r="Y173">
        <v>2</v>
      </c>
      <c r="Z173" t="s">
        <v>2596</v>
      </c>
      <c r="AA173" t="s">
        <v>2596</v>
      </c>
      <c r="AB173" t="s">
        <v>123</v>
      </c>
      <c r="AC173" t="s">
        <v>2596</v>
      </c>
      <c r="AD173" t="s">
        <v>2598</v>
      </c>
      <c r="AE173" t="s">
        <v>57</v>
      </c>
      <c r="AF173" t="s">
        <v>57</v>
      </c>
      <c r="AG173" t="s">
        <v>57</v>
      </c>
      <c r="AH173" t="s">
        <v>57</v>
      </c>
      <c r="AI173" t="s">
        <v>57</v>
      </c>
      <c r="AJ173" t="s">
        <v>57</v>
      </c>
      <c r="AK173" t="s">
        <v>57</v>
      </c>
      <c r="AL173" t="s">
        <v>57</v>
      </c>
      <c r="AM173" t="s">
        <v>57</v>
      </c>
      <c r="AN173" t="s">
        <v>57</v>
      </c>
      <c r="AO173" t="s">
        <v>57</v>
      </c>
      <c r="AP173" t="s">
        <v>57</v>
      </c>
      <c r="AQ173" t="s">
        <v>57</v>
      </c>
      <c r="AR173" t="s">
        <v>57</v>
      </c>
      <c r="AS173" t="s">
        <v>57</v>
      </c>
      <c r="AT173" t="s">
        <v>57</v>
      </c>
      <c r="AU173" t="s">
        <v>148</v>
      </c>
      <c r="AV173" t="s">
        <v>57</v>
      </c>
      <c r="AW173" t="s">
        <v>57</v>
      </c>
      <c r="AX173" t="s">
        <v>57</v>
      </c>
      <c r="AY173" t="s">
        <v>57</v>
      </c>
      <c r="AZ173" t="s">
        <v>57</v>
      </c>
      <c r="BA173" t="s">
        <v>57</v>
      </c>
      <c r="BB173" t="s">
        <v>57</v>
      </c>
      <c r="BC173" t="s">
        <v>148</v>
      </c>
      <c r="BD173" t="s">
        <v>57</v>
      </c>
      <c r="BE173" t="s">
        <v>57</v>
      </c>
      <c r="BF173" t="s">
        <v>57</v>
      </c>
      <c r="BG173" t="s">
        <v>57</v>
      </c>
      <c r="BH173" t="s">
        <v>57</v>
      </c>
      <c r="BI173" t="s">
        <v>57</v>
      </c>
      <c r="BJ173" t="s">
        <v>57</v>
      </c>
      <c r="BK173" t="s">
        <v>57</v>
      </c>
      <c r="BL173" t="s">
        <v>57</v>
      </c>
      <c r="BM173" t="s">
        <v>57</v>
      </c>
      <c r="BN173" t="s">
        <v>57</v>
      </c>
      <c r="BO173" t="s">
        <v>57</v>
      </c>
      <c r="BP173" t="s">
        <v>57</v>
      </c>
      <c r="BQ173" t="s">
        <v>57</v>
      </c>
      <c r="BR173" t="s">
        <v>57</v>
      </c>
      <c r="BS173" t="s">
        <v>57</v>
      </c>
      <c r="BT173" t="s">
        <v>57</v>
      </c>
      <c r="BU173" t="s">
        <v>57</v>
      </c>
      <c r="BV173" t="s">
        <v>57</v>
      </c>
      <c r="BW173" t="s">
        <v>57</v>
      </c>
      <c r="BX173" t="s">
        <v>57</v>
      </c>
      <c r="BY173" t="s">
        <v>57</v>
      </c>
      <c r="BZ173" t="s">
        <v>57</v>
      </c>
      <c r="CA173" t="s">
        <v>57</v>
      </c>
      <c r="CB173" t="s">
        <v>57</v>
      </c>
      <c r="CC173" t="s">
        <v>57</v>
      </c>
      <c r="CD173" t="s">
        <v>57</v>
      </c>
      <c r="CE173" t="s">
        <v>57</v>
      </c>
      <c r="CF173" t="s">
        <v>57</v>
      </c>
      <c r="CG173" t="s">
        <v>57</v>
      </c>
      <c r="CH173" t="s">
        <v>57</v>
      </c>
      <c r="CI173" t="s">
        <v>57</v>
      </c>
      <c r="CJ173" t="s">
        <v>57</v>
      </c>
      <c r="CK173" t="s">
        <v>148</v>
      </c>
      <c r="CL173" t="s">
        <v>148</v>
      </c>
      <c r="CM173" t="s">
        <v>148</v>
      </c>
      <c r="CN173" t="s">
        <v>57</v>
      </c>
      <c r="CO173" t="s">
        <v>57</v>
      </c>
      <c r="CP173" t="s">
        <v>57</v>
      </c>
      <c r="CQ173" t="s">
        <v>57</v>
      </c>
      <c r="CR173" t="s">
        <v>57</v>
      </c>
      <c r="CS173" t="s">
        <v>57</v>
      </c>
      <c r="CT173" t="s">
        <v>57</v>
      </c>
      <c r="CU173" t="s">
        <v>57</v>
      </c>
      <c r="CV173" t="s">
        <v>57</v>
      </c>
      <c r="CW173" t="s">
        <v>57</v>
      </c>
      <c r="CX173" t="s">
        <v>57</v>
      </c>
      <c r="CY173" t="s">
        <v>57</v>
      </c>
      <c r="CZ173" t="s">
        <v>57</v>
      </c>
      <c r="DA173" t="s">
        <v>57</v>
      </c>
      <c r="DB173" t="s">
        <v>57</v>
      </c>
      <c r="DC173" t="s">
        <v>57</v>
      </c>
      <c r="DD173" t="s">
        <v>57</v>
      </c>
      <c r="DE173" t="s">
        <v>57</v>
      </c>
      <c r="DF173" t="s">
        <v>57</v>
      </c>
      <c r="DG173" t="s">
        <v>57</v>
      </c>
      <c r="DH173" t="s">
        <v>57</v>
      </c>
      <c r="DI173" t="s">
        <v>57</v>
      </c>
      <c r="DJ173" t="s">
        <v>57</v>
      </c>
      <c r="DK173" t="s">
        <v>148</v>
      </c>
      <c r="DL173" t="s">
        <v>57</v>
      </c>
      <c r="DM173" t="s">
        <v>148</v>
      </c>
      <c r="DN173" t="s">
        <v>148</v>
      </c>
      <c r="DO173" t="s">
        <v>148</v>
      </c>
      <c r="DP173" t="s">
        <v>148</v>
      </c>
      <c r="DQ173" t="s">
        <v>148</v>
      </c>
      <c r="DR173" t="s">
        <v>148</v>
      </c>
      <c r="DS173" t="s">
        <v>148</v>
      </c>
      <c r="DT173" t="s">
        <v>148</v>
      </c>
      <c r="DU173" t="s">
        <v>148</v>
      </c>
      <c r="DV173" t="s">
        <v>148</v>
      </c>
      <c r="DW173" t="s">
        <v>148</v>
      </c>
      <c r="DX173" t="s">
        <v>148</v>
      </c>
      <c r="DY173" t="s">
        <v>148</v>
      </c>
      <c r="DZ173" t="s">
        <v>57</v>
      </c>
      <c r="EA173" t="s">
        <v>57</v>
      </c>
      <c r="EB173" t="s">
        <v>57</v>
      </c>
      <c r="EC173" t="s">
        <v>57</v>
      </c>
      <c r="ED173" t="s">
        <v>57</v>
      </c>
      <c r="EE173" t="s">
        <v>57</v>
      </c>
      <c r="EF173" t="s">
        <v>57</v>
      </c>
      <c r="EG173" t="s">
        <v>57</v>
      </c>
      <c r="EH173" t="s">
        <v>57</v>
      </c>
      <c r="EI173" t="s">
        <v>57</v>
      </c>
      <c r="EJ173" t="s">
        <v>57</v>
      </c>
      <c r="EK173" t="s">
        <v>57</v>
      </c>
      <c r="EL173" t="s">
        <v>57</v>
      </c>
      <c r="EM173" t="s">
        <v>57</v>
      </c>
      <c r="EN173" t="s">
        <v>57</v>
      </c>
      <c r="EO173" t="s">
        <v>57</v>
      </c>
      <c r="EP173" t="s">
        <v>57</v>
      </c>
      <c r="EQ173" t="s">
        <v>57</v>
      </c>
      <c r="ER173" t="s">
        <v>57</v>
      </c>
      <c r="ES173" t="s">
        <v>57</v>
      </c>
      <c r="ET173" t="s">
        <v>57</v>
      </c>
      <c r="EU173" t="s">
        <v>57</v>
      </c>
      <c r="EV173" t="s">
        <v>57</v>
      </c>
      <c r="EW173" t="s">
        <v>148</v>
      </c>
      <c r="EX173" t="s">
        <v>148</v>
      </c>
      <c r="EY173" t="s">
        <v>148</v>
      </c>
      <c r="EZ173" t="s">
        <v>148</v>
      </c>
      <c r="FA173" t="s">
        <v>148</v>
      </c>
      <c r="FB173" t="s">
        <v>148</v>
      </c>
      <c r="FC173" t="s">
        <v>148</v>
      </c>
      <c r="FD173" t="s">
        <v>148</v>
      </c>
      <c r="FE173" t="s">
        <v>148</v>
      </c>
      <c r="FF173" t="s">
        <v>148</v>
      </c>
      <c r="FG173" t="s">
        <v>148</v>
      </c>
      <c r="FH173" t="s">
        <v>57</v>
      </c>
      <c r="FI173" t="s">
        <v>57</v>
      </c>
      <c r="FJ173" t="s">
        <v>57</v>
      </c>
      <c r="FK173" t="s">
        <v>57</v>
      </c>
      <c r="FL173" t="s">
        <v>57</v>
      </c>
      <c r="FM173" t="s">
        <v>57</v>
      </c>
      <c r="FN173" t="s">
        <v>57</v>
      </c>
      <c r="FO173" t="s">
        <v>148</v>
      </c>
      <c r="FP173" t="s">
        <v>57</v>
      </c>
      <c r="FQ173" t="s">
        <v>57</v>
      </c>
      <c r="FR173" t="s">
        <v>57</v>
      </c>
      <c r="FS173" t="s">
        <v>57</v>
      </c>
      <c r="FT173" t="s">
        <v>57</v>
      </c>
      <c r="FU173" t="s">
        <v>57</v>
      </c>
      <c r="FV173" t="s">
        <v>57</v>
      </c>
      <c r="FW173" t="s">
        <v>57</v>
      </c>
      <c r="FX173" t="s">
        <v>57</v>
      </c>
      <c r="FY173" t="s">
        <v>57</v>
      </c>
      <c r="FZ173" t="s">
        <v>57</v>
      </c>
      <c r="GA173" t="s">
        <v>57</v>
      </c>
      <c r="GB173" t="s">
        <v>57</v>
      </c>
      <c r="GC173" t="s">
        <v>57</v>
      </c>
      <c r="GD173" t="s">
        <v>57</v>
      </c>
      <c r="GE173" t="s">
        <v>57</v>
      </c>
      <c r="GF173" t="s">
        <v>57</v>
      </c>
      <c r="GG173" t="s">
        <v>148</v>
      </c>
      <c r="GH173" t="s">
        <v>57</v>
      </c>
      <c r="GI173" t="s">
        <v>57</v>
      </c>
      <c r="GJ173" t="s">
        <v>57</v>
      </c>
      <c r="GK173" t="s">
        <v>57</v>
      </c>
      <c r="GL173" t="s">
        <v>57</v>
      </c>
      <c r="GM173" t="s">
        <v>148</v>
      </c>
      <c r="GN173" t="s">
        <v>57</v>
      </c>
      <c r="GO173" t="s">
        <v>57</v>
      </c>
      <c r="GP173" t="s">
        <v>57</v>
      </c>
      <c r="GQ173" t="s">
        <v>57</v>
      </c>
      <c r="GR173" t="s">
        <v>57</v>
      </c>
      <c r="GS173" t="s">
        <v>57</v>
      </c>
      <c r="GT173" t="s">
        <v>57</v>
      </c>
      <c r="GU173" t="s">
        <v>57</v>
      </c>
      <c r="GV173" t="s">
        <v>148</v>
      </c>
      <c r="GW173" t="s">
        <v>57</v>
      </c>
      <c r="GX173" t="s">
        <v>57</v>
      </c>
      <c r="GY173" t="s">
        <v>57</v>
      </c>
      <c r="GZ173" t="s">
        <v>57</v>
      </c>
      <c r="HA173" t="s">
        <v>57</v>
      </c>
      <c r="HB173" t="s">
        <v>57</v>
      </c>
      <c r="HC173" t="s">
        <v>57</v>
      </c>
      <c r="HD173" t="s">
        <v>57</v>
      </c>
      <c r="HE173" t="s">
        <v>57</v>
      </c>
      <c r="HF173" t="s">
        <v>57</v>
      </c>
      <c r="HG173" t="s">
        <v>57</v>
      </c>
      <c r="HH173" t="s">
        <v>148</v>
      </c>
      <c r="HI173" t="s">
        <v>148</v>
      </c>
      <c r="HJ173" t="s">
        <v>148</v>
      </c>
      <c r="HK173" t="s">
        <v>148</v>
      </c>
      <c r="HL173" t="s">
        <v>57</v>
      </c>
      <c r="HM173" t="s">
        <v>57</v>
      </c>
      <c r="HN173" t="s">
        <v>57</v>
      </c>
      <c r="HO173" t="s">
        <v>57</v>
      </c>
      <c r="HP173" t="s">
        <v>57</v>
      </c>
      <c r="HQ173" t="s">
        <v>57</v>
      </c>
      <c r="HR173" t="s">
        <v>57</v>
      </c>
      <c r="HS173" t="s">
        <v>57</v>
      </c>
      <c r="HT173" t="s">
        <v>57</v>
      </c>
      <c r="HU173" t="s">
        <v>57</v>
      </c>
      <c r="HV173" t="s">
        <v>57</v>
      </c>
      <c r="HW173" t="s">
        <v>57</v>
      </c>
      <c r="HX173" t="s">
        <v>57</v>
      </c>
      <c r="HY173" t="s">
        <v>57</v>
      </c>
      <c r="HZ173" t="s">
        <v>57</v>
      </c>
      <c r="IA173" t="s">
        <v>57</v>
      </c>
      <c r="IB173" t="s">
        <v>57</v>
      </c>
      <c r="IC173" t="s">
        <v>57</v>
      </c>
      <c r="ID173" t="s">
        <v>57</v>
      </c>
      <c r="IE173" t="s">
        <v>57</v>
      </c>
      <c r="IF173" t="s">
        <v>124</v>
      </c>
      <c r="IG173" t="s">
        <v>155</v>
      </c>
      <c r="IH173" t="s">
        <v>123</v>
      </c>
      <c r="II173" t="s">
        <v>156</v>
      </c>
    </row>
    <row r="174" spans="1:243" x14ac:dyDescent="0.25">
      <c r="A174" s="201" t="str">
        <f>HYPERLINK("http://www.ofsted.gov.uk/inspection-reports/find-inspection-report/provider/ELS/135792 ","Ofsted School Webpage")</f>
        <v>Ofsted School Webpage</v>
      </c>
      <c r="B174">
        <v>135792</v>
      </c>
      <c r="C174">
        <v>3336005</v>
      </c>
      <c r="D174" t="s">
        <v>388</v>
      </c>
      <c r="E174" t="s">
        <v>36</v>
      </c>
      <c r="F174" t="s">
        <v>166</v>
      </c>
      <c r="G174" t="s">
        <v>150</v>
      </c>
      <c r="H174" t="s">
        <v>150</v>
      </c>
      <c r="I174" t="s">
        <v>310</v>
      </c>
      <c r="J174" t="s">
        <v>389</v>
      </c>
      <c r="K174" t="s">
        <v>142</v>
      </c>
      <c r="L174" t="s">
        <v>180</v>
      </c>
      <c r="M174" t="s">
        <v>2596</v>
      </c>
      <c r="N174" t="s">
        <v>143</v>
      </c>
      <c r="O174">
        <v>10026107</v>
      </c>
      <c r="P174" s="108">
        <v>43018</v>
      </c>
      <c r="Q174" s="108">
        <v>43020</v>
      </c>
      <c r="R174" s="108">
        <v>43056</v>
      </c>
      <c r="S174" t="s">
        <v>153</v>
      </c>
      <c r="T174" t="s">
        <v>154</v>
      </c>
      <c r="U174">
        <v>2</v>
      </c>
      <c r="V174">
        <v>2</v>
      </c>
      <c r="W174">
        <v>2</v>
      </c>
      <c r="X174">
        <v>2</v>
      </c>
      <c r="Y174">
        <v>2</v>
      </c>
      <c r="Z174" t="s">
        <v>2596</v>
      </c>
      <c r="AA174" t="s">
        <v>2596</v>
      </c>
      <c r="AB174" t="s">
        <v>123</v>
      </c>
      <c r="AC174" t="s">
        <v>2596</v>
      </c>
      <c r="AD174" t="s">
        <v>2598</v>
      </c>
      <c r="AE174" t="s">
        <v>57</v>
      </c>
      <c r="AF174" t="s">
        <v>57</v>
      </c>
      <c r="AG174" t="s">
        <v>57</v>
      </c>
      <c r="AH174" t="s">
        <v>57</v>
      </c>
      <c r="AI174" t="s">
        <v>57</v>
      </c>
      <c r="AJ174" t="s">
        <v>57</v>
      </c>
      <c r="AK174" t="s">
        <v>57</v>
      </c>
      <c r="AL174" t="s">
        <v>57</v>
      </c>
      <c r="AM174" t="s">
        <v>57</v>
      </c>
      <c r="AN174" t="s">
        <v>57</v>
      </c>
      <c r="AO174" t="s">
        <v>57</v>
      </c>
      <c r="AP174" t="s">
        <v>57</v>
      </c>
      <c r="AQ174" t="s">
        <v>57</v>
      </c>
      <c r="AR174" t="s">
        <v>57</v>
      </c>
      <c r="AS174" t="s">
        <v>57</v>
      </c>
      <c r="AT174" t="s">
        <v>57</v>
      </c>
      <c r="AU174" t="s">
        <v>57</v>
      </c>
      <c r="AV174" t="s">
        <v>57</v>
      </c>
      <c r="AW174" t="s">
        <v>57</v>
      </c>
      <c r="AX174" t="s">
        <v>57</v>
      </c>
      <c r="AY174" t="s">
        <v>57</v>
      </c>
      <c r="AZ174" t="s">
        <v>57</v>
      </c>
      <c r="BA174" t="s">
        <v>57</v>
      </c>
      <c r="BB174" t="s">
        <v>57</v>
      </c>
      <c r="BC174" t="s">
        <v>175</v>
      </c>
      <c r="BD174" t="s">
        <v>175</v>
      </c>
      <c r="BE174" t="s">
        <v>57</v>
      </c>
      <c r="BF174" t="s">
        <v>57</v>
      </c>
      <c r="BG174" t="s">
        <v>57</v>
      </c>
      <c r="BH174" t="s">
        <v>57</v>
      </c>
      <c r="BI174" t="s">
        <v>57</v>
      </c>
      <c r="BJ174" t="s">
        <v>57</v>
      </c>
      <c r="BK174" t="s">
        <v>57</v>
      </c>
      <c r="BL174" t="s">
        <v>57</v>
      </c>
      <c r="BM174" t="s">
        <v>57</v>
      </c>
      <c r="BN174" t="s">
        <v>57</v>
      </c>
      <c r="BO174" t="s">
        <v>57</v>
      </c>
      <c r="BP174" t="s">
        <v>57</v>
      </c>
      <c r="BQ174" t="s">
        <v>57</v>
      </c>
      <c r="BR174" t="s">
        <v>57</v>
      </c>
      <c r="BS174" t="s">
        <v>57</v>
      </c>
      <c r="BT174" t="s">
        <v>57</v>
      </c>
      <c r="BU174" t="s">
        <v>57</v>
      </c>
      <c r="BV174" t="s">
        <v>57</v>
      </c>
      <c r="BW174" t="s">
        <v>57</v>
      </c>
      <c r="BX174" t="s">
        <v>57</v>
      </c>
      <c r="BY174" t="s">
        <v>57</v>
      </c>
      <c r="BZ174" t="s">
        <v>57</v>
      </c>
      <c r="CA174" t="s">
        <v>57</v>
      </c>
      <c r="CB174" t="s">
        <v>57</v>
      </c>
      <c r="CC174" t="s">
        <v>57</v>
      </c>
      <c r="CD174" t="s">
        <v>57</v>
      </c>
      <c r="CE174" t="s">
        <v>57</v>
      </c>
      <c r="CF174" t="s">
        <v>57</v>
      </c>
      <c r="CG174" t="s">
        <v>57</v>
      </c>
      <c r="CH174" t="s">
        <v>57</v>
      </c>
      <c r="CI174" t="s">
        <v>57</v>
      </c>
      <c r="CJ174" t="s">
        <v>57</v>
      </c>
      <c r="CK174" t="s">
        <v>175</v>
      </c>
      <c r="CL174" t="s">
        <v>175</v>
      </c>
      <c r="CM174" t="s">
        <v>175</v>
      </c>
      <c r="CN174" t="s">
        <v>57</v>
      </c>
      <c r="CO174" t="s">
        <v>57</v>
      </c>
      <c r="CP174" t="s">
        <v>57</v>
      </c>
      <c r="CQ174" t="s">
        <v>57</v>
      </c>
      <c r="CR174" t="s">
        <v>57</v>
      </c>
      <c r="CS174" t="s">
        <v>57</v>
      </c>
      <c r="CT174" t="s">
        <v>57</v>
      </c>
      <c r="CU174" t="s">
        <v>57</v>
      </c>
      <c r="CV174" t="s">
        <v>57</v>
      </c>
      <c r="CW174" t="s">
        <v>57</v>
      </c>
      <c r="CX174" t="s">
        <v>57</v>
      </c>
      <c r="CY174" t="s">
        <v>57</v>
      </c>
      <c r="CZ174" t="s">
        <v>57</v>
      </c>
      <c r="DA174" t="s">
        <v>57</v>
      </c>
      <c r="DB174" t="s">
        <v>57</v>
      </c>
      <c r="DC174" t="s">
        <v>57</v>
      </c>
      <c r="DD174" t="s">
        <v>57</v>
      </c>
      <c r="DE174" t="s">
        <v>57</v>
      </c>
      <c r="DF174" t="s">
        <v>57</v>
      </c>
      <c r="DG174" t="s">
        <v>57</v>
      </c>
      <c r="DH174" t="s">
        <v>57</v>
      </c>
      <c r="DI174" t="s">
        <v>57</v>
      </c>
      <c r="DJ174" t="s">
        <v>57</v>
      </c>
      <c r="DK174" t="s">
        <v>175</v>
      </c>
      <c r="DL174" t="s">
        <v>57</v>
      </c>
      <c r="DM174" t="s">
        <v>57</v>
      </c>
      <c r="DN174" t="s">
        <v>57</v>
      </c>
      <c r="DO174" t="s">
        <v>57</v>
      </c>
      <c r="DP174" t="s">
        <v>57</v>
      </c>
      <c r="DQ174" t="s">
        <v>57</v>
      </c>
      <c r="DR174" t="s">
        <v>57</v>
      </c>
      <c r="DS174" t="s">
        <v>57</v>
      </c>
      <c r="DT174" t="s">
        <v>57</v>
      </c>
      <c r="DU174" t="s">
        <v>57</v>
      </c>
      <c r="DV174" t="s">
        <v>57</v>
      </c>
      <c r="DW174" t="s">
        <v>57</v>
      </c>
      <c r="DX174" t="s">
        <v>57</v>
      </c>
      <c r="DY174" t="s">
        <v>175</v>
      </c>
      <c r="DZ174" t="s">
        <v>57</v>
      </c>
      <c r="EA174" t="s">
        <v>57</v>
      </c>
      <c r="EB174" t="s">
        <v>57</v>
      </c>
      <c r="EC174" t="s">
        <v>57</v>
      </c>
      <c r="ED174" t="s">
        <v>57</v>
      </c>
      <c r="EE174" t="s">
        <v>57</v>
      </c>
      <c r="EF174" t="s">
        <v>57</v>
      </c>
      <c r="EG174" t="s">
        <v>57</v>
      </c>
      <c r="EH174" t="s">
        <v>57</v>
      </c>
      <c r="EI174" t="s">
        <v>57</v>
      </c>
      <c r="EJ174" t="s">
        <v>57</v>
      </c>
      <c r="EK174" t="s">
        <v>57</v>
      </c>
      <c r="EL174" t="s">
        <v>57</v>
      </c>
      <c r="EM174" t="s">
        <v>57</v>
      </c>
      <c r="EN174" t="s">
        <v>57</v>
      </c>
      <c r="EO174" t="s">
        <v>57</v>
      </c>
      <c r="EP174" t="s">
        <v>57</v>
      </c>
      <c r="EQ174" t="s">
        <v>57</v>
      </c>
      <c r="ER174" t="s">
        <v>57</v>
      </c>
      <c r="ES174" t="s">
        <v>57</v>
      </c>
      <c r="ET174" t="s">
        <v>57</v>
      </c>
      <c r="EU174" t="s">
        <v>57</v>
      </c>
      <c r="EV174" t="s">
        <v>57</v>
      </c>
      <c r="EW174" t="s">
        <v>57</v>
      </c>
      <c r="EX174" t="s">
        <v>57</v>
      </c>
      <c r="EY174" t="s">
        <v>57</v>
      </c>
      <c r="EZ174" t="s">
        <v>57</v>
      </c>
      <c r="FA174" t="s">
        <v>57</v>
      </c>
      <c r="FB174" t="s">
        <v>57</v>
      </c>
      <c r="FC174" t="s">
        <v>57</v>
      </c>
      <c r="FD174" t="s">
        <v>57</v>
      </c>
      <c r="FE174" t="s">
        <v>57</v>
      </c>
      <c r="FF174" t="s">
        <v>57</v>
      </c>
      <c r="FG174" t="s">
        <v>57</v>
      </c>
      <c r="FH174" t="s">
        <v>57</v>
      </c>
      <c r="FI174" t="s">
        <v>57</v>
      </c>
      <c r="FJ174" t="s">
        <v>57</v>
      </c>
      <c r="FK174" t="s">
        <v>57</v>
      </c>
      <c r="FL174" t="s">
        <v>57</v>
      </c>
      <c r="FM174" t="s">
        <v>57</v>
      </c>
      <c r="FN174" t="s">
        <v>57</v>
      </c>
      <c r="FO174" t="s">
        <v>175</v>
      </c>
      <c r="FP174" t="s">
        <v>57</v>
      </c>
      <c r="FQ174" t="s">
        <v>57</v>
      </c>
      <c r="FR174" t="s">
        <v>57</v>
      </c>
      <c r="FS174" t="s">
        <v>57</v>
      </c>
      <c r="FT174" t="s">
        <v>57</v>
      </c>
      <c r="FU174" t="s">
        <v>57</v>
      </c>
      <c r="FV174" t="s">
        <v>57</v>
      </c>
      <c r="FW174" t="s">
        <v>57</v>
      </c>
      <c r="FX174" t="s">
        <v>57</v>
      </c>
      <c r="FY174" t="s">
        <v>57</v>
      </c>
      <c r="FZ174" t="s">
        <v>57</v>
      </c>
      <c r="GA174" t="s">
        <v>57</v>
      </c>
      <c r="GB174" t="s">
        <v>57</v>
      </c>
      <c r="GC174" t="s">
        <v>57</v>
      </c>
      <c r="GD174" t="s">
        <v>57</v>
      </c>
      <c r="GE174" t="s">
        <v>57</v>
      </c>
      <c r="GF174" t="s">
        <v>57</v>
      </c>
      <c r="GG174" t="s">
        <v>175</v>
      </c>
      <c r="GH174" t="s">
        <v>57</v>
      </c>
      <c r="GI174" t="s">
        <v>57</v>
      </c>
      <c r="GJ174" t="s">
        <v>57</v>
      </c>
      <c r="GK174" t="s">
        <v>57</v>
      </c>
      <c r="GL174" t="s">
        <v>57</v>
      </c>
      <c r="GM174" t="s">
        <v>57</v>
      </c>
      <c r="GN174" t="s">
        <v>57</v>
      </c>
      <c r="GO174" t="s">
        <v>57</v>
      </c>
      <c r="GP174" t="s">
        <v>175</v>
      </c>
      <c r="GQ174" t="s">
        <v>175</v>
      </c>
      <c r="GR174" t="s">
        <v>57</v>
      </c>
      <c r="GS174" t="s">
        <v>57</v>
      </c>
      <c r="GT174" t="s">
        <v>57</v>
      </c>
      <c r="GU174" t="s">
        <v>57</v>
      </c>
      <c r="GV174" t="s">
        <v>57</v>
      </c>
      <c r="GW174" t="s">
        <v>57</v>
      </c>
      <c r="GX174" t="s">
        <v>57</v>
      </c>
      <c r="GY174" t="s">
        <v>57</v>
      </c>
      <c r="GZ174" t="s">
        <v>57</v>
      </c>
      <c r="HA174" t="s">
        <v>57</v>
      </c>
      <c r="HB174" t="s">
        <v>175</v>
      </c>
      <c r="HC174" t="s">
        <v>57</v>
      </c>
      <c r="HD174" t="s">
        <v>57</v>
      </c>
      <c r="HE174" t="s">
        <v>57</v>
      </c>
      <c r="HF174" t="s">
        <v>57</v>
      </c>
      <c r="HG174" t="s">
        <v>57</v>
      </c>
      <c r="HH174" t="s">
        <v>57</v>
      </c>
      <c r="HI174" t="s">
        <v>57</v>
      </c>
      <c r="HJ174" t="s">
        <v>57</v>
      </c>
      <c r="HK174" t="s">
        <v>57</v>
      </c>
      <c r="HL174" t="s">
        <v>57</v>
      </c>
      <c r="HM174" t="s">
        <v>57</v>
      </c>
      <c r="HN174" t="s">
        <v>57</v>
      </c>
      <c r="HO174" t="s">
        <v>57</v>
      </c>
      <c r="HP174" t="s">
        <v>57</v>
      </c>
      <c r="HQ174" t="s">
        <v>57</v>
      </c>
      <c r="HR174" t="s">
        <v>57</v>
      </c>
      <c r="HS174" t="s">
        <v>57</v>
      </c>
      <c r="HT174" t="s">
        <v>57</v>
      </c>
      <c r="HU174" t="s">
        <v>57</v>
      </c>
      <c r="HV174" t="s">
        <v>57</v>
      </c>
      <c r="HW174" t="s">
        <v>57</v>
      </c>
      <c r="HX174" t="s">
        <v>57</v>
      </c>
      <c r="HY174" t="s">
        <v>57</v>
      </c>
      <c r="HZ174" t="s">
        <v>57</v>
      </c>
      <c r="IA174" t="s">
        <v>57</v>
      </c>
      <c r="IB174" t="s">
        <v>57</v>
      </c>
      <c r="IC174" t="s">
        <v>57</v>
      </c>
      <c r="ID174" t="s">
        <v>57</v>
      </c>
      <c r="IE174" t="s">
        <v>57</v>
      </c>
      <c r="IF174" t="s">
        <v>124</v>
      </c>
      <c r="IG174" t="s">
        <v>148</v>
      </c>
      <c r="IH174" t="s">
        <v>123</v>
      </c>
      <c r="II174" t="s">
        <v>156</v>
      </c>
    </row>
    <row r="175" spans="1:243" x14ac:dyDescent="0.25">
      <c r="A175" s="201" t="str">
        <f>HYPERLINK("http://www.ofsted.gov.uk/inspection-reports/find-inspection-report/provider/ELS/135805 ","Ofsted School Webpage")</f>
        <v>Ofsted School Webpage</v>
      </c>
      <c r="B175">
        <v>135805</v>
      </c>
      <c r="C175">
        <v>8256042</v>
      </c>
      <c r="D175" t="s">
        <v>942</v>
      </c>
      <c r="E175" t="s">
        <v>37</v>
      </c>
      <c r="F175" t="s">
        <v>138</v>
      </c>
      <c r="G175" t="s">
        <v>139</v>
      </c>
      <c r="H175" t="s">
        <v>139</v>
      </c>
      <c r="I175" t="s">
        <v>208</v>
      </c>
      <c r="J175" t="s">
        <v>943</v>
      </c>
      <c r="K175" t="s">
        <v>142</v>
      </c>
      <c r="L175" t="s">
        <v>142</v>
      </c>
      <c r="M175" t="s">
        <v>2596</v>
      </c>
      <c r="N175" t="s">
        <v>143</v>
      </c>
      <c r="O175">
        <v>10025990</v>
      </c>
      <c r="P175" s="108">
        <v>43130</v>
      </c>
      <c r="Q175" s="108">
        <v>43132</v>
      </c>
      <c r="R175" s="108">
        <v>43160</v>
      </c>
      <c r="S175" t="s">
        <v>153</v>
      </c>
      <c r="T175" t="s">
        <v>154</v>
      </c>
      <c r="U175">
        <v>2</v>
      </c>
      <c r="V175">
        <v>2</v>
      </c>
      <c r="W175">
        <v>2</v>
      </c>
      <c r="X175">
        <v>2</v>
      </c>
      <c r="Y175">
        <v>2</v>
      </c>
      <c r="Z175" t="s">
        <v>2596</v>
      </c>
      <c r="AA175" t="s">
        <v>2596</v>
      </c>
      <c r="AB175" t="s">
        <v>123</v>
      </c>
      <c r="AC175" t="s">
        <v>2596</v>
      </c>
      <c r="AD175" t="s">
        <v>2598</v>
      </c>
      <c r="AE175" t="s">
        <v>57</v>
      </c>
      <c r="AF175" t="s">
        <v>57</v>
      </c>
      <c r="AG175" t="s">
        <v>57</v>
      </c>
      <c r="AH175" t="s">
        <v>57</v>
      </c>
      <c r="AI175" t="s">
        <v>57</v>
      </c>
      <c r="AJ175" t="s">
        <v>57</v>
      </c>
      <c r="AK175" t="s">
        <v>57</v>
      </c>
      <c r="AL175" t="s">
        <v>57</v>
      </c>
      <c r="AM175" t="s">
        <v>57</v>
      </c>
      <c r="AN175" t="s">
        <v>57</v>
      </c>
      <c r="AO175" t="s">
        <v>57</v>
      </c>
      <c r="AP175" t="s">
        <v>57</v>
      </c>
      <c r="AQ175" t="s">
        <v>57</v>
      </c>
      <c r="AR175" t="s">
        <v>57</v>
      </c>
      <c r="AS175" t="s">
        <v>57</v>
      </c>
      <c r="AT175" t="s">
        <v>57</v>
      </c>
      <c r="AU175" t="s">
        <v>175</v>
      </c>
      <c r="AV175" t="s">
        <v>57</v>
      </c>
      <c r="AW175" t="s">
        <v>57</v>
      </c>
      <c r="AX175" t="s">
        <v>57</v>
      </c>
      <c r="AY175" t="s">
        <v>57</v>
      </c>
      <c r="AZ175" t="s">
        <v>57</v>
      </c>
      <c r="BA175" t="s">
        <v>57</v>
      </c>
      <c r="BB175" t="s">
        <v>57</v>
      </c>
      <c r="BC175" t="s">
        <v>175</v>
      </c>
      <c r="BD175" t="s">
        <v>57</v>
      </c>
      <c r="BE175" t="s">
        <v>57</v>
      </c>
      <c r="BF175" t="s">
        <v>57</v>
      </c>
      <c r="BG175" t="s">
        <v>57</v>
      </c>
      <c r="BH175" t="s">
        <v>57</v>
      </c>
      <c r="BI175" t="s">
        <v>57</v>
      </c>
      <c r="BJ175" t="s">
        <v>57</v>
      </c>
      <c r="BK175" t="s">
        <v>57</v>
      </c>
      <c r="BL175" t="s">
        <v>57</v>
      </c>
      <c r="BM175" t="s">
        <v>57</v>
      </c>
      <c r="BN175" t="s">
        <v>57</v>
      </c>
      <c r="BO175" t="s">
        <v>57</v>
      </c>
      <c r="BP175" t="s">
        <v>57</v>
      </c>
      <c r="BQ175" t="s">
        <v>57</v>
      </c>
      <c r="BR175" t="s">
        <v>57</v>
      </c>
      <c r="BS175" t="s">
        <v>57</v>
      </c>
      <c r="BT175" t="s">
        <v>57</v>
      </c>
      <c r="BU175" t="s">
        <v>57</v>
      </c>
      <c r="BV175" t="s">
        <v>57</v>
      </c>
      <c r="BW175" t="s">
        <v>57</v>
      </c>
      <c r="BX175" t="s">
        <v>57</v>
      </c>
      <c r="BY175" t="s">
        <v>57</v>
      </c>
      <c r="BZ175" t="s">
        <v>57</v>
      </c>
      <c r="CA175" t="s">
        <v>57</v>
      </c>
      <c r="CB175" t="s">
        <v>57</v>
      </c>
      <c r="CC175" t="s">
        <v>57</v>
      </c>
      <c r="CD175" t="s">
        <v>57</v>
      </c>
      <c r="CE175" t="s">
        <v>57</v>
      </c>
      <c r="CF175" t="s">
        <v>57</v>
      </c>
      <c r="CG175" t="s">
        <v>57</v>
      </c>
      <c r="CH175" t="s">
        <v>57</v>
      </c>
      <c r="CI175" t="s">
        <v>57</v>
      </c>
      <c r="CJ175" t="s">
        <v>57</v>
      </c>
      <c r="CK175" t="s">
        <v>57</v>
      </c>
      <c r="CL175" t="s">
        <v>175</v>
      </c>
      <c r="CM175" t="s">
        <v>175</v>
      </c>
      <c r="CN175" t="s">
        <v>57</v>
      </c>
      <c r="CO175" t="s">
        <v>57</v>
      </c>
      <c r="CP175" t="s">
        <v>57</v>
      </c>
      <c r="CQ175" t="s">
        <v>57</v>
      </c>
      <c r="CR175" t="s">
        <v>57</v>
      </c>
      <c r="CS175" t="s">
        <v>57</v>
      </c>
      <c r="CT175" t="s">
        <v>57</v>
      </c>
      <c r="CU175" t="s">
        <v>57</v>
      </c>
      <c r="CV175" t="s">
        <v>57</v>
      </c>
      <c r="CW175" t="s">
        <v>57</v>
      </c>
      <c r="CX175" t="s">
        <v>57</v>
      </c>
      <c r="CY175" t="s">
        <v>57</v>
      </c>
      <c r="CZ175" t="s">
        <v>57</v>
      </c>
      <c r="DA175" t="s">
        <v>57</v>
      </c>
      <c r="DB175" t="s">
        <v>57</v>
      </c>
      <c r="DC175" t="s">
        <v>57</v>
      </c>
      <c r="DD175" t="s">
        <v>57</v>
      </c>
      <c r="DE175" t="s">
        <v>57</v>
      </c>
      <c r="DF175" t="s">
        <v>57</v>
      </c>
      <c r="DG175" t="s">
        <v>57</v>
      </c>
      <c r="DH175" t="s">
        <v>57</v>
      </c>
      <c r="DI175" t="s">
        <v>57</v>
      </c>
      <c r="DJ175" t="s">
        <v>57</v>
      </c>
      <c r="DK175" t="s">
        <v>175</v>
      </c>
      <c r="DL175" t="s">
        <v>57</v>
      </c>
      <c r="DM175" t="s">
        <v>57</v>
      </c>
      <c r="DN175" t="s">
        <v>57</v>
      </c>
      <c r="DO175" t="s">
        <v>57</v>
      </c>
      <c r="DP175" t="s">
        <v>57</v>
      </c>
      <c r="DQ175" t="s">
        <v>57</v>
      </c>
      <c r="DR175" t="s">
        <v>57</v>
      </c>
      <c r="DS175" t="s">
        <v>57</v>
      </c>
      <c r="DT175" t="s">
        <v>57</v>
      </c>
      <c r="DU175" t="s">
        <v>57</v>
      </c>
      <c r="DV175" t="s">
        <v>57</v>
      </c>
      <c r="DW175" t="s">
        <v>57</v>
      </c>
      <c r="DX175" t="s">
        <v>57</v>
      </c>
      <c r="DY175" t="s">
        <v>175</v>
      </c>
      <c r="DZ175" t="s">
        <v>57</v>
      </c>
      <c r="EA175" t="s">
        <v>57</v>
      </c>
      <c r="EB175" t="s">
        <v>57</v>
      </c>
      <c r="EC175" t="s">
        <v>57</v>
      </c>
      <c r="ED175" t="s">
        <v>57</v>
      </c>
      <c r="EE175" t="s">
        <v>57</v>
      </c>
      <c r="EF175" t="s">
        <v>57</v>
      </c>
      <c r="EG175" t="s">
        <v>57</v>
      </c>
      <c r="EH175" t="s">
        <v>57</v>
      </c>
      <c r="EI175" t="s">
        <v>57</v>
      </c>
      <c r="EJ175" t="s">
        <v>57</v>
      </c>
      <c r="EK175" t="s">
        <v>57</v>
      </c>
      <c r="EL175" t="s">
        <v>57</v>
      </c>
      <c r="EM175" t="s">
        <v>57</v>
      </c>
      <c r="EN175" t="s">
        <v>57</v>
      </c>
      <c r="EO175" t="s">
        <v>57</v>
      </c>
      <c r="EP175" t="s">
        <v>57</v>
      </c>
      <c r="EQ175" t="s">
        <v>57</v>
      </c>
      <c r="ER175" t="s">
        <v>57</v>
      </c>
      <c r="ES175" t="s">
        <v>57</v>
      </c>
      <c r="ET175" t="s">
        <v>57</v>
      </c>
      <c r="EU175" t="s">
        <v>57</v>
      </c>
      <c r="EV175" t="s">
        <v>57</v>
      </c>
      <c r="EW175" t="s">
        <v>57</v>
      </c>
      <c r="EX175" t="s">
        <v>57</v>
      </c>
      <c r="EY175" t="s">
        <v>57</v>
      </c>
      <c r="EZ175" t="s">
        <v>57</v>
      </c>
      <c r="FA175" t="s">
        <v>57</v>
      </c>
      <c r="FB175" t="s">
        <v>57</v>
      </c>
      <c r="FC175" t="s">
        <v>57</v>
      </c>
      <c r="FD175" t="s">
        <v>57</v>
      </c>
      <c r="FE175" t="s">
        <v>57</v>
      </c>
      <c r="FF175" t="s">
        <v>57</v>
      </c>
      <c r="FG175" t="s">
        <v>57</v>
      </c>
      <c r="FH175" t="s">
        <v>57</v>
      </c>
      <c r="FI175" t="s">
        <v>57</v>
      </c>
      <c r="FJ175" t="s">
        <v>57</v>
      </c>
      <c r="FK175" t="s">
        <v>57</v>
      </c>
      <c r="FL175" t="s">
        <v>57</v>
      </c>
      <c r="FM175" t="s">
        <v>57</v>
      </c>
      <c r="FN175" t="s">
        <v>57</v>
      </c>
      <c r="FO175" t="s">
        <v>57</v>
      </c>
      <c r="FP175" t="s">
        <v>57</v>
      </c>
      <c r="FQ175" t="s">
        <v>57</v>
      </c>
      <c r="FR175" t="s">
        <v>57</v>
      </c>
      <c r="FS175" t="s">
        <v>57</v>
      </c>
      <c r="FT175" t="s">
        <v>57</v>
      </c>
      <c r="FU175" t="s">
        <v>57</v>
      </c>
      <c r="FV175" t="s">
        <v>57</v>
      </c>
      <c r="FW175" t="s">
        <v>57</v>
      </c>
      <c r="FX175" t="s">
        <v>57</v>
      </c>
      <c r="FY175" t="s">
        <v>57</v>
      </c>
      <c r="FZ175" t="s">
        <v>57</v>
      </c>
      <c r="GA175" t="s">
        <v>57</v>
      </c>
      <c r="GB175" t="s">
        <v>57</v>
      </c>
      <c r="GC175" t="s">
        <v>57</v>
      </c>
      <c r="GD175" t="s">
        <v>57</v>
      </c>
      <c r="GE175" t="s">
        <v>57</v>
      </c>
      <c r="GF175" t="s">
        <v>57</v>
      </c>
      <c r="GG175" t="s">
        <v>175</v>
      </c>
      <c r="GH175" t="s">
        <v>57</v>
      </c>
      <c r="GI175" t="s">
        <v>57</v>
      </c>
      <c r="GJ175" t="s">
        <v>57</v>
      </c>
      <c r="GK175" t="s">
        <v>57</v>
      </c>
      <c r="GL175" t="s">
        <v>57</v>
      </c>
      <c r="GM175" t="s">
        <v>57</v>
      </c>
      <c r="GN175" t="s">
        <v>57</v>
      </c>
      <c r="GO175" t="s">
        <v>57</v>
      </c>
      <c r="GP175" t="s">
        <v>57</v>
      </c>
      <c r="GQ175" t="s">
        <v>57</v>
      </c>
      <c r="GR175" t="s">
        <v>57</v>
      </c>
      <c r="GS175" t="s">
        <v>57</v>
      </c>
      <c r="GT175" t="s">
        <v>57</v>
      </c>
      <c r="GU175" t="s">
        <v>57</v>
      </c>
      <c r="GV175" t="s">
        <v>57</v>
      </c>
      <c r="GW175" t="s">
        <v>57</v>
      </c>
      <c r="GX175" t="s">
        <v>175</v>
      </c>
      <c r="GY175" t="s">
        <v>57</v>
      </c>
      <c r="GZ175" t="s">
        <v>57</v>
      </c>
      <c r="HA175" t="s">
        <v>57</v>
      </c>
      <c r="HB175" t="s">
        <v>57</v>
      </c>
      <c r="HC175" t="s">
        <v>57</v>
      </c>
      <c r="HD175" t="s">
        <v>57</v>
      </c>
      <c r="HE175" t="s">
        <v>57</v>
      </c>
      <c r="HF175" t="s">
        <v>57</v>
      </c>
      <c r="HG175" t="s">
        <v>57</v>
      </c>
      <c r="HH175" t="s">
        <v>57</v>
      </c>
      <c r="HI175" t="s">
        <v>57</v>
      </c>
      <c r="HJ175" t="s">
        <v>57</v>
      </c>
      <c r="HK175" t="s">
        <v>57</v>
      </c>
      <c r="HL175" t="s">
        <v>57</v>
      </c>
      <c r="HM175" t="s">
        <v>57</v>
      </c>
      <c r="HN175" t="s">
        <v>57</v>
      </c>
      <c r="HO175" t="s">
        <v>57</v>
      </c>
      <c r="HP175" t="s">
        <v>57</v>
      </c>
      <c r="HQ175" t="s">
        <v>57</v>
      </c>
      <c r="HR175" t="s">
        <v>57</v>
      </c>
      <c r="HS175" t="s">
        <v>57</v>
      </c>
      <c r="HT175" t="s">
        <v>57</v>
      </c>
      <c r="HU175" t="s">
        <v>57</v>
      </c>
      <c r="HV175" t="s">
        <v>57</v>
      </c>
      <c r="HW175" t="s">
        <v>57</v>
      </c>
      <c r="HX175" t="s">
        <v>57</v>
      </c>
      <c r="HY175" t="s">
        <v>57</v>
      </c>
      <c r="HZ175" t="s">
        <v>57</v>
      </c>
      <c r="IA175" t="s">
        <v>57</v>
      </c>
      <c r="IB175" t="s">
        <v>57</v>
      </c>
      <c r="IC175" t="s">
        <v>57</v>
      </c>
      <c r="ID175" t="s">
        <v>57</v>
      </c>
      <c r="IE175" t="s">
        <v>57</v>
      </c>
      <c r="IF175" t="s">
        <v>124</v>
      </c>
      <c r="IG175" t="s">
        <v>148</v>
      </c>
      <c r="IH175" t="s">
        <v>123</v>
      </c>
      <c r="II175" t="s">
        <v>156</v>
      </c>
    </row>
    <row r="176" spans="1:243" x14ac:dyDescent="0.25">
      <c r="A176" s="201" t="str">
        <f>HYPERLINK("http://www.ofsted.gov.uk/inspection-reports/find-inspection-report/provider/ELS/135839 ","Ofsted School Webpage")</f>
        <v>Ofsted School Webpage</v>
      </c>
      <c r="B176">
        <v>135839</v>
      </c>
      <c r="C176">
        <v>3086305</v>
      </c>
      <c r="D176" t="s">
        <v>357</v>
      </c>
      <c r="E176" t="s">
        <v>36</v>
      </c>
      <c r="F176" t="s">
        <v>166</v>
      </c>
      <c r="G176" t="s">
        <v>189</v>
      </c>
      <c r="H176" t="s">
        <v>189</v>
      </c>
      <c r="I176" t="s">
        <v>216</v>
      </c>
      <c r="J176" t="s">
        <v>358</v>
      </c>
      <c r="K176" t="s">
        <v>142</v>
      </c>
      <c r="L176" t="s">
        <v>142</v>
      </c>
      <c r="M176" t="s">
        <v>2596</v>
      </c>
      <c r="N176" t="s">
        <v>143</v>
      </c>
      <c r="O176">
        <v>10026296</v>
      </c>
      <c r="P176" s="108">
        <v>43039</v>
      </c>
      <c r="Q176" s="108">
        <v>43041</v>
      </c>
      <c r="R176" s="108">
        <v>43066</v>
      </c>
      <c r="S176" t="s">
        <v>153</v>
      </c>
      <c r="T176" t="s">
        <v>154</v>
      </c>
      <c r="U176">
        <v>1</v>
      </c>
      <c r="V176">
        <v>1</v>
      </c>
      <c r="W176">
        <v>1</v>
      </c>
      <c r="X176">
        <v>1</v>
      </c>
      <c r="Y176">
        <v>1</v>
      </c>
      <c r="Z176" t="s">
        <v>2596</v>
      </c>
      <c r="AA176" t="s">
        <v>2596</v>
      </c>
      <c r="AB176" t="s">
        <v>123</v>
      </c>
      <c r="AC176" t="s">
        <v>2596</v>
      </c>
      <c r="AD176" t="s">
        <v>2598</v>
      </c>
      <c r="AE176" t="s">
        <v>57</v>
      </c>
      <c r="AF176" t="s">
        <v>57</v>
      </c>
      <c r="AG176" t="s">
        <v>57</v>
      </c>
      <c r="AH176" t="s">
        <v>57</v>
      </c>
      <c r="AI176" t="s">
        <v>57</v>
      </c>
      <c r="AJ176" t="s">
        <v>57</v>
      </c>
      <c r="AK176" t="s">
        <v>57</v>
      </c>
      <c r="AL176" t="s">
        <v>57</v>
      </c>
      <c r="AM176" t="s">
        <v>57</v>
      </c>
      <c r="AN176" t="s">
        <v>57</v>
      </c>
      <c r="AO176" t="s">
        <v>57</v>
      </c>
      <c r="AP176" t="s">
        <v>57</v>
      </c>
      <c r="AQ176" t="s">
        <v>57</v>
      </c>
      <c r="AR176" t="s">
        <v>57</v>
      </c>
      <c r="AS176" t="s">
        <v>57</v>
      </c>
      <c r="AT176" t="s">
        <v>57</v>
      </c>
      <c r="AU176" t="s">
        <v>148</v>
      </c>
      <c r="AV176" t="s">
        <v>57</v>
      </c>
      <c r="AW176" t="s">
        <v>57</v>
      </c>
      <c r="AX176" t="s">
        <v>57</v>
      </c>
      <c r="AY176" t="s">
        <v>57</v>
      </c>
      <c r="AZ176" t="s">
        <v>57</v>
      </c>
      <c r="BA176" t="s">
        <v>57</v>
      </c>
      <c r="BB176" t="s">
        <v>57</v>
      </c>
      <c r="BC176" t="s">
        <v>148</v>
      </c>
      <c r="BD176" t="s">
        <v>148</v>
      </c>
      <c r="BE176" t="s">
        <v>57</v>
      </c>
      <c r="BF176" t="s">
        <v>57</v>
      </c>
      <c r="BG176" t="s">
        <v>57</v>
      </c>
      <c r="BH176" t="s">
        <v>57</v>
      </c>
      <c r="BI176" t="s">
        <v>57</v>
      </c>
      <c r="BJ176" t="s">
        <v>57</v>
      </c>
      <c r="BK176" t="s">
        <v>57</v>
      </c>
      <c r="BL176" t="s">
        <v>57</v>
      </c>
      <c r="BM176" t="s">
        <v>57</v>
      </c>
      <c r="BN176" t="s">
        <v>57</v>
      </c>
      <c r="BO176" t="s">
        <v>57</v>
      </c>
      <c r="BP176" t="s">
        <v>57</v>
      </c>
      <c r="BQ176" t="s">
        <v>57</v>
      </c>
      <c r="BR176" t="s">
        <v>57</v>
      </c>
      <c r="BS176" t="s">
        <v>57</v>
      </c>
      <c r="BT176" t="s">
        <v>57</v>
      </c>
      <c r="BU176" t="s">
        <v>57</v>
      </c>
      <c r="BV176" t="s">
        <v>57</v>
      </c>
      <c r="BW176" t="s">
        <v>57</v>
      </c>
      <c r="BX176" t="s">
        <v>57</v>
      </c>
      <c r="BY176" t="s">
        <v>57</v>
      </c>
      <c r="BZ176" t="s">
        <v>57</v>
      </c>
      <c r="CA176" t="s">
        <v>57</v>
      </c>
      <c r="CB176" t="s">
        <v>57</v>
      </c>
      <c r="CC176" t="s">
        <v>57</v>
      </c>
      <c r="CD176" t="s">
        <v>57</v>
      </c>
      <c r="CE176" t="s">
        <v>57</v>
      </c>
      <c r="CF176" t="s">
        <v>57</v>
      </c>
      <c r="CG176" t="s">
        <v>57</v>
      </c>
      <c r="CH176" t="s">
        <v>57</v>
      </c>
      <c r="CI176" t="s">
        <v>57</v>
      </c>
      <c r="CJ176" t="s">
        <v>57</v>
      </c>
      <c r="CK176" t="s">
        <v>148</v>
      </c>
      <c r="CL176" t="s">
        <v>148</v>
      </c>
      <c r="CM176" t="s">
        <v>148</v>
      </c>
      <c r="CN176" t="s">
        <v>57</v>
      </c>
      <c r="CO176" t="s">
        <v>57</v>
      </c>
      <c r="CP176" t="s">
        <v>57</v>
      </c>
      <c r="CQ176" t="s">
        <v>57</v>
      </c>
      <c r="CR176" t="s">
        <v>57</v>
      </c>
      <c r="CS176" t="s">
        <v>57</v>
      </c>
      <c r="CT176" t="s">
        <v>57</v>
      </c>
      <c r="CU176" t="s">
        <v>57</v>
      </c>
      <c r="CV176" t="s">
        <v>57</v>
      </c>
      <c r="CW176" t="s">
        <v>57</v>
      </c>
      <c r="CX176" t="s">
        <v>57</v>
      </c>
      <c r="CY176" t="s">
        <v>57</v>
      </c>
      <c r="CZ176" t="s">
        <v>57</v>
      </c>
      <c r="DA176" t="s">
        <v>57</v>
      </c>
      <c r="DB176" t="s">
        <v>57</v>
      </c>
      <c r="DC176" t="s">
        <v>57</v>
      </c>
      <c r="DD176" t="s">
        <v>57</v>
      </c>
      <c r="DE176" t="s">
        <v>57</v>
      </c>
      <c r="DF176" t="s">
        <v>57</v>
      </c>
      <c r="DG176" t="s">
        <v>57</v>
      </c>
      <c r="DH176" t="s">
        <v>57</v>
      </c>
      <c r="DI176" t="s">
        <v>57</v>
      </c>
      <c r="DJ176" t="s">
        <v>57</v>
      </c>
      <c r="DK176" t="s">
        <v>148</v>
      </c>
      <c r="DL176" t="s">
        <v>57</v>
      </c>
      <c r="DM176" t="s">
        <v>57</v>
      </c>
      <c r="DN176" t="s">
        <v>57</v>
      </c>
      <c r="DO176" t="s">
        <v>57</v>
      </c>
      <c r="DP176" t="s">
        <v>57</v>
      </c>
      <c r="DQ176" t="s">
        <v>57</v>
      </c>
      <c r="DR176" t="s">
        <v>57</v>
      </c>
      <c r="DS176" t="s">
        <v>57</v>
      </c>
      <c r="DT176" t="s">
        <v>57</v>
      </c>
      <c r="DU176" t="s">
        <v>57</v>
      </c>
      <c r="DV176" t="s">
        <v>57</v>
      </c>
      <c r="DW176" t="s">
        <v>57</v>
      </c>
      <c r="DX176" t="s">
        <v>57</v>
      </c>
      <c r="DY176" t="s">
        <v>148</v>
      </c>
      <c r="DZ176" t="s">
        <v>57</v>
      </c>
      <c r="EA176" t="s">
        <v>57</v>
      </c>
      <c r="EB176" t="s">
        <v>57</v>
      </c>
      <c r="EC176" t="s">
        <v>57</v>
      </c>
      <c r="ED176" t="s">
        <v>57</v>
      </c>
      <c r="EE176" t="s">
        <v>57</v>
      </c>
      <c r="EF176" t="s">
        <v>57</v>
      </c>
      <c r="EG176" t="s">
        <v>57</v>
      </c>
      <c r="EH176" t="s">
        <v>57</v>
      </c>
      <c r="EI176" t="s">
        <v>57</v>
      </c>
      <c r="EJ176" t="s">
        <v>57</v>
      </c>
      <c r="EK176" t="s">
        <v>57</v>
      </c>
      <c r="EL176" t="s">
        <v>57</v>
      </c>
      <c r="EM176" t="s">
        <v>57</v>
      </c>
      <c r="EN176" t="s">
        <v>57</v>
      </c>
      <c r="EO176" t="s">
        <v>57</v>
      </c>
      <c r="EP176" t="s">
        <v>57</v>
      </c>
      <c r="EQ176" t="s">
        <v>57</v>
      </c>
      <c r="ER176" t="s">
        <v>57</v>
      </c>
      <c r="ES176" t="s">
        <v>57</v>
      </c>
      <c r="ET176" t="s">
        <v>57</v>
      </c>
      <c r="EU176" t="s">
        <v>57</v>
      </c>
      <c r="EV176" t="s">
        <v>57</v>
      </c>
      <c r="EW176" t="s">
        <v>57</v>
      </c>
      <c r="EX176" t="s">
        <v>57</v>
      </c>
      <c r="EY176" t="s">
        <v>57</v>
      </c>
      <c r="EZ176" t="s">
        <v>57</v>
      </c>
      <c r="FA176" t="s">
        <v>57</v>
      </c>
      <c r="FB176" t="s">
        <v>57</v>
      </c>
      <c r="FC176" t="s">
        <v>57</v>
      </c>
      <c r="FD176" t="s">
        <v>57</v>
      </c>
      <c r="FE176" t="s">
        <v>57</v>
      </c>
      <c r="FF176" t="s">
        <v>57</v>
      </c>
      <c r="FG176" t="s">
        <v>57</v>
      </c>
      <c r="FH176" t="s">
        <v>57</v>
      </c>
      <c r="FI176" t="s">
        <v>57</v>
      </c>
      <c r="FJ176" t="s">
        <v>57</v>
      </c>
      <c r="FK176" t="s">
        <v>57</v>
      </c>
      <c r="FL176" t="s">
        <v>57</v>
      </c>
      <c r="FM176" t="s">
        <v>57</v>
      </c>
      <c r="FN176" t="s">
        <v>57</v>
      </c>
      <c r="FO176" t="s">
        <v>57</v>
      </c>
      <c r="FP176" t="s">
        <v>57</v>
      </c>
      <c r="FQ176" t="s">
        <v>57</v>
      </c>
      <c r="FR176" t="s">
        <v>57</v>
      </c>
      <c r="FS176" t="s">
        <v>57</v>
      </c>
      <c r="FT176" t="s">
        <v>57</v>
      </c>
      <c r="FU176" t="s">
        <v>57</v>
      </c>
      <c r="FV176" t="s">
        <v>57</v>
      </c>
      <c r="FW176" t="s">
        <v>57</v>
      </c>
      <c r="FX176" t="s">
        <v>57</v>
      </c>
      <c r="FY176" t="s">
        <v>57</v>
      </c>
      <c r="FZ176" t="s">
        <v>57</v>
      </c>
      <c r="GA176" t="s">
        <v>57</v>
      </c>
      <c r="GB176" t="s">
        <v>57</v>
      </c>
      <c r="GC176" t="s">
        <v>57</v>
      </c>
      <c r="GD176" t="s">
        <v>57</v>
      </c>
      <c r="GE176" t="s">
        <v>57</v>
      </c>
      <c r="GF176" t="s">
        <v>57</v>
      </c>
      <c r="GG176" t="s">
        <v>57</v>
      </c>
      <c r="GH176" t="s">
        <v>57</v>
      </c>
      <c r="GI176" t="s">
        <v>57</v>
      </c>
      <c r="GJ176" t="s">
        <v>57</v>
      </c>
      <c r="GK176" t="s">
        <v>57</v>
      </c>
      <c r="GL176" t="s">
        <v>57</v>
      </c>
      <c r="GM176" t="s">
        <v>148</v>
      </c>
      <c r="GN176" t="s">
        <v>57</v>
      </c>
      <c r="GO176" t="s">
        <v>57</v>
      </c>
      <c r="GP176" t="s">
        <v>57</v>
      </c>
      <c r="GQ176" t="s">
        <v>57</v>
      </c>
      <c r="GR176" t="s">
        <v>57</v>
      </c>
      <c r="GS176" t="s">
        <v>57</v>
      </c>
      <c r="GT176" t="s">
        <v>57</v>
      </c>
      <c r="GU176" t="s">
        <v>57</v>
      </c>
      <c r="GV176" t="s">
        <v>57</v>
      </c>
      <c r="GW176" t="s">
        <v>148</v>
      </c>
      <c r="GX176" t="s">
        <v>57</v>
      </c>
      <c r="GY176" t="s">
        <v>57</v>
      </c>
      <c r="GZ176" t="s">
        <v>57</v>
      </c>
      <c r="HA176" t="s">
        <v>57</v>
      </c>
      <c r="HB176" t="s">
        <v>57</v>
      </c>
      <c r="HC176" t="s">
        <v>57</v>
      </c>
      <c r="HD176" t="s">
        <v>57</v>
      </c>
      <c r="HE176" t="s">
        <v>57</v>
      </c>
      <c r="HF176" t="s">
        <v>57</v>
      </c>
      <c r="HG176" t="s">
        <v>57</v>
      </c>
      <c r="HH176" t="s">
        <v>148</v>
      </c>
      <c r="HI176" t="s">
        <v>148</v>
      </c>
      <c r="HJ176" t="s">
        <v>148</v>
      </c>
      <c r="HK176" t="s">
        <v>148</v>
      </c>
      <c r="HL176" t="s">
        <v>57</v>
      </c>
      <c r="HM176" t="s">
        <v>57</v>
      </c>
      <c r="HN176" t="s">
        <v>57</v>
      </c>
      <c r="HO176" t="s">
        <v>57</v>
      </c>
      <c r="HP176" t="s">
        <v>57</v>
      </c>
      <c r="HQ176" t="s">
        <v>57</v>
      </c>
      <c r="HR176" t="s">
        <v>57</v>
      </c>
      <c r="HS176" t="s">
        <v>57</v>
      </c>
      <c r="HT176" t="s">
        <v>57</v>
      </c>
      <c r="HU176" t="s">
        <v>57</v>
      </c>
      <c r="HV176" t="s">
        <v>57</v>
      </c>
      <c r="HW176" t="s">
        <v>57</v>
      </c>
      <c r="HX176" t="s">
        <v>57</v>
      </c>
      <c r="HY176" t="s">
        <v>57</v>
      </c>
      <c r="HZ176" t="s">
        <v>57</v>
      </c>
      <c r="IA176" t="s">
        <v>57</v>
      </c>
      <c r="IB176" t="s">
        <v>57</v>
      </c>
      <c r="IC176" t="s">
        <v>57</v>
      </c>
      <c r="ID176" t="s">
        <v>57</v>
      </c>
      <c r="IE176" t="s">
        <v>57</v>
      </c>
      <c r="IF176" t="s">
        <v>124</v>
      </c>
      <c r="IG176" t="s">
        <v>155</v>
      </c>
      <c r="IH176" t="s">
        <v>123</v>
      </c>
      <c r="II176" t="s">
        <v>156</v>
      </c>
    </row>
    <row r="177" spans="1:243" x14ac:dyDescent="0.25">
      <c r="A177" s="201" t="str">
        <f>HYPERLINK("http://www.ofsted.gov.uk/inspection-reports/find-inspection-report/provider/ELS/135988 ","Ofsted School Webpage")</f>
        <v>Ofsted School Webpage</v>
      </c>
      <c r="B177">
        <v>135988</v>
      </c>
      <c r="C177">
        <v>3096088</v>
      </c>
      <c r="D177" t="s">
        <v>1214</v>
      </c>
      <c r="E177" t="s">
        <v>36</v>
      </c>
      <c r="F177" t="s">
        <v>166</v>
      </c>
      <c r="G177" t="s">
        <v>189</v>
      </c>
      <c r="H177" t="s">
        <v>189</v>
      </c>
      <c r="I177" t="s">
        <v>650</v>
      </c>
      <c r="J177" t="s">
        <v>1215</v>
      </c>
      <c r="K177" t="s">
        <v>142</v>
      </c>
      <c r="L177" t="s">
        <v>142</v>
      </c>
      <c r="M177" t="s">
        <v>2596</v>
      </c>
      <c r="N177" t="s">
        <v>143</v>
      </c>
      <c r="O177">
        <v>10012782</v>
      </c>
      <c r="P177" s="108">
        <v>43018</v>
      </c>
      <c r="Q177" s="108">
        <v>43020</v>
      </c>
      <c r="R177" s="108">
        <v>43112</v>
      </c>
      <c r="S177" t="s">
        <v>153</v>
      </c>
      <c r="T177" t="s">
        <v>154</v>
      </c>
      <c r="U177">
        <v>3</v>
      </c>
      <c r="V177">
        <v>3</v>
      </c>
      <c r="W177">
        <v>3</v>
      </c>
      <c r="X177">
        <v>3</v>
      </c>
      <c r="Y177">
        <v>3</v>
      </c>
      <c r="Z177">
        <v>3</v>
      </c>
      <c r="AA177" t="s">
        <v>2596</v>
      </c>
      <c r="AB177" t="s">
        <v>123</v>
      </c>
      <c r="AC177" t="s">
        <v>2596</v>
      </c>
      <c r="AD177" t="s">
        <v>2599</v>
      </c>
      <c r="AE177" t="s">
        <v>57</v>
      </c>
      <c r="AF177" t="s">
        <v>58</v>
      </c>
      <c r="AG177" t="s">
        <v>57</v>
      </c>
      <c r="AH177" t="s">
        <v>57</v>
      </c>
      <c r="AI177" t="s">
        <v>57</v>
      </c>
      <c r="AJ177" t="s">
        <v>57</v>
      </c>
      <c r="AK177" t="s">
        <v>57</v>
      </c>
      <c r="AL177" t="s">
        <v>58</v>
      </c>
      <c r="AM177" t="s">
        <v>57</v>
      </c>
      <c r="AN177" t="s">
        <v>57</v>
      </c>
      <c r="AO177" t="s">
        <v>57</v>
      </c>
      <c r="AP177" t="s">
        <v>57</v>
      </c>
      <c r="AQ177" t="s">
        <v>57</v>
      </c>
      <c r="AR177" t="s">
        <v>57</v>
      </c>
      <c r="AS177" t="s">
        <v>57</v>
      </c>
      <c r="AT177" t="s">
        <v>57</v>
      </c>
      <c r="AU177" t="s">
        <v>148</v>
      </c>
      <c r="AV177" t="s">
        <v>58</v>
      </c>
      <c r="AW177" t="s">
        <v>57</v>
      </c>
      <c r="AX177" t="s">
        <v>58</v>
      </c>
      <c r="AY177" t="s">
        <v>148</v>
      </c>
      <c r="AZ177" t="s">
        <v>148</v>
      </c>
      <c r="BA177" t="s">
        <v>148</v>
      </c>
      <c r="BB177" t="s">
        <v>148</v>
      </c>
      <c r="BC177" t="s">
        <v>57</v>
      </c>
      <c r="BD177" t="s">
        <v>148</v>
      </c>
      <c r="BE177" t="s">
        <v>57</v>
      </c>
      <c r="BF177" t="s">
        <v>57</v>
      </c>
      <c r="BG177" t="s">
        <v>58</v>
      </c>
      <c r="BH177" t="s">
        <v>57</v>
      </c>
      <c r="BI177" t="s">
        <v>57</v>
      </c>
      <c r="BJ177" t="s">
        <v>57</v>
      </c>
      <c r="BK177" t="s">
        <v>58</v>
      </c>
      <c r="BL177" t="s">
        <v>57</v>
      </c>
      <c r="BM177" t="s">
        <v>57</v>
      </c>
      <c r="BN177" t="s">
        <v>57</v>
      </c>
      <c r="BO177" t="s">
        <v>57</v>
      </c>
      <c r="BP177" t="s">
        <v>57</v>
      </c>
      <c r="BQ177" t="s">
        <v>57</v>
      </c>
      <c r="BR177" t="s">
        <v>57</v>
      </c>
      <c r="BS177" t="s">
        <v>58</v>
      </c>
      <c r="BT177" t="s">
        <v>57</v>
      </c>
      <c r="BU177" t="s">
        <v>58</v>
      </c>
      <c r="BV177" t="s">
        <v>57</v>
      </c>
      <c r="BW177" t="s">
        <v>57</v>
      </c>
      <c r="BX177" t="s">
        <v>57</v>
      </c>
      <c r="BY177" t="s">
        <v>57</v>
      </c>
      <c r="BZ177" t="s">
        <v>57</v>
      </c>
      <c r="CA177" t="s">
        <v>58</v>
      </c>
      <c r="CB177" t="s">
        <v>57</v>
      </c>
      <c r="CC177" t="s">
        <v>57</v>
      </c>
      <c r="CD177" t="s">
        <v>57</v>
      </c>
      <c r="CE177" t="s">
        <v>57</v>
      </c>
      <c r="CF177" t="s">
        <v>57</v>
      </c>
      <c r="CG177" t="s">
        <v>57</v>
      </c>
      <c r="CH177" t="s">
        <v>57</v>
      </c>
      <c r="CI177" t="s">
        <v>57</v>
      </c>
      <c r="CJ177" t="s">
        <v>57</v>
      </c>
      <c r="CK177" t="s">
        <v>148</v>
      </c>
      <c r="CL177" t="s">
        <v>148</v>
      </c>
      <c r="CM177" t="s">
        <v>148</v>
      </c>
      <c r="CN177" t="s">
        <v>57</v>
      </c>
      <c r="CO177" t="s">
        <v>57</v>
      </c>
      <c r="CP177" t="s">
        <v>57</v>
      </c>
      <c r="CQ177" t="s">
        <v>57</v>
      </c>
      <c r="CR177" t="s">
        <v>57</v>
      </c>
      <c r="CS177" t="s">
        <v>57</v>
      </c>
      <c r="CT177" t="s">
        <v>57</v>
      </c>
      <c r="CU177" t="s">
        <v>57</v>
      </c>
      <c r="CV177" t="s">
        <v>57</v>
      </c>
      <c r="CW177" t="s">
        <v>57</v>
      </c>
      <c r="CX177" t="s">
        <v>57</v>
      </c>
      <c r="CY177" t="s">
        <v>57</v>
      </c>
      <c r="CZ177" t="s">
        <v>57</v>
      </c>
      <c r="DA177" t="s">
        <v>57</v>
      </c>
      <c r="DB177" t="s">
        <v>57</v>
      </c>
      <c r="DC177" t="s">
        <v>57</v>
      </c>
      <c r="DD177" t="s">
        <v>57</v>
      </c>
      <c r="DE177" t="s">
        <v>57</v>
      </c>
      <c r="DF177" t="s">
        <v>57</v>
      </c>
      <c r="DG177" t="s">
        <v>57</v>
      </c>
      <c r="DH177" t="s">
        <v>57</v>
      </c>
      <c r="DI177" t="s">
        <v>57</v>
      </c>
      <c r="DJ177" t="s">
        <v>57</v>
      </c>
      <c r="DK177" t="s">
        <v>148</v>
      </c>
      <c r="DL177" t="s">
        <v>57</v>
      </c>
      <c r="DM177" t="s">
        <v>57</v>
      </c>
      <c r="DN177" t="s">
        <v>57</v>
      </c>
      <c r="DO177" t="s">
        <v>57</v>
      </c>
      <c r="DP177" t="s">
        <v>57</v>
      </c>
      <c r="DQ177" t="s">
        <v>57</v>
      </c>
      <c r="DR177" t="s">
        <v>57</v>
      </c>
      <c r="DS177" t="s">
        <v>57</v>
      </c>
      <c r="DT177" t="s">
        <v>57</v>
      </c>
      <c r="DU177" t="s">
        <v>57</v>
      </c>
      <c r="DV177" t="s">
        <v>57</v>
      </c>
      <c r="DW177" t="s">
        <v>57</v>
      </c>
      <c r="DX177" t="s">
        <v>57</v>
      </c>
      <c r="DY177" t="s">
        <v>148</v>
      </c>
      <c r="DZ177" t="s">
        <v>57</v>
      </c>
      <c r="EA177" t="s">
        <v>57</v>
      </c>
      <c r="EB177" t="s">
        <v>57</v>
      </c>
      <c r="EC177" t="s">
        <v>57</v>
      </c>
      <c r="ED177" t="s">
        <v>57</v>
      </c>
      <c r="EE177" t="s">
        <v>57</v>
      </c>
      <c r="EF177" t="s">
        <v>57</v>
      </c>
      <c r="EG177" t="s">
        <v>57</v>
      </c>
      <c r="EH177" t="s">
        <v>57</v>
      </c>
      <c r="EI177" t="s">
        <v>57</v>
      </c>
      <c r="EJ177" t="s">
        <v>57</v>
      </c>
      <c r="EK177" t="s">
        <v>57</v>
      </c>
      <c r="EL177" t="s">
        <v>57</v>
      </c>
      <c r="EM177" t="s">
        <v>57</v>
      </c>
      <c r="EN177" t="s">
        <v>57</v>
      </c>
      <c r="EO177" t="s">
        <v>57</v>
      </c>
      <c r="EP177" t="s">
        <v>57</v>
      </c>
      <c r="EQ177" t="s">
        <v>57</v>
      </c>
      <c r="ER177" t="s">
        <v>57</v>
      </c>
      <c r="ES177" t="s">
        <v>57</v>
      </c>
      <c r="ET177" t="s">
        <v>57</v>
      </c>
      <c r="EU177" t="s">
        <v>57</v>
      </c>
      <c r="EV177" t="s">
        <v>57</v>
      </c>
      <c r="EW177" t="s">
        <v>57</v>
      </c>
      <c r="EX177" t="s">
        <v>57</v>
      </c>
      <c r="EY177" t="s">
        <v>57</v>
      </c>
      <c r="EZ177" t="s">
        <v>57</v>
      </c>
      <c r="FA177" t="s">
        <v>57</v>
      </c>
      <c r="FB177" t="s">
        <v>57</v>
      </c>
      <c r="FC177" t="s">
        <v>57</v>
      </c>
      <c r="FD177" t="s">
        <v>57</v>
      </c>
      <c r="FE177" t="s">
        <v>57</v>
      </c>
      <c r="FF177" t="s">
        <v>57</v>
      </c>
      <c r="FG177" t="s">
        <v>57</v>
      </c>
      <c r="FH177" t="s">
        <v>57</v>
      </c>
      <c r="FI177" t="s">
        <v>57</v>
      </c>
      <c r="FJ177" t="s">
        <v>57</v>
      </c>
      <c r="FK177" t="s">
        <v>148</v>
      </c>
      <c r="FL177" t="s">
        <v>58</v>
      </c>
      <c r="FM177" t="s">
        <v>57</v>
      </c>
      <c r="FN177" t="s">
        <v>58</v>
      </c>
      <c r="FO177" t="s">
        <v>148</v>
      </c>
      <c r="FP177" t="s">
        <v>57</v>
      </c>
      <c r="FQ177" t="s">
        <v>57</v>
      </c>
      <c r="FR177" t="s">
        <v>57</v>
      </c>
      <c r="FS177" t="s">
        <v>57</v>
      </c>
      <c r="FT177" t="s">
        <v>57</v>
      </c>
      <c r="FU177" t="s">
        <v>57</v>
      </c>
      <c r="FV177" t="s">
        <v>57</v>
      </c>
      <c r="FW177" t="s">
        <v>57</v>
      </c>
      <c r="FX177" t="s">
        <v>57</v>
      </c>
      <c r="FY177" t="s">
        <v>57</v>
      </c>
      <c r="FZ177" t="s">
        <v>57</v>
      </c>
      <c r="GA177" t="s">
        <v>57</v>
      </c>
      <c r="GB177" t="s">
        <v>57</v>
      </c>
      <c r="GC177" t="s">
        <v>57</v>
      </c>
      <c r="GD177" t="s">
        <v>57</v>
      </c>
      <c r="GE177" t="s">
        <v>57</v>
      </c>
      <c r="GF177" t="s">
        <v>57</v>
      </c>
      <c r="GG177" t="s">
        <v>57</v>
      </c>
      <c r="GH177" t="s">
        <v>57</v>
      </c>
      <c r="GI177" t="s">
        <v>57</v>
      </c>
      <c r="GJ177" t="s">
        <v>57</v>
      </c>
      <c r="GK177" t="s">
        <v>57</v>
      </c>
      <c r="GL177" t="s">
        <v>57</v>
      </c>
      <c r="GM177" t="s">
        <v>148</v>
      </c>
      <c r="GN177" t="s">
        <v>57</v>
      </c>
      <c r="GO177" t="s">
        <v>57</v>
      </c>
      <c r="GP177" t="s">
        <v>57</v>
      </c>
      <c r="GQ177" t="s">
        <v>148</v>
      </c>
      <c r="GR177" t="s">
        <v>57</v>
      </c>
      <c r="GS177" t="s">
        <v>57</v>
      </c>
      <c r="GT177" t="s">
        <v>57</v>
      </c>
      <c r="GU177" t="s">
        <v>57</v>
      </c>
      <c r="GV177" t="s">
        <v>57</v>
      </c>
      <c r="GW177" t="s">
        <v>148</v>
      </c>
      <c r="GX177" t="s">
        <v>57</v>
      </c>
      <c r="GY177" t="s">
        <v>57</v>
      </c>
      <c r="GZ177" t="s">
        <v>57</v>
      </c>
      <c r="HA177" t="s">
        <v>57</v>
      </c>
      <c r="HB177" t="s">
        <v>57</v>
      </c>
      <c r="HC177" t="s">
        <v>57</v>
      </c>
      <c r="HD177" t="s">
        <v>57</v>
      </c>
      <c r="HE177" t="s">
        <v>57</v>
      </c>
      <c r="HF177" t="s">
        <v>57</v>
      </c>
      <c r="HG177" t="s">
        <v>57</v>
      </c>
      <c r="HH177" t="s">
        <v>148</v>
      </c>
      <c r="HI177" t="s">
        <v>148</v>
      </c>
      <c r="HJ177" t="s">
        <v>148</v>
      </c>
      <c r="HK177" t="s">
        <v>148</v>
      </c>
      <c r="HL177" t="s">
        <v>57</v>
      </c>
      <c r="HM177" t="s">
        <v>57</v>
      </c>
      <c r="HN177" t="s">
        <v>57</v>
      </c>
      <c r="HO177" t="s">
        <v>57</v>
      </c>
      <c r="HP177" t="s">
        <v>57</v>
      </c>
      <c r="HQ177" t="s">
        <v>57</v>
      </c>
      <c r="HR177" t="s">
        <v>57</v>
      </c>
      <c r="HS177" t="s">
        <v>57</v>
      </c>
      <c r="HT177" t="s">
        <v>57</v>
      </c>
      <c r="HU177" t="s">
        <v>57</v>
      </c>
      <c r="HV177" t="s">
        <v>57</v>
      </c>
      <c r="HW177" t="s">
        <v>57</v>
      </c>
      <c r="HX177" t="s">
        <v>57</v>
      </c>
      <c r="HY177" t="s">
        <v>57</v>
      </c>
      <c r="HZ177" t="s">
        <v>57</v>
      </c>
      <c r="IA177" t="s">
        <v>57</v>
      </c>
      <c r="IB177" t="s">
        <v>58</v>
      </c>
      <c r="IC177" t="s">
        <v>58</v>
      </c>
      <c r="ID177" t="s">
        <v>58</v>
      </c>
      <c r="IE177" t="s">
        <v>57</v>
      </c>
      <c r="IF177" t="s">
        <v>124</v>
      </c>
      <c r="IG177" t="s">
        <v>155</v>
      </c>
      <c r="IH177" t="s">
        <v>123</v>
      </c>
      <c r="II177" t="s">
        <v>156</v>
      </c>
    </row>
    <row r="178" spans="1:243" x14ac:dyDescent="0.25">
      <c r="A178" s="201" t="str">
        <f>HYPERLINK("http://www.ofsted.gov.uk/inspection-reports/find-inspection-report/provider/ELS/135995 ","Ofsted School Webpage")</f>
        <v>Ofsted School Webpage</v>
      </c>
      <c r="B178">
        <v>135995</v>
      </c>
      <c r="C178">
        <v>8706016</v>
      </c>
      <c r="D178" t="s">
        <v>1881</v>
      </c>
      <c r="E178" t="s">
        <v>36</v>
      </c>
      <c r="F178" t="s">
        <v>166</v>
      </c>
      <c r="G178" t="s">
        <v>139</v>
      </c>
      <c r="H178" t="s">
        <v>139</v>
      </c>
      <c r="I178" t="s">
        <v>1882</v>
      </c>
      <c r="J178" t="s">
        <v>1883</v>
      </c>
      <c r="K178" t="s">
        <v>142</v>
      </c>
      <c r="L178" t="s">
        <v>142</v>
      </c>
      <c r="M178" t="s">
        <v>2596</v>
      </c>
      <c r="N178" t="s">
        <v>143</v>
      </c>
      <c r="O178">
        <v>10033953</v>
      </c>
      <c r="P178" s="108">
        <v>43130</v>
      </c>
      <c r="Q178" s="108">
        <v>43132</v>
      </c>
      <c r="R178" s="108">
        <v>43164</v>
      </c>
      <c r="S178" t="s">
        <v>153</v>
      </c>
      <c r="T178" t="s">
        <v>154</v>
      </c>
      <c r="U178">
        <v>2</v>
      </c>
      <c r="V178">
        <v>2</v>
      </c>
      <c r="W178">
        <v>1</v>
      </c>
      <c r="X178">
        <v>2</v>
      </c>
      <c r="Y178">
        <v>2</v>
      </c>
      <c r="Z178">
        <v>2</v>
      </c>
      <c r="AA178" t="s">
        <v>2596</v>
      </c>
      <c r="AB178" t="s">
        <v>123</v>
      </c>
      <c r="AC178" t="s">
        <v>2596</v>
      </c>
      <c r="AD178" t="s">
        <v>2598</v>
      </c>
      <c r="AE178" t="s">
        <v>57</v>
      </c>
      <c r="AF178" t="s">
        <v>57</v>
      </c>
      <c r="AG178" t="s">
        <v>57</v>
      </c>
      <c r="AH178" t="s">
        <v>57</v>
      </c>
      <c r="AI178" t="s">
        <v>57</v>
      </c>
      <c r="AJ178" t="s">
        <v>57</v>
      </c>
      <c r="AK178" t="s">
        <v>57</v>
      </c>
      <c r="AL178" t="s">
        <v>57</v>
      </c>
      <c r="AM178" t="s">
        <v>57</v>
      </c>
      <c r="AN178" t="s">
        <v>57</v>
      </c>
      <c r="AO178" t="s">
        <v>57</v>
      </c>
      <c r="AP178" t="s">
        <v>57</v>
      </c>
      <c r="AQ178" t="s">
        <v>57</v>
      </c>
      <c r="AR178" t="s">
        <v>57</v>
      </c>
      <c r="AS178" t="s">
        <v>57</v>
      </c>
      <c r="AT178" t="s">
        <v>57</v>
      </c>
      <c r="AU178" t="s">
        <v>175</v>
      </c>
      <c r="AV178" t="s">
        <v>57</v>
      </c>
      <c r="AW178" t="s">
        <v>57</v>
      </c>
      <c r="AX178" t="s">
        <v>57</v>
      </c>
      <c r="AY178" t="s">
        <v>57</v>
      </c>
      <c r="AZ178" t="s">
        <v>57</v>
      </c>
      <c r="BA178" t="s">
        <v>57</v>
      </c>
      <c r="BB178" t="s">
        <v>57</v>
      </c>
      <c r="BC178" t="s">
        <v>57</v>
      </c>
      <c r="BD178" t="s">
        <v>57</v>
      </c>
      <c r="BE178" t="s">
        <v>57</v>
      </c>
      <c r="BF178" t="s">
        <v>57</v>
      </c>
      <c r="BG178" t="s">
        <v>57</v>
      </c>
      <c r="BH178" t="s">
        <v>57</v>
      </c>
      <c r="BI178" t="s">
        <v>57</v>
      </c>
      <c r="BJ178" t="s">
        <v>57</v>
      </c>
      <c r="BK178" t="s">
        <v>57</v>
      </c>
      <c r="BL178" t="s">
        <v>57</v>
      </c>
      <c r="BM178" t="s">
        <v>57</v>
      </c>
      <c r="BN178" t="s">
        <v>57</v>
      </c>
      <c r="BO178" t="s">
        <v>57</v>
      </c>
      <c r="BP178" t="s">
        <v>57</v>
      </c>
      <c r="BQ178" t="s">
        <v>57</v>
      </c>
      <c r="BR178" t="s">
        <v>57</v>
      </c>
      <c r="BS178" t="s">
        <v>57</v>
      </c>
      <c r="BT178" t="s">
        <v>57</v>
      </c>
      <c r="BU178" t="s">
        <v>57</v>
      </c>
      <c r="BV178" t="s">
        <v>57</v>
      </c>
      <c r="BW178" t="s">
        <v>57</v>
      </c>
      <c r="BX178" t="s">
        <v>57</v>
      </c>
      <c r="BY178" t="s">
        <v>57</v>
      </c>
      <c r="BZ178" t="s">
        <v>57</v>
      </c>
      <c r="CA178" t="s">
        <v>57</v>
      </c>
      <c r="CB178" t="s">
        <v>57</v>
      </c>
      <c r="CC178" t="s">
        <v>57</v>
      </c>
      <c r="CD178" t="s">
        <v>57</v>
      </c>
      <c r="CE178" t="s">
        <v>57</v>
      </c>
      <c r="CF178" t="s">
        <v>57</v>
      </c>
      <c r="CG178" t="s">
        <v>57</v>
      </c>
      <c r="CH178" t="s">
        <v>57</v>
      </c>
      <c r="CI178" t="s">
        <v>57</v>
      </c>
      <c r="CJ178" t="s">
        <v>57</v>
      </c>
      <c r="CK178" t="s">
        <v>57</v>
      </c>
      <c r="CL178" t="s">
        <v>57</v>
      </c>
      <c r="CM178" t="s">
        <v>175</v>
      </c>
      <c r="CN178" t="s">
        <v>57</v>
      </c>
      <c r="CO178" t="s">
        <v>57</v>
      </c>
      <c r="CP178" t="s">
        <v>57</v>
      </c>
      <c r="CQ178" t="s">
        <v>57</v>
      </c>
      <c r="CR178" t="s">
        <v>57</v>
      </c>
      <c r="CS178" t="s">
        <v>57</v>
      </c>
      <c r="CT178" t="s">
        <v>57</v>
      </c>
      <c r="CU178" t="s">
        <v>57</v>
      </c>
      <c r="CV178" t="s">
        <v>57</v>
      </c>
      <c r="CW178" t="s">
        <v>57</v>
      </c>
      <c r="CX178" t="s">
        <v>57</v>
      </c>
      <c r="CY178" t="s">
        <v>57</v>
      </c>
      <c r="CZ178" t="s">
        <v>57</v>
      </c>
      <c r="DA178" t="s">
        <v>57</v>
      </c>
      <c r="DB178" t="s">
        <v>57</v>
      </c>
      <c r="DC178" t="s">
        <v>57</v>
      </c>
      <c r="DD178" t="s">
        <v>57</v>
      </c>
      <c r="DE178" t="s">
        <v>57</v>
      </c>
      <c r="DF178" t="s">
        <v>57</v>
      </c>
      <c r="DG178" t="s">
        <v>57</v>
      </c>
      <c r="DH178" t="s">
        <v>57</v>
      </c>
      <c r="DI178" t="s">
        <v>57</v>
      </c>
      <c r="DJ178" t="s">
        <v>57</v>
      </c>
      <c r="DK178" t="s">
        <v>175</v>
      </c>
      <c r="DL178" t="s">
        <v>57</v>
      </c>
      <c r="DM178" t="s">
        <v>57</v>
      </c>
      <c r="DN178" t="s">
        <v>57</v>
      </c>
      <c r="DO178" t="s">
        <v>57</v>
      </c>
      <c r="DP178" t="s">
        <v>57</v>
      </c>
      <c r="DQ178" t="s">
        <v>57</v>
      </c>
      <c r="DR178" t="s">
        <v>57</v>
      </c>
      <c r="DS178" t="s">
        <v>57</v>
      </c>
      <c r="DT178" t="s">
        <v>57</v>
      </c>
      <c r="DU178" t="s">
        <v>57</v>
      </c>
      <c r="DV178" t="s">
        <v>57</v>
      </c>
      <c r="DW178" t="s">
        <v>57</v>
      </c>
      <c r="DX178" t="s">
        <v>57</v>
      </c>
      <c r="DY178" t="s">
        <v>175</v>
      </c>
      <c r="DZ178" t="s">
        <v>57</v>
      </c>
      <c r="EA178" t="s">
        <v>57</v>
      </c>
      <c r="EB178" t="s">
        <v>57</v>
      </c>
      <c r="EC178" t="s">
        <v>57</v>
      </c>
      <c r="ED178" t="s">
        <v>57</v>
      </c>
      <c r="EE178" t="s">
        <v>57</v>
      </c>
      <c r="EF178" t="s">
        <v>57</v>
      </c>
      <c r="EG178" t="s">
        <v>57</v>
      </c>
      <c r="EH178" t="s">
        <v>57</v>
      </c>
      <c r="EI178" t="s">
        <v>57</v>
      </c>
      <c r="EJ178" t="s">
        <v>57</v>
      </c>
      <c r="EK178" t="s">
        <v>57</v>
      </c>
      <c r="EL178" t="s">
        <v>57</v>
      </c>
      <c r="EM178" t="s">
        <v>57</v>
      </c>
      <c r="EN178" t="s">
        <v>57</v>
      </c>
      <c r="EO178" t="s">
        <v>57</v>
      </c>
      <c r="EP178" t="s">
        <v>57</v>
      </c>
      <c r="EQ178" t="s">
        <v>57</v>
      </c>
      <c r="ER178" t="s">
        <v>57</v>
      </c>
      <c r="ES178" t="s">
        <v>57</v>
      </c>
      <c r="ET178" t="s">
        <v>57</v>
      </c>
      <c r="EU178" t="s">
        <v>57</v>
      </c>
      <c r="EV178" t="s">
        <v>57</v>
      </c>
      <c r="EW178" t="s">
        <v>57</v>
      </c>
      <c r="EX178" t="s">
        <v>57</v>
      </c>
      <c r="EY178" t="s">
        <v>57</v>
      </c>
      <c r="EZ178" t="s">
        <v>57</v>
      </c>
      <c r="FA178" t="s">
        <v>57</v>
      </c>
      <c r="FB178" t="s">
        <v>57</v>
      </c>
      <c r="FC178" t="s">
        <v>57</v>
      </c>
      <c r="FD178" t="s">
        <v>57</v>
      </c>
      <c r="FE178" t="s">
        <v>57</v>
      </c>
      <c r="FF178" t="s">
        <v>57</v>
      </c>
      <c r="FG178" t="s">
        <v>57</v>
      </c>
      <c r="FH178" t="s">
        <v>57</v>
      </c>
      <c r="FI178" t="s">
        <v>57</v>
      </c>
      <c r="FJ178" t="s">
        <v>57</v>
      </c>
      <c r="FK178" t="s">
        <v>57</v>
      </c>
      <c r="FL178" t="s">
        <v>57</v>
      </c>
      <c r="FM178" t="s">
        <v>57</v>
      </c>
      <c r="FN178" t="s">
        <v>57</v>
      </c>
      <c r="FO178" t="s">
        <v>175</v>
      </c>
      <c r="FP178" t="s">
        <v>57</v>
      </c>
      <c r="FQ178" t="s">
        <v>57</v>
      </c>
      <c r="FR178" t="s">
        <v>57</v>
      </c>
      <c r="FS178" t="s">
        <v>57</v>
      </c>
      <c r="FT178" t="s">
        <v>57</v>
      </c>
      <c r="FU178" t="s">
        <v>57</v>
      </c>
      <c r="FV178" t="s">
        <v>57</v>
      </c>
      <c r="FW178" t="s">
        <v>57</v>
      </c>
      <c r="FX178" t="s">
        <v>57</v>
      </c>
      <c r="FY178" t="s">
        <v>57</v>
      </c>
      <c r="FZ178" t="s">
        <v>57</v>
      </c>
      <c r="GA178" t="s">
        <v>57</v>
      </c>
      <c r="GB178" t="s">
        <v>57</v>
      </c>
      <c r="GC178" t="s">
        <v>57</v>
      </c>
      <c r="GD178" t="s">
        <v>57</v>
      </c>
      <c r="GE178" t="s">
        <v>57</v>
      </c>
      <c r="GF178" t="s">
        <v>57</v>
      </c>
      <c r="GG178" t="s">
        <v>175</v>
      </c>
      <c r="GH178" t="s">
        <v>57</v>
      </c>
      <c r="GI178" t="s">
        <v>57</v>
      </c>
      <c r="GJ178" t="s">
        <v>57</v>
      </c>
      <c r="GK178" t="s">
        <v>57</v>
      </c>
      <c r="GL178" t="s">
        <v>57</v>
      </c>
      <c r="GM178" t="s">
        <v>175</v>
      </c>
      <c r="GN178" t="s">
        <v>57</v>
      </c>
      <c r="GO178" t="s">
        <v>57</v>
      </c>
      <c r="GP178" t="s">
        <v>175</v>
      </c>
      <c r="GQ178" t="s">
        <v>175</v>
      </c>
      <c r="GR178" t="s">
        <v>57</v>
      </c>
      <c r="GS178" t="s">
        <v>57</v>
      </c>
      <c r="GT178" t="s">
        <v>57</v>
      </c>
      <c r="GU178" t="s">
        <v>57</v>
      </c>
      <c r="GV178" t="s">
        <v>57</v>
      </c>
      <c r="GW178" t="s">
        <v>175</v>
      </c>
      <c r="GX178" t="s">
        <v>175</v>
      </c>
      <c r="GY178" t="s">
        <v>57</v>
      </c>
      <c r="GZ178" t="s">
        <v>57</v>
      </c>
      <c r="HA178" t="s">
        <v>57</v>
      </c>
      <c r="HB178" t="s">
        <v>57</v>
      </c>
      <c r="HC178" t="s">
        <v>57</v>
      </c>
      <c r="HD178" t="s">
        <v>57</v>
      </c>
      <c r="HE178" t="s">
        <v>57</v>
      </c>
      <c r="HF178" t="s">
        <v>57</v>
      </c>
      <c r="HG178" t="s">
        <v>57</v>
      </c>
      <c r="HH178" t="s">
        <v>57</v>
      </c>
      <c r="HI178" t="s">
        <v>175</v>
      </c>
      <c r="HJ178" t="s">
        <v>175</v>
      </c>
      <c r="HK178" t="s">
        <v>175</v>
      </c>
      <c r="HL178" t="s">
        <v>57</v>
      </c>
      <c r="HM178" t="s">
        <v>57</v>
      </c>
      <c r="HN178" t="s">
        <v>57</v>
      </c>
      <c r="HO178" t="s">
        <v>57</v>
      </c>
      <c r="HP178" t="s">
        <v>57</v>
      </c>
      <c r="HQ178" t="s">
        <v>57</v>
      </c>
      <c r="HR178" t="s">
        <v>57</v>
      </c>
      <c r="HS178" t="s">
        <v>57</v>
      </c>
      <c r="HT178" t="s">
        <v>57</v>
      </c>
      <c r="HU178" t="s">
        <v>57</v>
      </c>
      <c r="HV178" t="s">
        <v>57</v>
      </c>
      <c r="HW178" t="s">
        <v>57</v>
      </c>
      <c r="HX178" t="s">
        <v>57</v>
      </c>
      <c r="HY178" t="s">
        <v>57</v>
      </c>
      <c r="HZ178" t="s">
        <v>57</v>
      </c>
      <c r="IA178" t="s">
        <v>57</v>
      </c>
      <c r="IB178" t="s">
        <v>57</v>
      </c>
      <c r="IC178" t="s">
        <v>57</v>
      </c>
      <c r="ID178" t="s">
        <v>57</v>
      </c>
      <c r="IE178" t="s">
        <v>57</v>
      </c>
      <c r="IF178" t="s">
        <v>124</v>
      </c>
      <c r="IG178" t="s">
        <v>148</v>
      </c>
      <c r="IH178" t="s">
        <v>123</v>
      </c>
      <c r="II178" t="s">
        <v>156</v>
      </c>
    </row>
    <row r="179" spans="1:243" x14ac:dyDescent="0.25">
      <c r="A179" s="201" t="str">
        <f>HYPERLINK("http://www.ofsted.gov.uk/inspection-reports/find-inspection-report/provider/ELS/136003 ","Ofsted School Webpage")</f>
        <v>Ofsted School Webpage</v>
      </c>
      <c r="B179">
        <v>136003</v>
      </c>
      <c r="C179">
        <v>8886111</v>
      </c>
      <c r="D179" t="s">
        <v>161</v>
      </c>
      <c r="E179" t="s">
        <v>37</v>
      </c>
      <c r="F179" t="s">
        <v>138</v>
      </c>
      <c r="G179" t="s">
        <v>162</v>
      </c>
      <c r="H179" t="s">
        <v>162</v>
      </c>
      <c r="I179" t="s">
        <v>163</v>
      </c>
      <c r="J179" t="s">
        <v>164</v>
      </c>
      <c r="K179" t="s">
        <v>142</v>
      </c>
      <c r="L179" t="s">
        <v>142</v>
      </c>
      <c r="M179" t="s">
        <v>2596</v>
      </c>
      <c r="N179" t="s">
        <v>143</v>
      </c>
      <c r="O179">
        <v>10026014</v>
      </c>
      <c r="P179" s="108">
        <v>42990</v>
      </c>
      <c r="Q179" s="108">
        <v>42992</v>
      </c>
      <c r="R179" s="108">
        <v>43027</v>
      </c>
      <c r="S179" t="s">
        <v>153</v>
      </c>
      <c r="T179" t="s">
        <v>154</v>
      </c>
      <c r="U179">
        <v>1</v>
      </c>
      <c r="V179">
        <v>1</v>
      </c>
      <c r="W179">
        <v>1</v>
      </c>
      <c r="X179">
        <v>1</v>
      </c>
      <c r="Y179">
        <v>1</v>
      </c>
      <c r="Z179" t="s">
        <v>2596</v>
      </c>
      <c r="AA179" t="s">
        <v>2596</v>
      </c>
      <c r="AB179" t="s">
        <v>123</v>
      </c>
      <c r="AC179" t="s">
        <v>2596</v>
      </c>
      <c r="AD179" t="s">
        <v>2598</v>
      </c>
      <c r="AE179" t="s">
        <v>57</v>
      </c>
      <c r="AF179" t="s">
        <v>57</v>
      </c>
      <c r="AG179" t="s">
        <v>57</v>
      </c>
      <c r="AH179" t="s">
        <v>57</v>
      </c>
      <c r="AI179" t="s">
        <v>57</v>
      </c>
      <c r="AJ179" t="s">
        <v>57</v>
      </c>
      <c r="AK179" t="s">
        <v>57</v>
      </c>
      <c r="AL179" t="s">
        <v>57</v>
      </c>
      <c r="AM179" t="s">
        <v>57</v>
      </c>
      <c r="AN179" t="s">
        <v>57</v>
      </c>
      <c r="AO179" t="s">
        <v>57</v>
      </c>
      <c r="AP179" t="s">
        <v>57</v>
      </c>
      <c r="AQ179" t="s">
        <v>57</v>
      </c>
      <c r="AR179" t="s">
        <v>57</v>
      </c>
      <c r="AS179" t="s">
        <v>57</v>
      </c>
      <c r="AT179" t="s">
        <v>57</v>
      </c>
      <c r="AU179" t="s">
        <v>148</v>
      </c>
      <c r="AV179" t="s">
        <v>57</v>
      </c>
      <c r="AW179" t="s">
        <v>57</v>
      </c>
      <c r="AX179" t="s">
        <v>57</v>
      </c>
      <c r="AY179" t="s">
        <v>57</v>
      </c>
      <c r="AZ179" t="s">
        <v>57</v>
      </c>
      <c r="BA179" t="s">
        <v>57</v>
      </c>
      <c r="BB179" t="s">
        <v>57</v>
      </c>
      <c r="BC179" t="s">
        <v>148</v>
      </c>
      <c r="BD179" t="s">
        <v>148</v>
      </c>
      <c r="BE179" t="s">
        <v>57</v>
      </c>
      <c r="BF179" t="s">
        <v>57</v>
      </c>
      <c r="BG179" t="s">
        <v>57</v>
      </c>
      <c r="BH179" t="s">
        <v>57</v>
      </c>
      <c r="BI179" t="s">
        <v>57</v>
      </c>
      <c r="BJ179" t="s">
        <v>57</v>
      </c>
      <c r="BK179" t="s">
        <v>57</v>
      </c>
      <c r="BL179" t="s">
        <v>57</v>
      </c>
      <c r="BM179" t="s">
        <v>57</v>
      </c>
      <c r="BN179" t="s">
        <v>57</v>
      </c>
      <c r="BO179" t="s">
        <v>57</v>
      </c>
      <c r="BP179" t="s">
        <v>57</v>
      </c>
      <c r="BQ179" t="s">
        <v>57</v>
      </c>
      <c r="BR179" t="s">
        <v>57</v>
      </c>
      <c r="BS179" t="s">
        <v>57</v>
      </c>
      <c r="BT179" t="s">
        <v>57</v>
      </c>
      <c r="BU179" t="s">
        <v>57</v>
      </c>
      <c r="BV179" t="s">
        <v>57</v>
      </c>
      <c r="BW179" t="s">
        <v>57</v>
      </c>
      <c r="BX179" t="s">
        <v>57</v>
      </c>
      <c r="BY179" t="s">
        <v>57</v>
      </c>
      <c r="BZ179" t="s">
        <v>57</v>
      </c>
      <c r="CA179" t="s">
        <v>57</v>
      </c>
      <c r="CB179" t="s">
        <v>57</v>
      </c>
      <c r="CC179" t="s">
        <v>57</v>
      </c>
      <c r="CD179" t="s">
        <v>57</v>
      </c>
      <c r="CE179" t="s">
        <v>57</v>
      </c>
      <c r="CF179" t="s">
        <v>57</v>
      </c>
      <c r="CG179" t="s">
        <v>57</v>
      </c>
      <c r="CH179" t="s">
        <v>57</v>
      </c>
      <c r="CI179" t="s">
        <v>57</v>
      </c>
      <c r="CJ179" t="s">
        <v>57</v>
      </c>
      <c r="CK179" t="s">
        <v>148</v>
      </c>
      <c r="CL179" t="s">
        <v>148</v>
      </c>
      <c r="CM179" t="s">
        <v>148</v>
      </c>
      <c r="CN179" t="s">
        <v>57</v>
      </c>
      <c r="CO179" t="s">
        <v>57</v>
      </c>
      <c r="CP179" t="s">
        <v>57</v>
      </c>
      <c r="CQ179" t="s">
        <v>57</v>
      </c>
      <c r="CR179" t="s">
        <v>57</v>
      </c>
      <c r="CS179" t="s">
        <v>57</v>
      </c>
      <c r="CT179" t="s">
        <v>57</v>
      </c>
      <c r="CU179" t="s">
        <v>57</v>
      </c>
      <c r="CV179" t="s">
        <v>57</v>
      </c>
      <c r="CW179" t="s">
        <v>57</v>
      </c>
      <c r="CX179" t="s">
        <v>57</v>
      </c>
      <c r="CY179" t="s">
        <v>57</v>
      </c>
      <c r="CZ179" t="s">
        <v>57</v>
      </c>
      <c r="DA179" t="s">
        <v>57</v>
      </c>
      <c r="DB179" t="s">
        <v>57</v>
      </c>
      <c r="DC179" t="s">
        <v>57</v>
      </c>
      <c r="DD179" t="s">
        <v>57</v>
      </c>
      <c r="DE179" t="s">
        <v>57</v>
      </c>
      <c r="DF179" t="s">
        <v>57</v>
      </c>
      <c r="DG179" t="s">
        <v>57</v>
      </c>
      <c r="DH179" t="s">
        <v>57</v>
      </c>
      <c r="DI179" t="s">
        <v>57</v>
      </c>
      <c r="DJ179" t="s">
        <v>148</v>
      </c>
      <c r="DK179" t="s">
        <v>148</v>
      </c>
      <c r="DL179" t="s">
        <v>57</v>
      </c>
      <c r="DM179" t="s">
        <v>57</v>
      </c>
      <c r="DN179" t="s">
        <v>57</v>
      </c>
      <c r="DO179" t="s">
        <v>57</v>
      </c>
      <c r="DP179" t="s">
        <v>57</v>
      </c>
      <c r="DQ179" t="s">
        <v>57</v>
      </c>
      <c r="DR179" t="s">
        <v>57</v>
      </c>
      <c r="DS179" t="s">
        <v>57</v>
      </c>
      <c r="DT179" t="s">
        <v>57</v>
      </c>
      <c r="DU179" t="s">
        <v>57</v>
      </c>
      <c r="DV179" t="s">
        <v>57</v>
      </c>
      <c r="DW179" t="s">
        <v>57</v>
      </c>
      <c r="DX179" t="s">
        <v>57</v>
      </c>
      <c r="DY179" t="s">
        <v>148</v>
      </c>
      <c r="DZ179" t="s">
        <v>57</v>
      </c>
      <c r="EA179" t="s">
        <v>57</v>
      </c>
      <c r="EB179" t="s">
        <v>57</v>
      </c>
      <c r="EC179" t="s">
        <v>57</v>
      </c>
      <c r="ED179" t="s">
        <v>57</v>
      </c>
      <c r="EE179" t="s">
        <v>57</v>
      </c>
      <c r="EF179" t="s">
        <v>57</v>
      </c>
      <c r="EG179" t="s">
        <v>57</v>
      </c>
      <c r="EH179" t="s">
        <v>57</v>
      </c>
      <c r="EI179" t="s">
        <v>57</v>
      </c>
      <c r="EJ179" t="s">
        <v>57</v>
      </c>
      <c r="EK179" t="s">
        <v>57</v>
      </c>
      <c r="EL179" t="s">
        <v>57</v>
      </c>
      <c r="EM179" t="s">
        <v>57</v>
      </c>
      <c r="EN179" t="s">
        <v>57</v>
      </c>
      <c r="EO179" t="s">
        <v>57</v>
      </c>
      <c r="EP179" t="s">
        <v>57</v>
      </c>
      <c r="EQ179" t="s">
        <v>57</v>
      </c>
      <c r="ER179" t="s">
        <v>57</v>
      </c>
      <c r="ES179" t="s">
        <v>57</v>
      </c>
      <c r="ET179" t="s">
        <v>148</v>
      </c>
      <c r="EU179" t="s">
        <v>57</v>
      </c>
      <c r="EV179" t="s">
        <v>57</v>
      </c>
      <c r="EW179" t="s">
        <v>57</v>
      </c>
      <c r="EX179" t="s">
        <v>57</v>
      </c>
      <c r="EY179" t="s">
        <v>57</v>
      </c>
      <c r="EZ179" t="s">
        <v>57</v>
      </c>
      <c r="FA179" t="s">
        <v>57</v>
      </c>
      <c r="FB179" t="s">
        <v>148</v>
      </c>
      <c r="FC179" t="s">
        <v>57</v>
      </c>
      <c r="FD179" t="s">
        <v>57</v>
      </c>
      <c r="FE179" t="s">
        <v>57</v>
      </c>
      <c r="FF179" t="s">
        <v>57</v>
      </c>
      <c r="FG179" t="s">
        <v>57</v>
      </c>
      <c r="FH179" t="s">
        <v>57</v>
      </c>
      <c r="FI179" t="s">
        <v>57</v>
      </c>
      <c r="FJ179" t="s">
        <v>148</v>
      </c>
      <c r="FK179" t="s">
        <v>57</v>
      </c>
      <c r="FL179" t="s">
        <v>57</v>
      </c>
      <c r="FM179" t="s">
        <v>57</v>
      </c>
      <c r="FN179" t="s">
        <v>57</v>
      </c>
      <c r="FO179" t="s">
        <v>148</v>
      </c>
      <c r="FP179" t="s">
        <v>57</v>
      </c>
      <c r="FQ179" t="s">
        <v>57</v>
      </c>
      <c r="FR179" t="s">
        <v>57</v>
      </c>
      <c r="FS179" t="s">
        <v>57</v>
      </c>
      <c r="FT179" t="s">
        <v>57</v>
      </c>
      <c r="FU179" t="s">
        <v>57</v>
      </c>
      <c r="FV179" t="s">
        <v>57</v>
      </c>
      <c r="FW179" t="s">
        <v>57</v>
      </c>
      <c r="FX179" t="s">
        <v>57</v>
      </c>
      <c r="FY179" t="s">
        <v>57</v>
      </c>
      <c r="FZ179" t="s">
        <v>57</v>
      </c>
      <c r="GA179" t="s">
        <v>57</v>
      </c>
      <c r="GB179" t="s">
        <v>57</v>
      </c>
      <c r="GC179" t="s">
        <v>57</v>
      </c>
      <c r="GD179" t="s">
        <v>57</v>
      </c>
      <c r="GE179" t="s">
        <v>57</v>
      </c>
      <c r="GF179" t="s">
        <v>57</v>
      </c>
      <c r="GG179" t="s">
        <v>148</v>
      </c>
      <c r="GH179" t="s">
        <v>57</v>
      </c>
      <c r="GI179" t="s">
        <v>57</v>
      </c>
      <c r="GJ179" t="s">
        <v>57</v>
      </c>
      <c r="GK179" t="s">
        <v>57</v>
      </c>
      <c r="GL179" t="s">
        <v>57</v>
      </c>
      <c r="GM179" t="s">
        <v>57</v>
      </c>
      <c r="GN179" t="s">
        <v>57</v>
      </c>
      <c r="GO179" t="s">
        <v>57</v>
      </c>
      <c r="GP179" t="s">
        <v>57</v>
      </c>
      <c r="GQ179" t="s">
        <v>57</v>
      </c>
      <c r="GR179" t="s">
        <v>57</v>
      </c>
      <c r="GS179" t="s">
        <v>57</v>
      </c>
      <c r="GT179" t="s">
        <v>57</v>
      </c>
      <c r="GU179" t="s">
        <v>57</v>
      </c>
      <c r="GV179" t="s">
        <v>148</v>
      </c>
      <c r="GW179" t="s">
        <v>57</v>
      </c>
      <c r="GX179" t="s">
        <v>57</v>
      </c>
      <c r="GY179" t="s">
        <v>57</v>
      </c>
      <c r="GZ179" t="s">
        <v>57</v>
      </c>
      <c r="HA179" t="s">
        <v>57</v>
      </c>
      <c r="HB179" t="s">
        <v>57</v>
      </c>
      <c r="HC179" t="s">
        <v>57</v>
      </c>
      <c r="HD179" t="s">
        <v>57</v>
      </c>
      <c r="HE179" t="s">
        <v>57</v>
      </c>
      <c r="HF179" t="s">
        <v>57</v>
      </c>
      <c r="HG179" t="s">
        <v>57</v>
      </c>
      <c r="HH179" t="s">
        <v>57</v>
      </c>
      <c r="HI179" t="s">
        <v>148</v>
      </c>
      <c r="HJ179" t="s">
        <v>148</v>
      </c>
      <c r="HK179" t="s">
        <v>148</v>
      </c>
      <c r="HL179" t="s">
        <v>57</v>
      </c>
      <c r="HM179" t="s">
        <v>57</v>
      </c>
      <c r="HN179" t="s">
        <v>57</v>
      </c>
      <c r="HO179" t="s">
        <v>57</v>
      </c>
      <c r="HP179" t="s">
        <v>57</v>
      </c>
      <c r="HQ179" t="s">
        <v>57</v>
      </c>
      <c r="HR179" t="s">
        <v>57</v>
      </c>
      <c r="HS179" t="s">
        <v>57</v>
      </c>
      <c r="HT179" t="s">
        <v>57</v>
      </c>
      <c r="HU179" t="s">
        <v>57</v>
      </c>
      <c r="HV179" t="s">
        <v>57</v>
      </c>
      <c r="HW179" t="s">
        <v>57</v>
      </c>
      <c r="HX179" t="s">
        <v>57</v>
      </c>
      <c r="HY179" t="s">
        <v>57</v>
      </c>
      <c r="HZ179" t="s">
        <v>57</v>
      </c>
      <c r="IA179" t="s">
        <v>57</v>
      </c>
      <c r="IB179" t="s">
        <v>57</v>
      </c>
      <c r="IC179" t="s">
        <v>57</v>
      </c>
      <c r="ID179" t="s">
        <v>57</v>
      </c>
      <c r="IE179" t="s">
        <v>57</v>
      </c>
      <c r="IF179" t="s">
        <v>124</v>
      </c>
      <c r="IG179" t="s">
        <v>155</v>
      </c>
      <c r="IH179" t="s">
        <v>123</v>
      </c>
      <c r="II179" t="s">
        <v>156</v>
      </c>
    </row>
    <row r="180" spans="1:243" x14ac:dyDescent="0.25">
      <c r="A180" s="201" t="str">
        <f>HYPERLINK("http://www.ofsted.gov.uk/inspection-reports/find-inspection-report/provider/ELS/136014 ","Ofsted School Webpage")</f>
        <v>Ofsted School Webpage</v>
      </c>
      <c r="B180">
        <v>136014</v>
      </c>
      <c r="C180">
        <v>3026122</v>
      </c>
      <c r="D180" t="s">
        <v>1577</v>
      </c>
      <c r="E180" t="s">
        <v>36</v>
      </c>
      <c r="F180" t="s">
        <v>166</v>
      </c>
      <c r="G180" t="s">
        <v>189</v>
      </c>
      <c r="H180" t="s">
        <v>189</v>
      </c>
      <c r="I180" t="s">
        <v>268</v>
      </c>
      <c r="J180" t="s">
        <v>1578</v>
      </c>
      <c r="K180" t="s">
        <v>142</v>
      </c>
      <c r="L180" t="s">
        <v>275</v>
      </c>
      <c r="M180" t="s">
        <v>2596</v>
      </c>
      <c r="N180" t="s">
        <v>143</v>
      </c>
      <c r="O180">
        <v>10035805</v>
      </c>
      <c r="P180" s="108">
        <v>43151</v>
      </c>
      <c r="Q180" s="108">
        <v>43153</v>
      </c>
      <c r="R180" s="108">
        <v>43187</v>
      </c>
      <c r="S180" t="s">
        <v>153</v>
      </c>
      <c r="T180" t="s">
        <v>154</v>
      </c>
      <c r="U180">
        <v>2</v>
      </c>
      <c r="V180">
        <v>2</v>
      </c>
      <c r="W180">
        <v>2</v>
      </c>
      <c r="X180">
        <v>2</v>
      </c>
      <c r="Y180">
        <v>2</v>
      </c>
      <c r="Z180">
        <v>2</v>
      </c>
      <c r="AA180" t="s">
        <v>2596</v>
      </c>
      <c r="AB180" t="s">
        <v>123</v>
      </c>
      <c r="AC180" t="s">
        <v>2596</v>
      </c>
      <c r="AD180" t="s">
        <v>2598</v>
      </c>
      <c r="AE180" t="s">
        <v>57</v>
      </c>
      <c r="AF180" t="s">
        <v>57</v>
      </c>
      <c r="AG180" t="s">
        <v>57</v>
      </c>
      <c r="AH180" t="s">
        <v>57</v>
      </c>
      <c r="AI180" t="s">
        <v>57</v>
      </c>
      <c r="AJ180" t="s">
        <v>57</v>
      </c>
      <c r="AK180" t="s">
        <v>57</v>
      </c>
      <c r="AL180" t="s">
        <v>57</v>
      </c>
      <c r="AM180" t="s">
        <v>57</v>
      </c>
      <c r="AN180" t="s">
        <v>57</v>
      </c>
      <c r="AO180" t="s">
        <v>57</v>
      </c>
      <c r="AP180" t="s">
        <v>57</v>
      </c>
      <c r="AQ180" t="s">
        <v>57</v>
      </c>
      <c r="AR180" t="s">
        <v>57</v>
      </c>
      <c r="AS180" t="s">
        <v>57</v>
      </c>
      <c r="AT180" t="s">
        <v>57</v>
      </c>
      <c r="AU180" t="s">
        <v>57</v>
      </c>
      <c r="AV180" t="s">
        <v>57</v>
      </c>
      <c r="AW180" t="s">
        <v>57</v>
      </c>
      <c r="AX180" t="s">
        <v>57</v>
      </c>
      <c r="AY180" t="s">
        <v>175</v>
      </c>
      <c r="AZ180" t="s">
        <v>175</v>
      </c>
      <c r="BA180" t="s">
        <v>175</v>
      </c>
      <c r="BB180" t="s">
        <v>175</v>
      </c>
      <c r="BC180" t="s">
        <v>57</v>
      </c>
      <c r="BD180" t="s">
        <v>175</v>
      </c>
      <c r="BE180" t="s">
        <v>57</v>
      </c>
      <c r="BF180" t="s">
        <v>57</v>
      </c>
      <c r="BG180" t="s">
        <v>57</v>
      </c>
      <c r="BH180" t="s">
        <v>57</v>
      </c>
      <c r="BI180" t="s">
        <v>57</v>
      </c>
      <c r="BJ180" t="s">
        <v>57</v>
      </c>
      <c r="BK180" t="s">
        <v>57</v>
      </c>
      <c r="BL180" t="s">
        <v>57</v>
      </c>
      <c r="BM180" t="s">
        <v>57</v>
      </c>
      <c r="BN180" t="s">
        <v>57</v>
      </c>
      <c r="BO180" t="s">
        <v>57</v>
      </c>
      <c r="BP180" t="s">
        <v>57</v>
      </c>
      <c r="BQ180" t="s">
        <v>57</v>
      </c>
      <c r="BR180" t="s">
        <v>57</v>
      </c>
      <c r="BS180" t="s">
        <v>57</v>
      </c>
      <c r="BT180" t="s">
        <v>57</v>
      </c>
      <c r="BU180" t="s">
        <v>57</v>
      </c>
      <c r="BV180" t="s">
        <v>57</v>
      </c>
      <c r="BW180" t="s">
        <v>57</v>
      </c>
      <c r="BX180" t="s">
        <v>57</v>
      </c>
      <c r="BY180" t="s">
        <v>57</v>
      </c>
      <c r="BZ180" t="s">
        <v>57</v>
      </c>
      <c r="CA180" t="s">
        <v>57</v>
      </c>
      <c r="CB180" t="s">
        <v>57</v>
      </c>
      <c r="CC180" t="s">
        <v>57</v>
      </c>
      <c r="CD180" t="s">
        <v>57</v>
      </c>
      <c r="CE180" t="s">
        <v>57</v>
      </c>
      <c r="CF180" t="s">
        <v>57</v>
      </c>
      <c r="CG180" t="s">
        <v>57</v>
      </c>
      <c r="CH180" t="s">
        <v>57</v>
      </c>
      <c r="CI180" t="s">
        <v>57</v>
      </c>
      <c r="CJ180" t="s">
        <v>57</v>
      </c>
      <c r="CK180" t="s">
        <v>175</v>
      </c>
      <c r="CL180" t="s">
        <v>175</v>
      </c>
      <c r="CM180" t="s">
        <v>175</v>
      </c>
      <c r="CN180" t="s">
        <v>57</v>
      </c>
      <c r="CO180" t="s">
        <v>57</v>
      </c>
      <c r="CP180" t="s">
        <v>57</v>
      </c>
      <c r="CQ180" t="s">
        <v>57</v>
      </c>
      <c r="CR180" t="s">
        <v>57</v>
      </c>
      <c r="CS180" t="s">
        <v>57</v>
      </c>
      <c r="CT180" t="s">
        <v>57</v>
      </c>
      <c r="CU180" t="s">
        <v>57</v>
      </c>
      <c r="CV180" t="s">
        <v>57</v>
      </c>
      <c r="CW180" t="s">
        <v>57</v>
      </c>
      <c r="CX180" t="s">
        <v>57</v>
      </c>
      <c r="CY180" t="s">
        <v>57</v>
      </c>
      <c r="CZ180" t="s">
        <v>57</v>
      </c>
      <c r="DA180" t="s">
        <v>57</v>
      </c>
      <c r="DB180" t="s">
        <v>57</v>
      </c>
      <c r="DC180" t="s">
        <v>57</v>
      </c>
      <c r="DD180" t="s">
        <v>57</v>
      </c>
      <c r="DE180" t="s">
        <v>57</v>
      </c>
      <c r="DF180" t="s">
        <v>57</v>
      </c>
      <c r="DG180" t="s">
        <v>57</v>
      </c>
      <c r="DH180" t="s">
        <v>57</v>
      </c>
      <c r="DI180" t="s">
        <v>57</v>
      </c>
      <c r="DJ180" t="s">
        <v>57</v>
      </c>
      <c r="DK180" t="s">
        <v>175</v>
      </c>
      <c r="DL180" t="s">
        <v>57</v>
      </c>
      <c r="DM180" t="s">
        <v>57</v>
      </c>
      <c r="DN180" t="s">
        <v>57</v>
      </c>
      <c r="DO180" t="s">
        <v>57</v>
      </c>
      <c r="DP180" t="s">
        <v>57</v>
      </c>
      <c r="DQ180" t="s">
        <v>57</v>
      </c>
      <c r="DR180" t="s">
        <v>57</v>
      </c>
      <c r="DS180" t="s">
        <v>57</v>
      </c>
      <c r="DT180" t="s">
        <v>57</v>
      </c>
      <c r="DU180" t="s">
        <v>57</v>
      </c>
      <c r="DV180" t="s">
        <v>57</v>
      </c>
      <c r="DW180" t="s">
        <v>57</v>
      </c>
      <c r="DX180" t="s">
        <v>57</v>
      </c>
      <c r="DY180" t="s">
        <v>57</v>
      </c>
      <c r="DZ180" t="s">
        <v>57</v>
      </c>
      <c r="EA180" t="s">
        <v>57</v>
      </c>
      <c r="EB180" t="s">
        <v>57</v>
      </c>
      <c r="EC180" t="s">
        <v>57</v>
      </c>
      <c r="ED180" t="s">
        <v>57</v>
      </c>
      <c r="EE180" t="s">
        <v>57</v>
      </c>
      <c r="EF180" t="s">
        <v>57</v>
      </c>
      <c r="EG180" t="s">
        <v>57</v>
      </c>
      <c r="EH180" t="s">
        <v>57</v>
      </c>
      <c r="EI180" t="s">
        <v>57</v>
      </c>
      <c r="EJ180" t="s">
        <v>57</v>
      </c>
      <c r="EK180" t="s">
        <v>57</v>
      </c>
      <c r="EL180" t="s">
        <v>57</v>
      </c>
      <c r="EM180" t="s">
        <v>57</v>
      </c>
      <c r="EN180" t="s">
        <v>57</v>
      </c>
      <c r="EO180" t="s">
        <v>57</v>
      </c>
      <c r="EP180" t="s">
        <v>57</v>
      </c>
      <c r="EQ180" t="s">
        <v>57</v>
      </c>
      <c r="ER180" t="s">
        <v>57</v>
      </c>
      <c r="ES180" t="s">
        <v>57</v>
      </c>
      <c r="ET180" t="s">
        <v>57</v>
      </c>
      <c r="EU180" t="s">
        <v>57</v>
      </c>
      <c r="EV180" t="s">
        <v>57</v>
      </c>
      <c r="EW180" t="s">
        <v>57</v>
      </c>
      <c r="EX180" t="s">
        <v>57</v>
      </c>
      <c r="EY180" t="s">
        <v>57</v>
      </c>
      <c r="EZ180" t="s">
        <v>57</v>
      </c>
      <c r="FA180" t="s">
        <v>57</v>
      </c>
      <c r="FB180" t="s">
        <v>57</v>
      </c>
      <c r="FC180" t="s">
        <v>57</v>
      </c>
      <c r="FD180" t="s">
        <v>57</v>
      </c>
      <c r="FE180" t="s">
        <v>57</v>
      </c>
      <c r="FF180" t="s">
        <v>57</v>
      </c>
      <c r="FG180" t="s">
        <v>57</v>
      </c>
      <c r="FH180" t="s">
        <v>57</v>
      </c>
      <c r="FI180" t="s">
        <v>57</v>
      </c>
      <c r="FJ180" t="s">
        <v>57</v>
      </c>
      <c r="FK180" t="s">
        <v>175</v>
      </c>
      <c r="FL180" t="s">
        <v>57</v>
      </c>
      <c r="FM180" t="s">
        <v>57</v>
      </c>
      <c r="FN180" t="s">
        <v>57</v>
      </c>
      <c r="FO180" t="s">
        <v>175</v>
      </c>
      <c r="FP180" t="s">
        <v>57</v>
      </c>
      <c r="FQ180" t="s">
        <v>57</v>
      </c>
      <c r="FR180" t="s">
        <v>57</v>
      </c>
      <c r="FS180" t="s">
        <v>57</v>
      </c>
      <c r="FT180" t="s">
        <v>57</v>
      </c>
      <c r="FU180" t="s">
        <v>57</v>
      </c>
      <c r="FV180" t="s">
        <v>57</v>
      </c>
      <c r="FW180" t="s">
        <v>57</v>
      </c>
      <c r="FX180" t="s">
        <v>57</v>
      </c>
      <c r="FY180" t="s">
        <v>57</v>
      </c>
      <c r="FZ180" t="s">
        <v>57</v>
      </c>
      <c r="GA180" t="s">
        <v>57</v>
      </c>
      <c r="GB180" t="s">
        <v>57</v>
      </c>
      <c r="GC180" t="s">
        <v>57</v>
      </c>
      <c r="GD180" t="s">
        <v>57</v>
      </c>
      <c r="GE180" t="s">
        <v>57</v>
      </c>
      <c r="GF180" t="s">
        <v>57</v>
      </c>
      <c r="GG180" t="s">
        <v>175</v>
      </c>
      <c r="GH180" t="s">
        <v>57</v>
      </c>
      <c r="GI180" t="s">
        <v>57</v>
      </c>
      <c r="GJ180" t="s">
        <v>57</v>
      </c>
      <c r="GK180" t="s">
        <v>57</v>
      </c>
      <c r="GL180" t="s">
        <v>57</v>
      </c>
      <c r="GM180" t="s">
        <v>175</v>
      </c>
      <c r="GN180" t="s">
        <v>57</v>
      </c>
      <c r="GO180" t="s">
        <v>57</v>
      </c>
      <c r="GP180" t="s">
        <v>175</v>
      </c>
      <c r="GQ180" t="s">
        <v>175</v>
      </c>
      <c r="GR180" t="s">
        <v>57</v>
      </c>
      <c r="GS180" t="s">
        <v>57</v>
      </c>
      <c r="GT180" t="s">
        <v>57</v>
      </c>
      <c r="GU180" t="s">
        <v>57</v>
      </c>
      <c r="GV180" t="s">
        <v>175</v>
      </c>
      <c r="GW180" t="s">
        <v>57</v>
      </c>
      <c r="GX180" t="s">
        <v>57</v>
      </c>
      <c r="GY180" t="s">
        <v>57</v>
      </c>
      <c r="GZ180" t="s">
        <v>57</v>
      </c>
      <c r="HA180" t="s">
        <v>57</v>
      </c>
      <c r="HB180" t="s">
        <v>57</v>
      </c>
      <c r="HC180" t="s">
        <v>57</v>
      </c>
      <c r="HD180" t="s">
        <v>57</v>
      </c>
      <c r="HE180" t="s">
        <v>57</v>
      </c>
      <c r="HF180" t="s">
        <v>57</v>
      </c>
      <c r="HG180" t="s">
        <v>57</v>
      </c>
      <c r="HH180" t="s">
        <v>57</v>
      </c>
      <c r="HI180" t="s">
        <v>57</v>
      </c>
      <c r="HJ180" t="s">
        <v>57</v>
      </c>
      <c r="HK180" t="s">
        <v>57</v>
      </c>
      <c r="HL180" t="s">
        <v>57</v>
      </c>
      <c r="HM180" t="s">
        <v>57</v>
      </c>
      <c r="HN180" t="s">
        <v>57</v>
      </c>
      <c r="HO180" t="s">
        <v>57</v>
      </c>
      <c r="HP180" t="s">
        <v>57</v>
      </c>
      <c r="HQ180" t="s">
        <v>57</v>
      </c>
      <c r="HR180" t="s">
        <v>57</v>
      </c>
      <c r="HS180" t="s">
        <v>57</v>
      </c>
      <c r="HT180" t="s">
        <v>57</v>
      </c>
      <c r="HU180" t="s">
        <v>57</v>
      </c>
      <c r="HV180" t="s">
        <v>57</v>
      </c>
      <c r="HW180" t="s">
        <v>57</v>
      </c>
      <c r="HX180" t="s">
        <v>57</v>
      </c>
      <c r="HY180" t="s">
        <v>57</v>
      </c>
      <c r="HZ180" t="s">
        <v>57</v>
      </c>
      <c r="IA180" t="s">
        <v>57</v>
      </c>
      <c r="IB180" t="s">
        <v>57</v>
      </c>
      <c r="IC180" t="s">
        <v>57</v>
      </c>
      <c r="ID180" t="s">
        <v>57</v>
      </c>
      <c r="IE180" t="s">
        <v>57</v>
      </c>
      <c r="IF180" t="s">
        <v>124</v>
      </c>
      <c r="IG180" t="s">
        <v>148</v>
      </c>
      <c r="IH180" t="s">
        <v>123</v>
      </c>
      <c r="II180" t="s">
        <v>156</v>
      </c>
    </row>
    <row r="181" spans="1:243" x14ac:dyDescent="0.25">
      <c r="A181" s="201" t="str">
        <f>HYPERLINK("http://www.ofsted.gov.uk/inspection-reports/find-inspection-report/provider/ELS/136015 ","Ofsted School Webpage")</f>
        <v>Ofsted School Webpage</v>
      </c>
      <c r="B181">
        <v>136015</v>
      </c>
      <c r="C181">
        <v>2046073</v>
      </c>
      <c r="D181" t="s">
        <v>1280</v>
      </c>
      <c r="E181" t="s">
        <v>36</v>
      </c>
      <c r="F181" t="s">
        <v>166</v>
      </c>
      <c r="G181" t="s">
        <v>189</v>
      </c>
      <c r="H181" t="s">
        <v>189</v>
      </c>
      <c r="I181" t="s">
        <v>434</v>
      </c>
      <c r="J181" t="s">
        <v>1281</v>
      </c>
      <c r="K181" t="s">
        <v>776</v>
      </c>
      <c r="L181" t="s">
        <v>275</v>
      </c>
      <c r="M181" t="s">
        <v>2596</v>
      </c>
      <c r="N181" t="s">
        <v>143</v>
      </c>
      <c r="O181">
        <v>10035806</v>
      </c>
      <c r="P181" s="108">
        <v>43109</v>
      </c>
      <c r="Q181" s="108">
        <v>43111</v>
      </c>
      <c r="R181" s="108">
        <v>43153</v>
      </c>
      <c r="S181" t="s">
        <v>153</v>
      </c>
      <c r="T181" t="s">
        <v>154</v>
      </c>
      <c r="U181">
        <v>4</v>
      </c>
      <c r="V181">
        <v>4</v>
      </c>
      <c r="W181">
        <v>3</v>
      </c>
      <c r="X181">
        <v>3</v>
      </c>
      <c r="Y181">
        <v>3</v>
      </c>
      <c r="Z181">
        <v>3</v>
      </c>
      <c r="AA181" t="s">
        <v>2596</v>
      </c>
      <c r="AB181" t="s">
        <v>123</v>
      </c>
      <c r="AC181" t="s">
        <v>2596</v>
      </c>
      <c r="AD181" t="s">
        <v>2599</v>
      </c>
      <c r="AE181" t="s">
        <v>57</v>
      </c>
      <c r="AF181" t="s">
        <v>58</v>
      </c>
      <c r="AG181" t="s">
        <v>57</v>
      </c>
      <c r="AH181" t="s">
        <v>57</v>
      </c>
      <c r="AI181" t="s">
        <v>57</v>
      </c>
      <c r="AJ181" t="s">
        <v>57</v>
      </c>
      <c r="AK181" t="s">
        <v>57</v>
      </c>
      <c r="AL181" t="s">
        <v>58</v>
      </c>
      <c r="AM181" t="s">
        <v>57</v>
      </c>
      <c r="AN181" t="s">
        <v>57</v>
      </c>
      <c r="AO181" t="s">
        <v>57</v>
      </c>
      <c r="AP181" t="s">
        <v>57</v>
      </c>
      <c r="AQ181" t="s">
        <v>57</v>
      </c>
      <c r="AR181" t="s">
        <v>58</v>
      </c>
      <c r="AS181" t="s">
        <v>57</v>
      </c>
      <c r="AT181" t="s">
        <v>57</v>
      </c>
      <c r="AU181" t="s">
        <v>57</v>
      </c>
      <c r="AV181" t="s">
        <v>58</v>
      </c>
      <c r="AW181" t="s">
        <v>57</v>
      </c>
      <c r="AX181" t="s">
        <v>58</v>
      </c>
      <c r="AY181" t="s">
        <v>57</v>
      </c>
      <c r="AZ181" t="s">
        <v>57</v>
      </c>
      <c r="BA181" t="s">
        <v>57</v>
      </c>
      <c r="BB181" t="s">
        <v>57</v>
      </c>
      <c r="BC181" t="s">
        <v>57</v>
      </c>
      <c r="BD181" t="s">
        <v>175</v>
      </c>
      <c r="BE181" t="s">
        <v>57</v>
      </c>
      <c r="BF181" t="s">
        <v>57</v>
      </c>
      <c r="BG181" t="s">
        <v>57</v>
      </c>
      <c r="BH181" t="s">
        <v>57</v>
      </c>
      <c r="BI181" t="s">
        <v>57</v>
      </c>
      <c r="BJ181" t="s">
        <v>57</v>
      </c>
      <c r="BK181" t="s">
        <v>57</v>
      </c>
      <c r="BL181" t="s">
        <v>57</v>
      </c>
      <c r="BM181" t="s">
        <v>57</v>
      </c>
      <c r="BN181" t="s">
        <v>57</v>
      </c>
      <c r="BO181" t="s">
        <v>57</v>
      </c>
      <c r="BP181" t="s">
        <v>57</v>
      </c>
      <c r="BQ181" t="s">
        <v>57</v>
      </c>
      <c r="BR181" t="s">
        <v>57</v>
      </c>
      <c r="BS181" t="s">
        <v>58</v>
      </c>
      <c r="BT181" t="s">
        <v>57</v>
      </c>
      <c r="BU181" t="s">
        <v>58</v>
      </c>
      <c r="BV181" t="s">
        <v>57</v>
      </c>
      <c r="BW181" t="s">
        <v>57</v>
      </c>
      <c r="BX181" t="s">
        <v>57</v>
      </c>
      <c r="BY181" t="s">
        <v>57</v>
      </c>
      <c r="BZ181" t="s">
        <v>57</v>
      </c>
      <c r="CA181" t="s">
        <v>58</v>
      </c>
      <c r="CB181" t="s">
        <v>57</v>
      </c>
      <c r="CC181" t="s">
        <v>57</v>
      </c>
      <c r="CD181" t="s">
        <v>57</v>
      </c>
      <c r="CE181" t="s">
        <v>57</v>
      </c>
      <c r="CF181" t="s">
        <v>57</v>
      </c>
      <c r="CG181" t="s">
        <v>57</v>
      </c>
      <c r="CH181" t="s">
        <v>57</v>
      </c>
      <c r="CI181" t="s">
        <v>57</v>
      </c>
      <c r="CJ181" t="s">
        <v>57</v>
      </c>
      <c r="CK181" t="s">
        <v>175</v>
      </c>
      <c r="CL181" t="s">
        <v>175</v>
      </c>
      <c r="CM181" t="s">
        <v>175</v>
      </c>
      <c r="CN181" t="s">
        <v>57</v>
      </c>
      <c r="CO181" t="s">
        <v>57</v>
      </c>
      <c r="CP181" t="s">
        <v>57</v>
      </c>
      <c r="CQ181" t="s">
        <v>57</v>
      </c>
      <c r="CR181" t="s">
        <v>57</v>
      </c>
      <c r="CS181" t="s">
        <v>57</v>
      </c>
      <c r="CT181" t="s">
        <v>57</v>
      </c>
      <c r="CU181" t="s">
        <v>57</v>
      </c>
      <c r="CV181" t="s">
        <v>57</v>
      </c>
      <c r="CW181" t="s">
        <v>57</v>
      </c>
      <c r="CX181" t="s">
        <v>57</v>
      </c>
      <c r="CY181" t="s">
        <v>57</v>
      </c>
      <c r="CZ181" t="s">
        <v>57</v>
      </c>
      <c r="DA181" t="s">
        <v>57</v>
      </c>
      <c r="DB181" t="s">
        <v>57</v>
      </c>
      <c r="DC181" t="s">
        <v>57</v>
      </c>
      <c r="DD181" t="s">
        <v>57</v>
      </c>
      <c r="DE181" t="s">
        <v>57</v>
      </c>
      <c r="DF181" t="s">
        <v>57</v>
      </c>
      <c r="DG181" t="s">
        <v>57</v>
      </c>
      <c r="DH181" t="s">
        <v>57</v>
      </c>
      <c r="DI181" t="s">
        <v>57</v>
      </c>
      <c r="DJ181" t="s">
        <v>57</v>
      </c>
      <c r="DK181" t="s">
        <v>175</v>
      </c>
      <c r="DL181" t="s">
        <v>57</v>
      </c>
      <c r="DM181" t="s">
        <v>57</v>
      </c>
      <c r="DN181" t="s">
        <v>57</v>
      </c>
      <c r="DO181" t="s">
        <v>57</v>
      </c>
      <c r="DP181" t="s">
        <v>57</v>
      </c>
      <c r="DQ181" t="s">
        <v>57</v>
      </c>
      <c r="DR181" t="s">
        <v>57</v>
      </c>
      <c r="DS181" t="s">
        <v>57</v>
      </c>
      <c r="DT181" t="s">
        <v>57</v>
      </c>
      <c r="DU181" t="s">
        <v>57</v>
      </c>
      <c r="DV181" t="s">
        <v>57</v>
      </c>
      <c r="DW181" t="s">
        <v>57</v>
      </c>
      <c r="DX181" t="s">
        <v>57</v>
      </c>
      <c r="DY181" t="s">
        <v>57</v>
      </c>
      <c r="DZ181" t="s">
        <v>57</v>
      </c>
      <c r="EA181" t="s">
        <v>57</v>
      </c>
      <c r="EB181" t="s">
        <v>57</v>
      </c>
      <c r="EC181" t="s">
        <v>57</v>
      </c>
      <c r="ED181" t="s">
        <v>57</v>
      </c>
      <c r="EE181" t="s">
        <v>57</v>
      </c>
      <c r="EF181" t="s">
        <v>57</v>
      </c>
      <c r="EG181" t="s">
        <v>57</v>
      </c>
      <c r="EH181" t="s">
        <v>57</v>
      </c>
      <c r="EI181" t="s">
        <v>57</v>
      </c>
      <c r="EJ181" t="s">
        <v>57</v>
      </c>
      <c r="EK181" t="s">
        <v>57</v>
      </c>
      <c r="EL181" t="s">
        <v>57</v>
      </c>
      <c r="EM181" t="s">
        <v>57</v>
      </c>
      <c r="EN181" t="s">
        <v>57</v>
      </c>
      <c r="EO181" t="s">
        <v>57</v>
      </c>
      <c r="EP181" t="s">
        <v>57</v>
      </c>
      <c r="EQ181" t="s">
        <v>57</v>
      </c>
      <c r="ER181" t="s">
        <v>57</v>
      </c>
      <c r="ES181" t="s">
        <v>57</v>
      </c>
      <c r="ET181" t="s">
        <v>57</v>
      </c>
      <c r="EU181" t="s">
        <v>57</v>
      </c>
      <c r="EV181" t="s">
        <v>57</v>
      </c>
      <c r="EW181" t="s">
        <v>57</v>
      </c>
      <c r="EX181" t="s">
        <v>57</v>
      </c>
      <c r="EY181" t="s">
        <v>57</v>
      </c>
      <c r="EZ181" t="s">
        <v>57</v>
      </c>
      <c r="FA181" t="s">
        <v>57</v>
      </c>
      <c r="FB181" t="s">
        <v>57</v>
      </c>
      <c r="FC181" t="s">
        <v>57</v>
      </c>
      <c r="FD181" t="s">
        <v>57</v>
      </c>
      <c r="FE181" t="s">
        <v>57</v>
      </c>
      <c r="FF181" t="s">
        <v>57</v>
      </c>
      <c r="FG181" t="s">
        <v>57</v>
      </c>
      <c r="FH181" t="s">
        <v>57</v>
      </c>
      <c r="FI181" t="s">
        <v>57</v>
      </c>
      <c r="FJ181" t="s">
        <v>57</v>
      </c>
      <c r="FK181" t="s">
        <v>57</v>
      </c>
      <c r="FL181" t="s">
        <v>57</v>
      </c>
      <c r="FM181" t="s">
        <v>57</v>
      </c>
      <c r="FN181" t="s">
        <v>57</v>
      </c>
      <c r="FO181" t="s">
        <v>175</v>
      </c>
      <c r="FP181" t="s">
        <v>57</v>
      </c>
      <c r="FQ181" t="s">
        <v>57</v>
      </c>
      <c r="FR181" t="s">
        <v>57</v>
      </c>
      <c r="FS181" t="s">
        <v>57</v>
      </c>
      <c r="FT181" t="s">
        <v>57</v>
      </c>
      <c r="FU181" t="s">
        <v>57</v>
      </c>
      <c r="FV181" t="s">
        <v>57</v>
      </c>
      <c r="FW181" t="s">
        <v>57</v>
      </c>
      <c r="FX181" t="s">
        <v>57</v>
      </c>
      <c r="FY181" t="s">
        <v>57</v>
      </c>
      <c r="FZ181" t="s">
        <v>57</v>
      </c>
      <c r="GA181" t="s">
        <v>57</v>
      </c>
      <c r="GB181" t="s">
        <v>57</v>
      </c>
      <c r="GC181" t="s">
        <v>57</v>
      </c>
      <c r="GD181" t="s">
        <v>57</v>
      </c>
      <c r="GE181" t="s">
        <v>57</v>
      </c>
      <c r="GF181" t="s">
        <v>57</v>
      </c>
      <c r="GG181" t="s">
        <v>175</v>
      </c>
      <c r="GH181" t="s">
        <v>57</v>
      </c>
      <c r="GI181" t="s">
        <v>57</v>
      </c>
      <c r="GJ181" t="s">
        <v>57</v>
      </c>
      <c r="GK181" t="s">
        <v>57</v>
      </c>
      <c r="GL181" t="s">
        <v>57</v>
      </c>
      <c r="GM181" t="s">
        <v>175</v>
      </c>
      <c r="GN181" t="s">
        <v>57</v>
      </c>
      <c r="GO181" t="s">
        <v>57</v>
      </c>
      <c r="GP181" t="s">
        <v>175</v>
      </c>
      <c r="GQ181" t="s">
        <v>175</v>
      </c>
      <c r="GR181" t="s">
        <v>57</v>
      </c>
      <c r="GS181" t="s">
        <v>57</v>
      </c>
      <c r="GT181" t="s">
        <v>57</v>
      </c>
      <c r="GU181" t="s">
        <v>57</v>
      </c>
      <c r="GV181" t="s">
        <v>175</v>
      </c>
      <c r="GW181" t="s">
        <v>57</v>
      </c>
      <c r="GX181" t="s">
        <v>57</v>
      </c>
      <c r="GY181" t="s">
        <v>57</v>
      </c>
      <c r="GZ181" t="s">
        <v>57</v>
      </c>
      <c r="HA181" t="s">
        <v>57</v>
      </c>
      <c r="HB181" t="s">
        <v>57</v>
      </c>
      <c r="HC181" t="s">
        <v>57</v>
      </c>
      <c r="HD181" t="s">
        <v>57</v>
      </c>
      <c r="HE181" t="s">
        <v>57</v>
      </c>
      <c r="HF181" t="s">
        <v>57</v>
      </c>
      <c r="HG181" t="s">
        <v>57</v>
      </c>
      <c r="HH181" t="s">
        <v>175</v>
      </c>
      <c r="HI181" t="s">
        <v>175</v>
      </c>
      <c r="HJ181" t="s">
        <v>175</v>
      </c>
      <c r="HK181" t="s">
        <v>175</v>
      </c>
      <c r="HL181" t="s">
        <v>57</v>
      </c>
      <c r="HM181" t="s">
        <v>57</v>
      </c>
      <c r="HN181" t="s">
        <v>57</v>
      </c>
      <c r="HO181" t="s">
        <v>57</v>
      </c>
      <c r="HP181" t="s">
        <v>57</v>
      </c>
      <c r="HQ181" t="s">
        <v>57</v>
      </c>
      <c r="HR181" t="s">
        <v>57</v>
      </c>
      <c r="HS181" t="s">
        <v>57</v>
      </c>
      <c r="HT181" t="s">
        <v>57</v>
      </c>
      <c r="HU181" t="s">
        <v>57</v>
      </c>
      <c r="HV181" t="s">
        <v>57</v>
      </c>
      <c r="HW181" t="s">
        <v>57</v>
      </c>
      <c r="HX181" t="s">
        <v>57</v>
      </c>
      <c r="HY181" t="s">
        <v>57</v>
      </c>
      <c r="HZ181" t="s">
        <v>57</v>
      </c>
      <c r="IA181" t="s">
        <v>57</v>
      </c>
      <c r="IB181" t="s">
        <v>58</v>
      </c>
      <c r="IC181" t="s">
        <v>58</v>
      </c>
      <c r="ID181" t="s">
        <v>58</v>
      </c>
      <c r="IE181" t="s">
        <v>57</v>
      </c>
      <c r="IF181" t="s">
        <v>124</v>
      </c>
      <c r="IG181" t="s">
        <v>148</v>
      </c>
      <c r="IH181" t="s">
        <v>123</v>
      </c>
      <c r="II181" t="s">
        <v>156</v>
      </c>
    </row>
    <row r="182" spans="1:243" x14ac:dyDescent="0.25">
      <c r="A182" s="201" t="str">
        <f>HYPERLINK("http://www.ofsted.gov.uk/inspection-reports/find-inspection-report/provider/ELS/136050 ","Ofsted School Webpage")</f>
        <v>Ofsted School Webpage</v>
      </c>
      <c r="B182">
        <v>136050</v>
      </c>
      <c r="C182">
        <v>8886112</v>
      </c>
      <c r="D182" t="s">
        <v>297</v>
      </c>
      <c r="E182" t="s">
        <v>37</v>
      </c>
      <c r="F182" t="s">
        <v>138</v>
      </c>
      <c r="G182" t="s">
        <v>162</v>
      </c>
      <c r="H182" t="s">
        <v>162</v>
      </c>
      <c r="I182" t="s">
        <v>163</v>
      </c>
      <c r="J182" t="s">
        <v>298</v>
      </c>
      <c r="K182" t="s">
        <v>142</v>
      </c>
      <c r="L182" t="s">
        <v>142</v>
      </c>
      <c r="M182" t="s">
        <v>2596</v>
      </c>
      <c r="N182" t="s">
        <v>143</v>
      </c>
      <c r="O182">
        <v>10026015</v>
      </c>
      <c r="P182" s="108">
        <v>43011</v>
      </c>
      <c r="Q182" s="108">
        <v>43012</v>
      </c>
      <c r="R182" s="108">
        <v>43031</v>
      </c>
      <c r="S182" t="s">
        <v>153</v>
      </c>
      <c r="T182" t="s">
        <v>154</v>
      </c>
      <c r="U182">
        <v>2</v>
      </c>
      <c r="V182">
        <v>2</v>
      </c>
      <c r="W182">
        <v>1</v>
      </c>
      <c r="X182">
        <v>2</v>
      </c>
      <c r="Y182">
        <v>2</v>
      </c>
      <c r="Z182" t="s">
        <v>2596</v>
      </c>
      <c r="AA182" t="s">
        <v>2596</v>
      </c>
      <c r="AB182" t="s">
        <v>123</v>
      </c>
      <c r="AC182" t="s">
        <v>2596</v>
      </c>
      <c r="AD182" t="s">
        <v>2598</v>
      </c>
      <c r="AE182" t="s">
        <v>57</v>
      </c>
      <c r="AF182" t="s">
        <v>57</v>
      </c>
      <c r="AG182" t="s">
        <v>57</v>
      </c>
      <c r="AH182" t="s">
        <v>57</v>
      </c>
      <c r="AI182" t="s">
        <v>57</v>
      </c>
      <c r="AJ182" t="s">
        <v>57</v>
      </c>
      <c r="AK182" t="s">
        <v>57</v>
      </c>
      <c r="AL182" t="s">
        <v>57</v>
      </c>
      <c r="AM182" t="s">
        <v>57</v>
      </c>
      <c r="AN182" t="s">
        <v>57</v>
      </c>
      <c r="AO182" t="s">
        <v>57</v>
      </c>
      <c r="AP182" t="s">
        <v>57</v>
      </c>
      <c r="AQ182" t="s">
        <v>57</v>
      </c>
      <c r="AR182" t="s">
        <v>57</v>
      </c>
      <c r="AS182" t="s">
        <v>57</v>
      </c>
      <c r="AT182" t="s">
        <v>57</v>
      </c>
      <c r="AU182" t="s">
        <v>148</v>
      </c>
      <c r="AV182" t="s">
        <v>57</v>
      </c>
      <c r="AW182" t="s">
        <v>57</v>
      </c>
      <c r="AX182" t="s">
        <v>57</v>
      </c>
      <c r="AY182" t="s">
        <v>57</v>
      </c>
      <c r="AZ182" t="s">
        <v>57</v>
      </c>
      <c r="BA182" t="s">
        <v>57</v>
      </c>
      <c r="BB182" t="s">
        <v>57</v>
      </c>
      <c r="BC182" t="s">
        <v>148</v>
      </c>
      <c r="BD182" t="s">
        <v>148</v>
      </c>
      <c r="BE182" t="s">
        <v>57</v>
      </c>
      <c r="BF182" t="s">
        <v>57</v>
      </c>
      <c r="BG182" t="s">
        <v>57</v>
      </c>
      <c r="BH182" t="s">
        <v>57</v>
      </c>
      <c r="BI182" t="s">
        <v>57</v>
      </c>
      <c r="BJ182" t="s">
        <v>57</v>
      </c>
      <c r="BK182" t="s">
        <v>57</v>
      </c>
      <c r="BL182" t="s">
        <v>57</v>
      </c>
      <c r="BM182" t="s">
        <v>57</v>
      </c>
      <c r="BN182" t="s">
        <v>57</v>
      </c>
      <c r="BO182" t="s">
        <v>57</v>
      </c>
      <c r="BP182" t="s">
        <v>57</v>
      </c>
      <c r="BQ182" t="s">
        <v>57</v>
      </c>
      <c r="BR182" t="s">
        <v>57</v>
      </c>
      <c r="BS182" t="s">
        <v>57</v>
      </c>
      <c r="BT182" t="s">
        <v>57</v>
      </c>
      <c r="BU182" t="s">
        <v>57</v>
      </c>
      <c r="BV182" t="s">
        <v>57</v>
      </c>
      <c r="BW182" t="s">
        <v>57</v>
      </c>
      <c r="BX182" t="s">
        <v>57</v>
      </c>
      <c r="BY182" t="s">
        <v>57</v>
      </c>
      <c r="BZ182" t="s">
        <v>57</v>
      </c>
      <c r="CA182" t="s">
        <v>57</v>
      </c>
      <c r="CB182" t="s">
        <v>57</v>
      </c>
      <c r="CC182" t="s">
        <v>57</v>
      </c>
      <c r="CD182" t="s">
        <v>57</v>
      </c>
      <c r="CE182" t="s">
        <v>57</v>
      </c>
      <c r="CF182" t="s">
        <v>57</v>
      </c>
      <c r="CG182" t="s">
        <v>57</v>
      </c>
      <c r="CH182" t="s">
        <v>57</v>
      </c>
      <c r="CI182" t="s">
        <v>57</v>
      </c>
      <c r="CJ182" t="s">
        <v>57</v>
      </c>
      <c r="CK182" t="s">
        <v>148</v>
      </c>
      <c r="CL182" t="s">
        <v>148</v>
      </c>
      <c r="CM182" t="s">
        <v>148</v>
      </c>
      <c r="CN182" t="s">
        <v>57</v>
      </c>
      <c r="CO182" t="s">
        <v>57</v>
      </c>
      <c r="CP182" t="s">
        <v>57</v>
      </c>
      <c r="CQ182" t="s">
        <v>57</v>
      </c>
      <c r="CR182" t="s">
        <v>57</v>
      </c>
      <c r="CS182" t="s">
        <v>57</v>
      </c>
      <c r="CT182" t="s">
        <v>57</v>
      </c>
      <c r="CU182" t="s">
        <v>57</v>
      </c>
      <c r="CV182" t="s">
        <v>57</v>
      </c>
      <c r="CW182" t="s">
        <v>57</v>
      </c>
      <c r="CX182" t="s">
        <v>57</v>
      </c>
      <c r="CY182" t="s">
        <v>57</v>
      </c>
      <c r="CZ182" t="s">
        <v>57</v>
      </c>
      <c r="DA182" t="s">
        <v>57</v>
      </c>
      <c r="DB182" t="s">
        <v>57</v>
      </c>
      <c r="DC182" t="s">
        <v>57</v>
      </c>
      <c r="DD182" t="s">
        <v>57</v>
      </c>
      <c r="DE182" t="s">
        <v>57</v>
      </c>
      <c r="DF182" t="s">
        <v>57</v>
      </c>
      <c r="DG182" t="s">
        <v>57</v>
      </c>
      <c r="DH182" t="s">
        <v>57</v>
      </c>
      <c r="DI182" t="s">
        <v>57</v>
      </c>
      <c r="DJ182" t="s">
        <v>57</v>
      </c>
      <c r="DK182" t="s">
        <v>57</v>
      </c>
      <c r="DL182" t="s">
        <v>57</v>
      </c>
      <c r="DM182" t="s">
        <v>57</v>
      </c>
      <c r="DN182" t="s">
        <v>57</v>
      </c>
      <c r="DO182" t="s">
        <v>57</v>
      </c>
      <c r="DP182" t="s">
        <v>57</v>
      </c>
      <c r="DQ182" t="s">
        <v>57</v>
      </c>
      <c r="DR182" t="s">
        <v>57</v>
      </c>
      <c r="DS182" t="s">
        <v>57</v>
      </c>
      <c r="DT182" t="s">
        <v>57</v>
      </c>
      <c r="DU182" t="s">
        <v>57</v>
      </c>
      <c r="DV182" t="s">
        <v>57</v>
      </c>
      <c r="DW182" t="s">
        <v>57</v>
      </c>
      <c r="DX182" t="s">
        <v>57</v>
      </c>
      <c r="DY182" t="s">
        <v>57</v>
      </c>
      <c r="DZ182" t="s">
        <v>57</v>
      </c>
      <c r="EA182" t="s">
        <v>57</v>
      </c>
      <c r="EB182" t="s">
        <v>57</v>
      </c>
      <c r="EC182" t="s">
        <v>57</v>
      </c>
      <c r="ED182" t="s">
        <v>57</v>
      </c>
      <c r="EE182" t="s">
        <v>57</v>
      </c>
      <c r="EF182" t="s">
        <v>57</v>
      </c>
      <c r="EG182" t="s">
        <v>57</v>
      </c>
      <c r="EH182" t="s">
        <v>57</v>
      </c>
      <c r="EI182" t="s">
        <v>57</v>
      </c>
      <c r="EJ182" t="s">
        <v>57</v>
      </c>
      <c r="EK182" t="s">
        <v>57</v>
      </c>
      <c r="EL182" t="s">
        <v>57</v>
      </c>
      <c r="EM182" t="s">
        <v>57</v>
      </c>
      <c r="EN182" t="s">
        <v>57</v>
      </c>
      <c r="EO182" t="s">
        <v>57</v>
      </c>
      <c r="EP182" t="s">
        <v>57</v>
      </c>
      <c r="EQ182" t="s">
        <v>57</v>
      </c>
      <c r="ER182" t="s">
        <v>57</v>
      </c>
      <c r="ES182" t="s">
        <v>57</v>
      </c>
      <c r="ET182" t="s">
        <v>57</v>
      </c>
      <c r="EU182" t="s">
        <v>57</v>
      </c>
      <c r="EV182" t="s">
        <v>57</v>
      </c>
      <c r="EW182" t="s">
        <v>57</v>
      </c>
      <c r="EX182" t="s">
        <v>57</v>
      </c>
      <c r="EY182" t="s">
        <v>57</v>
      </c>
      <c r="EZ182" t="s">
        <v>57</v>
      </c>
      <c r="FA182" t="s">
        <v>57</v>
      </c>
      <c r="FB182" t="s">
        <v>57</v>
      </c>
      <c r="FC182" t="s">
        <v>57</v>
      </c>
      <c r="FD182" t="s">
        <v>57</v>
      </c>
      <c r="FE182" t="s">
        <v>57</v>
      </c>
      <c r="FF182" t="s">
        <v>57</v>
      </c>
      <c r="FG182" t="s">
        <v>57</v>
      </c>
      <c r="FH182" t="s">
        <v>57</v>
      </c>
      <c r="FI182" t="s">
        <v>57</v>
      </c>
      <c r="FJ182" t="s">
        <v>57</v>
      </c>
      <c r="FK182" t="s">
        <v>57</v>
      </c>
      <c r="FL182" t="s">
        <v>57</v>
      </c>
      <c r="FM182" t="s">
        <v>57</v>
      </c>
      <c r="FN182" t="s">
        <v>57</v>
      </c>
      <c r="FO182" t="s">
        <v>57</v>
      </c>
      <c r="FP182" t="s">
        <v>57</v>
      </c>
      <c r="FQ182" t="s">
        <v>57</v>
      </c>
      <c r="FR182" t="s">
        <v>57</v>
      </c>
      <c r="FS182" t="s">
        <v>57</v>
      </c>
      <c r="FT182" t="s">
        <v>57</v>
      </c>
      <c r="FU182" t="s">
        <v>57</v>
      </c>
      <c r="FV182" t="s">
        <v>57</v>
      </c>
      <c r="FW182" t="s">
        <v>57</v>
      </c>
      <c r="FX182" t="s">
        <v>57</v>
      </c>
      <c r="FY182" t="s">
        <v>57</v>
      </c>
      <c r="FZ182" t="s">
        <v>57</v>
      </c>
      <c r="GA182" t="s">
        <v>57</v>
      </c>
      <c r="GB182" t="s">
        <v>57</v>
      </c>
      <c r="GC182" t="s">
        <v>57</v>
      </c>
      <c r="GD182" t="s">
        <v>57</v>
      </c>
      <c r="GE182" t="s">
        <v>57</v>
      </c>
      <c r="GF182" t="s">
        <v>57</v>
      </c>
      <c r="GG182" t="s">
        <v>148</v>
      </c>
      <c r="GH182" t="s">
        <v>57</v>
      </c>
      <c r="GI182" t="s">
        <v>57</v>
      </c>
      <c r="GJ182" t="s">
        <v>57</v>
      </c>
      <c r="GK182" t="s">
        <v>57</v>
      </c>
      <c r="GL182" t="s">
        <v>57</v>
      </c>
      <c r="GM182" t="s">
        <v>57</v>
      </c>
      <c r="GN182" t="s">
        <v>57</v>
      </c>
      <c r="GO182" t="s">
        <v>57</v>
      </c>
      <c r="GP182" t="s">
        <v>57</v>
      </c>
      <c r="GQ182" t="s">
        <v>57</v>
      </c>
      <c r="GR182" t="s">
        <v>57</v>
      </c>
      <c r="GS182" t="s">
        <v>57</v>
      </c>
      <c r="GT182" t="s">
        <v>57</v>
      </c>
      <c r="GU182" t="s">
        <v>57</v>
      </c>
      <c r="GV182" t="s">
        <v>57</v>
      </c>
      <c r="GW182" t="s">
        <v>57</v>
      </c>
      <c r="GX182" t="s">
        <v>57</v>
      </c>
      <c r="GY182" t="s">
        <v>57</v>
      </c>
      <c r="GZ182" t="s">
        <v>57</v>
      </c>
      <c r="HA182" t="s">
        <v>57</v>
      </c>
      <c r="HB182" t="s">
        <v>57</v>
      </c>
      <c r="HC182" t="s">
        <v>57</v>
      </c>
      <c r="HD182" t="s">
        <v>57</v>
      </c>
      <c r="HE182" t="s">
        <v>57</v>
      </c>
      <c r="HF182" t="s">
        <v>57</v>
      </c>
      <c r="HG182" t="s">
        <v>57</v>
      </c>
      <c r="HH182" t="s">
        <v>57</v>
      </c>
      <c r="HI182" t="s">
        <v>57</v>
      </c>
      <c r="HJ182" t="s">
        <v>57</v>
      </c>
      <c r="HK182" t="s">
        <v>57</v>
      </c>
      <c r="HL182" t="s">
        <v>57</v>
      </c>
      <c r="HM182" t="s">
        <v>57</v>
      </c>
      <c r="HN182" t="s">
        <v>57</v>
      </c>
      <c r="HO182" t="s">
        <v>57</v>
      </c>
      <c r="HP182" t="s">
        <v>57</v>
      </c>
      <c r="HQ182" t="s">
        <v>57</v>
      </c>
      <c r="HR182" t="s">
        <v>57</v>
      </c>
      <c r="HS182" t="s">
        <v>57</v>
      </c>
      <c r="HT182" t="s">
        <v>57</v>
      </c>
      <c r="HU182" t="s">
        <v>57</v>
      </c>
      <c r="HV182" t="s">
        <v>57</v>
      </c>
      <c r="HW182" t="s">
        <v>57</v>
      </c>
      <c r="HX182" t="s">
        <v>57</v>
      </c>
      <c r="HY182" t="s">
        <v>57</v>
      </c>
      <c r="HZ182" t="s">
        <v>57</v>
      </c>
      <c r="IA182" t="s">
        <v>57</v>
      </c>
      <c r="IB182" t="s">
        <v>57</v>
      </c>
      <c r="IC182" t="s">
        <v>57</v>
      </c>
      <c r="ID182" t="s">
        <v>57</v>
      </c>
      <c r="IE182" t="s">
        <v>57</v>
      </c>
      <c r="IF182" t="s">
        <v>124</v>
      </c>
      <c r="IG182" t="s">
        <v>155</v>
      </c>
      <c r="IH182" t="s">
        <v>123</v>
      </c>
      <c r="II182" t="s">
        <v>156</v>
      </c>
    </row>
    <row r="183" spans="1:243" x14ac:dyDescent="0.25">
      <c r="A183" s="201" t="str">
        <f>HYPERLINK("http://www.ofsted.gov.uk/inspection-reports/find-inspection-report/provider/ELS/136057 ","Ofsted School Webpage")</f>
        <v>Ofsted School Webpage</v>
      </c>
      <c r="B183">
        <v>136057</v>
      </c>
      <c r="C183">
        <v>2076005</v>
      </c>
      <c r="D183" t="s">
        <v>1544</v>
      </c>
      <c r="E183" t="s">
        <v>36</v>
      </c>
      <c r="F183" t="s">
        <v>166</v>
      </c>
      <c r="G183" t="s">
        <v>189</v>
      </c>
      <c r="H183" t="s">
        <v>189</v>
      </c>
      <c r="I183" t="s">
        <v>251</v>
      </c>
      <c r="J183" t="s">
        <v>1545</v>
      </c>
      <c r="K183" t="s">
        <v>142</v>
      </c>
      <c r="L183" t="s">
        <v>142</v>
      </c>
      <c r="M183" t="s">
        <v>2596</v>
      </c>
      <c r="N183" t="s">
        <v>143</v>
      </c>
      <c r="O183">
        <v>10038172</v>
      </c>
      <c r="P183" s="108">
        <v>43109</v>
      </c>
      <c r="Q183" s="108">
        <v>43111</v>
      </c>
      <c r="R183" s="108">
        <v>43140</v>
      </c>
      <c r="S183" t="s">
        <v>153</v>
      </c>
      <c r="T183" t="s">
        <v>154</v>
      </c>
      <c r="U183">
        <v>1</v>
      </c>
      <c r="V183">
        <v>1</v>
      </c>
      <c r="W183">
        <v>1</v>
      </c>
      <c r="X183">
        <v>1</v>
      </c>
      <c r="Y183">
        <v>1</v>
      </c>
      <c r="Z183">
        <v>1</v>
      </c>
      <c r="AA183" t="s">
        <v>2596</v>
      </c>
      <c r="AB183" t="s">
        <v>123</v>
      </c>
      <c r="AC183" t="s">
        <v>2596</v>
      </c>
      <c r="AD183" t="s">
        <v>2598</v>
      </c>
      <c r="AE183" t="s">
        <v>57</v>
      </c>
      <c r="AF183" t="s">
        <v>57</v>
      </c>
      <c r="AG183" t="s">
        <v>57</v>
      </c>
      <c r="AH183" t="s">
        <v>57</v>
      </c>
      <c r="AI183" t="s">
        <v>57</v>
      </c>
      <c r="AJ183" t="s">
        <v>57</v>
      </c>
      <c r="AK183" t="s">
        <v>57</v>
      </c>
      <c r="AL183" t="s">
        <v>57</v>
      </c>
      <c r="AM183" t="s">
        <v>57</v>
      </c>
      <c r="AN183" t="s">
        <v>57</v>
      </c>
      <c r="AO183" t="s">
        <v>57</v>
      </c>
      <c r="AP183" t="s">
        <v>57</v>
      </c>
      <c r="AQ183" t="s">
        <v>57</v>
      </c>
      <c r="AR183" t="s">
        <v>57</v>
      </c>
      <c r="AS183" t="s">
        <v>57</v>
      </c>
      <c r="AT183" t="s">
        <v>57</v>
      </c>
      <c r="AU183" t="s">
        <v>175</v>
      </c>
      <c r="AV183" t="s">
        <v>57</v>
      </c>
      <c r="AW183" t="s">
        <v>57</v>
      </c>
      <c r="AX183" t="s">
        <v>57</v>
      </c>
      <c r="AY183" t="s">
        <v>175</v>
      </c>
      <c r="AZ183" t="s">
        <v>175</v>
      </c>
      <c r="BA183" t="s">
        <v>175</v>
      </c>
      <c r="BB183" t="s">
        <v>175</v>
      </c>
      <c r="BC183" t="s">
        <v>57</v>
      </c>
      <c r="BD183" t="s">
        <v>175</v>
      </c>
      <c r="BE183" t="s">
        <v>57</v>
      </c>
      <c r="BF183" t="s">
        <v>57</v>
      </c>
      <c r="BG183" t="s">
        <v>57</v>
      </c>
      <c r="BH183" t="s">
        <v>57</v>
      </c>
      <c r="BI183" t="s">
        <v>57</v>
      </c>
      <c r="BJ183" t="s">
        <v>57</v>
      </c>
      <c r="BK183" t="s">
        <v>57</v>
      </c>
      <c r="BL183" t="s">
        <v>57</v>
      </c>
      <c r="BM183" t="s">
        <v>57</v>
      </c>
      <c r="BN183" t="s">
        <v>57</v>
      </c>
      <c r="BO183" t="s">
        <v>57</v>
      </c>
      <c r="BP183" t="s">
        <v>57</v>
      </c>
      <c r="BQ183" t="s">
        <v>57</v>
      </c>
      <c r="BR183" t="s">
        <v>57</v>
      </c>
      <c r="BS183" t="s">
        <v>57</v>
      </c>
      <c r="BT183" t="s">
        <v>57</v>
      </c>
      <c r="BU183" t="s">
        <v>57</v>
      </c>
      <c r="BV183" t="s">
        <v>57</v>
      </c>
      <c r="BW183" t="s">
        <v>57</v>
      </c>
      <c r="BX183" t="s">
        <v>57</v>
      </c>
      <c r="BY183" t="s">
        <v>57</v>
      </c>
      <c r="BZ183" t="s">
        <v>57</v>
      </c>
      <c r="CA183" t="s">
        <v>57</v>
      </c>
      <c r="CB183" t="s">
        <v>57</v>
      </c>
      <c r="CC183" t="s">
        <v>57</v>
      </c>
      <c r="CD183" t="s">
        <v>57</v>
      </c>
      <c r="CE183" t="s">
        <v>57</v>
      </c>
      <c r="CF183" t="s">
        <v>57</v>
      </c>
      <c r="CG183" t="s">
        <v>57</v>
      </c>
      <c r="CH183" t="s">
        <v>57</v>
      </c>
      <c r="CI183" t="s">
        <v>57</v>
      </c>
      <c r="CJ183" t="s">
        <v>57</v>
      </c>
      <c r="CK183" t="s">
        <v>175</v>
      </c>
      <c r="CL183" t="s">
        <v>175</v>
      </c>
      <c r="CM183" t="s">
        <v>175</v>
      </c>
      <c r="CN183" t="s">
        <v>57</v>
      </c>
      <c r="CO183" t="s">
        <v>57</v>
      </c>
      <c r="CP183" t="s">
        <v>57</v>
      </c>
      <c r="CQ183" t="s">
        <v>57</v>
      </c>
      <c r="CR183" t="s">
        <v>57</v>
      </c>
      <c r="CS183" t="s">
        <v>57</v>
      </c>
      <c r="CT183" t="s">
        <v>57</v>
      </c>
      <c r="CU183" t="s">
        <v>57</v>
      </c>
      <c r="CV183" t="s">
        <v>57</v>
      </c>
      <c r="CW183" t="s">
        <v>57</v>
      </c>
      <c r="CX183" t="s">
        <v>57</v>
      </c>
      <c r="CY183" t="s">
        <v>57</v>
      </c>
      <c r="CZ183" t="s">
        <v>57</v>
      </c>
      <c r="DA183" t="s">
        <v>57</v>
      </c>
      <c r="DB183" t="s">
        <v>57</v>
      </c>
      <c r="DC183" t="s">
        <v>57</v>
      </c>
      <c r="DD183" t="s">
        <v>57</v>
      </c>
      <c r="DE183" t="s">
        <v>57</v>
      </c>
      <c r="DF183" t="s">
        <v>57</v>
      </c>
      <c r="DG183" t="s">
        <v>57</v>
      </c>
      <c r="DH183" t="s">
        <v>57</v>
      </c>
      <c r="DI183" t="s">
        <v>57</v>
      </c>
      <c r="DJ183" t="s">
        <v>57</v>
      </c>
      <c r="DK183" t="s">
        <v>175</v>
      </c>
      <c r="DL183" t="s">
        <v>57</v>
      </c>
      <c r="DM183" t="s">
        <v>57</v>
      </c>
      <c r="DN183" t="s">
        <v>57</v>
      </c>
      <c r="DO183" t="s">
        <v>57</v>
      </c>
      <c r="DP183" t="s">
        <v>57</v>
      </c>
      <c r="DQ183" t="s">
        <v>57</v>
      </c>
      <c r="DR183" t="s">
        <v>57</v>
      </c>
      <c r="DS183" t="s">
        <v>57</v>
      </c>
      <c r="DT183" t="s">
        <v>57</v>
      </c>
      <c r="DU183" t="s">
        <v>57</v>
      </c>
      <c r="DV183" t="s">
        <v>57</v>
      </c>
      <c r="DW183" t="s">
        <v>57</v>
      </c>
      <c r="DX183" t="s">
        <v>57</v>
      </c>
      <c r="DY183" t="s">
        <v>175</v>
      </c>
      <c r="DZ183" t="s">
        <v>57</v>
      </c>
      <c r="EA183" t="s">
        <v>57</v>
      </c>
      <c r="EB183" t="s">
        <v>57</v>
      </c>
      <c r="EC183" t="s">
        <v>57</v>
      </c>
      <c r="ED183" t="s">
        <v>57</v>
      </c>
      <c r="EE183" t="s">
        <v>57</v>
      </c>
      <c r="EF183" t="s">
        <v>57</v>
      </c>
      <c r="EG183" t="s">
        <v>57</v>
      </c>
      <c r="EH183" t="s">
        <v>175</v>
      </c>
      <c r="EI183" t="s">
        <v>57</v>
      </c>
      <c r="EJ183" t="s">
        <v>57</v>
      </c>
      <c r="EK183" t="s">
        <v>57</v>
      </c>
      <c r="EL183" t="s">
        <v>57</v>
      </c>
      <c r="EM183" t="s">
        <v>57</v>
      </c>
      <c r="EN183" t="s">
        <v>57</v>
      </c>
      <c r="EO183" t="s">
        <v>57</v>
      </c>
      <c r="EP183" t="s">
        <v>57</v>
      </c>
      <c r="EQ183" t="s">
        <v>57</v>
      </c>
      <c r="ER183" t="s">
        <v>57</v>
      </c>
      <c r="ES183" t="s">
        <v>57</v>
      </c>
      <c r="ET183" t="s">
        <v>57</v>
      </c>
      <c r="EU183" t="s">
        <v>57</v>
      </c>
      <c r="EV183" t="s">
        <v>57</v>
      </c>
      <c r="EW183" t="s">
        <v>175</v>
      </c>
      <c r="EX183" t="s">
        <v>57</v>
      </c>
      <c r="EY183" t="s">
        <v>57</v>
      </c>
      <c r="EZ183" t="s">
        <v>57</v>
      </c>
      <c r="FA183" t="s">
        <v>57</v>
      </c>
      <c r="FB183" t="s">
        <v>57</v>
      </c>
      <c r="FC183" t="s">
        <v>57</v>
      </c>
      <c r="FD183" t="s">
        <v>57</v>
      </c>
      <c r="FE183" t="s">
        <v>57</v>
      </c>
      <c r="FF183" t="s">
        <v>57</v>
      </c>
      <c r="FG183" t="s">
        <v>57</v>
      </c>
      <c r="FH183" t="s">
        <v>57</v>
      </c>
      <c r="FI183" t="s">
        <v>57</v>
      </c>
      <c r="FJ183" t="s">
        <v>57</v>
      </c>
      <c r="FK183" t="s">
        <v>175</v>
      </c>
      <c r="FL183" t="s">
        <v>57</v>
      </c>
      <c r="FM183" t="s">
        <v>57</v>
      </c>
      <c r="FN183" t="s">
        <v>57</v>
      </c>
      <c r="FO183" t="s">
        <v>175</v>
      </c>
      <c r="FP183" t="s">
        <v>57</v>
      </c>
      <c r="FQ183" t="s">
        <v>57</v>
      </c>
      <c r="FR183" t="s">
        <v>57</v>
      </c>
      <c r="FS183" t="s">
        <v>57</v>
      </c>
      <c r="FT183" t="s">
        <v>57</v>
      </c>
      <c r="FU183" t="s">
        <v>57</v>
      </c>
      <c r="FV183" t="s">
        <v>57</v>
      </c>
      <c r="FW183" t="s">
        <v>57</v>
      </c>
      <c r="FX183" t="s">
        <v>57</v>
      </c>
      <c r="FY183" t="s">
        <v>57</v>
      </c>
      <c r="FZ183" t="s">
        <v>57</v>
      </c>
      <c r="GA183" t="s">
        <v>57</v>
      </c>
      <c r="GB183" t="s">
        <v>57</v>
      </c>
      <c r="GC183" t="s">
        <v>57</v>
      </c>
      <c r="GD183" t="s">
        <v>57</v>
      </c>
      <c r="GE183" t="s">
        <v>57</v>
      </c>
      <c r="GF183" t="s">
        <v>57</v>
      </c>
      <c r="GG183" t="s">
        <v>175</v>
      </c>
      <c r="GH183" t="s">
        <v>57</v>
      </c>
      <c r="GI183" t="s">
        <v>57</v>
      </c>
      <c r="GJ183" t="s">
        <v>57</v>
      </c>
      <c r="GK183" t="s">
        <v>57</v>
      </c>
      <c r="GL183" t="s">
        <v>57</v>
      </c>
      <c r="GM183" t="s">
        <v>175</v>
      </c>
      <c r="GN183" t="s">
        <v>57</v>
      </c>
      <c r="GO183" t="s">
        <v>57</v>
      </c>
      <c r="GP183" t="s">
        <v>175</v>
      </c>
      <c r="GQ183" t="s">
        <v>57</v>
      </c>
      <c r="GR183" t="s">
        <v>57</v>
      </c>
      <c r="GS183" t="s">
        <v>57</v>
      </c>
      <c r="GT183" t="s">
        <v>57</v>
      </c>
      <c r="GU183" t="s">
        <v>57</v>
      </c>
      <c r="GV183" t="s">
        <v>175</v>
      </c>
      <c r="GW183" t="s">
        <v>57</v>
      </c>
      <c r="GX183" t="s">
        <v>57</v>
      </c>
      <c r="GY183" t="s">
        <v>57</v>
      </c>
      <c r="GZ183" t="s">
        <v>57</v>
      </c>
      <c r="HA183" t="s">
        <v>57</v>
      </c>
      <c r="HB183" t="s">
        <v>57</v>
      </c>
      <c r="HC183" t="s">
        <v>57</v>
      </c>
      <c r="HD183" t="s">
        <v>57</v>
      </c>
      <c r="HE183" t="s">
        <v>57</v>
      </c>
      <c r="HF183" t="s">
        <v>57</v>
      </c>
      <c r="HG183" t="s">
        <v>57</v>
      </c>
      <c r="HH183" t="s">
        <v>57</v>
      </c>
      <c r="HI183" t="s">
        <v>175</v>
      </c>
      <c r="HJ183" t="s">
        <v>175</v>
      </c>
      <c r="HK183" t="s">
        <v>175</v>
      </c>
      <c r="HL183" t="s">
        <v>57</v>
      </c>
      <c r="HM183" t="s">
        <v>57</v>
      </c>
      <c r="HN183" t="s">
        <v>57</v>
      </c>
      <c r="HO183" t="s">
        <v>57</v>
      </c>
      <c r="HP183" t="s">
        <v>57</v>
      </c>
      <c r="HQ183" t="s">
        <v>57</v>
      </c>
      <c r="HR183" t="s">
        <v>57</v>
      </c>
      <c r="HS183" t="s">
        <v>57</v>
      </c>
      <c r="HT183" t="s">
        <v>57</v>
      </c>
      <c r="HU183" t="s">
        <v>57</v>
      </c>
      <c r="HV183" t="s">
        <v>57</v>
      </c>
      <c r="HW183" t="s">
        <v>57</v>
      </c>
      <c r="HX183" t="s">
        <v>57</v>
      </c>
      <c r="HY183" t="s">
        <v>57</v>
      </c>
      <c r="HZ183" t="s">
        <v>57</v>
      </c>
      <c r="IA183" t="s">
        <v>57</v>
      </c>
      <c r="IB183" t="s">
        <v>57</v>
      </c>
      <c r="IC183" t="s">
        <v>57</v>
      </c>
      <c r="ID183" t="s">
        <v>57</v>
      </c>
      <c r="IE183" t="s">
        <v>57</v>
      </c>
      <c r="IF183" t="s">
        <v>124</v>
      </c>
      <c r="IG183" t="s">
        <v>148</v>
      </c>
      <c r="IH183" t="s">
        <v>123</v>
      </c>
      <c r="II183" t="s">
        <v>156</v>
      </c>
    </row>
    <row r="184" spans="1:243" x14ac:dyDescent="0.25">
      <c r="A184" s="201" t="str">
        <f>HYPERLINK("http://www.ofsted.gov.uk/inspection-reports/find-inspection-report/provider/ELS/136069 ","Ofsted School Webpage")</f>
        <v>Ofsted School Webpage</v>
      </c>
      <c r="B184">
        <v>136069</v>
      </c>
      <c r="C184">
        <v>8886056</v>
      </c>
      <c r="D184" t="s">
        <v>348</v>
      </c>
      <c r="E184" t="s">
        <v>37</v>
      </c>
      <c r="F184" t="s">
        <v>138</v>
      </c>
      <c r="G184" t="s">
        <v>162</v>
      </c>
      <c r="H184" t="s">
        <v>162</v>
      </c>
      <c r="I184" t="s">
        <v>163</v>
      </c>
      <c r="J184" t="s">
        <v>349</v>
      </c>
      <c r="K184" t="s">
        <v>142</v>
      </c>
      <c r="L184" t="s">
        <v>142</v>
      </c>
      <c r="M184" t="s">
        <v>2596</v>
      </c>
      <c r="N184" t="s">
        <v>143</v>
      </c>
      <c r="O184">
        <v>10038930</v>
      </c>
      <c r="P184" s="108">
        <v>42990</v>
      </c>
      <c r="Q184" s="108">
        <v>42992</v>
      </c>
      <c r="R184" s="108">
        <v>43014</v>
      </c>
      <c r="S184" t="s">
        <v>153</v>
      </c>
      <c r="T184" t="s">
        <v>154</v>
      </c>
      <c r="U184">
        <v>3</v>
      </c>
      <c r="V184">
        <v>3</v>
      </c>
      <c r="W184">
        <v>2</v>
      </c>
      <c r="X184">
        <v>3</v>
      </c>
      <c r="Y184">
        <v>3</v>
      </c>
      <c r="Z184" t="s">
        <v>2596</v>
      </c>
      <c r="AA184">
        <v>3</v>
      </c>
      <c r="AB184" t="s">
        <v>123</v>
      </c>
      <c r="AC184" t="s">
        <v>2596</v>
      </c>
      <c r="AD184" t="s">
        <v>2598</v>
      </c>
      <c r="AE184" t="s">
        <v>57</v>
      </c>
      <c r="AF184" t="s">
        <v>57</v>
      </c>
      <c r="AG184" t="s">
        <v>57</v>
      </c>
      <c r="AH184" t="s">
        <v>57</v>
      </c>
      <c r="AI184" t="s">
        <v>57</v>
      </c>
      <c r="AJ184" t="s">
        <v>57</v>
      </c>
      <c r="AK184" t="s">
        <v>57</v>
      </c>
      <c r="AL184" t="s">
        <v>57</v>
      </c>
      <c r="AM184" t="s">
        <v>57</v>
      </c>
      <c r="AN184" t="s">
        <v>57</v>
      </c>
      <c r="AO184" t="s">
        <v>57</v>
      </c>
      <c r="AP184" t="s">
        <v>57</v>
      </c>
      <c r="AQ184" t="s">
        <v>57</v>
      </c>
      <c r="AR184" t="s">
        <v>57</v>
      </c>
      <c r="AS184" t="s">
        <v>57</v>
      </c>
      <c r="AT184" t="s">
        <v>160</v>
      </c>
      <c r="AU184" t="s">
        <v>57</v>
      </c>
      <c r="AV184" t="s">
        <v>57</v>
      </c>
      <c r="AW184" t="s">
        <v>57</v>
      </c>
      <c r="AX184" t="s">
        <v>57</v>
      </c>
      <c r="AY184" t="s">
        <v>57</v>
      </c>
      <c r="AZ184" t="s">
        <v>57</v>
      </c>
      <c r="BA184" t="s">
        <v>57</v>
      </c>
      <c r="BB184" t="s">
        <v>57</v>
      </c>
      <c r="BC184" t="s">
        <v>57</v>
      </c>
      <c r="BD184" t="s">
        <v>57</v>
      </c>
      <c r="BE184" t="s">
        <v>57</v>
      </c>
      <c r="BF184" t="s">
        <v>57</v>
      </c>
      <c r="BG184" t="s">
        <v>57</v>
      </c>
      <c r="BH184" t="s">
        <v>57</v>
      </c>
      <c r="BI184" t="s">
        <v>57</v>
      </c>
      <c r="BJ184" t="s">
        <v>57</v>
      </c>
      <c r="BK184" t="s">
        <v>57</v>
      </c>
      <c r="BL184" t="s">
        <v>57</v>
      </c>
      <c r="BM184" t="s">
        <v>57</v>
      </c>
      <c r="BN184" t="s">
        <v>57</v>
      </c>
      <c r="BO184" t="s">
        <v>57</v>
      </c>
      <c r="BP184" t="s">
        <v>57</v>
      </c>
      <c r="BQ184" t="s">
        <v>57</v>
      </c>
      <c r="BR184" t="s">
        <v>57</v>
      </c>
      <c r="BS184" t="s">
        <v>57</v>
      </c>
      <c r="BT184" t="s">
        <v>57</v>
      </c>
      <c r="BU184" t="s">
        <v>57</v>
      </c>
      <c r="BV184" t="s">
        <v>57</v>
      </c>
      <c r="BW184" t="s">
        <v>57</v>
      </c>
      <c r="BX184" t="s">
        <v>57</v>
      </c>
      <c r="BY184" t="s">
        <v>57</v>
      </c>
      <c r="BZ184" t="s">
        <v>57</v>
      </c>
      <c r="CA184" t="s">
        <v>57</v>
      </c>
      <c r="CB184" t="s">
        <v>57</v>
      </c>
      <c r="CC184" t="s">
        <v>57</v>
      </c>
      <c r="CD184" t="s">
        <v>57</v>
      </c>
      <c r="CE184" t="s">
        <v>57</v>
      </c>
      <c r="CF184" t="s">
        <v>57</v>
      </c>
      <c r="CG184" t="s">
        <v>57</v>
      </c>
      <c r="CH184" t="s">
        <v>57</v>
      </c>
      <c r="CI184" t="s">
        <v>57</v>
      </c>
      <c r="CJ184" t="s">
        <v>160</v>
      </c>
      <c r="CK184" t="s">
        <v>57</v>
      </c>
      <c r="CL184" t="s">
        <v>57</v>
      </c>
      <c r="CM184" t="s">
        <v>57</v>
      </c>
      <c r="CN184" t="s">
        <v>57</v>
      </c>
      <c r="CO184" t="s">
        <v>57</v>
      </c>
      <c r="CP184" t="s">
        <v>57</v>
      </c>
      <c r="CQ184" t="s">
        <v>57</v>
      </c>
      <c r="CR184" t="s">
        <v>57</v>
      </c>
      <c r="CS184" t="s">
        <v>57</v>
      </c>
      <c r="CT184" t="s">
        <v>57</v>
      </c>
      <c r="CU184" t="s">
        <v>57</v>
      </c>
      <c r="CV184" t="s">
        <v>57</v>
      </c>
      <c r="CW184" t="s">
        <v>57</v>
      </c>
      <c r="CX184" t="s">
        <v>57</v>
      </c>
      <c r="CY184" t="s">
        <v>57</v>
      </c>
      <c r="CZ184" t="s">
        <v>57</v>
      </c>
      <c r="DA184" t="s">
        <v>57</v>
      </c>
      <c r="DB184" t="s">
        <v>57</v>
      </c>
      <c r="DC184" t="s">
        <v>57</v>
      </c>
      <c r="DD184" t="s">
        <v>57</v>
      </c>
      <c r="DE184" t="s">
        <v>57</v>
      </c>
      <c r="DF184" t="s">
        <v>57</v>
      </c>
      <c r="DG184" t="s">
        <v>57</v>
      </c>
      <c r="DH184" t="s">
        <v>57</v>
      </c>
      <c r="DI184" t="s">
        <v>57</v>
      </c>
      <c r="DJ184" t="s">
        <v>57</v>
      </c>
      <c r="DK184" t="s">
        <v>57</v>
      </c>
      <c r="DL184" t="s">
        <v>57</v>
      </c>
      <c r="DM184" t="s">
        <v>57</v>
      </c>
      <c r="DN184" t="s">
        <v>57</v>
      </c>
      <c r="DO184" t="s">
        <v>57</v>
      </c>
      <c r="DP184" t="s">
        <v>57</v>
      </c>
      <c r="DQ184" t="s">
        <v>57</v>
      </c>
      <c r="DR184" t="s">
        <v>57</v>
      </c>
      <c r="DS184" t="s">
        <v>57</v>
      </c>
      <c r="DT184" t="s">
        <v>57</v>
      </c>
      <c r="DU184" t="s">
        <v>57</v>
      </c>
      <c r="DV184" t="s">
        <v>57</v>
      </c>
      <c r="DW184" t="s">
        <v>57</v>
      </c>
      <c r="DX184" t="s">
        <v>57</v>
      </c>
      <c r="DY184" t="s">
        <v>57</v>
      </c>
      <c r="DZ184" t="s">
        <v>57</v>
      </c>
      <c r="EA184" t="s">
        <v>57</v>
      </c>
      <c r="EB184" t="s">
        <v>57</v>
      </c>
      <c r="EC184" t="s">
        <v>57</v>
      </c>
      <c r="ED184" t="s">
        <v>57</v>
      </c>
      <c r="EE184" t="s">
        <v>57</v>
      </c>
      <c r="EF184" t="s">
        <v>57</v>
      </c>
      <c r="EG184" t="s">
        <v>57</v>
      </c>
      <c r="EH184" t="s">
        <v>57</v>
      </c>
      <c r="EI184" t="s">
        <v>57</v>
      </c>
      <c r="EJ184" t="s">
        <v>57</v>
      </c>
      <c r="EK184" t="s">
        <v>57</v>
      </c>
      <c r="EL184" t="s">
        <v>57</v>
      </c>
      <c r="EM184" t="s">
        <v>57</v>
      </c>
      <c r="EN184" t="s">
        <v>57</v>
      </c>
      <c r="EO184" t="s">
        <v>57</v>
      </c>
      <c r="EP184" t="s">
        <v>57</v>
      </c>
      <c r="EQ184" t="s">
        <v>57</v>
      </c>
      <c r="ER184" t="s">
        <v>57</v>
      </c>
      <c r="ES184" t="s">
        <v>57</v>
      </c>
      <c r="ET184" t="s">
        <v>57</v>
      </c>
      <c r="EU184" t="s">
        <v>57</v>
      </c>
      <c r="EV184" t="s">
        <v>57</v>
      </c>
      <c r="EW184" t="s">
        <v>57</v>
      </c>
      <c r="EX184" t="s">
        <v>57</v>
      </c>
      <c r="EY184" t="s">
        <v>57</v>
      </c>
      <c r="EZ184" t="s">
        <v>57</v>
      </c>
      <c r="FA184" t="s">
        <v>57</v>
      </c>
      <c r="FB184" t="s">
        <v>57</v>
      </c>
      <c r="FC184" t="s">
        <v>57</v>
      </c>
      <c r="FD184" t="s">
        <v>57</v>
      </c>
      <c r="FE184" t="s">
        <v>57</v>
      </c>
      <c r="FF184" t="s">
        <v>57</v>
      </c>
      <c r="FG184" t="s">
        <v>57</v>
      </c>
      <c r="FH184" t="s">
        <v>57</v>
      </c>
      <c r="FI184" t="s">
        <v>57</v>
      </c>
      <c r="FJ184" t="s">
        <v>57</v>
      </c>
      <c r="FK184" t="s">
        <v>57</v>
      </c>
      <c r="FL184" t="s">
        <v>57</v>
      </c>
      <c r="FM184" t="s">
        <v>57</v>
      </c>
      <c r="FN184" t="s">
        <v>57</v>
      </c>
      <c r="FO184" t="s">
        <v>57</v>
      </c>
      <c r="FP184" t="s">
        <v>57</v>
      </c>
      <c r="FQ184" t="s">
        <v>57</v>
      </c>
      <c r="FR184" t="s">
        <v>57</v>
      </c>
      <c r="FS184" t="s">
        <v>57</v>
      </c>
      <c r="FT184" t="s">
        <v>57</v>
      </c>
      <c r="FU184" t="s">
        <v>57</v>
      </c>
      <c r="FV184" t="s">
        <v>57</v>
      </c>
      <c r="FW184" t="s">
        <v>57</v>
      </c>
      <c r="FX184" t="s">
        <v>57</v>
      </c>
      <c r="FY184" t="s">
        <v>57</v>
      </c>
      <c r="FZ184" t="s">
        <v>57</v>
      </c>
      <c r="GA184" t="s">
        <v>160</v>
      </c>
      <c r="GB184" t="s">
        <v>57</v>
      </c>
      <c r="GC184" t="s">
        <v>57</v>
      </c>
      <c r="GD184" t="s">
        <v>57</v>
      </c>
      <c r="GE184" t="s">
        <v>57</v>
      </c>
      <c r="GF184" t="s">
        <v>57</v>
      </c>
      <c r="GG184" t="s">
        <v>57</v>
      </c>
      <c r="GH184" t="s">
        <v>57</v>
      </c>
      <c r="GI184" t="s">
        <v>57</v>
      </c>
      <c r="GJ184" t="s">
        <v>57</v>
      </c>
      <c r="GK184" t="s">
        <v>57</v>
      </c>
      <c r="GL184" t="s">
        <v>57</v>
      </c>
      <c r="GM184" t="s">
        <v>57</v>
      </c>
      <c r="GN184" t="s">
        <v>57</v>
      </c>
      <c r="GO184" t="s">
        <v>57</v>
      </c>
      <c r="GP184" t="s">
        <v>57</v>
      </c>
      <c r="GQ184" t="s">
        <v>57</v>
      </c>
      <c r="GR184" t="s">
        <v>57</v>
      </c>
      <c r="GS184" t="s">
        <v>57</v>
      </c>
      <c r="GT184" t="s">
        <v>57</v>
      </c>
      <c r="GU184" t="s">
        <v>57</v>
      </c>
      <c r="GV184" t="s">
        <v>57</v>
      </c>
      <c r="GW184" t="s">
        <v>57</v>
      </c>
      <c r="GX184" t="s">
        <v>57</v>
      </c>
      <c r="GY184" t="s">
        <v>57</v>
      </c>
      <c r="GZ184" t="s">
        <v>57</v>
      </c>
      <c r="HA184" t="s">
        <v>57</v>
      </c>
      <c r="HB184" t="s">
        <v>57</v>
      </c>
      <c r="HC184" t="s">
        <v>57</v>
      </c>
      <c r="HD184" t="s">
        <v>57</v>
      </c>
      <c r="HE184" t="s">
        <v>57</v>
      </c>
      <c r="HF184" t="s">
        <v>57</v>
      </c>
      <c r="HG184" t="s">
        <v>57</v>
      </c>
      <c r="HH184" t="s">
        <v>57</v>
      </c>
      <c r="HI184" t="s">
        <v>57</v>
      </c>
      <c r="HJ184" t="s">
        <v>57</v>
      </c>
      <c r="HK184" t="s">
        <v>57</v>
      </c>
      <c r="HL184" t="s">
        <v>57</v>
      </c>
      <c r="HM184" t="s">
        <v>57</v>
      </c>
      <c r="HN184" t="s">
        <v>57</v>
      </c>
      <c r="HO184" t="s">
        <v>57</v>
      </c>
      <c r="HP184" t="s">
        <v>57</v>
      </c>
      <c r="HQ184" t="s">
        <v>57</v>
      </c>
      <c r="HR184" t="s">
        <v>57</v>
      </c>
      <c r="HS184" t="s">
        <v>57</v>
      </c>
      <c r="HT184" t="s">
        <v>57</v>
      </c>
      <c r="HU184" t="s">
        <v>57</v>
      </c>
      <c r="HV184" t="s">
        <v>57</v>
      </c>
      <c r="HW184" t="s">
        <v>57</v>
      </c>
      <c r="HX184" t="s">
        <v>57</v>
      </c>
      <c r="HY184" t="s">
        <v>57</v>
      </c>
      <c r="HZ184" t="s">
        <v>57</v>
      </c>
      <c r="IA184" t="s">
        <v>57</v>
      </c>
      <c r="IB184" t="s">
        <v>57</v>
      </c>
      <c r="IC184" t="s">
        <v>57</v>
      </c>
      <c r="ID184" t="s">
        <v>57</v>
      </c>
      <c r="IE184" t="s">
        <v>57</v>
      </c>
      <c r="IF184" t="s">
        <v>124</v>
      </c>
      <c r="IG184" t="s">
        <v>155</v>
      </c>
      <c r="IH184" t="s">
        <v>123</v>
      </c>
      <c r="II184" t="s">
        <v>156</v>
      </c>
    </row>
    <row r="185" spans="1:243" x14ac:dyDescent="0.25">
      <c r="A185" s="201" t="str">
        <f>HYPERLINK("http://www.ofsted.gov.uk/inspection-reports/find-inspection-report/provider/ELS/136092 ","Ofsted School Webpage")</f>
        <v>Ofsted School Webpage</v>
      </c>
      <c r="B185">
        <v>136092</v>
      </c>
      <c r="C185">
        <v>2036040</v>
      </c>
      <c r="D185" t="s">
        <v>436</v>
      </c>
      <c r="E185" t="s">
        <v>37</v>
      </c>
      <c r="F185" t="s">
        <v>138</v>
      </c>
      <c r="G185" t="s">
        <v>189</v>
      </c>
      <c r="H185" t="s">
        <v>189</v>
      </c>
      <c r="I185" t="s">
        <v>437</v>
      </c>
      <c r="J185" t="s">
        <v>438</v>
      </c>
      <c r="K185" t="s">
        <v>142</v>
      </c>
      <c r="L185" t="s">
        <v>142</v>
      </c>
      <c r="M185" t="s">
        <v>2596</v>
      </c>
      <c r="N185" t="s">
        <v>143</v>
      </c>
      <c r="O185">
        <v>10035808</v>
      </c>
      <c r="P185" s="108">
        <v>43025</v>
      </c>
      <c r="Q185" s="108">
        <v>43027</v>
      </c>
      <c r="R185" s="108">
        <v>43063</v>
      </c>
      <c r="S185" t="s">
        <v>153</v>
      </c>
      <c r="T185" t="s">
        <v>154</v>
      </c>
      <c r="U185">
        <v>2</v>
      </c>
      <c r="V185">
        <v>2</v>
      </c>
      <c r="W185">
        <v>2</v>
      </c>
      <c r="X185">
        <v>2</v>
      </c>
      <c r="Y185">
        <v>2</v>
      </c>
      <c r="Z185" t="s">
        <v>2596</v>
      </c>
      <c r="AA185" t="s">
        <v>2596</v>
      </c>
      <c r="AB185" t="s">
        <v>123</v>
      </c>
      <c r="AC185" t="s">
        <v>2596</v>
      </c>
      <c r="AD185" t="s">
        <v>2598</v>
      </c>
      <c r="AE185" t="s">
        <v>57</v>
      </c>
      <c r="AF185" t="s">
        <v>57</v>
      </c>
      <c r="AG185" t="s">
        <v>57</v>
      </c>
      <c r="AH185" t="s">
        <v>57</v>
      </c>
      <c r="AI185" t="s">
        <v>57</v>
      </c>
      <c r="AJ185" t="s">
        <v>57</v>
      </c>
      <c r="AK185" t="s">
        <v>57</v>
      </c>
      <c r="AL185" t="s">
        <v>57</v>
      </c>
      <c r="AM185" t="s">
        <v>57</v>
      </c>
      <c r="AN185" t="s">
        <v>57</v>
      </c>
      <c r="AO185" t="s">
        <v>57</v>
      </c>
      <c r="AP185" t="s">
        <v>57</v>
      </c>
      <c r="AQ185" t="s">
        <v>57</v>
      </c>
      <c r="AR185" t="s">
        <v>57</v>
      </c>
      <c r="AS185" t="s">
        <v>57</v>
      </c>
      <c r="AT185" t="s">
        <v>57</v>
      </c>
      <c r="AU185" t="s">
        <v>175</v>
      </c>
      <c r="AV185" t="s">
        <v>57</v>
      </c>
      <c r="AW185" t="s">
        <v>57</v>
      </c>
      <c r="AX185" t="s">
        <v>57</v>
      </c>
      <c r="AY185" t="s">
        <v>57</v>
      </c>
      <c r="AZ185" t="s">
        <v>57</v>
      </c>
      <c r="BA185" t="s">
        <v>57</v>
      </c>
      <c r="BB185" t="s">
        <v>57</v>
      </c>
      <c r="BC185" t="s">
        <v>175</v>
      </c>
      <c r="BD185" t="s">
        <v>175</v>
      </c>
      <c r="BE185" t="s">
        <v>57</v>
      </c>
      <c r="BF185" t="s">
        <v>57</v>
      </c>
      <c r="BG185" t="s">
        <v>57</v>
      </c>
      <c r="BH185" t="s">
        <v>57</v>
      </c>
      <c r="BI185" t="s">
        <v>57</v>
      </c>
      <c r="BJ185" t="s">
        <v>57</v>
      </c>
      <c r="BK185" t="s">
        <v>57</v>
      </c>
      <c r="BL185" t="s">
        <v>57</v>
      </c>
      <c r="BM185" t="s">
        <v>57</v>
      </c>
      <c r="BN185" t="s">
        <v>57</v>
      </c>
      <c r="BO185" t="s">
        <v>57</v>
      </c>
      <c r="BP185" t="s">
        <v>57</v>
      </c>
      <c r="BQ185" t="s">
        <v>57</v>
      </c>
      <c r="BR185" t="s">
        <v>57</v>
      </c>
      <c r="BS185" t="s">
        <v>57</v>
      </c>
      <c r="BT185" t="s">
        <v>57</v>
      </c>
      <c r="BU185" t="s">
        <v>57</v>
      </c>
      <c r="BV185" t="s">
        <v>57</v>
      </c>
      <c r="BW185" t="s">
        <v>57</v>
      </c>
      <c r="BX185" t="s">
        <v>57</v>
      </c>
      <c r="BY185" t="s">
        <v>57</v>
      </c>
      <c r="BZ185" t="s">
        <v>57</v>
      </c>
      <c r="CA185" t="s">
        <v>57</v>
      </c>
      <c r="CB185" t="s">
        <v>57</v>
      </c>
      <c r="CC185" t="s">
        <v>57</v>
      </c>
      <c r="CD185" t="s">
        <v>57</v>
      </c>
      <c r="CE185" t="s">
        <v>57</v>
      </c>
      <c r="CF185" t="s">
        <v>57</v>
      </c>
      <c r="CG185" t="s">
        <v>57</v>
      </c>
      <c r="CH185" t="s">
        <v>57</v>
      </c>
      <c r="CI185" t="s">
        <v>57</v>
      </c>
      <c r="CJ185" t="s">
        <v>57</v>
      </c>
      <c r="CK185" t="s">
        <v>175</v>
      </c>
      <c r="CL185" t="s">
        <v>175</v>
      </c>
      <c r="CM185" t="s">
        <v>175</v>
      </c>
      <c r="CN185" t="s">
        <v>57</v>
      </c>
      <c r="CO185" t="s">
        <v>57</v>
      </c>
      <c r="CP185" t="s">
        <v>57</v>
      </c>
      <c r="CQ185" t="s">
        <v>57</v>
      </c>
      <c r="CR185" t="s">
        <v>57</v>
      </c>
      <c r="CS185" t="s">
        <v>57</v>
      </c>
      <c r="CT185" t="s">
        <v>57</v>
      </c>
      <c r="CU185" t="s">
        <v>57</v>
      </c>
      <c r="CV185" t="s">
        <v>57</v>
      </c>
      <c r="CW185" t="s">
        <v>57</v>
      </c>
      <c r="CX185" t="s">
        <v>57</v>
      </c>
      <c r="CY185" t="s">
        <v>57</v>
      </c>
      <c r="CZ185" t="s">
        <v>57</v>
      </c>
      <c r="DA185" t="s">
        <v>57</v>
      </c>
      <c r="DB185" t="s">
        <v>57</v>
      </c>
      <c r="DC185" t="s">
        <v>57</v>
      </c>
      <c r="DD185" t="s">
        <v>57</v>
      </c>
      <c r="DE185" t="s">
        <v>57</v>
      </c>
      <c r="DF185" t="s">
        <v>57</v>
      </c>
      <c r="DG185" t="s">
        <v>57</v>
      </c>
      <c r="DH185" t="s">
        <v>57</v>
      </c>
      <c r="DI185" t="s">
        <v>57</v>
      </c>
      <c r="DJ185" t="s">
        <v>57</v>
      </c>
      <c r="DK185" t="s">
        <v>175</v>
      </c>
      <c r="DL185" t="s">
        <v>57</v>
      </c>
      <c r="DM185" t="s">
        <v>57</v>
      </c>
      <c r="DN185" t="s">
        <v>57</v>
      </c>
      <c r="DO185" t="s">
        <v>57</v>
      </c>
      <c r="DP185" t="s">
        <v>57</v>
      </c>
      <c r="DQ185" t="s">
        <v>57</v>
      </c>
      <c r="DR185" t="s">
        <v>57</v>
      </c>
      <c r="DS185" t="s">
        <v>57</v>
      </c>
      <c r="DT185" t="s">
        <v>57</v>
      </c>
      <c r="DU185" t="s">
        <v>57</v>
      </c>
      <c r="DV185" t="s">
        <v>57</v>
      </c>
      <c r="DW185" t="s">
        <v>57</v>
      </c>
      <c r="DX185" t="s">
        <v>57</v>
      </c>
      <c r="DY185" t="s">
        <v>175</v>
      </c>
      <c r="DZ185" t="s">
        <v>57</v>
      </c>
      <c r="EA185" t="s">
        <v>175</v>
      </c>
      <c r="EB185" t="s">
        <v>175</v>
      </c>
      <c r="EC185" t="s">
        <v>175</v>
      </c>
      <c r="ED185" t="s">
        <v>175</v>
      </c>
      <c r="EE185" t="s">
        <v>175</v>
      </c>
      <c r="EF185" t="s">
        <v>175</v>
      </c>
      <c r="EG185" t="s">
        <v>175</v>
      </c>
      <c r="EH185" t="s">
        <v>175</v>
      </c>
      <c r="EI185" t="s">
        <v>175</v>
      </c>
      <c r="EJ185" t="s">
        <v>57</v>
      </c>
      <c r="EK185" t="s">
        <v>57</v>
      </c>
      <c r="EL185" t="s">
        <v>57</v>
      </c>
      <c r="EM185" t="s">
        <v>57</v>
      </c>
      <c r="EN185" t="s">
        <v>57</v>
      </c>
      <c r="EO185" t="s">
        <v>57</v>
      </c>
      <c r="EP185" t="s">
        <v>57</v>
      </c>
      <c r="EQ185" t="s">
        <v>57</v>
      </c>
      <c r="ER185" t="s">
        <v>57</v>
      </c>
      <c r="ES185" t="s">
        <v>57</v>
      </c>
      <c r="ET185" t="s">
        <v>57</v>
      </c>
      <c r="EU185" t="s">
        <v>57</v>
      </c>
      <c r="EV185" t="s">
        <v>57</v>
      </c>
      <c r="EW185" t="s">
        <v>175</v>
      </c>
      <c r="EX185" t="s">
        <v>57</v>
      </c>
      <c r="EY185" t="s">
        <v>57</v>
      </c>
      <c r="EZ185" t="s">
        <v>57</v>
      </c>
      <c r="FA185" t="s">
        <v>57</v>
      </c>
      <c r="FB185" t="s">
        <v>57</v>
      </c>
      <c r="FC185" t="s">
        <v>57</v>
      </c>
      <c r="FD185" t="s">
        <v>57</v>
      </c>
      <c r="FE185" t="s">
        <v>175</v>
      </c>
      <c r="FF185" t="s">
        <v>148</v>
      </c>
      <c r="FG185" t="s">
        <v>175</v>
      </c>
      <c r="FH185" t="s">
        <v>57</v>
      </c>
      <c r="FI185" t="s">
        <v>57</v>
      </c>
      <c r="FJ185" t="s">
        <v>57</v>
      </c>
      <c r="FK185" t="s">
        <v>57</v>
      </c>
      <c r="FL185" t="s">
        <v>57</v>
      </c>
      <c r="FM185" t="s">
        <v>57</v>
      </c>
      <c r="FN185" t="s">
        <v>57</v>
      </c>
      <c r="FO185" t="s">
        <v>175</v>
      </c>
      <c r="FP185" t="s">
        <v>57</v>
      </c>
      <c r="FQ185" t="s">
        <v>57</v>
      </c>
      <c r="FR185" t="s">
        <v>57</v>
      </c>
      <c r="FS185" t="s">
        <v>57</v>
      </c>
      <c r="FT185" t="s">
        <v>57</v>
      </c>
      <c r="FU185" t="s">
        <v>57</v>
      </c>
      <c r="FV185" t="s">
        <v>57</v>
      </c>
      <c r="FW185" t="s">
        <v>57</v>
      </c>
      <c r="FX185" t="s">
        <v>57</v>
      </c>
      <c r="FY185" t="s">
        <v>57</v>
      </c>
      <c r="FZ185" t="s">
        <v>57</v>
      </c>
      <c r="GA185" t="s">
        <v>57</v>
      </c>
      <c r="GB185" t="s">
        <v>57</v>
      </c>
      <c r="GC185" t="s">
        <v>57</v>
      </c>
      <c r="GD185" t="s">
        <v>57</v>
      </c>
      <c r="GE185" t="s">
        <v>57</v>
      </c>
      <c r="GF185" t="s">
        <v>57</v>
      </c>
      <c r="GG185" t="s">
        <v>175</v>
      </c>
      <c r="GH185" t="s">
        <v>57</v>
      </c>
      <c r="GI185" t="s">
        <v>57</v>
      </c>
      <c r="GJ185" t="s">
        <v>57</v>
      </c>
      <c r="GK185" t="s">
        <v>57</v>
      </c>
      <c r="GL185" t="s">
        <v>57</v>
      </c>
      <c r="GM185" t="s">
        <v>175</v>
      </c>
      <c r="GN185" t="s">
        <v>57</v>
      </c>
      <c r="GO185" t="s">
        <v>57</v>
      </c>
      <c r="GP185" t="s">
        <v>57</v>
      </c>
      <c r="GQ185" t="s">
        <v>57</v>
      </c>
      <c r="GR185" t="s">
        <v>57</v>
      </c>
      <c r="GS185" t="s">
        <v>57</v>
      </c>
      <c r="GT185" t="s">
        <v>57</v>
      </c>
      <c r="GU185" t="s">
        <v>57</v>
      </c>
      <c r="GV185" t="s">
        <v>57</v>
      </c>
      <c r="GW185" t="s">
        <v>175</v>
      </c>
      <c r="GX185" t="s">
        <v>57</v>
      </c>
      <c r="GY185" t="s">
        <v>57</v>
      </c>
      <c r="GZ185" t="s">
        <v>57</v>
      </c>
      <c r="HA185" t="s">
        <v>57</v>
      </c>
      <c r="HB185" t="s">
        <v>57</v>
      </c>
      <c r="HC185" t="s">
        <v>57</v>
      </c>
      <c r="HD185" t="s">
        <v>57</v>
      </c>
      <c r="HE185" t="s">
        <v>57</v>
      </c>
      <c r="HF185" t="s">
        <v>57</v>
      </c>
      <c r="HG185" t="s">
        <v>57</v>
      </c>
      <c r="HH185" t="s">
        <v>175</v>
      </c>
      <c r="HI185" t="s">
        <v>175</v>
      </c>
      <c r="HJ185" t="s">
        <v>175</v>
      </c>
      <c r="HK185" t="s">
        <v>175</v>
      </c>
      <c r="HL185" t="s">
        <v>57</v>
      </c>
      <c r="HM185" t="s">
        <v>57</v>
      </c>
      <c r="HN185" t="s">
        <v>57</v>
      </c>
      <c r="HO185" t="s">
        <v>57</v>
      </c>
      <c r="HP185" t="s">
        <v>57</v>
      </c>
      <c r="HQ185" t="s">
        <v>57</v>
      </c>
      <c r="HR185" t="s">
        <v>57</v>
      </c>
      <c r="HS185" t="s">
        <v>57</v>
      </c>
      <c r="HT185" t="s">
        <v>57</v>
      </c>
      <c r="HU185" t="s">
        <v>57</v>
      </c>
      <c r="HV185" t="s">
        <v>57</v>
      </c>
      <c r="HW185" t="s">
        <v>57</v>
      </c>
      <c r="HX185" t="s">
        <v>57</v>
      </c>
      <c r="HY185" t="s">
        <v>57</v>
      </c>
      <c r="HZ185" t="s">
        <v>57</v>
      </c>
      <c r="IA185" t="s">
        <v>57</v>
      </c>
      <c r="IB185" t="s">
        <v>57</v>
      </c>
      <c r="IC185" t="s">
        <v>57</v>
      </c>
      <c r="ID185" t="s">
        <v>57</v>
      </c>
      <c r="IE185" t="s">
        <v>57</v>
      </c>
      <c r="IF185" t="s">
        <v>123</v>
      </c>
      <c r="IG185" t="s">
        <v>124</v>
      </c>
      <c r="IH185" t="s">
        <v>123</v>
      </c>
      <c r="II185" t="s">
        <v>156</v>
      </c>
    </row>
    <row r="186" spans="1:243" x14ac:dyDescent="0.25">
      <c r="A186" s="201" t="str">
        <f>HYPERLINK("http://www.ofsted.gov.uk/inspection-reports/find-inspection-report/provider/ELS/136117 ","Ofsted School Webpage")</f>
        <v>Ofsted School Webpage</v>
      </c>
      <c r="B186">
        <v>136117</v>
      </c>
      <c r="C186">
        <v>3556006</v>
      </c>
      <c r="D186" t="s">
        <v>1785</v>
      </c>
      <c r="E186" t="s">
        <v>36</v>
      </c>
      <c r="F186" t="s">
        <v>166</v>
      </c>
      <c r="G186" t="s">
        <v>162</v>
      </c>
      <c r="H186" t="s">
        <v>162</v>
      </c>
      <c r="I186" t="s">
        <v>804</v>
      </c>
      <c r="J186" t="s">
        <v>1786</v>
      </c>
      <c r="K186" t="s">
        <v>776</v>
      </c>
      <c r="L186" t="s">
        <v>275</v>
      </c>
      <c r="M186" t="s">
        <v>2596</v>
      </c>
      <c r="N186" t="s">
        <v>143</v>
      </c>
      <c r="O186">
        <v>10034031</v>
      </c>
      <c r="P186" s="108">
        <v>43053</v>
      </c>
      <c r="Q186" s="108">
        <v>43055</v>
      </c>
      <c r="R186" s="108">
        <v>43090</v>
      </c>
      <c r="S186" t="s">
        <v>153</v>
      </c>
      <c r="T186" t="s">
        <v>154</v>
      </c>
      <c r="U186">
        <v>2</v>
      </c>
      <c r="V186">
        <v>2</v>
      </c>
      <c r="W186">
        <v>2</v>
      </c>
      <c r="X186">
        <v>2</v>
      </c>
      <c r="Y186">
        <v>3</v>
      </c>
      <c r="Z186">
        <v>2</v>
      </c>
      <c r="AA186" t="s">
        <v>2596</v>
      </c>
      <c r="AB186" t="s">
        <v>123</v>
      </c>
      <c r="AC186" t="s">
        <v>2596</v>
      </c>
      <c r="AD186" t="s">
        <v>2598</v>
      </c>
      <c r="AE186" t="s">
        <v>57</v>
      </c>
      <c r="AF186" t="s">
        <v>57</v>
      </c>
      <c r="AG186" t="s">
        <v>57</v>
      </c>
      <c r="AH186" t="s">
        <v>57</v>
      </c>
      <c r="AI186" t="s">
        <v>57</v>
      </c>
      <c r="AJ186" t="s">
        <v>57</v>
      </c>
      <c r="AK186" t="s">
        <v>57</v>
      </c>
      <c r="AL186" t="s">
        <v>57</v>
      </c>
      <c r="AM186" t="s">
        <v>57</v>
      </c>
      <c r="AN186" t="s">
        <v>57</v>
      </c>
      <c r="AO186" t="s">
        <v>57</v>
      </c>
      <c r="AP186" t="s">
        <v>57</v>
      </c>
      <c r="AQ186" t="s">
        <v>57</v>
      </c>
      <c r="AR186" t="s">
        <v>57</v>
      </c>
      <c r="AS186" t="s">
        <v>57</v>
      </c>
      <c r="AT186" t="s">
        <v>57</v>
      </c>
      <c r="AU186" t="s">
        <v>175</v>
      </c>
      <c r="AV186" t="s">
        <v>57</v>
      </c>
      <c r="AW186" t="s">
        <v>57</v>
      </c>
      <c r="AX186" t="s">
        <v>57</v>
      </c>
      <c r="AY186" t="s">
        <v>57</v>
      </c>
      <c r="AZ186" t="s">
        <v>57</v>
      </c>
      <c r="BA186" t="s">
        <v>57</v>
      </c>
      <c r="BB186" t="s">
        <v>57</v>
      </c>
      <c r="BC186" t="s">
        <v>57</v>
      </c>
      <c r="BD186" t="s">
        <v>175</v>
      </c>
      <c r="BE186" t="s">
        <v>57</v>
      </c>
      <c r="BF186" t="s">
        <v>57</v>
      </c>
      <c r="BG186" t="s">
        <v>57</v>
      </c>
      <c r="BH186" t="s">
        <v>57</v>
      </c>
      <c r="BI186" t="s">
        <v>57</v>
      </c>
      <c r="BJ186" t="s">
        <v>57</v>
      </c>
      <c r="BK186" t="s">
        <v>57</v>
      </c>
      <c r="BL186" t="s">
        <v>57</v>
      </c>
      <c r="BM186" t="s">
        <v>57</v>
      </c>
      <c r="BN186" t="s">
        <v>57</v>
      </c>
      <c r="BO186" t="s">
        <v>57</v>
      </c>
      <c r="BP186" t="s">
        <v>57</v>
      </c>
      <c r="BQ186" t="s">
        <v>57</v>
      </c>
      <c r="BR186" t="s">
        <v>57</v>
      </c>
      <c r="BS186" t="s">
        <v>57</v>
      </c>
      <c r="BT186" t="s">
        <v>57</v>
      </c>
      <c r="BU186" t="s">
        <v>57</v>
      </c>
      <c r="BV186" t="s">
        <v>57</v>
      </c>
      <c r="BW186" t="s">
        <v>57</v>
      </c>
      <c r="BX186" t="s">
        <v>57</v>
      </c>
      <c r="BY186" t="s">
        <v>57</v>
      </c>
      <c r="BZ186" t="s">
        <v>57</v>
      </c>
      <c r="CA186" t="s">
        <v>57</v>
      </c>
      <c r="CB186" t="s">
        <v>57</v>
      </c>
      <c r="CC186" t="s">
        <v>57</v>
      </c>
      <c r="CD186" t="s">
        <v>57</v>
      </c>
      <c r="CE186" t="s">
        <v>57</v>
      </c>
      <c r="CF186" t="s">
        <v>57</v>
      </c>
      <c r="CG186" t="s">
        <v>57</v>
      </c>
      <c r="CH186" t="s">
        <v>57</v>
      </c>
      <c r="CI186" t="s">
        <v>57</v>
      </c>
      <c r="CJ186" t="s">
        <v>57</v>
      </c>
      <c r="CK186" t="s">
        <v>57</v>
      </c>
      <c r="CL186" t="s">
        <v>175</v>
      </c>
      <c r="CM186" t="s">
        <v>175</v>
      </c>
      <c r="CN186" t="s">
        <v>57</v>
      </c>
      <c r="CO186" t="s">
        <v>57</v>
      </c>
      <c r="CP186" t="s">
        <v>57</v>
      </c>
      <c r="CQ186" t="s">
        <v>57</v>
      </c>
      <c r="CR186" t="s">
        <v>57</v>
      </c>
      <c r="CS186" t="s">
        <v>57</v>
      </c>
      <c r="CT186" t="s">
        <v>57</v>
      </c>
      <c r="CU186" t="s">
        <v>57</v>
      </c>
      <c r="CV186" t="s">
        <v>57</v>
      </c>
      <c r="CW186" t="s">
        <v>57</v>
      </c>
      <c r="CX186" t="s">
        <v>57</v>
      </c>
      <c r="CY186" t="s">
        <v>57</v>
      </c>
      <c r="CZ186" t="s">
        <v>57</v>
      </c>
      <c r="DA186" t="s">
        <v>57</v>
      </c>
      <c r="DB186" t="s">
        <v>57</v>
      </c>
      <c r="DC186" t="s">
        <v>57</v>
      </c>
      <c r="DD186" t="s">
        <v>57</v>
      </c>
      <c r="DE186" t="s">
        <v>57</v>
      </c>
      <c r="DF186" t="s">
        <v>57</v>
      </c>
      <c r="DG186" t="s">
        <v>57</v>
      </c>
      <c r="DH186" t="s">
        <v>57</v>
      </c>
      <c r="DI186" t="s">
        <v>57</v>
      </c>
      <c r="DJ186" t="s">
        <v>57</v>
      </c>
      <c r="DK186" t="s">
        <v>175</v>
      </c>
      <c r="DL186" t="s">
        <v>57</v>
      </c>
      <c r="DM186" t="s">
        <v>57</v>
      </c>
      <c r="DN186" t="s">
        <v>57</v>
      </c>
      <c r="DO186" t="s">
        <v>57</v>
      </c>
      <c r="DP186" t="s">
        <v>57</v>
      </c>
      <c r="DQ186" t="s">
        <v>57</v>
      </c>
      <c r="DR186" t="s">
        <v>57</v>
      </c>
      <c r="DS186" t="s">
        <v>57</v>
      </c>
      <c r="DT186" t="s">
        <v>57</v>
      </c>
      <c r="DU186" t="s">
        <v>57</v>
      </c>
      <c r="DV186" t="s">
        <v>57</v>
      </c>
      <c r="DW186" t="s">
        <v>57</v>
      </c>
      <c r="DX186" t="s">
        <v>57</v>
      </c>
      <c r="DY186" t="s">
        <v>175</v>
      </c>
      <c r="DZ186" t="s">
        <v>57</v>
      </c>
      <c r="EA186" t="s">
        <v>57</v>
      </c>
      <c r="EB186" t="s">
        <v>57</v>
      </c>
      <c r="EC186" t="s">
        <v>57</v>
      </c>
      <c r="ED186" t="s">
        <v>57</v>
      </c>
      <c r="EE186" t="s">
        <v>57</v>
      </c>
      <c r="EF186" t="s">
        <v>57</v>
      </c>
      <c r="EG186" t="s">
        <v>57</v>
      </c>
      <c r="EH186" t="s">
        <v>57</v>
      </c>
      <c r="EI186" t="s">
        <v>57</v>
      </c>
      <c r="EJ186" t="s">
        <v>57</v>
      </c>
      <c r="EK186" t="s">
        <v>57</v>
      </c>
      <c r="EL186" t="s">
        <v>57</v>
      </c>
      <c r="EM186" t="s">
        <v>57</v>
      </c>
      <c r="EN186" t="s">
        <v>57</v>
      </c>
      <c r="EO186" t="s">
        <v>57</v>
      </c>
      <c r="EP186" t="s">
        <v>57</v>
      </c>
      <c r="EQ186" t="s">
        <v>57</v>
      </c>
      <c r="ER186" t="s">
        <v>57</v>
      </c>
      <c r="ES186" t="s">
        <v>57</v>
      </c>
      <c r="ET186" t="s">
        <v>57</v>
      </c>
      <c r="EU186" t="s">
        <v>57</v>
      </c>
      <c r="EV186" t="s">
        <v>57</v>
      </c>
      <c r="EW186" t="s">
        <v>57</v>
      </c>
      <c r="EX186" t="s">
        <v>57</v>
      </c>
      <c r="EY186" t="s">
        <v>57</v>
      </c>
      <c r="EZ186" t="s">
        <v>57</v>
      </c>
      <c r="FA186" t="s">
        <v>57</v>
      </c>
      <c r="FB186" t="s">
        <v>57</v>
      </c>
      <c r="FC186" t="s">
        <v>57</v>
      </c>
      <c r="FD186" t="s">
        <v>57</v>
      </c>
      <c r="FE186" t="s">
        <v>57</v>
      </c>
      <c r="FF186" t="s">
        <v>57</v>
      </c>
      <c r="FG186" t="s">
        <v>57</v>
      </c>
      <c r="FH186" t="s">
        <v>57</v>
      </c>
      <c r="FI186" t="s">
        <v>57</v>
      </c>
      <c r="FJ186" t="s">
        <v>57</v>
      </c>
      <c r="FK186" t="s">
        <v>57</v>
      </c>
      <c r="FL186" t="s">
        <v>57</v>
      </c>
      <c r="FM186" t="s">
        <v>57</v>
      </c>
      <c r="FN186" t="s">
        <v>57</v>
      </c>
      <c r="FO186" t="s">
        <v>175</v>
      </c>
      <c r="FP186" t="s">
        <v>57</v>
      </c>
      <c r="FQ186" t="s">
        <v>57</v>
      </c>
      <c r="FR186" t="s">
        <v>57</v>
      </c>
      <c r="FS186" t="s">
        <v>57</v>
      </c>
      <c r="FT186" t="s">
        <v>57</v>
      </c>
      <c r="FU186" t="s">
        <v>57</v>
      </c>
      <c r="FV186" t="s">
        <v>57</v>
      </c>
      <c r="FW186" t="s">
        <v>57</v>
      </c>
      <c r="FX186" t="s">
        <v>57</v>
      </c>
      <c r="FY186" t="s">
        <v>57</v>
      </c>
      <c r="FZ186" t="s">
        <v>57</v>
      </c>
      <c r="GA186" t="s">
        <v>57</v>
      </c>
      <c r="GB186" t="s">
        <v>57</v>
      </c>
      <c r="GC186" t="s">
        <v>57</v>
      </c>
      <c r="GD186" t="s">
        <v>57</v>
      </c>
      <c r="GE186" t="s">
        <v>57</v>
      </c>
      <c r="GF186" t="s">
        <v>57</v>
      </c>
      <c r="GG186" t="s">
        <v>175</v>
      </c>
      <c r="GH186" t="s">
        <v>57</v>
      </c>
      <c r="GI186" t="s">
        <v>57</v>
      </c>
      <c r="GJ186" t="s">
        <v>57</v>
      </c>
      <c r="GK186" t="s">
        <v>57</v>
      </c>
      <c r="GL186" t="s">
        <v>57</v>
      </c>
      <c r="GM186" t="s">
        <v>57</v>
      </c>
      <c r="GN186" t="s">
        <v>57</v>
      </c>
      <c r="GO186" t="s">
        <v>57</v>
      </c>
      <c r="GP186" t="s">
        <v>57</v>
      </c>
      <c r="GQ186" t="s">
        <v>57</v>
      </c>
      <c r="GR186" t="s">
        <v>57</v>
      </c>
      <c r="GS186" t="s">
        <v>57</v>
      </c>
      <c r="GT186" t="s">
        <v>57</v>
      </c>
      <c r="GU186" t="s">
        <v>57</v>
      </c>
      <c r="GV186" t="s">
        <v>57</v>
      </c>
      <c r="GW186" t="s">
        <v>57</v>
      </c>
      <c r="GX186" t="s">
        <v>57</v>
      </c>
      <c r="GY186" t="s">
        <v>57</v>
      </c>
      <c r="GZ186" t="s">
        <v>57</v>
      </c>
      <c r="HA186" t="s">
        <v>57</v>
      </c>
      <c r="HB186" t="s">
        <v>57</v>
      </c>
      <c r="HC186" t="s">
        <v>57</v>
      </c>
      <c r="HD186" t="s">
        <v>57</v>
      </c>
      <c r="HE186" t="s">
        <v>57</v>
      </c>
      <c r="HF186" t="s">
        <v>57</v>
      </c>
      <c r="HG186" t="s">
        <v>57</v>
      </c>
      <c r="HH186" t="s">
        <v>57</v>
      </c>
      <c r="HI186" t="s">
        <v>175</v>
      </c>
      <c r="HJ186" t="s">
        <v>175</v>
      </c>
      <c r="HK186" t="s">
        <v>175</v>
      </c>
      <c r="HL186" t="s">
        <v>57</v>
      </c>
      <c r="HM186" t="s">
        <v>57</v>
      </c>
      <c r="HN186" t="s">
        <v>57</v>
      </c>
      <c r="HO186" t="s">
        <v>57</v>
      </c>
      <c r="HP186" t="s">
        <v>57</v>
      </c>
      <c r="HQ186" t="s">
        <v>57</v>
      </c>
      <c r="HR186" t="s">
        <v>57</v>
      </c>
      <c r="HS186" t="s">
        <v>57</v>
      </c>
      <c r="HT186" t="s">
        <v>57</v>
      </c>
      <c r="HU186" t="s">
        <v>57</v>
      </c>
      <c r="HV186" t="s">
        <v>57</v>
      </c>
      <c r="HW186" t="s">
        <v>57</v>
      </c>
      <c r="HX186" t="s">
        <v>57</v>
      </c>
      <c r="HY186" t="s">
        <v>57</v>
      </c>
      <c r="HZ186" t="s">
        <v>57</v>
      </c>
      <c r="IA186" t="s">
        <v>57</v>
      </c>
      <c r="IB186" t="s">
        <v>57</v>
      </c>
      <c r="IC186" t="s">
        <v>57</v>
      </c>
      <c r="ID186" t="s">
        <v>57</v>
      </c>
      <c r="IE186" t="s">
        <v>57</v>
      </c>
      <c r="IF186" t="s">
        <v>124</v>
      </c>
      <c r="IG186" t="s">
        <v>148</v>
      </c>
      <c r="IH186" t="s">
        <v>123</v>
      </c>
      <c r="II186" t="s">
        <v>156</v>
      </c>
    </row>
    <row r="187" spans="1:243" x14ac:dyDescent="0.25">
      <c r="A187" s="201" t="str">
        <f>HYPERLINK("http://www.ofsted.gov.uk/inspection-reports/find-inspection-report/provider/ELS/136122 ","Ofsted School Webpage")</f>
        <v>Ofsted School Webpage</v>
      </c>
      <c r="B187">
        <v>136122</v>
      </c>
      <c r="C187">
        <v>8226015</v>
      </c>
      <c r="D187" t="s">
        <v>289</v>
      </c>
      <c r="E187" t="s">
        <v>36</v>
      </c>
      <c r="F187" t="s">
        <v>166</v>
      </c>
      <c r="G187" t="s">
        <v>177</v>
      </c>
      <c r="H187" t="s">
        <v>177</v>
      </c>
      <c r="I187" t="s">
        <v>290</v>
      </c>
      <c r="J187" t="s">
        <v>291</v>
      </c>
      <c r="K187" t="s">
        <v>142</v>
      </c>
      <c r="L187" t="s">
        <v>142</v>
      </c>
      <c r="M187" t="s">
        <v>2596</v>
      </c>
      <c r="N187" t="s">
        <v>143</v>
      </c>
      <c r="O187">
        <v>10038907</v>
      </c>
      <c r="P187" s="108">
        <v>43004</v>
      </c>
      <c r="Q187" s="108">
        <v>43006</v>
      </c>
      <c r="R187" s="108">
        <v>43046</v>
      </c>
      <c r="S187" t="s">
        <v>153</v>
      </c>
      <c r="T187" t="s">
        <v>154</v>
      </c>
      <c r="U187">
        <v>3</v>
      </c>
      <c r="V187">
        <v>3</v>
      </c>
      <c r="W187">
        <v>2</v>
      </c>
      <c r="X187">
        <v>3</v>
      </c>
      <c r="Y187">
        <v>3</v>
      </c>
      <c r="Z187" t="s">
        <v>2596</v>
      </c>
      <c r="AA187" t="s">
        <v>2596</v>
      </c>
      <c r="AB187" t="s">
        <v>123</v>
      </c>
      <c r="AC187" t="s">
        <v>2596</v>
      </c>
      <c r="AD187" t="s">
        <v>2598</v>
      </c>
      <c r="AE187" t="s">
        <v>57</v>
      </c>
      <c r="AF187" t="s">
        <v>57</v>
      </c>
      <c r="AG187" t="s">
        <v>57</v>
      </c>
      <c r="AH187" t="s">
        <v>57</v>
      </c>
      <c r="AI187" t="s">
        <v>57</v>
      </c>
      <c r="AJ187" t="s">
        <v>57</v>
      </c>
      <c r="AK187" t="s">
        <v>57</v>
      </c>
      <c r="AL187" t="s">
        <v>57</v>
      </c>
      <c r="AM187" t="s">
        <v>57</v>
      </c>
      <c r="AN187" t="s">
        <v>57</v>
      </c>
      <c r="AO187" t="s">
        <v>57</v>
      </c>
      <c r="AP187" t="s">
        <v>57</v>
      </c>
      <c r="AQ187" t="s">
        <v>57</v>
      </c>
      <c r="AR187" t="s">
        <v>57</v>
      </c>
      <c r="AS187" t="s">
        <v>57</v>
      </c>
      <c r="AT187" t="s">
        <v>57</v>
      </c>
      <c r="AU187" t="s">
        <v>175</v>
      </c>
      <c r="AV187" t="s">
        <v>57</v>
      </c>
      <c r="AW187" t="s">
        <v>57</v>
      </c>
      <c r="AX187" t="s">
        <v>57</v>
      </c>
      <c r="AY187" t="s">
        <v>57</v>
      </c>
      <c r="AZ187" t="s">
        <v>57</v>
      </c>
      <c r="BA187" t="s">
        <v>57</v>
      </c>
      <c r="BB187" t="s">
        <v>57</v>
      </c>
      <c r="BC187" t="s">
        <v>175</v>
      </c>
      <c r="BD187" t="s">
        <v>57</v>
      </c>
      <c r="BE187" t="s">
        <v>57</v>
      </c>
      <c r="BF187" t="s">
        <v>57</v>
      </c>
      <c r="BG187" t="s">
        <v>57</v>
      </c>
      <c r="BH187" t="s">
        <v>57</v>
      </c>
      <c r="BI187" t="s">
        <v>57</v>
      </c>
      <c r="BJ187" t="s">
        <v>57</v>
      </c>
      <c r="BK187" t="s">
        <v>57</v>
      </c>
      <c r="BL187" t="s">
        <v>57</v>
      </c>
      <c r="BM187" t="s">
        <v>57</v>
      </c>
      <c r="BN187" t="s">
        <v>57</v>
      </c>
      <c r="BO187" t="s">
        <v>57</v>
      </c>
      <c r="BP187" t="s">
        <v>57</v>
      </c>
      <c r="BQ187" t="s">
        <v>57</v>
      </c>
      <c r="BR187" t="s">
        <v>57</v>
      </c>
      <c r="BS187" t="s">
        <v>57</v>
      </c>
      <c r="BT187" t="s">
        <v>57</v>
      </c>
      <c r="BU187" t="s">
        <v>57</v>
      </c>
      <c r="BV187" t="s">
        <v>57</v>
      </c>
      <c r="BW187" t="s">
        <v>57</v>
      </c>
      <c r="BX187" t="s">
        <v>57</v>
      </c>
      <c r="BY187" t="s">
        <v>57</v>
      </c>
      <c r="BZ187" t="s">
        <v>57</v>
      </c>
      <c r="CA187" t="s">
        <v>57</v>
      </c>
      <c r="CB187" t="s">
        <v>57</v>
      </c>
      <c r="CC187" t="s">
        <v>57</v>
      </c>
      <c r="CD187" t="s">
        <v>57</v>
      </c>
      <c r="CE187" t="s">
        <v>57</v>
      </c>
      <c r="CF187" t="s">
        <v>57</v>
      </c>
      <c r="CG187" t="s">
        <v>57</v>
      </c>
      <c r="CH187" t="s">
        <v>57</v>
      </c>
      <c r="CI187" t="s">
        <v>57</v>
      </c>
      <c r="CJ187" t="s">
        <v>57</v>
      </c>
      <c r="CK187" t="s">
        <v>175</v>
      </c>
      <c r="CL187" t="s">
        <v>175</v>
      </c>
      <c r="CM187" t="s">
        <v>175</v>
      </c>
      <c r="CN187" t="s">
        <v>57</v>
      </c>
      <c r="CO187" t="s">
        <v>57</v>
      </c>
      <c r="CP187" t="s">
        <v>57</v>
      </c>
      <c r="CQ187" t="s">
        <v>57</v>
      </c>
      <c r="CR187" t="s">
        <v>57</v>
      </c>
      <c r="CS187" t="s">
        <v>57</v>
      </c>
      <c r="CT187" t="s">
        <v>57</v>
      </c>
      <c r="CU187" t="s">
        <v>57</v>
      </c>
      <c r="CV187" t="s">
        <v>57</v>
      </c>
      <c r="CW187" t="s">
        <v>57</v>
      </c>
      <c r="CX187" t="s">
        <v>57</v>
      </c>
      <c r="CY187" t="s">
        <v>57</v>
      </c>
      <c r="CZ187" t="s">
        <v>57</v>
      </c>
      <c r="DA187" t="s">
        <v>57</v>
      </c>
      <c r="DB187" t="s">
        <v>57</v>
      </c>
      <c r="DC187" t="s">
        <v>57</v>
      </c>
      <c r="DD187" t="s">
        <v>57</v>
      </c>
      <c r="DE187" t="s">
        <v>57</v>
      </c>
      <c r="DF187" t="s">
        <v>57</v>
      </c>
      <c r="DG187" t="s">
        <v>57</v>
      </c>
      <c r="DH187" t="s">
        <v>57</v>
      </c>
      <c r="DI187" t="s">
        <v>57</v>
      </c>
      <c r="DJ187" t="s">
        <v>57</v>
      </c>
      <c r="DK187" t="s">
        <v>175</v>
      </c>
      <c r="DL187" t="s">
        <v>57</v>
      </c>
      <c r="DM187" t="s">
        <v>175</v>
      </c>
      <c r="DN187" t="s">
        <v>175</v>
      </c>
      <c r="DO187" t="s">
        <v>175</v>
      </c>
      <c r="DP187" t="s">
        <v>175</v>
      </c>
      <c r="DQ187" t="s">
        <v>175</v>
      </c>
      <c r="DR187" t="s">
        <v>175</v>
      </c>
      <c r="DS187" t="s">
        <v>175</v>
      </c>
      <c r="DT187" t="s">
        <v>175</v>
      </c>
      <c r="DU187" t="s">
        <v>175</v>
      </c>
      <c r="DV187" t="s">
        <v>175</v>
      </c>
      <c r="DW187" t="s">
        <v>175</v>
      </c>
      <c r="DX187" t="s">
        <v>175</v>
      </c>
      <c r="DY187" t="s">
        <v>175</v>
      </c>
      <c r="DZ187" t="s">
        <v>57</v>
      </c>
      <c r="EA187" t="s">
        <v>57</v>
      </c>
      <c r="EB187" t="s">
        <v>57</v>
      </c>
      <c r="EC187" t="s">
        <v>57</v>
      </c>
      <c r="ED187" t="s">
        <v>57</v>
      </c>
      <c r="EE187" t="s">
        <v>57</v>
      </c>
      <c r="EF187" t="s">
        <v>57</v>
      </c>
      <c r="EG187" t="s">
        <v>57</v>
      </c>
      <c r="EH187" t="s">
        <v>57</v>
      </c>
      <c r="EI187" t="s">
        <v>57</v>
      </c>
      <c r="EJ187" t="s">
        <v>57</v>
      </c>
      <c r="EK187" t="s">
        <v>57</v>
      </c>
      <c r="EL187" t="s">
        <v>57</v>
      </c>
      <c r="EM187" t="s">
        <v>57</v>
      </c>
      <c r="EN187" t="s">
        <v>57</v>
      </c>
      <c r="EO187" t="s">
        <v>57</v>
      </c>
      <c r="EP187" t="s">
        <v>57</v>
      </c>
      <c r="EQ187" t="s">
        <v>57</v>
      </c>
      <c r="ER187" t="s">
        <v>57</v>
      </c>
      <c r="ES187" t="s">
        <v>57</v>
      </c>
      <c r="ET187" t="s">
        <v>57</v>
      </c>
      <c r="EU187" t="s">
        <v>57</v>
      </c>
      <c r="EV187" t="s">
        <v>57</v>
      </c>
      <c r="EW187" t="s">
        <v>57</v>
      </c>
      <c r="EX187" t="s">
        <v>175</v>
      </c>
      <c r="EY187" t="s">
        <v>175</v>
      </c>
      <c r="EZ187" t="s">
        <v>175</v>
      </c>
      <c r="FA187" t="s">
        <v>175</v>
      </c>
      <c r="FB187" t="s">
        <v>175</v>
      </c>
      <c r="FC187" t="s">
        <v>175</v>
      </c>
      <c r="FD187" t="s">
        <v>57</v>
      </c>
      <c r="FE187" t="s">
        <v>57</v>
      </c>
      <c r="FF187" t="s">
        <v>57</v>
      </c>
      <c r="FG187" t="s">
        <v>57</v>
      </c>
      <c r="FH187" t="s">
        <v>57</v>
      </c>
      <c r="FI187" t="s">
        <v>57</v>
      </c>
      <c r="FJ187" t="s">
        <v>57</v>
      </c>
      <c r="FK187" t="s">
        <v>57</v>
      </c>
      <c r="FL187" t="s">
        <v>57</v>
      </c>
      <c r="FM187" t="s">
        <v>57</v>
      </c>
      <c r="FN187" t="s">
        <v>57</v>
      </c>
      <c r="FO187" t="s">
        <v>175</v>
      </c>
      <c r="FP187" t="s">
        <v>57</v>
      </c>
      <c r="FQ187" t="s">
        <v>57</v>
      </c>
      <c r="FR187" t="s">
        <v>57</v>
      </c>
      <c r="FS187" t="s">
        <v>57</v>
      </c>
      <c r="FT187" t="s">
        <v>57</v>
      </c>
      <c r="FU187" t="s">
        <v>57</v>
      </c>
      <c r="FV187" t="s">
        <v>57</v>
      </c>
      <c r="FW187" t="s">
        <v>57</v>
      </c>
      <c r="FX187" t="s">
        <v>57</v>
      </c>
      <c r="FY187" t="s">
        <v>57</v>
      </c>
      <c r="FZ187" t="s">
        <v>57</v>
      </c>
      <c r="GA187" t="s">
        <v>57</v>
      </c>
      <c r="GB187" t="s">
        <v>57</v>
      </c>
      <c r="GC187" t="s">
        <v>57</v>
      </c>
      <c r="GD187" t="s">
        <v>57</v>
      </c>
      <c r="GE187" t="s">
        <v>57</v>
      </c>
      <c r="GF187" t="s">
        <v>57</v>
      </c>
      <c r="GG187" t="s">
        <v>175</v>
      </c>
      <c r="GH187" t="s">
        <v>57</v>
      </c>
      <c r="GI187" t="s">
        <v>57</v>
      </c>
      <c r="GJ187" t="s">
        <v>57</v>
      </c>
      <c r="GK187" t="s">
        <v>57</v>
      </c>
      <c r="GL187" t="s">
        <v>57</v>
      </c>
      <c r="GM187" t="s">
        <v>175</v>
      </c>
      <c r="GN187" t="s">
        <v>57</v>
      </c>
      <c r="GO187" t="s">
        <v>57</v>
      </c>
      <c r="GP187" t="s">
        <v>57</v>
      </c>
      <c r="GQ187" t="s">
        <v>57</v>
      </c>
      <c r="GR187" t="s">
        <v>57</v>
      </c>
      <c r="GS187" t="s">
        <v>57</v>
      </c>
      <c r="GT187" t="s">
        <v>57</v>
      </c>
      <c r="GU187" t="s">
        <v>57</v>
      </c>
      <c r="GV187" t="s">
        <v>57</v>
      </c>
      <c r="GW187" t="s">
        <v>175</v>
      </c>
      <c r="GX187" t="s">
        <v>57</v>
      </c>
      <c r="GY187" t="s">
        <v>57</v>
      </c>
      <c r="GZ187" t="s">
        <v>57</v>
      </c>
      <c r="HA187" t="s">
        <v>57</v>
      </c>
      <c r="HB187" t="s">
        <v>57</v>
      </c>
      <c r="HC187" t="s">
        <v>57</v>
      </c>
      <c r="HD187" t="s">
        <v>57</v>
      </c>
      <c r="HE187" t="s">
        <v>57</v>
      </c>
      <c r="HF187" t="s">
        <v>57</v>
      </c>
      <c r="HG187" t="s">
        <v>57</v>
      </c>
      <c r="HH187" t="s">
        <v>57</v>
      </c>
      <c r="HI187" t="s">
        <v>57</v>
      </c>
      <c r="HJ187" t="s">
        <v>57</v>
      </c>
      <c r="HK187" t="s">
        <v>57</v>
      </c>
      <c r="HL187" t="s">
        <v>57</v>
      </c>
      <c r="HM187" t="s">
        <v>57</v>
      </c>
      <c r="HN187" t="s">
        <v>57</v>
      </c>
      <c r="HO187" t="s">
        <v>57</v>
      </c>
      <c r="HP187" t="s">
        <v>57</v>
      </c>
      <c r="HQ187" t="s">
        <v>57</v>
      </c>
      <c r="HR187" t="s">
        <v>57</v>
      </c>
      <c r="HS187" t="s">
        <v>57</v>
      </c>
      <c r="HT187" t="s">
        <v>57</v>
      </c>
      <c r="HU187" t="s">
        <v>57</v>
      </c>
      <c r="HV187" t="s">
        <v>57</v>
      </c>
      <c r="HW187" t="s">
        <v>57</v>
      </c>
      <c r="HX187" t="s">
        <v>57</v>
      </c>
      <c r="HY187" t="s">
        <v>57</v>
      </c>
      <c r="HZ187" t="s">
        <v>57</v>
      </c>
      <c r="IA187" t="s">
        <v>57</v>
      </c>
      <c r="IB187" t="s">
        <v>57</v>
      </c>
      <c r="IC187" t="s">
        <v>57</v>
      </c>
      <c r="ID187" t="s">
        <v>57</v>
      </c>
      <c r="IE187" t="s">
        <v>57</v>
      </c>
      <c r="IF187" t="s">
        <v>124</v>
      </c>
      <c r="IG187" t="s">
        <v>148</v>
      </c>
      <c r="IH187" t="s">
        <v>123</v>
      </c>
      <c r="II187" t="s">
        <v>156</v>
      </c>
    </row>
    <row r="188" spans="1:243" x14ac:dyDescent="0.25">
      <c r="A188" s="201" t="str">
        <f>HYPERLINK("http://www.ofsted.gov.uk/inspection-reports/find-inspection-report/provider/ELS/136123 ","Ofsted School Webpage")</f>
        <v>Ofsted School Webpage</v>
      </c>
      <c r="B188">
        <v>136123</v>
      </c>
      <c r="C188">
        <v>3306170</v>
      </c>
      <c r="D188" t="s">
        <v>453</v>
      </c>
      <c r="E188" t="s">
        <v>36</v>
      </c>
      <c r="F188" t="s">
        <v>166</v>
      </c>
      <c r="G188" t="s">
        <v>150</v>
      </c>
      <c r="H188" t="s">
        <v>150</v>
      </c>
      <c r="I188" t="s">
        <v>167</v>
      </c>
      <c r="J188" t="s">
        <v>454</v>
      </c>
      <c r="K188" t="s">
        <v>261</v>
      </c>
      <c r="L188" t="s">
        <v>180</v>
      </c>
      <c r="M188" t="s">
        <v>2596</v>
      </c>
      <c r="N188" t="s">
        <v>143</v>
      </c>
      <c r="O188">
        <v>10038841</v>
      </c>
      <c r="P188" s="108">
        <v>43039</v>
      </c>
      <c r="Q188" s="108">
        <v>43041</v>
      </c>
      <c r="R188" s="108">
        <v>43067</v>
      </c>
      <c r="S188" t="s">
        <v>153</v>
      </c>
      <c r="T188" t="s">
        <v>154</v>
      </c>
      <c r="U188">
        <v>3</v>
      </c>
      <c r="V188">
        <v>3</v>
      </c>
      <c r="W188">
        <v>2</v>
      </c>
      <c r="X188">
        <v>3</v>
      </c>
      <c r="Y188">
        <v>3</v>
      </c>
      <c r="Z188" t="s">
        <v>2596</v>
      </c>
      <c r="AA188" t="s">
        <v>2596</v>
      </c>
      <c r="AB188" t="s">
        <v>123</v>
      </c>
      <c r="AC188" t="s">
        <v>2596</v>
      </c>
      <c r="AD188" t="s">
        <v>2599</v>
      </c>
      <c r="AE188" t="s">
        <v>57</v>
      </c>
      <c r="AF188" t="s">
        <v>57</v>
      </c>
      <c r="AG188" t="s">
        <v>57</v>
      </c>
      <c r="AH188" t="s">
        <v>57</v>
      </c>
      <c r="AI188" t="s">
        <v>57</v>
      </c>
      <c r="AJ188" t="s">
        <v>57</v>
      </c>
      <c r="AK188" t="s">
        <v>57</v>
      </c>
      <c r="AL188" t="s">
        <v>58</v>
      </c>
      <c r="AM188" t="s">
        <v>57</v>
      </c>
      <c r="AN188" t="s">
        <v>57</v>
      </c>
      <c r="AO188" t="s">
        <v>57</v>
      </c>
      <c r="AP188" t="s">
        <v>57</v>
      </c>
      <c r="AQ188" t="s">
        <v>57</v>
      </c>
      <c r="AR188" t="s">
        <v>57</v>
      </c>
      <c r="AS188" t="s">
        <v>57</v>
      </c>
      <c r="AT188" t="s">
        <v>57</v>
      </c>
      <c r="AU188" t="s">
        <v>175</v>
      </c>
      <c r="AV188" t="s">
        <v>57</v>
      </c>
      <c r="AW188" t="s">
        <v>57</v>
      </c>
      <c r="AX188" t="s">
        <v>57</v>
      </c>
      <c r="AY188" t="s">
        <v>57</v>
      </c>
      <c r="AZ188" t="s">
        <v>57</v>
      </c>
      <c r="BA188" t="s">
        <v>57</v>
      </c>
      <c r="BB188" t="s">
        <v>57</v>
      </c>
      <c r="BC188" t="s">
        <v>175</v>
      </c>
      <c r="BD188" t="s">
        <v>175</v>
      </c>
      <c r="BE188" t="s">
        <v>57</v>
      </c>
      <c r="BF188" t="s">
        <v>57</v>
      </c>
      <c r="BG188" t="s">
        <v>58</v>
      </c>
      <c r="BH188" t="s">
        <v>58</v>
      </c>
      <c r="BI188" t="s">
        <v>58</v>
      </c>
      <c r="BJ188" t="s">
        <v>58</v>
      </c>
      <c r="BK188" t="s">
        <v>57</v>
      </c>
      <c r="BL188" t="s">
        <v>57</v>
      </c>
      <c r="BM188" t="s">
        <v>57</v>
      </c>
      <c r="BN188" t="s">
        <v>58</v>
      </c>
      <c r="BO188" t="s">
        <v>57</v>
      </c>
      <c r="BP188" t="s">
        <v>57</v>
      </c>
      <c r="BQ188" t="s">
        <v>57</v>
      </c>
      <c r="BR188" t="s">
        <v>57</v>
      </c>
      <c r="BS188" t="s">
        <v>57</v>
      </c>
      <c r="BT188" t="s">
        <v>57</v>
      </c>
      <c r="BU188" t="s">
        <v>57</v>
      </c>
      <c r="BV188" t="s">
        <v>57</v>
      </c>
      <c r="BW188" t="s">
        <v>57</v>
      </c>
      <c r="BX188" t="s">
        <v>57</v>
      </c>
      <c r="BY188" t="s">
        <v>57</v>
      </c>
      <c r="BZ188" t="s">
        <v>57</v>
      </c>
      <c r="CA188" t="s">
        <v>57</v>
      </c>
      <c r="CB188" t="s">
        <v>57</v>
      </c>
      <c r="CC188" t="s">
        <v>57</v>
      </c>
      <c r="CD188" t="s">
        <v>57</v>
      </c>
      <c r="CE188" t="s">
        <v>57</v>
      </c>
      <c r="CF188" t="s">
        <v>57</v>
      </c>
      <c r="CG188" t="s">
        <v>57</v>
      </c>
      <c r="CH188" t="s">
        <v>57</v>
      </c>
      <c r="CI188" t="s">
        <v>57</v>
      </c>
      <c r="CJ188" t="s">
        <v>57</v>
      </c>
      <c r="CK188" t="s">
        <v>175</v>
      </c>
      <c r="CL188" t="s">
        <v>175</v>
      </c>
      <c r="CM188" t="s">
        <v>175</v>
      </c>
      <c r="CN188" t="s">
        <v>57</v>
      </c>
      <c r="CO188" t="s">
        <v>57</v>
      </c>
      <c r="CP188" t="s">
        <v>57</v>
      </c>
      <c r="CQ188" t="s">
        <v>57</v>
      </c>
      <c r="CR188" t="s">
        <v>57</v>
      </c>
      <c r="CS188" t="s">
        <v>57</v>
      </c>
      <c r="CT188" t="s">
        <v>57</v>
      </c>
      <c r="CU188" t="s">
        <v>57</v>
      </c>
      <c r="CV188" t="s">
        <v>57</v>
      </c>
      <c r="CW188" t="s">
        <v>57</v>
      </c>
      <c r="CX188" t="s">
        <v>57</v>
      </c>
      <c r="CY188" t="s">
        <v>57</v>
      </c>
      <c r="CZ188" t="s">
        <v>57</v>
      </c>
      <c r="DA188" t="s">
        <v>57</v>
      </c>
      <c r="DB188" t="s">
        <v>57</v>
      </c>
      <c r="DC188" t="s">
        <v>57</v>
      </c>
      <c r="DD188" t="s">
        <v>57</v>
      </c>
      <c r="DE188" t="s">
        <v>57</v>
      </c>
      <c r="DF188" t="s">
        <v>57</v>
      </c>
      <c r="DG188" t="s">
        <v>57</v>
      </c>
      <c r="DH188" t="s">
        <v>57</v>
      </c>
      <c r="DI188" t="s">
        <v>57</v>
      </c>
      <c r="DJ188" t="s">
        <v>57</v>
      </c>
      <c r="DK188" t="s">
        <v>175</v>
      </c>
      <c r="DL188" t="s">
        <v>57</v>
      </c>
      <c r="DM188" t="s">
        <v>175</v>
      </c>
      <c r="DN188" t="s">
        <v>175</v>
      </c>
      <c r="DO188" t="s">
        <v>175</v>
      </c>
      <c r="DP188" t="s">
        <v>175</v>
      </c>
      <c r="DQ188" t="s">
        <v>175</v>
      </c>
      <c r="DR188" t="s">
        <v>175</v>
      </c>
      <c r="DS188" t="s">
        <v>175</v>
      </c>
      <c r="DT188" t="s">
        <v>175</v>
      </c>
      <c r="DU188" t="s">
        <v>175</v>
      </c>
      <c r="DV188" t="s">
        <v>175</v>
      </c>
      <c r="DW188" t="s">
        <v>175</v>
      </c>
      <c r="DX188" t="s">
        <v>175</v>
      </c>
      <c r="DY188" t="s">
        <v>175</v>
      </c>
      <c r="DZ188" t="s">
        <v>57</v>
      </c>
      <c r="EA188" t="s">
        <v>57</v>
      </c>
      <c r="EB188" t="s">
        <v>57</v>
      </c>
      <c r="EC188" t="s">
        <v>57</v>
      </c>
      <c r="ED188" t="s">
        <v>57</v>
      </c>
      <c r="EE188" t="s">
        <v>57</v>
      </c>
      <c r="EF188" t="s">
        <v>57</v>
      </c>
      <c r="EG188" t="s">
        <v>57</v>
      </c>
      <c r="EH188" t="s">
        <v>57</v>
      </c>
      <c r="EI188" t="s">
        <v>57</v>
      </c>
      <c r="EJ188" t="s">
        <v>57</v>
      </c>
      <c r="EK188" t="s">
        <v>57</v>
      </c>
      <c r="EL188" t="s">
        <v>57</v>
      </c>
      <c r="EM188" t="s">
        <v>57</v>
      </c>
      <c r="EN188" t="s">
        <v>57</v>
      </c>
      <c r="EO188" t="s">
        <v>57</v>
      </c>
      <c r="EP188" t="s">
        <v>57</v>
      </c>
      <c r="EQ188" t="s">
        <v>57</v>
      </c>
      <c r="ER188" t="s">
        <v>57</v>
      </c>
      <c r="ES188" t="s">
        <v>57</v>
      </c>
      <c r="ET188" t="s">
        <v>57</v>
      </c>
      <c r="EU188" t="s">
        <v>57</v>
      </c>
      <c r="EV188" t="s">
        <v>57</v>
      </c>
      <c r="EW188" t="s">
        <v>57</v>
      </c>
      <c r="EX188" t="s">
        <v>175</v>
      </c>
      <c r="EY188" t="s">
        <v>175</v>
      </c>
      <c r="EZ188" t="s">
        <v>175</v>
      </c>
      <c r="FA188" t="s">
        <v>175</v>
      </c>
      <c r="FB188" t="s">
        <v>175</v>
      </c>
      <c r="FC188" t="s">
        <v>175</v>
      </c>
      <c r="FD188" t="s">
        <v>57</v>
      </c>
      <c r="FE188" t="s">
        <v>57</v>
      </c>
      <c r="FF188" t="s">
        <v>57</v>
      </c>
      <c r="FG188" t="s">
        <v>57</v>
      </c>
      <c r="FH188" t="s">
        <v>57</v>
      </c>
      <c r="FI188" t="s">
        <v>57</v>
      </c>
      <c r="FJ188" t="s">
        <v>175</v>
      </c>
      <c r="FK188" t="s">
        <v>57</v>
      </c>
      <c r="FL188" t="s">
        <v>57</v>
      </c>
      <c r="FM188" t="s">
        <v>57</v>
      </c>
      <c r="FN188" t="s">
        <v>57</v>
      </c>
      <c r="FO188" t="s">
        <v>175</v>
      </c>
      <c r="FP188" t="s">
        <v>57</v>
      </c>
      <c r="FQ188" t="s">
        <v>57</v>
      </c>
      <c r="FR188" t="s">
        <v>57</v>
      </c>
      <c r="FS188" t="s">
        <v>57</v>
      </c>
      <c r="FT188" t="s">
        <v>57</v>
      </c>
      <c r="FU188" t="s">
        <v>57</v>
      </c>
      <c r="FV188" t="s">
        <v>57</v>
      </c>
      <c r="FW188" t="s">
        <v>57</v>
      </c>
      <c r="FX188" t="s">
        <v>57</v>
      </c>
      <c r="FY188" t="s">
        <v>57</v>
      </c>
      <c r="FZ188" t="s">
        <v>57</v>
      </c>
      <c r="GA188" t="s">
        <v>57</v>
      </c>
      <c r="GB188" t="s">
        <v>57</v>
      </c>
      <c r="GC188" t="s">
        <v>57</v>
      </c>
      <c r="GD188" t="s">
        <v>57</v>
      </c>
      <c r="GE188" t="s">
        <v>57</v>
      </c>
      <c r="GF188" t="s">
        <v>57</v>
      </c>
      <c r="GG188" t="s">
        <v>175</v>
      </c>
      <c r="GH188" t="s">
        <v>57</v>
      </c>
      <c r="GI188" t="s">
        <v>57</v>
      </c>
      <c r="GJ188" t="s">
        <v>57</v>
      </c>
      <c r="GK188" t="s">
        <v>57</v>
      </c>
      <c r="GL188" t="s">
        <v>57</v>
      </c>
      <c r="GM188" t="s">
        <v>175</v>
      </c>
      <c r="GN188" t="s">
        <v>57</v>
      </c>
      <c r="GO188" t="s">
        <v>57</v>
      </c>
      <c r="GP188" t="s">
        <v>175</v>
      </c>
      <c r="GQ188" t="s">
        <v>175</v>
      </c>
      <c r="GR188" t="s">
        <v>57</v>
      </c>
      <c r="GS188" t="s">
        <v>57</v>
      </c>
      <c r="GT188" t="s">
        <v>57</v>
      </c>
      <c r="GU188" t="s">
        <v>57</v>
      </c>
      <c r="GV188" t="s">
        <v>175</v>
      </c>
      <c r="GW188" t="s">
        <v>57</v>
      </c>
      <c r="GX188" t="s">
        <v>57</v>
      </c>
      <c r="GY188" t="s">
        <v>57</v>
      </c>
      <c r="GZ188" t="s">
        <v>57</v>
      </c>
      <c r="HA188" t="s">
        <v>57</v>
      </c>
      <c r="HB188" t="s">
        <v>57</v>
      </c>
      <c r="HC188" t="s">
        <v>57</v>
      </c>
      <c r="HD188" t="s">
        <v>57</v>
      </c>
      <c r="HE188" t="s">
        <v>57</v>
      </c>
      <c r="HF188" t="s">
        <v>57</v>
      </c>
      <c r="HG188" t="s">
        <v>57</v>
      </c>
      <c r="HH188" t="s">
        <v>175</v>
      </c>
      <c r="HI188" t="s">
        <v>175</v>
      </c>
      <c r="HJ188" t="s">
        <v>175</v>
      </c>
      <c r="HK188" t="s">
        <v>175</v>
      </c>
      <c r="HL188" t="s">
        <v>57</v>
      </c>
      <c r="HM188" t="s">
        <v>57</v>
      </c>
      <c r="HN188" t="s">
        <v>57</v>
      </c>
      <c r="HO188" t="s">
        <v>57</v>
      </c>
      <c r="HP188" t="s">
        <v>57</v>
      </c>
      <c r="HQ188" t="s">
        <v>57</v>
      </c>
      <c r="HR188" t="s">
        <v>57</v>
      </c>
      <c r="HS188" t="s">
        <v>57</v>
      </c>
      <c r="HT188" t="s">
        <v>57</v>
      </c>
      <c r="HU188" t="s">
        <v>57</v>
      </c>
      <c r="HV188" t="s">
        <v>57</v>
      </c>
      <c r="HW188" t="s">
        <v>57</v>
      </c>
      <c r="HX188" t="s">
        <v>57</v>
      </c>
      <c r="HY188" t="s">
        <v>57</v>
      </c>
      <c r="HZ188" t="s">
        <v>57</v>
      </c>
      <c r="IA188" t="s">
        <v>57</v>
      </c>
      <c r="IB188" t="s">
        <v>58</v>
      </c>
      <c r="IC188" t="s">
        <v>58</v>
      </c>
      <c r="ID188" t="s">
        <v>58</v>
      </c>
      <c r="IE188" t="s">
        <v>57</v>
      </c>
      <c r="IF188" t="s">
        <v>124</v>
      </c>
      <c r="IG188" t="s">
        <v>148</v>
      </c>
      <c r="IH188" t="s">
        <v>123</v>
      </c>
      <c r="II188" t="s">
        <v>156</v>
      </c>
    </row>
    <row r="189" spans="1:243" x14ac:dyDescent="0.25">
      <c r="A189" s="201" t="str">
        <f>HYPERLINK("http://www.ofsted.gov.uk/inspection-reports/find-inspection-report/provider/ELS/136143 ","Ofsted School Webpage")</f>
        <v>Ofsted School Webpage</v>
      </c>
      <c r="B189">
        <v>136143</v>
      </c>
      <c r="C189">
        <v>3556039</v>
      </c>
      <c r="D189" t="s">
        <v>2059</v>
      </c>
      <c r="E189" t="s">
        <v>36</v>
      </c>
      <c r="F189" t="s">
        <v>166</v>
      </c>
      <c r="G189" t="s">
        <v>162</v>
      </c>
      <c r="H189" t="s">
        <v>162</v>
      </c>
      <c r="I189" t="s">
        <v>804</v>
      </c>
      <c r="J189" t="s">
        <v>2060</v>
      </c>
      <c r="K189" t="s">
        <v>142</v>
      </c>
      <c r="L189" t="s">
        <v>275</v>
      </c>
      <c r="M189" t="s">
        <v>2596</v>
      </c>
      <c r="N189" t="s">
        <v>143</v>
      </c>
      <c r="O189">
        <v>10034032</v>
      </c>
      <c r="P189" s="108">
        <v>43110</v>
      </c>
      <c r="Q189" s="108">
        <v>43112</v>
      </c>
      <c r="R189" s="108">
        <v>43136</v>
      </c>
      <c r="S189" t="s">
        <v>153</v>
      </c>
      <c r="T189" t="s">
        <v>154</v>
      </c>
      <c r="U189">
        <v>2</v>
      </c>
      <c r="V189">
        <v>2</v>
      </c>
      <c r="W189">
        <v>1</v>
      </c>
      <c r="X189">
        <v>2</v>
      </c>
      <c r="Y189">
        <v>2</v>
      </c>
      <c r="Z189">
        <v>2</v>
      </c>
      <c r="AA189" t="s">
        <v>2596</v>
      </c>
      <c r="AB189" t="s">
        <v>123</v>
      </c>
      <c r="AC189" t="s">
        <v>2596</v>
      </c>
      <c r="AD189" t="s">
        <v>2598</v>
      </c>
      <c r="AE189" t="s">
        <v>57</v>
      </c>
      <c r="AF189" t="s">
        <v>57</v>
      </c>
      <c r="AG189" t="s">
        <v>57</v>
      </c>
      <c r="AH189" t="s">
        <v>57</v>
      </c>
      <c r="AI189" t="s">
        <v>57</v>
      </c>
      <c r="AJ189" t="s">
        <v>57</v>
      </c>
      <c r="AK189" t="s">
        <v>57</v>
      </c>
      <c r="AL189" t="s">
        <v>57</v>
      </c>
      <c r="AM189" t="s">
        <v>57</v>
      </c>
      <c r="AN189" t="s">
        <v>57</v>
      </c>
      <c r="AO189" t="s">
        <v>57</v>
      </c>
      <c r="AP189" t="s">
        <v>57</v>
      </c>
      <c r="AQ189" t="s">
        <v>57</v>
      </c>
      <c r="AR189" t="s">
        <v>57</v>
      </c>
      <c r="AS189" t="s">
        <v>57</v>
      </c>
      <c r="AT189" t="s">
        <v>57</v>
      </c>
      <c r="AU189" t="s">
        <v>175</v>
      </c>
      <c r="AV189" t="s">
        <v>57</v>
      </c>
      <c r="AW189" t="s">
        <v>57</v>
      </c>
      <c r="AX189" t="s">
        <v>57</v>
      </c>
      <c r="AY189" t="s">
        <v>57</v>
      </c>
      <c r="AZ189" t="s">
        <v>57</v>
      </c>
      <c r="BA189" t="s">
        <v>57</v>
      </c>
      <c r="BB189" t="s">
        <v>57</v>
      </c>
      <c r="BC189" t="s">
        <v>57</v>
      </c>
      <c r="BD189" t="s">
        <v>57</v>
      </c>
      <c r="BE189" t="s">
        <v>57</v>
      </c>
      <c r="BF189" t="s">
        <v>57</v>
      </c>
      <c r="BG189" t="s">
        <v>57</v>
      </c>
      <c r="BH189" t="s">
        <v>57</v>
      </c>
      <c r="BI189" t="s">
        <v>57</v>
      </c>
      <c r="BJ189" t="s">
        <v>57</v>
      </c>
      <c r="BK189" t="s">
        <v>57</v>
      </c>
      <c r="BL189" t="s">
        <v>57</v>
      </c>
      <c r="BM189" t="s">
        <v>57</v>
      </c>
      <c r="BN189" t="s">
        <v>57</v>
      </c>
      <c r="BO189" t="s">
        <v>57</v>
      </c>
      <c r="BP189" t="s">
        <v>57</v>
      </c>
      <c r="BQ189" t="s">
        <v>57</v>
      </c>
      <c r="BR189" t="s">
        <v>57</v>
      </c>
      <c r="BS189" t="s">
        <v>57</v>
      </c>
      <c r="BT189" t="s">
        <v>57</v>
      </c>
      <c r="BU189" t="s">
        <v>57</v>
      </c>
      <c r="BV189" t="s">
        <v>57</v>
      </c>
      <c r="BW189" t="s">
        <v>57</v>
      </c>
      <c r="BX189" t="s">
        <v>57</v>
      </c>
      <c r="BY189" t="s">
        <v>57</v>
      </c>
      <c r="BZ189" t="s">
        <v>57</v>
      </c>
      <c r="CA189" t="s">
        <v>57</v>
      </c>
      <c r="CB189" t="s">
        <v>57</v>
      </c>
      <c r="CC189" t="s">
        <v>57</v>
      </c>
      <c r="CD189" t="s">
        <v>57</v>
      </c>
      <c r="CE189" t="s">
        <v>57</v>
      </c>
      <c r="CF189" t="s">
        <v>57</v>
      </c>
      <c r="CG189" t="s">
        <v>57</v>
      </c>
      <c r="CH189" t="s">
        <v>57</v>
      </c>
      <c r="CI189" t="s">
        <v>57</v>
      </c>
      <c r="CJ189" t="s">
        <v>57</v>
      </c>
      <c r="CK189" t="s">
        <v>57</v>
      </c>
      <c r="CL189" t="s">
        <v>175</v>
      </c>
      <c r="CM189" t="s">
        <v>175</v>
      </c>
      <c r="CN189" t="s">
        <v>57</v>
      </c>
      <c r="CO189" t="s">
        <v>57</v>
      </c>
      <c r="CP189" t="s">
        <v>57</v>
      </c>
      <c r="CQ189" t="s">
        <v>57</v>
      </c>
      <c r="CR189" t="s">
        <v>57</v>
      </c>
      <c r="CS189" t="s">
        <v>57</v>
      </c>
      <c r="CT189" t="s">
        <v>57</v>
      </c>
      <c r="CU189" t="s">
        <v>57</v>
      </c>
      <c r="CV189" t="s">
        <v>57</v>
      </c>
      <c r="CW189" t="s">
        <v>57</v>
      </c>
      <c r="CX189" t="s">
        <v>57</v>
      </c>
      <c r="CY189" t="s">
        <v>57</v>
      </c>
      <c r="CZ189" t="s">
        <v>57</v>
      </c>
      <c r="DA189" t="s">
        <v>57</v>
      </c>
      <c r="DB189" t="s">
        <v>57</v>
      </c>
      <c r="DC189" t="s">
        <v>57</v>
      </c>
      <c r="DD189" t="s">
        <v>57</v>
      </c>
      <c r="DE189" t="s">
        <v>57</v>
      </c>
      <c r="DF189" t="s">
        <v>57</v>
      </c>
      <c r="DG189" t="s">
        <v>57</v>
      </c>
      <c r="DH189" t="s">
        <v>57</v>
      </c>
      <c r="DI189" t="s">
        <v>57</v>
      </c>
      <c r="DJ189" t="s">
        <v>57</v>
      </c>
      <c r="DK189" t="s">
        <v>175</v>
      </c>
      <c r="DL189" t="s">
        <v>57</v>
      </c>
      <c r="DM189" t="s">
        <v>57</v>
      </c>
      <c r="DN189" t="s">
        <v>57</v>
      </c>
      <c r="DO189" t="s">
        <v>57</v>
      </c>
      <c r="DP189" t="s">
        <v>57</v>
      </c>
      <c r="DQ189" t="s">
        <v>57</v>
      </c>
      <c r="DR189" t="s">
        <v>57</v>
      </c>
      <c r="DS189" t="s">
        <v>57</v>
      </c>
      <c r="DT189" t="s">
        <v>57</v>
      </c>
      <c r="DU189" t="s">
        <v>57</v>
      </c>
      <c r="DV189" t="s">
        <v>57</v>
      </c>
      <c r="DW189" t="s">
        <v>57</v>
      </c>
      <c r="DX189" t="s">
        <v>57</v>
      </c>
      <c r="DY189" t="s">
        <v>175</v>
      </c>
      <c r="DZ189" t="s">
        <v>57</v>
      </c>
      <c r="EA189" t="s">
        <v>57</v>
      </c>
      <c r="EB189" t="s">
        <v>57</v>
      </c>
      <c r="EC189" t="s">
        <v>57</v>
      </c>
      <c r="ED189" t="s">
        <v>57</v>
      </c>
      <c r="EE189" t="s">
        <v>57</v>
      </c>
      <c r="EF189" t="s">
        <v>57</v>
      </c>
      <c r="EG189" t="s">
        <v>57</v>
      </c>
      <c r="EH189" t="s">
        <v>57</v>
      </c>
      <c r="EI189" t="s">
        <v>57</v>
      </c>
      <c r="EJ189" t="s">
        <v>57</v>
      </c>
      <c r="EK189" t="s">
        <v>57</v>
      </c>
      <c r="EL189" t="s">
        <v>57</v>
      </c>
      <c r="EM189" t="s">
        <v>57</v>
      </c>
      <c r="EN189" t="s">
        <v>57</v>
      </c>
      <c r="EO189" t="s">
        <v>57</v>
      </c>
      <c r="EP189" t="s">
        <v>57</v>
      </c>
      <c r="EQ189" t="s">
        <v>57</v>
      </c>
      <c r="ER189" t="s">
        <v>57</v>
      </c>
      <c r="ES189" t="s">
        <v>57</v>
      </c>
      <c r="ET189" t="s">
        <v>57</v>
      </c>
      <c r="EU189" t="s">
        <v>57</v>
      </c>
      <c r="EV189" t="s">
        <v>57</v>
      </c>
      <c r="EW189" t="s">
        <v>57</v>
      </c>
      <c r="EX189" t="s">
        <v>57</v>
      </c>
      <c r="EY189" t="s">
        <v>57</v>
      </c>
      <c r="EZ189" t="s">
        <v>57</v>
      </c>
      <c r="FA189" t="s">
        <v>57</v>
      </c>
      <c r="FB189" t="s">
        <v>57</v>
      </c>
      <c r="FC189" t="s">
        <v>57</v>
      </c>
      <c r="FD189" t="s">
        <v>57</v>
      </c>
      <c r="FE189" t="s">
        <v>57</v>
      </c>
      <c r="FF189" t="s">
        <v>57</v>
      </c>
      <c r="FG189" t="s">
        <v>57</v>
      </c>
      <c r="FH189" t="s">
        <v>57</v>
      </c>
      <c r="FI189" t="s">
        <v>57</v>
      </c>
      <c r="FJ189" t="s">
        <v>175</v>
      </c>
      <c r="FK189" t="s">
        <v>57</v>
      </c>
      <c r="FL189" t="s">
        <v>57</v>
      </c>
      <c r="FM189" t="s">
        <v>57</v>
      </c>
      <c r="FN189" t="s">
        <v>57</v>
      </c>
      <c r="FO189" t="s">
        <v>175</v>
      </c>
      <c r="FP189" t="s">
        <v>57</v>
      </c>
      <c r="FQ189" t="s">
        <v>57</v>
      </c>
      <c r="FR189" t="s">
        <v>57</v>
      </c>
      <c r="FS189" t="s">
        <v>57</v>
      </c>
      <c r="FT189" t="s">
        <v>57</v>
      </c>
      <c r="FU189" t="s">
        <v>57</v>
      </c>
      <c r="FV189" t="s">
        <v>57</v>
      </c>
      <c r="FW189" t="s">
        <v>57</v>
      </c>
      <c r="FX189" t="s">
        <v>57</v>
      </c>
      <c r="FY189" t="s">
        <v>57</v>
      </c>
      <c r="FZ189" t="s">
        <v>57</v>
      </c>
      <c r="GA189" t="s">
        <v>57</v>
      </c>
      <c r="GB189" t="s">
        <v>57</v>
      </c>
      <c r="GC189" t="s">
        <v>57</v>
      </c>
      <c r="GD189" t="s">
        <v>57</v>
      </c>
      <c r="GE189" t="s">
        <v>57</v>
      </c>
      <c r="GF189" t="s">
        <v>57</v>
      </c>
      <c r="GG189" t="s">
        <v>175</v>
      </c>
      <c r="GH189" t="s">
        <v>57</v>
      </c>
      <c r="GI189" t="s">
        <v>57</v>
      </c>
      <c r="GJ189" t="s">
        <v>57</v>
      </c>
      <c r="GK189" t="s">
        <v>57</v>
      </c>
      <c r="GL189" t="s">
        <v>57</v>
      </c>
      <c r="GM189" t="s">
        <v>175</v>
      </c>
      <c r="GN189" t="s">
        <v>57</v>
      </c>
      <c r="GO189" t="s">
        <v>57</v>
      </c>
      <c r="GP189" t="s">
        <v>175</v>
      </c>
      <c r="GQ189" t="s">
        <v>175</v>
      </c>
      <c r="GR189" t="s">
        <v>57</v>
      </c>
      <c r="GS189" t="s">
        <v>57</v>
      </c>
      <c r="GT189" t="s">
        <v>57</v>
      </c>
      <c r="GU189" t="s">
        <v>57</v>
      </c>
      <c r="GV189" t="s">
        <v>57</v>
      </c>
      <c r="GW189" t="s">
        <v>175</v>
      </c>
      <c r="GX189" t="s">
        <v>175</v>
      </c>
      <c r="GY189" t="s">
        <v>57</v>
      </c>
      <c r="GZ189" t="s">
        <v>57</v>
      </c>
      <c r="HA189" t="s">
        <v>57</v>
      </c>
      <c r="HB189" t="s">
        <v>57</v>
      </c>
      <c r="HC189" t="s">
        <v>57</v>
      </c>
      <c r="HD189" t="s">
        <v>57</v>
      </c>
      <c r="HE189" t="s">
        <v>57</v>
      </c>
      <c r="HF189" t="s">
        <v>57</v>
      </c>
      <c r="HG189" t="s">
        <v>57</v>
      </c>
      <c r="HH189" t="s">
        <v>57</v>
      </c>
      <c r="HI189" t="s">
        <v>175</v>
      </c>
      <c r="HJ189" t="s">
        <v>175</v>
      </c>
      <c r="HK189" t="s">
        <v>175</v>
      </c>
      <c r="HL189" t="s">
        <v>57</v>
      </c>
      <c r="HM189" t="s">
        <v>57</v>
      </c>
      <c r="HN189" t="s">
        <v>57</v>
      </c>
      <c r="HO189" t="s">
        <v>57</v>
      </c>
      <c r="HP189" t="s">
        <v>57</v>
      </c>
      <c r="HQ189" t="s">
        <v>57</v>
      </c>
      <c r="HR189" t="s">
        <v>57</v>
      </c>
      <c r="HS189" t="s">
        <v>57</v>
      </c>
      <c r="HT189" t="s">
        <v>57</v>
      </c>
      <c r="HU189" t="s">
        <v>57</v>
      </c>
      <c r="HV189" t="s">
        <v>57</v>
      </c>
      <c r="HW189" t="s">
        <v>57</v>
      </c>
      <c r="HX189" t="s">
        <v>57</v>
      </c>
      <c r="HY189" t="s">
        <v>57</v>
      </c>
      <c r="HZ189" t="s">
        <v>57</v>
      </c>
      <c r="IA189" t="s">
        <v>57</v>
      </c>
      <c r="IB189" t="s">
        <v>57</v>
      </c>
      <c r="IC189" t="s">
        <v>57</v>
      </c>
      <c r="ID189" t="s">
        <v>57</v>
      </c>
      <c r="IE189" t="s">
        <v>57</v>
      </c>
      <c r="IF189" t="s">
        <v>124</v>
      </c>
      <c r="IG189" t="s">
        <v>148</v>
      </c>
      <c r="IH189" t="s">
        <v>160</v>
      </c>
      <c r="II189" t="s">
        <v>156</v>
      </c>
    </row>
    <row r="190" spans="1:243" x14ac:dyDescent="0.25">
      <c r="A190" s="201" t="str">
        <f>HYPERLINK("http://www.ofsted.gov.uk/inspection-reports/find-inspection-report/provider/ELS/136210 ","Ofsted School Webpage")</f>
        <v>Ofsted School Webpage</v>
      </c>
      <c r="B190">
        <v>136210</v>
      </c>
      <c r="C190">
        <v>8526011</v>
      </c>
      <c r="D190" t="s">
        <v>430</v>
      </c>
      <c r="E190" t="s">
        <v>36</v>
      </c>
      <c r="F190" t="s">
        <v>166</v>
      </c>
      <c r="G190" t="s">
        <v>139</v>
      </c>
      <c r="H190" t="s">
        <v>139</v>
      </c>
      <c r="I190" t="s">
        <v>431</v>
      </c>
      <c r="J190" t="s">
        <v>432</v>
      </c>
      <c r="K190" t="s">
        <v>261</v>
      </c>
      <c r="L190" t="s">
        <v>180</v>
      </c>
      <c r="M190" t="s">
        <v>2596</v>
      </c>
      <c r="N190" t="s">
        <v>143</v>
      </c>
      <c r="O190">
        <v>10033954</v>
      </c>
      <c r="P190" s="108">
        <v>43046</v>
      </c>
      <c r="Q190" s="108">
        <v>43048</v>
      </c>
      <c r="R190" s="108">
        <v>43069</v>
      </c>
      <c r="S190" t="s">
        <v>153</v>
      </c>
      <c r="T190" t="s">
        <v>154</v>
      </c>
      <c r="U190">
        <v>3</v>
      </c>
      <c r="V190">
        <v>3</v>
      </c>
      <c r="W190">
        <v>1</v>
      </c>
      <c r="X190">
        <v>3</v>
      </c>
      <c r="Y190">
        <v>3</v>
      </c>
      <c r="Z190" t="s">
        <v>2596</v>
      </c>
      <c r="AA190" t="s">
        <v>2596</v>
      </c>
      <c r="AB190" t="s">
        <v>123</v>
      </c>
      <c r="AC190" t="s">
        <v>2596</v>
      </c>
      <c r="AD190" t="s">
        <v>2598</v>
      </c>
      <c r="AE190" t="s">
        <v>57</v>
      </c>
      <c r="AF190" t="s">
        <v>57</v>
      </c>
      <c r="AG190" t="s">
        <v>57</v>
      </c>
      <c r="AH190" t="s">
        <v>57</v>
      </c>
      <c r="AI190" t="s">
        <v>57</v>
      </c>
      <c r="AJ190" t="s">
        <v>57</v>
      </c>
      <c r="AK190" t="s">
        <v>57</v>
      </c>
      <c r="AL190" t="s">
        <v>57</v>
      </c>
      <c r="AM190" t="s">
        <v>57</v>
      </c>
      <c r="AN190" t="s">
        <v>57</v>
      </c>
      <c r="AO190" t="s">
        <v>57</v>
      </c>
      <c r="AP190" t="s">
        <v>57</v>
      </c>
      <c r="AQ190" t="s">
        <v>57</v>
      </c>
      <c r="AR190" t="s">
        <v>57</v>
      </c>
      <c r="AS190" t="s">
        <v>57</v>
      </c>
      <c r="AT190" t="s">
        <v>57</v>
      </c>
      <c r="AU190" t="s">
        <v>148</v>
      </c>
      <c r="AV190" t="s">
        <v>57</v>
      </c>
      <c r="AW190" t="s">
        <v>57</v>
      </c>
      <c r="AX190" t="s">
        <v>57</v>
      </c>
      <c r="AY190" t="s">
        <v>148</v>
      </c>
      <c r="AZ190" t="s">
        <v>148</v>
      </c>
      <c r="BA190" t="s">
        <v>148</v>
      </c>
      <c r="BB190" t="s">
        <v>148</v>
      </c>
      <c r="BC190" t="s">
        <v>148</v>
      </c>
      <c r="BD190" t="s">
        <v>148</v>
      </c>
      <c r="BE190" t="s">
        <v>57</v>
      </c>
      <c r="BF190" t="s">
        <v>57</v>
      </c>
      <c r="BG190" t="s">
        <v>57</v>
      </c>
      <c r="BH190" t="s">
        <v>57</v>
      </c>
      <c r="BI190" t="s">
        <v>57</v>
      </c>
      <c r="BJ190" t="s">
        <v>57</v>
      </c>
      <c r="BK190" t="s">
        <v>57</v>
      </c>
      <c r="BL190" t="s">
        <v>57</v>
      </c>
      <c r="BM190" t="s">
        <v>57</v>
      </c>
      <c r="BN190" t="s">
        <v>57</v>
      </c>
      <c r="BO190" t="s">
        <v>57</v>
      </c>
      <c r="BP190" t="s">
        <v>57</v>
      </c>
      <c r="BQ190" t="s">
        <v>57</v>
      </c>
      <c r="BR190" t="s">
        <v>57</v>
      </c>
      <c r="BS190" t="s">
        <v>57</v>
      </c>
      <c r="BT190" t="s">
        <v>57</v>
      </c>
      <c r="BU190" t="s">
        <v>57</v>
      </c>
      <c r="BV190" t="s">
        <v>57</v>
      </c>
      <c r="BW190" t="s">
        <v>57</v>
      </c>
      <c r="BX190" t="s">
        <v>57</v>
      </c>
      <c r="BY190" t="s">
        <v>57</v>
      </c>
      <c r="BZ190" t="s">
        <v>57</v>
      </c>
      <c r="CA190" t="s">
        <v>57</v>
      </c>
      <c r="CB190" t="s">
        <v>57</v>
      </c>
      <c r="CC190" t="s">
        <v>57</v>
      </c>
      <c r="CD190" t="s">
        <v>57</v>
      </c>
      <c r="CE190" t="s">
        <v>57</v>
      </c>
      <c r="CF190" t="s">
        <v>57</v>
      </c>
      <c r="CG190" t="s">
        <v>57</v>
      </c>
      <c r="CH190" t="s">
        <v>57</v>
      </c>
      <c r="CI190" t="s">
        <v>57</v>
      </c>
      <c r="CJ190" t="s">
        <v>57</v>
      </c>
      <c r="CK190" t="s">
        <v>148</v>
      </c>
      <c r="CL190" t="s">
        <v>148</v>
      </c>
      <c r="CM190" t="s">
        <v>148</v>
      </c>
      <c r="CN190" t="s">
        <v>57</v>
      </c>
      <c r="CO190" t="s">
        <v>57</v>
      </c>
      <c r="CP190" t="s">
        <v>57</v>
      </c>
      <c r="CQ190" t="s">
        <v>57</v>
      </c>
      <c r="CR190" t="s">
        <v>57</v>
      </c>
      <c r="CS190" t="s">
        <v>57</v>
      </c>
      <c r="CT190" t="s">
        <v>57</v>
      </c>
      <c r="CU190" t="s">
        <v>57</v>
      </c>
      <c r="CV190" t="s">
        <v>57</v>
      </c>
      <c r="CW190" t="s">
        <v>57</v>
      </c>
      <c r="CX190" t="s">
        <v>57</v>
      </c>
      <c r="CY190" t="s">
        <v>57</v>
      </c>
      <c r="CZ190" t="s">
        <v>57</v>
      </c>
      <c r="DA190" t="s">
        <v>57</v>
      </c>
      <c r="DB190" t="s">
        <v>57</v>
      </c>
      <c r="DC190" t="s">
        <v>57</v>
      </c>
      <c r="DD190" t="s">
        <v>57</v>
      </c>
      <c r="DE190" t="s">
        <v>57</v>
      </c>
      <c r="DF190" t="s">
        <v>57</v>
      </c>
      <c r="DG190" t="s">
        <v>57</v>
      </c>
      <c r="DH190" t="s">
        <v>57</v>
      </c>
      <c r="DI190" t="s">
        <v>57</v>
      </c>
      <c r="DJ190" t="s">
        <v>57</v>
      </c>
      <c r="DK190" t="s">
        <v>148</v>
      </c>
      <c r="DL190" t="s">
        <v>57</v>
      </c>
      <c r="DM190" t="s">
        <v>57</v>
      </c>
      <c r="DN190" t="s">
        <v>57</v>
      </c>
      <c r="DO190" t="s">
        <v>57</v>
      </c>
      <c r="DP190" t="s">
        <v>57</v>
      </c>
      <c r="DQ190" t="s">
        <v>57</v>
      </c>
      <c r="DR190" t="s">
        <v>57</v>
      </c>
      <c r="DS190" t="s">
        <v>57</v>
      </c>
      <c r="DT190" t="s">
        <v>57</v>
      </c>
      <c r="DU190" t="s">
        <v>57</v>
      </c>
      <c r="DV190" t="s">
        <v>57</v>
      </c>
      <c r="DW190" t="s">
        <v>57</v>
      </c>
      <c r="DX190" t="s">
        <v>57</v>
      </c>
      <c r="DY190" t="s">
        <v>148</v>
      </c>
      <c r="DZ190" t="s">
        <v>57</v>
      </c>
      <c r="EA190" t="s">
        <v>57</v>
      </c>
      <c r="EB190" t="s">
        <v>57</v>
      </c>
      <c r="EC190" t="s">
        <v>57</v>
      </c>
      <c r="ED190" t="s">
        <v>57</v>
      </c>
      <c r="EE190" t="s">
        <v>57</v>
      </c>
      <c r="EF190" t="s">
        <v>57</v>
      </c>
      <c r="EG190" t="s">
        <v>57</v>
      </c>
      <c r="EH190" t="s">
        <v>57</v>
      </c>
      <c r="EI190" t="s">
        <v>57</v>
      </c>
      <c r="EJ190" t="s">
        <v>57</v>
      </c>
      <c r="EK190" t="s">
        <v>57</v>
      </c>
      <c r="EL190" t="s">
        <v>57</v>
      </c>
      <c r="EM190" t="s">
        <v>57</v>
      </c>
      <c r="EN190" t="s">
        <v>57</v>
      </c>
      <c r="EO190" t="s">
        <v>57</v>
      </c>
      <c r="EP190" t="s">
        <v>57</v>
      </c>
      <c r="EQ190" t="s">
        <v>57</v>
      </c>
      <c r="ER190" t="s">
        <v>57</v>
      </c>
      <c r="ES190" t="s">
        <v>57</v>
      </c>
      <c r="ET190" t="s">
        <v>57</v>
      </c>
      <c r="EU190" t="s">
        <v>57</v>
      </c>
      <c r="EV190" t="s">
        <v>57</v>
      </c>
      <c r="EW190" t="s">
        <v>148</v>
      </c>
      <c r="EX190" t="s">
        <v>57</v>
      </c>
      <c r="EY190" t="s">
        <v>57</v>
      </c>
      <c r="EZ190" t="s">
        <v>57</v>
      </c>
      <c r="FA190" t="s">
        <v>57</v>
      </c>
      <c r="FB190" t="s">
        <v>57</v>
      </c>
      <c r="FC190" t="s">
        <v>57</v>
      </c>
      <c r="FD190" t="s">
        <v>57</v>
      </c>
      <c r="FE190" t="s">
        <v>148</v>
      </c>
      <c r="FF190" t="s">
        <v>148</v>
      </c>
      <c r="FG190" t="s">
        <v>148</v>
      </c>
      <c r="FH190" t="s">
        <v>57</v>
      </c>
      <c r="FI190" t="s">
        <v>57</v>
      </c>
      <c r="FJ190" t="s">
        <v>57</v>
      </c>
      <c r="FK190" t="s">
        <v>148</v>
      </c>
      <c r="FL190" t="s">
        <v>57</v>
      </c>
      <c r="FM190" t="s">
        <v>57</v>
      </c>
      <c r="FN190" t="s">
        <v>57</v>
      </c>
      <c r="FO190" t="s">
        <v>148</v>
      </c>
      <c r="FP190" t="s">
        <v>57</v>
      </c>
      <c r="FQ190" t="s">
        <v>57</v>
      </c>
      <c r="FR190" t="s">
        <v>57</v>
      </c>
      <c r="FS190" t="s">
        <v>57</v>
      </c>
      <c r="FT190" t="s">
        <v>57</v>
      </c>
      <c r="FU190" t="s">
        <v>57</v>
      </c>
      <c r="FV190" t="s">
        <v>57</v>
      </c>
      <c r="FW190" t="s">
        <v>57</v>
      </c>
      <c r="FX190" t="s">
        <v>57</v>
      </c>
      <c r="FY190" t="s">
        <v>57</v>
      </c>
      <c r="FZ190" t="s">
        <v>57</v>
      </c>
      <c r="GA190" t="s">
        <v>57</v>
      </c>
      <c r="GB190" t="s">
        <v>57</v>
      </c>
      <c r="GC190" t="s">
        <v>57</v>
      </c>
      <c r="GD190" t="s">
        <v>57</v>
      </c>
      <c r="GE190" t="s">
        <v>57</v>
      </c>
      <c r="GF190" t="s">
        <v>57</v>
      </c>
      <c r="GG190" t="s">
        <v>148</v>
      </c>
      <c r="GH190" t="s">
        <v>57</v>
      </c>
      <c r="GI190" t="s">
        <v>57</v>
      </c>
      <c r="GJ190" t="s">
        <v>57</v>
      </c>
      <c r="GK190" t="s">
        <v>57</v>
      </c>
      <c r="GL190" t="s">
        <v>57</v>
      </c>
      <c r="GM190" t="s">
        <v>148</v>
      </c>
      <c r="GN190" t="s">
        <v>57</v>
      </c>
      <c r="GO190" t="s">
        <v>57</v>
      </c>
      <c r="GP190" t="s">
        <v>148</v>
      </c>
      <c r="GQ190" t="s">
        <v>148</v>
      </c>
      <c r="GR190" t="s">
        <v>57</v>
      </c>
      <c r="GS190" t="s">
        <v>57</v>
      </c>
      <c r="GT190" t="s">
        <v>57</v>
      </c>
      <c r="GU190" t="s">
        <v>57</v>
      </c>
      <c r="GV190" t="s">
        <v>148</v>
      </c>
      <c r="GW190" t="s">
        <v>57</v>
      </c>
      <c r="GX190" t="s">
        <v>57</v>
      </c>
      <c r="GY190" t="s">
        <v>57</v>
      </c>
      <c r="GZ190" t="s">
        <v>57</v>
      </c>
      <c r="HA190" t="s">
        <v>57</v>
      </c>
      <c r="HB190" t="s">
        <v>57</v>
      </c>
      <c r="HC190" t="s">
        <v>57</v>
      </c>
      <c r="HD190" t="s">
        <v>57</v>
      </c>
      <c r="HE190" t="s">
        <v>57</v>
      </c>
      <c r="HF190" t="s">
        <v>57</v>
      </c>
      <c r="HG190" t="s">
        <v>57</v>
      </c>
      <c r="HH190" t="s">
        <v>148</v>
      </c>
      <c r="HI190" t="s">
        <v>148</v>
      </c>
      <c r="HJ190" t="s">
        <v>148</v>
      </c>
      <c r="HK190" t="s">
        <v>148</v>
      </c>
      <c r="HL190" t="s">
        <v>57</v>
      </c>
      <c r="HM190" t="s">
        <v>57</v>
      </c>
      <c r="HN190" t="s">
        <v>57</v>
      </c>
      <c r="HO190" t="s">
        <v>57</v>
      </c>
      <c r="HP190" t="s">
        <v>57</v>
      </c>
      <c r="HQ190" t="s">
        <v>57</v>
      </c>
      <c r="HR190" t="s">
        <v>57</v>
      </c>
      <c r="HS190" t="s">
        <v>57</v>
      </c>
      <c r="HT190" t="s">
        <v>57</v>
      </c>
      <c r="HU190" t="s">
        <v>57</v>
      </c>
      <c r="HV190" t="s">
        <v>57</v>
      </c>
      <c r="HW190" t="s">
        <v>57</v>
      </c>
      <c r="HX190" t="s">
        <v>57</v>
      </c>
      <c r="HY190" t="s">
        <v>57</v>
      </c>
      <c r="HZ190" t="s">
        <v>57</v>
      </c>
      <c r="IA190" t="s">
        <v>57</v>
      </c>
      <c r="IB190" t="s">
        <v>57</v>
      </c>
      <c r="IC190" t="s">
        <v>57</v>
      </c>
      <c r="ID190" t="s">
        <v>57</v>
      </c>
      <c r="IE190" t="s">
        <v>57</v>
      </c>
      <c r="IF190" t="s">
        <v>124</v>
      </c>
      <c r="IG190" t="s">
        <v>155</v>
      </c>
      <c r="IH190" t="s">
        <v>123</v>
      </c>
      <c r="II190" t="s">
        <v>156</v>
      </c>
    </row>
    <row r="191" spans="1:243" x14ac:dyDescent="0.25">
      <c r="A191" s="201" t="str">
        <f>HYPERLINK("http://www.ofsted.gov.uk/inspection-reports/find-inspection-report/provider/ELS/136227 ","Ofsted School Webpage")</f>
        <v>Ofsted School Webpage</v>
      </c>
      <c r="B191">
        <v>136227</v>
      </c>
      <c r="C191">
        <v>9286073</v>
      </c>
      <c r="D191" t="s">
        <v>938</v>
      </c>
      <c r="E191" t="s">
        <v>37</v>
      </c>
      <c r="F191" t="s">
        <v>138</v>
      </c>
      <c r="G191" t="s">
        <v>171</v>
      </c>
      <c r="H191" t="s">
        <v>171</v>
      </c>
      <c r="I191" t="s">
        <v>172</v>
      </c>
      <c r="J191" t="s">
        <v>939</v>
      </c>
      <c r="K191" t="s">
        <v>142</v>
      </c>
      <c r="L191" t="s">
        <v>142</v>
      </c>
      <c r="M191" t="s">
        <v>2596</v>
      </c>
      <c r="N191" t="s">
        <v>143</v>
      </c>
      <c r="O191">
        <v>10039190</v>
      </c>
      <c r="P191" s="108">
        <v>43053</v>
      </c>
      <c r="Q191" s="108">
        <v>43055</v>
      </c>
      <c r="R191" s="108">
        <v>43076</v>
      </c>
      <c r="S191" t="s">
        <v>153</v>
      </c>
      <c r="T191" t="s">
        <v>154</v>
      </c>
      <c r="U191">
        <v>2</v>
      </c>
      <c r="V191">
        <v>2</v>
      </c>
      <c r="W191">
        <v>2</v>
      </c>
      <c r="X191">
        <v>2</v>
      </c>
      <c r="Y191">
        <v>2</v>
      </c>
      <c r="Z191" t="s">
        <v>2596</v>
      </c>
      <c r="AA191">
        <v>2</v>
      </c>
      <c r="AB191" t="s">
        <v>123</v>
      </c>
      <c r="AC191" t="s">
        <v>2596</v>
      </c>
      <c r="AD191" t="s">
        <v>2598</v>
      </c>
      <c r="AE191" t="s">
        <v>57</v>
      </c>
      <c r="AF191" t="s">
        <v>57</v>
      </c>
      <c r="AG191" t="s">
        <v>57</v>
      </c>
      <c r="AH191" t="s">
        <v>57</v>
      </c>
      <c r="AI191" t="s">
        <v>57</v>
      </c>
      <c r="AJ191" t="s">
        <v>57</v>
      </c>
      <c r="AK191" t="s">
        <v>57</v>
      </c>
      <c r="AL191" t="s">
        <v>57</v>
      </c>
      <c r="AM191" t="s">
        <v>57</v>
      </c>
      <c r="AN191" t="s">
        <v>57</v>
      </c>
      <c r="AO191" t="s">
        <v>57</v>
      </c>
      <c r="AP191" t="s">
        <v>57</v>
      </c>
      <c r="AQ191" t="s">
        <v>57</v>
      </c>
      <c r="AR191" t="s">
        <v>57</v>
      </c>
      <c r="AS191" t="s">
        <v>57</v>
      </c>
      <c r="AT191" t="s">
        <v>57</v>
      </c>
      <c r="AU191" t="s">
        <v>175</v>
      </c>
      <c r="AV191" t="s">
        <v>57</v>
      </c>
      <c r="AW191" t="s">
        <v>57</v>
      </c>
      <c r="AX191" t="s">
        <v>57</v>
      </c>
      <c r="AY191" t="s">
        <v>57</v>
      </c>
      <c r="AZ191" t="s">
        <v>57</v>
      </c>
      <c r="BA191" t="s">
        <v>57</v>
      </c>
      <c r="BB191" t="s">
        <v>57</v>
      </c>
      <c r="BC191" t="s">
        <v>175</v>
      </c>
      <c r="BD191" t="s">
        <v>57</v>
      </c>
      <c r="BE191" t="s">
        <v>57</v>
      </c>
      <c r="BF191" t="s">
        <v>57</v>
      </c>
      <c r="BG191" t="s">
        <v>57</v>
      </c>
      <c r="BH191" t="s">
        <v>57</v>
      </c>
      <c r="BI191" t="s">
        <v>57</v>
      </c>
      <c r="BJ191" t="s">
        <v>57</v>
      </c>
      <c r="BK191" t="s">
        <v>57</v>
      </c>
      <c r="BL191" t="s">
        <v>57</v>
      </c>
      <c r="BM191" t="s">
        <v>57</v>
      </c>
      <c r="BN191" t="s">
        <v>57</v>
      </c>
      <c r="BO191" t="s">
        <v>57</v>
      </c>
      <c r="BP191" t="s">
        <v>57</v>
      </c>
      <c r="BQ191" t="s">
        <v>57</v>
      </c>
      <c r="BR191" t="s">
        <v>57</v>
      </c>
      <c r="BS191" t="s">
        <v>57</v>
      </c>
      <c r="BT191" t="s">
        <v>57</v>
      </c>
      <c r="BU191" t="s">
        <v>57</v>
      </c>
      <c r="BV191" t="s">
        <v>57</v>
      </c>
      <c r="BW191" t="s">
        <v>57</v>
      </c>
      <c r="BX191" t="s">
        <v>57</v>
      </c>
      <c r="BY191" t="s">
        <v>57</v>
      </c>
      <c r="BZ191" t="s">
        <v>57</v>
      </c>
      <c r="CA191" t="s">
        <v>57</v>
      </c>
      <c r="CB191" t="s">
        <v>57</v>
      </c>
      <c r="CC191" t="s">
        <v>57</v>
      </c>
      <c r="CD191" t="s">
        <v>57</v>
      </c>
      <c r="CE191" t="s">
        <v>57</v>
      </c>
      <c r="CF191" t="s">
        <v>57</v>
      </c>
      <c r="CG191" t="s">
        <v>57</v>
      </c>
      <c r="CH191" t="s">
        <v>57</v>
      </c>
      <c r="CI191" t="s">
        <v>57</v>
      </c>
      <c r="CJ191" t="s">
        <v>57</v>
      </c>
      <c r="CK191" t="s">
        <v>175</v>
      </c>
      <c r="CL191" t="s">
        <v>175</v>
      </c>
      <c r="CM191" t="s">
        <v>175</v>
      </c>
      <c r="CN191" t="s">
        <v>57</v>
      </c>
      <c r="CO191" t="s">
        <v>57</v>
      </c>
      <c r="CP191" t="s">
        <v>57</v>
      </c>
      <c r="CQ191" t="s">
        <v>57</v>
      </c>
      <c r="CR191" t="s">
        <v>57</v>
      </c>
      <c r="CS191" t="s">
        <v>57</v>
      </c>
      <c r="CT191" t="s">
        <v>57</v>
      </c>
      <c r="CU191" t="s">
        <v>57</v>
      </c>
      <c r="CV191" t="s">
        <v>57</v>
      </c>
      <c r="CW191" t="s">
        <v>57</v>
      </c>
      <c r="CX191" t="s">
        <v>57</v>
      </c>
      <c r="CY191" t="s">
        <v>57</v>
      </c>
      <c r="CZ191" t="s">
        <v>57</v>
      </c>
      <c r="DA191" t="s">
        <v>57</v>
      </c>
      <c r="DB191" t="s">
        <v>57</v>
      </c>
      <c r="DC191" t="s">
        <v>57</v>
      </c>
      <c r="DD191" t="s">
        <v>57</v>
      </c>
      <c r="DE191" t="s">
        <v>57</v>
      </c>
      <c r="DF191" t="s">
        <v>57</v>
      </c>
      <c r="DG191" t="s">
        <v>57</v>
      </c>
      <c r="DH191" t="s">
        <v>57</v>
      </c>
      <c r="DI191" t="s">
        <v>57</v>
      </c>
      <c r="DJ191" t="s">
        <v>57</v>
      </c>
      <c r="DK191" t="s">
        <v>175</v>
      </c>
      <c r="DL191" t="s">
        <v>57</v>
      </c>
      <c r="DM191" t="s">
        <v>175</v>
      </c>
      <c r="DN191" t="s">
        <v>175</v>
      </c>
      <c r="DO191" t="s">
        <v>175</v>
      </c>
      <c r="DP191" t="s">
        <v>175</v>
      </c>
      <c r="DQ191" t="s">
        <v>175</v>
      </c>
      <c r="DR191" t="s">
        <v>175</v>
      </c>
      <c r="DS191" t="s">
        <v>175</v>
      </c>
      <c r="DT191" t="s">
        <v>175</v>
      </c>
      <c r="DU191" t="s">
        <v>175</v>
      </c>
      <c r="DV191" t="s">
        <v>175</v>
      </c>
      <c r="DW191" t="s">
        <v>175</v>
      </c>
      <c r="DX191" t="s">
        <v>175</v>
      </c>
      <c r="DY191" t="s">
        <v>175</v>
      </c>
      <c r="DZ191" t="s">
        <v>57</v>
      </c>
      <c r="EA191" t="s">
        <v>57</v>
      </c>
      <c r="EB191" t="s">
        <v>57</v>
      </c>
      <c r="EC191" t="s">
        <v>57</v>
      </c>
      <c r="ED191" t="s">
        <v>57</v>
      </c>
      <c r="EE191" t="s">
        <v>57</v>
      </c>
      <c r="EF191" t="s">
        <v>57</v>
      </c>
      <c r="EG191" t="s">
        <v>57</v>
      </c>
      <c r="EH191" t="s">
        <v>57</v>
      </c>
      <c r="EI191" t="s">
        <v>57</v>
      </c>
      <c r="EJ191" t="s">
        <v>57</v>
      </c>
      <c r="EK191" t="s">
        <v>57</v>
      </c>
      <c r="EL191" t="s">
        <v>57</v>
      </c>
      <c r="EM191" t="s">
        <v>57</v>
      </c>
      <c r="EN191" t="s">
        <v>57</v>
      </c>
      <c r="EO191" t="s">
        <v>57</v>
      </c>
      <c r="EP191" t="s">
        <v>57</v>
      </c>
      <c r="EQ191" t="s">
        <v>57</v>
      </c>
      <c r="ER191" t="s">
        <v>57</v>
      </c>
      <c r="ES191" t="s">
        <v>57</v>
      </c>
      <c r="ET191" t="s">
        <v>57</v>
      </c>
      <c r="EU191" t="s">
        <v>57</v>
      </c>
      <c r="EV191" t="s">
        <v>57</v>
      </c>
      <c r="EW191" t="s">
        <v>57</v>
      </c>
      <c r="EX191" t="s">
        <v>175</v>
      </c>
      <c r="EY191" t="s">
        <v>175</v>
      </c>
      <c r="EZ191" t="s">
        <v>175</v>
      </c>
      <c r="FA191" t="s">
        <v>175</v>
      </c>
      <c r="FB191" t="s">
        <v>175</v>
      </c>
      <c r="FC191" t="s">
        <v>175</v>
      </c>
      <c r="FD191" t="s">
        <v>57</v>
      </c>
      <c r="FE191" t="s">
        <v>57</v>
      </c>
      <c r="FF191" t="s">
        <v>57</v>
      </c>
      <c r="FG191" t="s">
        <v>57</v>
      </c>
      <c r="FH191" t="s">
        <v>57</v>
      </c>
      <c r="FI191" t="s">
        <v>57</v>
      </c>
      <c r="FJ191" t="s">
        <v>57</v>
      </c>
      <c r="FK191" t="s">
        <v>57</v>
      </c>
      <c r="FL191" t="s">
        <v>57</v>
      </c>
      <c r="FM191" t="s">
        <v>57</v>
      </c>
      <c r="FN191" t="s">
        <v>57</v>
      </c>
      <c r="FO191" t="s">
        <v>175</v>
      </c>
      <c r="FP191" t="s">
        <v>57</v>
      </c>
      <c r="FQ191" t="s">
        <v>57</v>
      </c>
      <c r="FR191" t="s">
        <v>57</v>
      </c>
      <c r="FS191" t="s">
        <v>57</v>
      </c>
      <c r="FT191" t="s">
        <v>57</v>
      </c>
      <c r="FU191" t="s">
        <v>57</v>
      </c>
      <c r="FV191" t="s">
        <v>57</v>
      </c>
      <c r="FW191" t="s">
        <v>57</v>
      </c>
      <c r="FX191" t="s">
        <v>57</v>
      </c>
      <c r="FY191" t="s">
        <v>57</v>
      </c>
      <c r="FZ191" t="s">
        <v>57</v>
      </c>
      <c r="GA191" t="s">
        <v>57</v>
      </c>
      <c r="GB191" t="s">
        <v>57</v>
      </c>
      <c r="GC191" t="s">
        <v>57</v>
      </c>
      <c r="GD191" t="s">
        <v>57</v>
      </c>
      <c r="GE191" t="s">
        <v>57</v>
      </c>
      <c r="GF191" t="s">
        <v>57</v>
      </c>
      <c r="GG191" t="s">
        <v>175</v>
      </c>
      <c r="GH191" t="s">
        <v>57</v>
      </c>
      <c r="GI191" t="s">
        <v>57</v>
      </c>
      <c r="GJ191" t="s">
        <v>57</v>
      </c>
      <c r="GK191" t="s">
        <v>57</v>
      </c>
      <c r="GL191" t="s">
        <v>57</v>
      </c>
      <c r="GM191" t="s">
        <v>175</v>
      </c>
      <c r="GN191" t="s">
        <v>57</v>
      </c>
      <c r="GO191" t="s">
        <v>57</v>
      </c>
      <c r="GP191" t="s">
        <v>57</v>
      </c>
      <c r="GQ191" t="s">
        <v>57</v>
      </c>
      <c r="GR191" t="s">
        <v>175</v>
      </c>
      <c r="GS191" t="s">
        <v>57</v>
      </c>
      <c r="GT191" t="s">
        <v>57</v>
      </c>
      <c r="GU191" t="s">
        <v>57</v>
      </c>
      <c r="GV191" t="s">
        <v>175</v>
      </c>
      <c r="GW191" t="s">
        <v>57</v>
      </c>
      <c r="GX191" t="s">
        <v>57</v>
      </c>
      <c r="GY191" t="s">
        <v>57</v>
      </c>
      <c r="GZ191" t="s">
        <v>57</v>
      </c>
      <c r="HA191" t="s">
        <v>57</v>
      </c>
      <c r="HB191" t="s">
        <v>57</v>
      </c>
      <c r="HC191" t="s">
        <v>57</v>
      </c>
      <c r="HD191" t="s">
        <v>57</v>
      </c>
      <c r="HE191" t="s">
        <v>57</v>
      </c>
      <c r="HF191" t="s">
        <v>57</v>
      </c>
      <c r="HG191" t="s">
        <v>57</v>
      </c>
      <c r="HH191" t="s">
        <v>175</v>
      </c>
      <c r="HI191" t="s">
        <v>175</v>
      </c>
      <c r="HJ191" t="s">
        <v>175</v>
      </c>
      <c r="HK191" t="s">
        <v>175</v>
      </c>
      <c r="HL191" t="s">
        <v>57</v>
      </c>
      <c r="HM191" t="s">
        <v>57</v>
      </c>
      <c r="HN191" t="s">
        <v>57</v>
      </c>
      <c r="HO191" t="s">
        <v>57</v>
      </c>
      <c r="HP191" t="s">
        <v>57</v>
      </c>
      <c r="HQ191" t="s">
        <v>57</v>
      </c>
      <c r="HR191" t="s">
        <v>57</v>
      </c>
      <c r="HS191" t="s">
        <v>57</v>
      </c>
      <c r="HT191" t="s">
        <v>57</v>
      </c>
      <c r="HU191" t="s">
        <v>57</v>
      </c>
      <c r="HV191" t="s">
        <v>57</v>
      </c>
      <c r="HW191" t="s">
        <v>57</v>
      </c>
      <c r="HX191" t="s">
        <v>57</v>
      </c>
      <c r="HY191" t="s">
        <v>57</v>
      </c>
      <c r="HZ191" t="s">
        <v>57</v>
      </c>
      <c r="IA191" t="s">
        <v>57</v>
      </c>
      <c r="IB191" t="s">
        <v>57</v>
      </c>
      <c r="IC191" t="s">
        <v>57</v>
      </c>
      <c r="ID191" t="s">
        <v>57</v>
      </c>
      <c r="IE191" t="s">
        <v>57</v>
      </c>
      <c r="IF191" t="s">
        <v>124</v>
      </c>
      <c r="IG191" t="s">
        <v>148</v>
      </c>
      <c r="IH191" t="s">
        <v>123</v>
      </c>
      <c r="II191" t="s">
        <v>156</v>
      </c>
    </row>
    <row r="192" spans="1:243" x14ac:dyDescent="0.25">
      <c r="A192" s="201" t="str">
        <f>HYPERLINK("http://www.ofsted.gov.uk/inspection-reports/find-inspection-report/provider/ELS/136230 ","Ofsted School Webpage")</f>
        <v>Ofsted School Webpage</v>
      </c>
      <c r="B192">
        <v>136230</v>
      </c>
      <c r="C192">
        <v>3566035</v>
      </c>
      <c r="D192" t="s">
        <v>301</v>
      </c>
      <c r="E192" t="s">
        <v>37</v>
      </c>
      <c r="F192" t="s">
        <v>138</v>
      </c>
      <c r="G192" t="s">
        <v>162</v>
      </c>
      <c r="H192" t="s">
        <v>162</v>
      </c>
      <c r="I192" t="s">
        <v>302</v>
      </c>
      <c r="J192" t="s">
        <v>303</v>
      </c>
      <c r="K192" t="s">
        <v>142</v>
      </c>
      <c r="L192" t="s">
        <v>142</v>
      </c>
      <c r="M192" t="s">
        <v>2596</v>
      </c>
      <c r="N192" t="s">
        <v>143</v>
      </c>
      <c r="O192">
        <v>10038932</v>
      </c>
      <c r="P192" s="108">
        <v>43025</v>
      </c>
      <c r="Q192" s="108">
        <v>43027</v>
      </c>
      <c r="R192" s="108">
        <v>43053</v>
      </c>
      <c r="S192" t="s">
        <v>153</v>
      </c>
      <c r="T192" t="s">
        <v>154</v>
      </c>
      <c r="U192">
        <v>2</v>
      </c>
      <c r="V192">
        <v>2</v>
      </c>
      <c r="W192">
        <v>2</v>
      </c>
      <c r="X192">
        <v>2</v>
      </c>
      <c r="Y192">
        <v>2</v>
      </c>
      <c r="Z192" t="s">
        <v>2596</v>
      </c>
      <c r="AA192" t="s">
        <v>2596</v>
      </c>
      <c r="AB192" t="s">
        <v>123</v>
      </c>
      <c r="AC192" t="s">
        <v>2596</v>
      </c>
      <c r="AD192" t="s">
        <v>2598</v>
      </c>
      <c r="AE192" t="s">
        <v>57</v>
      </c>
      <c r="AF192" t="s">
        <v>57</v>
      </c>
      <c r="AG192" t="s">
        <v>57</v>
      </c>
      <c r="AH192" t="s">
        <v>57</v>
      </c>
      <c r="AI192" t="s">
        <v>57</v>
      </c>
      <c r="AJ192" t="s">
        <v>57</v>
      </c>
      <c r="AK192" t="s">
        <v>57</v>
      </c>
      <c r="AL192" t="s">
        <v>57</v>
      </c>
      <c r="AM192" t="s">
        <v>57</v>
      </c>
      <c r="AN192" t="s">
        <v>57</v>
      </c>
      <c r="AO192" t="s">
        <v>57</v>
      </c>
      <c r="AP192" t="s">
        <v>57</v>
      </c>
      <c r="AQ192" t="s">
        <v>57</v>
      </c>
      <c r="AR192" t="s">
        <v>57</v>
      </c>
      <c r="AS192" t="s">
        <v>57</v>
      </c>
      <c r="AT192" t="s">
        <v>57</v>
      </c>
      <c r="AU192" t="s">
        <v>175</v>
      </c>
      <c r="AV192" t="s">
        <v>57</v>
      </c>
      <c r="AW192" t="s">
        <v>57</v>
      </c>
      <c r="AX192" t="s">
        <v>57</v>
      </c>
      <c r="AY192" t="s">
        <v>57</v>
      </c>
      <c r="AZ192" t="s">
        <v>57</v>
      </c>
      <c r="BA192" t="s">
        <v>57</v>
      </c>
      <c r="BB192" t="s">
        <v>57</v>
      </c>
      <c r="BC192" t="s">
        <v>175</v>
      </c>
      <c r="BD192" t="s">
        <v>175</v>
      </c>
      <c r="BE192" t="s">
        <v>57</v>
      </c>
      <c r="BF192" t="s">
        <v>57</v>
      </c>
      <c r="BG192" t="s">
        <v>57</v>
      </c>
      <c r="BH192" t="s">
        <v>57</v>
      </c>
      <c r="BI192" t="s">
        <v>57</v>
      </c>
      <c r="BJ192" t="s">
        <v>57</v>
      </c>
      <c r="BK192" t="s">
        <v>57</v>
      </c>
      <c r="BL192" t="s">
        <v>57</v>
      </c>
      <c r="BM192" t="s">
        <v>57</v>
      </c>
      <c r="BN192" t="s">
        <v>57</v>
      </c>
      <c r="BO192" t="s">
        <v>57</v>
      </c>
      <c r="BP192" t="s">
        <v>57</v>
      </c>
      <c r="BQ192" t="s">
        <v>57</v>
      </c>
      <c r="BR192" t="s">
        <v>57</v>
      </c>
      <c r="BS192" t="s">
        <v>57</v>
      </c>
      <c r="BT192" t="s">
        <v>57</v>
      </c>
      <c r="BU192" t="s">
        <v>57</v>
      </c>
      <c r="BV192" t="s">
        <v>57</v>
      </c>
      <c r="BW192" t="s">
        <v>57</v>
      </c>
      <c r="BX192" t="s">
        <v>57</v>
      </c>
      <c r="BY192" t="s">
        <v>57</v>
      </c>
      <c r="BZ192" t="s">
        <v>57</v>
      </c>
      <c r="CA192" t="s">
        <v>57</v>
      </c>
      <c r="CB192" t="s">
        <v>57</v>
      </c>
      <c r="CC192" t="s">
        <v>57</v>
      </c>
      <c r="CD192" t="s">
        <v>57</v>
      </c>
      <c r="CE192" t="s">
        <v>57</v>
      </c>
      <c r="CF192" t="s">
        <v>57</v>
      </c>
      <c r="CG192" t="s">
        <v>57</v>
      </c>
      <c r="CH192" t="s">
        <v>57</v>
      </c>
      <c r="CI192" t="s">
        <v>57</v>
      </c>
      <c r="CJ192" t="s">
        <v>57</v>
      </c>
      <c r="CK192" t="s">
        <v>175</v>
      </c>
      <c r="CL192" t="s">
        <v>175</v>
      </c>
      <c r="CM192" t="s">
        <v>175</v>
      </c>
      <c r="CN192" t="s">
        <v>57</v>
      </c>
      <c r="CO192" t="s">
        <v>57</v>
      </c>
      <c r="CP192" t="s">
        <v>57</v>
      </c>
      <c r="CQ192" t="s">
        <v>57</v>
      </c>
      <c r="CR192" t="s">
        <v>57</v>
      </c>
      <c r="CS192" t="s">
        <v>57</v>
      </c>
      <c r="CT192" t="s">
        <v>57</v>
      </c>
      <c r="CU192" t="s">
        <v>57</v>
      </c>
      <c r="CV192" t="s">
        <v>57</v>
      </c>
      <c r="CW192" t="s">
        <v>57</v>
      </c>
      <c r="CX192" t="s">
        <v>57</v>
      </c>
      <c r="CY192" t="s">
        <v>57</v>
      </c>
      <c r="CZ192" t="s">
        <v>57</v>
      </c>
      <c r="DA192" t="s">
        <v>57</v>
      </c>
      <c r="DB192" t="s">
        <v>57</v>
      </c>
      <c r="DC192" t="s">
        <v>57</v>
      </c>
      <c r="DD192" t="s">
        <v>57</v>
      </c>
      <c r="DE192" t="s">
        <v>57</v>
      </c>
      <c r="DF192" t="s">
        <v>57</v>
      </c>
      <c r="DG192" t="s">
        <v>57</v>
      </c>
      <c r="DH192" t="s">
        <v>57</v>
      </c>
      <c r="DI192" t="s">
        <v>57</v>
      </c>
      <c r="DJ192" t="s">
        <v>57</v>
      </c>
      <c r="DK192" t="s">
        <v>175</v>
      </c>
      <c r="DL192" t="s">
        <v>57</v>
      </c>
      <c r="DM192" t="s">
        <v>57</v>
      </c>
      <c r="DN192" t="s">
        <v>57</v>
      </c>
      <c r="DO192" t="s">
        <v>57</v>
      </c>
      <c r="DP192" t="s">
        <v>57</v>
      </c>
      <c r="DQ192" t="s">
        <v>57</v>
      </c>
      <c r="DR192" t="s">
        <v>57</v>
      </c>
      <c r="DS192" t="s">
        <v>57</v>
      </c>
      <c r="DT192" t="s">
        <v>57</v>
      </c>
      <c r="DU192" t="s">
        <v>57</v>
      </c>
      <c r="DV192" t="s">
        <v>57</v>
      </c>
      <c r="DW192" t="s">
        <v>57</v>
      </c>
      <c r="DX192" t="s">
        <v>57</v>
      </c>
      <c r="DY192" t="s">
        <v>175</v>
      </c>
      <c r="DZ192" t="s">
        <v>57</v>
      </c>
      <c r="EA192" t="s">
        <v>57</v>
      </c>
      <c r="EB192" t="s">
        <v>57</v>
      </c>
      <c r="EC192" t="s">
        <v>57</v>
      </c>
      <c r="ED192" t="s">
        <v>57</v>
      </c>
      <c r="EE192" t="s">
        <v>57</v>
      </c>
      <c r="EF192" t="s">
        <v>57</v>
      </c>
      <c r="EG192" t="s">
        <v>57</v>
      </c>
      <c r="EH192" t="s">
        <v>57</v>
      </c>
      <c r="EI192" t="s">
        <v>57</v>
      </c>
      <c r="EJ192" t="s">
        <v>57</v>
      </c>
      <c r="EK192" t="s">
        <v>57</v>
      </c>
      <c r="EL192" t="s">
        <v>57</v>
      </c>
      <c r="EM192" t="s">
        <v>57</v>
      </c>
      <c r="EN192" t="s">
        <v>57</v>
      </c>
      <c r="EO192" t="s">
        <v>57</v>
      </c>
      <c r="EP192" t="s">
        <v>57</v>
      </c>
      <c r="EQ192" t="s">
        <v>57</v>
      </c>
      <c r="ER192" t="s">
        <v>57</v>
      </c>
      <c r="ES192" t="s">
        <v>57</v>
      </c>
      <c r="ET192" t="s">
        <v>57</v>
      </c>
      <c r="EU192" t="s">
        <v>57</v>
      </c>
      <c r="EV192" t="s">
        <v>57</v>
      </c>
      <c r="EW192" t="s">
        <v>57</v>
      </c>
      <c r="EX192" t="s">
        <v>57</v>
      </c>
      <c r="EY192" t="s">
        <v>57</v>
      </c>
      <c r="EZ192" t="s">
        <v>57</v>
      </c>
      <c r="FA192" t="s">
        <v>57</v>
      </c>
      <c r="FB192" t="s">
        <v>57</v>
      </c>
      <c r="FC192" t="s">
        <v>57</v>
      </c>
      <c r="FD192" t="s">
        <v>57</v>
      </c>
      <c r="FE192" t="s">
        <v>57</v>
      </c>
      <c r="FF192" t="s">
        <v>57</v>
      </c>
      <c r="FG192" t="s">
        <v>57</v>
      </c>
      <c r="FH192" t="s">
        <v>57</v>
      </c>
      <c r="FI192" t="s">
        <v>57</v>
      </c>
      <c r="FJ192" t="s">
        <v>57</v>
      </c>
      <c r="FK192" t="s">
        <v>57</v>
      </c>
      <c r="FL192" t="s">
        <v>57</v>
      </c>
      <c r="FM192" t="s">
        <v>57</v>
      </c>
      <c r="FN192" t="s">
        <v>57</v>
      </c>
      <c r="FO192" t="s">
        <v>175</v>
      </c>
      <c r="FP192" t="s">
        <v>57</v>
      </c>
      <c r="FQ192" t="s">
        <v>57</v>
      </c>
      <c r="FR192" t="s">
        <v>57</v>
      </c>
      <c r="FS192" t="s">
        <v>57</v>
      </c>
      <c r="FT192" t="s">
        <v>57</v>
      </c>
      <c r="FU192" t="s">
        <v>57</v>
      </c>
      <c r="FV192" t="s">
        <v>57</v>
      </c>
      <c r="FW192" t="s">
        <v>57</v>
      </c>
      <c r="FX192" t="s">
        <v>57</v>
      </c>
      <c r="FY192" t="s">
        <v>57</v>
      </c>
      <c r="FZ192" t="s">
        <v>57</v>
      </c>
      <c r="GA192" t="s">
        <v>57</v>
      </c>
      <c r="GB192" t="s">
        <v>57</v>
      </c>
      <c r="GC192" t="s">
        <v>57</v>
      </c>
      <c r="GD192" t="s">
        <v>57</v>
      </c>
      <c r="GE192" t="s">
        <v>57</v>
      </c>
      <c r="GF192" t="s">
        <v>57</v>
      </c>
      <c r="GG192" t="s">
        <v>175</v>
      </c>
      <c r="GH192" t="s">
        <v>57</v>
      </c>
      <c r="GI192" t="s">
        <v>57</v>
      </c>
      <c r="GJ192" t="s">
        <v>57</v>
      </c>
      <c r="GK192" t="s">
        <v>57</v>
      </c>
      <c r="GL192" t="s">
        <v>57</v>
      </c>
      <c r="GM192" t="s">
        <v>57</v>
      </c>
      <c r="GN192" t="s">
        <v>57</v>
      </c>
      <c r="GO192" t="s">
        <v>57</v>
      </c>
      <c r="GP192" t="s">
        <v>57</v>
      </c>
      <c r="GQ192" t="s">
        <v>57</v>
      </c>
      <c r="GR192" t="s">
        <v>57</v>
      </c>
      <c r="GS192" t="s">
        <v>57</v>
      </c>
      <c r="GT192" t="s">
        <v>57</v>
      </c>
      <c r="GU192" t="s">
        <v>57</v>
      </c>
      <c r="GV192" t="s">
        <v>175</v>
      </c>
      <c r="GW192" t="s">
        <v>57</v>
      </c>
      <c r="GX192" t="s">
        <v>57</v>
      </c>
      <c r="GY192" t="s">
        <v>57</v>
      </c>
      <c r="GZ192" t="s">
        <v>57</v>
      </c>
      <c r="HA192" t="s">
        <v>57</v>
      </c>
      <c r="HB192" t="s">
        <v>57</v>
      </c>
      <c r="HC192" t="s">
        <v>57</v>
      </c>
      <c r="HD192" t="s">
        <v>57</v>
      </c>
      <c r="HE192" t="s">
        <v>57</v>
      </c>
      <c r="HF192" t="s">
        <v>57</v>
      </c>
      <c r="HG192" t="s">
        <v>57</v>
      </c>
      <c r="HH192" t="s">
        <v>57</v>
      </c>
      <c r="HI192" t="s">
        <v>57</v>
      </c>
      <c r="HJ192" t="s">
        <v>57</v>
      </c>
      <c r="HK192" t="s">
        <v>57</v>
      </c>
      <c r="HL192" t="s">
        <v>57</v>
      </c>
      <c r="HM192" t="s">
        <v>57</v>
      </c>
      <c r="HN192" t="s">
        <v>57</v>
      </c>
      <c r="HO192" t="s">
        <v>57</v>
      </c>
      <c r="HP192" t="s">
        <v>57</v>
      </c>
      <c r="HQ192" t="s">
        <v>57</v>
      </c>
      <c r="HR192" t="s">
        <v>57</v>
      </c>
      <c r="HS192" t="s">
        <v>57</v>
      </c>
      <c r="HT192" t="s">
        <v>57</v>
      </c>
      <c r="HU192" t="s">
        <v>57</v>
      </c>
      <c r="HV192" t="s">
        <v>57</v>
      </c>
      <c r="HW192" t="s">
        <v>57</v>
      </c>
      <c r="HX192" t="s">
        <v>57</v>
      </c>
      <c r="HY192" t="s">
        <v>57</v>
      </c>
      <c r="HZ192" t="s">
        <v>57</v>
      </c>
      <c r="IA192" t="s">
        <v>57</v>
      </c>
      <c r="IB192" t="s">
        <v>57</v>
      </c>
      <c r="IC192" t="s">
        <v>57</v>
      </c>
      <c r="ID192" t="s">
        <v>57</v>
      </c>
      <c r="IE192" t="s">
        <v>57</v>
      </c>
      <c r="IF192" t="s">
        <v>124</v>
      </c>
      <c r="IG192" t="s">
        <v>148</v>
      </c>
      <c r="IH192" t="s">
        <v>123</v>
      </c>
      <c r="II192" t="s">
        <v>156</v>
      </c>
    </row>
    <row r="193" spans="1:243" x14ac:dyDescent="0.25">
      <c r="A193" s="201" t="str">
        <f>HYPERLINK("http://www.ofsted.gov.uk/inspection-reports/find-inspection-report/provider/ELS/136233 ","Ofsted School Webpage")</f>
        <v>Ofsted School Webpage</v>
      </c>
      <c r="B193">
        <v>136233</v>
      </c>
      <c r="C193">
        <v>8746036</v>
      </c>
      <c r="D193" t="s">
        <v>1159</v>
      </c>
      <c r="E193" t="s">
        <v>37</v>
      </c>
      <c r="F193" t="s">
        <v>138</v>
      </c>
      <c r="G193" t="s">
        <v>177</v>
      </c>
      <c r="H193" t="s">
        <v>177</v>
      </c>
      <c r="I193" t="s">
        <v>570</v>
      </c>
      <c r="J193" t="s">
        <v>1160</v>
      </c>
      <c r="K193" t="s">
        <v>142</v>
      </c>
      <c r="L193" t="s">
        <v>142</v>
      </c>
      <c r="M193" t="s">
        <v>2596</v>
      </c>
      <c r="N193" t="s">
        <v>143</v>
      </c>
      <c r="O193">
        <v>10026073</v>
      </c>
      <c r="P193" s="108">
        <v>43130</v>
      </c>
      <c r="Q193" s="108">
        <v>43132</v>
      </c>
      <c r="R193" s="108">
        <v>43172</v>
      </c>
      <c r="S193" t="s">
        <v>153</v>
      </c>
      <c r="T193" t="s">
        <v>154</v>
      </c>
      <c r="U193">
        <v>3</v>
      </c>
      <c r="V193">
        <v>3</v>
      </c>
      <c r="W193">
        <v>3</v>
      </c>
      <c r="X193">
        <v>3</v>
      </c>
      <c r="Y193">
        <v>3</v>
      </c>
      <c r="Z193" t="s">
        <v>2596</v>
      </c>
      <c r="AA193" t="s">
        <v>2596</v>
      </c>
      <c r="AB193" t="s">
        <v>123</v>
      </c>
      <c r="AC193" t="s">
        <v>2596</v>
      </c>
      <c r="AD193" t="s">
        <v>2599</v>
      </c>
      <c r="AE193" t="s">
        <v>57</v>
      </c>
      <c r="AF193" t="s">
        <v>58</v>
      </c>
      <c r="AG193" t="s">
        <v>57</v>
      </c>
      <c r="AH193" t="s">
        <v>57</v>
      </c>
      <c r="AI193" t="s">
        <v>57</v>
      </c>
      <c r="AJ193" t="s">
        <v>57</v>
      </c>
      <c r="AK193" t="s">
        <v>57</v>
      </c>
      <c r="AL193" t="s">
        <v>58</v>
      </c>
      <c r="AM193" t="s">
        <v>57</v>
      </c>
      <c r="AN193" t="s">
        <v>57</v>
      </c>
      <c r="AO193" t="s">
        <v>57</v>
      </c>
      <c r="AP193" t="s">
        <v>57</v>
      </c>
      <c r="AQ193" t="s">
        <v>57</v>
      </c>
      <c r="AR193" t="s">
        <v>57</v>
      </c>
      <c r="AS193" t="s">
        <v>57</v>
      </c>
      <c r="AT193" t="s">
        <v>57</v>
      </c>
      <c r="AU193" t="s">
        <v>57</v>
      </c>
      <c r="AV193" t="s">
        <v>57</v>
      </c>
      <c r="AW193" t="s">
        <v>57</v>
      </c>
      <c r="AX193" t="s">
        <v>57</v>
      </c>
      <c r="AY193" t="s">
        <v>57</v>
      </c>
      <c r="AZ193" t="s">
        <v>57</v>
      </c>
      <c r="BA193" t="s">
        <v>57</v>
      </c>
      <c r="BB193" t="s">
        <v>57</v>
      </c>
      <c r="BC193" t="s">
        <v>175</v>
      </c>
      <c r="BD193" t="s">
        <v>175</v>
      </c>
      <c r="BE193" t="s">
        <v>57</v>
      </c>
      <c r="BF193" t="s">
        <v>57</v>
      </c>
      <c r="BG193" t="s">
        <v>58</v>
      </c>
      <c r="BH193" t="s">
        <v>58</v>
      </c>
      <c r="BI193" t="s">
        <v>58</v>
      </c>
      <c r="BJ193" t="s">
        <v>57</v>
      </c>
      <c r="BK193" t="s">
        <v>57</v>
      </c>
      <c r="BL193" t="s">
        <v>57</v>
      </c>
      <c r="BM193" t="s">
        <v>57</v>
      </c>
      <c r="BN193" t="s">
        <v>57</v>
      </c>
      <c r="BO193" t="s">
        <v>57</v>
      </c>
      <c r="BP193" t="s">
        <v>57</v>
      </c>
      <c r="BQ193" t="s">
        <v>57</v>
      </c>
      <c r="BR193" t="s">
        <v>57</v>
      </c>
      <c r="BS193" t="s">
        <v>58</v>
      </c>
      <c r="BT193" t="s">
        <v>57</v>
      </c>
      <c r="BU193" t="s">
        <v>58</v>
      </c>
      <c r="BV193" t="s">
        <v>57</v>
      </c>
      <c r="BW193" t="s">
        <v>58</v>
      </c>
      <c r="BX193" t="s">
        <v>57</v>
      </c>
      <c r="BY193" t="s">
        <v>57</v>
      </c>
      <c r="BZ193" t="s">
        <v>57</v>
      </c>
      <c r="CA193" t="s">
        <v>57</v>
      </c>
      <c r="CB193" t="s">
        <v>57</v>
      </c>
      <c r="CC193" t="s">
        <v>57</v>
      </c>
      <c r="CD193" t="s">
        <v>57</v>
      </c>
      <c r="CE193" t="s">
        <v>57</v>
      </c>
      <c r="CF193" t="s">
        <v>57</v>
      </c>
      <c r="CG193" t="s">
        <v>57</v>
      </c>
      <c r="CH193" t="s">
        <v>57</v>
      </c>
      <c r="CI193" t="s">
        <v>57</v>
      </c>
      <c r="CJ193" t="s">
        <v>57</v>
      </c>
      <c r="CK193" t="s">
        <v>175</v>
      </c>
      <c r="CL193" t="s">
        <v>175</v>
      </c>
      <c r="CM193" t="s">
        <v>175</v>
      </c>
      <c r="CN193" t="s">
        <v>57</v>
      </c>
      <c r="CO193" t="s">
        <v>57</v>
      </c>
      <c r="CP193" t="s">
        <v>57</v>
      </c>
      <c r="CQ193" t="s">
        <v>57</v>
      </c>
      <c r="CR193" t="s">
        <v>57</v>
      </c>
      <c r="CS193" t="s">
        <v>57</v>
      </c>
      <c r="CT193" t="s">
        <v>57</v>
      </c>
      <c r="CU193" t="s">
        <v>57</v>
      </c>
      <c r="CV193" t="s">
        <v>57</v>
      </c>
      <c r="CW193" t="s">
        <v>57</v>
      </c>
      <c r="CX193" t="s">
        <v>57</v>
      </c>
      <c r="CY193" t="s">
        <v>57</v>
      </c>
      <c r="CZ193" t="s">
        <v>57</v>
      </c>
      <c r="DA193" t="s">
        <v>57</v>
      </c>
      <c r="DB193" t="s">
        <v>57</v>
      </c>
      <c r="DC193" t="s">
        <v>57</v>
      </c>
      <c r="DD193" t="s">
        <v>57</v>
      </c>
      <c r="DE193" t="s">
        <v>58</v>
      </c>
      <c r="DF193" t="s">
        <v>57</v>
      </c>
      <c r="DG193" t="s">
        <v>57</v>
      </c>
      <c r="DH193" t="s">
        <v>57</v>
      </c>
      <c r="DI193" t="s">
        <v>57</v>
      </c>
      <c r="DJ193" t="s">
        <v>57</v>
      </c>
      <c r="DK193" t="s">
        <v>57</v>
      </c>
      <c r="DL193" t="s">
        <v>57</v>
      </c>
      <c r="DM193" t="s">
        <v>57</v>
      </c>
      <c r="DN193" t="s">
        <v>57</v>
      </c>
      <c r="DO193" t="s">
        <v>57</v>
      </c>
      <c r="DP193" t="s">
        <v>57</v>
      </c>
      <c r="DQ193" t="s">
        <v>57</v>
      </c>
      <c r="DR193" t="s">
        <v>57</v>
      </c>
      <c r="DS193" t="s">
        <v>57</v>
      </c>
      <c r="DT193" t="s">
        <v>57</v>
      </c>
      <c r="DU193" t="s">
        <v>57</v>
      </c>
      <c r="DV193" t="s">
        <v>57</v>
      </c>
      <c r="DW193" t="s">
        <v>57</v>
      </c>
      <c r="DX193" t="s">
        <v>57</v>
      </c>
      <c r="DY193" t="s">
        <v>175</v>
      </c>
      <c r="DZ193" t="s">
        <v>57</v>
      </c>
      <c r="EA193" t="s">
        <v>57</v>
      </c>
      <c r="EB193" t="s">
        <v>57</v>
      </c>
      <c r="EC193" t="s">
        <v>57</v>
      </c>
      <c r="ED193" t="s">
        <v>57</v>
      </c>
      <c r="EE193" t="s">
        <v>57</v>
      </c>
      <c r="EF193" t="s">
        <v>57</v>
      </c>
      <c r="EG193" t="s">
        <v>57</v>
      </c>
      <c r="EH193" t="s">
        <v>57</v>
      </c>
      <c r="EI193" t="s">
        <v>57</v>
      </c>
      <c r="EJ193" t="s">
        <v>57</v>
      </c>
      <c r="EK193" t="s">
        <v>57</v>
      </c>
      <c r="EL193" t="s">
        <v>57</v>
      </c>
      <c r="EM193" t="s">
        <v>57</v>
      </c>
      <c r="EN193" t="s">
        <v>57</v>
      </c>
      <c r="EO193" t="s">
        <v>57</v>
      </c>
      <c r="EP193" t="s">
        <v>57</v>
      </c>
      <c r="EQ193" t="s">
        <v>57</v>
      </c>
      <c r="ER193" t="s">
        <v>57</v>
      </c>
      <c r="ES193" t="s">
        <v>57</v>
      </c>
      <c r="ET193" t="s">
        <v>57</v>
      </c>
      <c r="EU193" t="s">
        <v>57</v>
      </c>
      <c r="EV193" t="s">
        <v>57</v>
      </c>
      <c r="EW193" t="s">
        <v>175</v>
      </c>
      <c r="EX193" t="s">
        <v>57</v>
      </c>
      <c r="EY193" t="s">
        <v>57</v>
      </c>
      <c r="EZ193" t="s">
        <v>57</v>
      </c>
      <c r="FA193" t="s">
        <v>57</v>
      </c>
      <c r="FB193" t="s">
        <v>57</v>
      </c>
      <c r="FC193" t="s">
        <v>57</v>
      </c>
      <c r="FD193" t="s">
        <v>57</v>
      </c>
      <c r="FE193" t="s">
        <v>175</v>
      </c>
      <c r="FF193" t="s">
        <v>57</v>
      </c>
      <c r="FG193" t="s">
        <v>57</v>
      </c>
      <c r="FH193" t="s">
        <v>57</v>
      </c>
      <c r="FI193" t="s">
        <v>57</v>
      </c>
      <c r="FJ193" t="s">
        <v>57</v>
      </c>
      <c r="FK193" t="s">
        <v>57</v>
      </c>
      <c r="FL193" t="s">
        <v>57</v>
      </c>
      <c r="FM193" t="s">
        <v>57</v>
      </c>
      <c r="FN193" t="s">
        <v>57</v>
      </c>
      <c r="FO193" t="s">
        <v>175</v>
      </c>
      <c r="FP193" t="s">
        <v>175</v>
      </c>
      <c r="FQ193" t="s">
        <v>57</v>
      </c>
      <c r="FR193" t="s">
        <v>57</v>
      </c>
      <c r="FS193" t="s">
        <v>57</v>
      </c>
      <c r="FT193" t="s">
        <v>57</v>
      </c>
      <c r="FU193" t="s">
        <v>57</v>
      </c>
      <c r="FV193" t="s">
        <v>57</v>
      </c>
      <c r="FW193" t="s">
        <v>57</v>
      </c>
      <c r="FX193" t="s">
        <v>57</v>
      </c>
      <c r="FY193" t="s">
        <v>57</v>
      </c>
      <c r="FZ193" t="s">
        <v>57</v>
      </c>
      <c r="GA193" t="s">
        <v>57</v>
      </c>
      <c r="GB193" t="s">
        <v>57</v>
      </c>
      <c r="GC193" t="s">
        <v>57</v>
      </c>
      <c r="GD193" t="s">
        <v>57</v>
      </c>
      <c r="GE193" t="s">
        <v>57</v>
      </c>
      <c r="GF193" t="s">
        <v>57</v>
      </c>
      <c r="GG193" t="s">
        <v>57</v>
      </c>
      <c r="GH193" t="s">
        <v>57</v>
      </c>
      <c r="GI193" t="s">
        <v>57</v>
      </c>
      <c r="GJ193" t="s">
        <v>57</v>
      </c>
      <c r="GK193" t="s">
        <v>57</v>
      </c>
      <c r="GL193" t="s">
        <v>175</v>
      </c>
      <c r="GM193" t="s">
        <v>175</v>
      </c>
      <c r="GN193" t="s">
        <v>57</v>
      </c>
      <c r="GO193" t="s">
        <v>57</v>
      </c>
      <c r="GP193" t="s">
        <v>57</v>
      </c>
      <c r="GQ193" t="s">
        <v>57</v>
      </c>
      <c r="GR193" t="s">
        <v>175</v>
      </c>
      <c r="GS193" t="s">
        <v>57</v>
      </c>
      <c r="GT193" t="s">
        <v>57</v>
      </c>
      <c r="GU193" t="s">
        <v>57</v>
      </c>
      <c r="GV193" t="s">
        <v>175</v>
      </c>
      <c r="GW193" t="s">
        <v>57</v>
      </c>
      <c r="GX193" t="s">
        <v>175</v>
      </c>
      <c r="GY193" t="s">
        <v>57</v>
      </c>
      <c r="GZ193" t="s">
        <v>57</v>
      </c>
      <c r="HA193" t="s">
        <v>57</v>
      </c>
      <c r="HB193" t="s">
        <v>57</v>
      </c>
      <c r="HC193" t="s">
        <v>57</v>
      </c>
      <c r="HD193" t="s">
        <v>57</v>
      </c>
      <c r="HE193" t="s">
        <v>57</v>
      </c>
      <c r="HF193" t="s">
        <v>57</v>
      </c>
      <c r="HG193" t="s">
        <v>57</v>
      </c>
      <c r="HH193" t="s">
        <v>175</v>
      </c>
      <c r="HI193" t="s">
        <v>175</v>
      </c>
      <c r="HJ193" t="s">
        <v>175</v>
      </c>
      <c r="HK193" t="s">
        <v>175</v>
      </c>
      <c r="HL193" t="s">
        <v>57</v>
      </c>
      <c r="HM193" t="s">
        <v>57</v>
      </c>
      <c r="HN193" t="s">
        <v>57</v>
      </c>
      <c r="HO193" t="s">
        <v>57</v>
      </c>
      <c r="HP193" t="s">
        <v>57</v>
      </c>
      <c r="HQ193" t="s">
        <v>57</v>
      </c>
      <c r="HR193" t="s">
        <v>57</v>
      </c>
      <c r="HS193" t="s">
        <v>57</v>
      </c>
      <c r="HT193" t="s">
        <v>57</v>
      </c>
      <c r="HU193" t="s">
        <v>57</v>
      </c>
      <c r="HV193" t="s">
        <v>57</v>
      </c>
      <c r="HW193" t="s">
        <v>57</v>
      </c>
      <c r="HX193" t="s">
        <v>57</v>
      </c>
      <c r="HY193" t="s">
        <v>57</v>
      </c>
      <c r="HZ193" t="s">
        <v>57</v>
      </c>
      <c r="IA193" t="s">
        <v>57</v>
      </c>
      <c r="IB193" t="s">
        <v>58</v>
      </c>
      <c r="IC193" t="s">
        <v>58</v>
      </c>
      <c r="ID193" t="s">
        <v>58</v>
      </c>
      <c r="IE193" t="s">
        <v>57</v>
      </c>
      <c r="IF193" t="s">
        <v>124</v>
      </c>
      <c r="IG193" t="s">
        <v>148</v>
      </c>
      <c r="IH193" t="s">
        <v>123</v>
      </c>
      <c r="II193" t="s">
        <v>156</v>
      </c>
    </row>
    <row r="194" spans="1:243" x14ac:dyDescent="0.25">
      <c r="A194" s="201" t="str">
        <f>HYPERLINK("http://www.ofsted.gov.uk/inspection-reports/find-inspection-report/provider/ELS/136236 ","Ofsted School Webpage")</f>
        <v>Ofsted School Webpage</v>
      </c>
      <c r="B194">
        <v>136236</v>
      </c>
      <c r="C194">
        <v>8736028</v>
      </c>
      <c r="D194" t="s">
        <v>475</v>
      </c>
      <c r="E194" t="s">
        <v>37</v>
      </c>
      <c r="F194" t="s">
        <v>138</v>
      </c>
      <c r="G194" t="s">
        <v>177</v>
      </c>
      <c r="H194" t="s">
        <v>177</v>
      </c>
      <c r="I194" t="s">
        <v>241</v>
      </c>
      <c r="J194" t="s">
        <v>476</v>
      </c>
      <c r="K194" t="s">
        <v>142</v>
      </c>
      <c r="L194" t="s">
        <v>142</v>
      </c>
      <c r="M194" t="s">
        <v>2596</v>
      </c>
      <c r="N194" t="s">
        <v>143</v>
      </c>
      <c r="O194">
        <v>10038908</v>
      </c>
      <c r="P194" s="108">
        <v>43004</v>
      </c>
      <c r="Q194" s="108">
        <v>43006</v>
      </c>
      <c r="R194" s="108">
        <v>43049</v>
      </c>
      <c r="S194" t="s">
        <v>3005</v>
      </c>
      <c r="T194" t="s">
        <v>154</v>
      </c>
      <c r="U194">
        <v>3</v>
      </c>
      <c r="V194">
        <v>3</v>
      </c>
      <c r="W194">
        <v>3</v>
      </c>
      <c r="X194">
        <v>3</v>
      </c>
      <c r="Y194">
        <v>3</v>
      </c>
      <c r="Z194" t="s">
        <v>2596</v>
      </c>
      <c r="AA194" t="s">
        <v>2596</v>
      </c>
      <c r="AB194" t="s">
        <v>123</v>
      </c>
      <c r="AC194" t="s">
        <v>2596</v>
      </c>
      <c r="AD194" t="s">
        <v>2599</v>
      </c>
      <c r="AE194" t="s">
        <v>57</v>
      </c>
      <c r="AF194" t="s">
        <v>57</v>
      </c>
      <c r="AG194" t="s">
        <v>57</v>
      </c>
      <c r="AH194" t="s">
        <v>57</v>
      </c>
      <c r="AI194" t="s">
        <v>57</v>
      </c>
      <c r="AJ194" t="s">
        <v>57</v>
      </c>
      <c r="AK194" t="s">
        <v>57</v>
      </c>
      <c r="AL194" t="s">
        <v>58</v>
      </c>
      <c r="AM194" t="s">
        <v>57</v>
      </c>
      <c r="AN194" t="s">
        <v>57</v>
      </c>
      <c r="AO194" t="s">
        <v>57</v>
      </c>
      <c r="AP194" t="s">
        <v>57</v>
      </c>
      <c r="AQ194" t="s">
        <v>57</v>
      </c>
      <c r="AR194" t="s">
        <v>57</v>
      </c>
      <c r="AS194" t="s">
        <v>57</v>
      </c>
      <c r="AT194" t="s">
        <v>57</v>
      </c>
      <c r="AU194" t="s">
        <v>57</v>
      </c>
      <c r="AV194" t="s">
        <v>57</v>
      </c>
      <c r="AW194" t="s">
        <v>57</v>
      </c>
      <c r="AX194" t="s">
        <v>57</v>
      </c>
      <c r="AY194" t="s">
        <v>57</v>
      </c>
      <c r="AZ194" t="s">
        <v>57</v>
      </c>
      <c r="BA194" t="s">
        <v>57</v>
      </c>
      <c r="BB194" t="s">
        <v>57</v>
      </c>
      <c r="BC194" t="s">
        <v>175</v>
      </c>
      <c r="BD194" t="s">
        <v>175</v>
      </c>
      <c r="BE194" t="s">
        <v>57</v>
      </c>
      <c r="BF194" t="s">
        <v>57</v>
      </c>
      <c r="BG194" t="s">
        <v>57</v>
      </c>
      <c r="BH194" t="s">
        <v>57</v>
      </c>
      <c r="BI194" t="s">
        <v>57</v>
      </c>
      <c r="BJ194" t="s">
        <v>57</v>
      </c>
      <c r="BK194" t="s">
        <v>57</v>
      </c>
      <c r="BL194" t="s">
        <v>57</v>
      </c>
      <c r="BM194" t="s">
        <v>57</v>
      </c>
      <c r="BN194" t="s">
        <v>57</v>
      </c>
      <c r="BO194" t="s">
        <v>57</v>
      </c>
      <c r="BP194" t="s">
        <v>57</v>
      </c>
      <c r="BQ194" t="s">
        <v>57</v>
      </c>
      <c r="BR194" t="s">
        <v>57</v>
      </c>
      <c r="BS194" t="s">
        <v>57</v>
      </c>
      <c r="BT194" t="s">
        <v>57</v>
      </c>
      <c r="BU194" t="s">
        <v>57</v>
      </c>
      <c r="BV194" t="s">
        <v>57</v>
      </c>
      <c r="BW194" t="s">
        <v>57</v>
      </c>
      <c r="BX194" t="s">
        <v>57</v>
      </c>
      <c r="BY194" t="s">
        <v>57</v>
      </c>
      <c r="BZ194" t="s">
        <v>57</v>
      </c>
      <c r="CA194" t="s">
        <v>57</v>
      </c>
      <c r="CB194" t="s">
        <v>57</v>
      </c>
      <c r="CC194" t="s">
        <v>57</v>
      </c>
      <c r="CD194" t="s">
        <v>57</v>
      </c>
      <c r="CE194" t="s">
        <v>57</v>
      </c>
      <c r="CF194" t="s">
        <v>57</v>
      </c>
      <c r="CG194" t="s">
        <v>57</v>
      </c>
      <c r="CH194" t="s">
        <v>57</v>
      </c>
      <c r="CI194" t="s">
        <v>57</v>
      </c>
      <c r="CJ194" t="s">
        <v>57</v>
      </c>
      <c r="CK194" t="s">
        <v>175</v>
      </c>
      <c r="CL194" t="s">
        <v>175</v>
      </c>
      <c r="CM194" t="s">
        <v>175</v>
      </c>
      <c r="CN194" t="s">
        <v>57</v>
      </c>
      <c r="CO194" t="s">
        <v>57</v>
      </c>
      <c r="CP194" t="s">
        <v>57</v>
      </c>
      <c r="CQ194" t="s">
        <v>57</v>
      </c>
      <c r="CR194" t="s">
        <v>57</v>
      </c>
      <c r="CS194" t="s">
        <v>57</v>
      </c>
      <c r="CT194" t="s">
        <v>57</v>
      </c>
      <c r="CU194" t="s">
        <v>57</v>
      </c>
      <c r="CV194" t="s">
        <v>57</v>
      </c>
      <c r="CW194" t="s">
        <v>57</v>
      </c>
      <c r="CX194" t="s">
        <v>57</v>
      </c>
      <c r="CY194" t="s">
        <v>57</v>
      </c>
      <c r="CZ194" t="s">
        <v>57</v>
      </c>
      <c r="DA194" t="s">
        <v>57</v>
      </c>
      <c r="DB194" t="s">
        <v>57</v>
      </c>
      <c r="DC194" t="s">
        <v>57</v>
      </c>
      <c r="DD194" t="s">
        <v>57</v>
      </c>
      <c r="DE194" t="s">
        <v>57</v>
      </c>
      <c r="DF194" t="s">
        <v>57</v>
      </c>
      <c r="DG194" t="s">
        <v>57</v>
      </c>
      <c r="DH194" t="s">
        <v>57</v>
      </c>
      <c r="DI194" t="s">
        <v>57</v>
      </c>
      <c r="DJ194" t="s">
        <v>175</v>
      </c>
      <c r="DK194" t="s">
        <v>175</v>
      </c>
      <c r="DL194" t="s">
        <v>57</v>
      </c>
      <c r="DM194" t="s">
        <v>175</v>
      </c>
      <c r="DN194" t="s">
        <v>175</v>
      </c>
      <c r="DO194" t="s">
        <v>175</v>
      </c>
      <c r="DP194" t="s">
        <v>175</v>
      </c>
      <c r="DQ194" t="s">
        <v>175</v>
      </c>
      <c r="DR194" t="s">
        <v>175</v>
      </c>
      <c r="DS194" t="s">
        <v>175</v>
      </c>
      <c r="DT194" t="s">
        <v>175</v>
      </c>
      <c r="DU194" t="s">
        <v>175</v>
      </c>
      <c r="DV194" t="s">
        <v>175</v>
      </c>
      <c r="DW194" t="s">
        <v>175</v>
      </c>
      <c r="DX194" t="s">
        <v>175</v>
      </c>
      <c r="DY194" t="s">
        <v>175</v>
      </c>
      <c r="DZ194" t="s">
        <v>175</v>
      </c>
      <c r="EA194" t="s">
        <v>57</v>
      </c>
      <c r="EB194" t="s">
        <v>57</v>
      </c>
      <c r="EC194" t="s">
        <v>57</v>
      </c>
      <c r="ED194" t="s">
        <v>57</v>
      </c>
      <c r="EE194" t="s">
        <v>57</v>
      </c>
      <c r="EF194" t="s">
        <v>57</v>
      </c>
      <c r="EG194" t="s">
        <v>57</v>
      </c>
      <c r="EH194" t="s">
        <v>57</v>
      </c>
      <c r="EI194" t="s">
        <v>57</v>
      </c>
      <c r="EJ194" t="s">
        <v>57</v>
      </c>
      <c r="EK194" t="s">
        <v>57</v>
      </c>
      <c r="EL194" t="s">
        <v>57</v>
      </c>
      <c r="EM194" t="s">
        <v>57</v>
      </c>
      <c r="EN194" t="s">
        <v>57</v>
      </c>
      <c r="EO194" t="s">
        <v>57</v>
      </c>
      <c r="EP194" t="s">
        <v>57</v>
      </c>
      <c r="EQ194" t="s">
        <v>57</v>
      </c>
      <c r="ER194" t="s">
        <v>57</v>
      </c>
      <c r="ES194" t="s">
        <v>57</v>
      </c>
      <c r="ET194" t="s">
        <v>57</v>
      </c>
      <c r="EU194" t="s">
        <v>57</v>
      </c>
      <c r="EV194" t="s">
        <v>57</v>
      </c>
      <c r="EW194" t="s">
        <v>175</v>
      </c>
      <c r="EX194" t="s">
        <v>175</v>
      </c>
      <c r="EY194" t="s">
        <v>175</v>
      </c>
      <c r="EZ194" t="s">
        <v>175</v>
      </c>
      <c r="FA194" t="s">
        <v>175</v>
      </c>
      <c r="FB194" t="s">
        <v>175</v>
      </c>
      <c r="FC194" t="s">
        <v>175</v>
      </c>
      <c r="FD194" t="s">
        <v>57</v>
      </c>
      <c r="FE194" t="s">
        <v>175</v>
      </c>
      <c r="FF194" t="s">
        <v>57</v>
      </c>
      <c r="FG194" t="s">
        <v>57</v>
      </c>
      <c r="FH194" t="s">
        <v>57</v>
      </c>
      <c r="FI194" t="s">
        <v>57</v>
      </c>
      <c r="FJ194" t="s">
        <v>57</v>
      </c>
      <c r="FK194" t="s">
        <v>57</v>
      </c>
      <c r="FL194" t="s">
        <v>58</v>
      </c>
      <c r="FM194" t="s">
        <v>58</v>
      </c>
      <c r="FN194" t="s">
        <v>58</v>
      </c>
      <c r="FO194" t="s">
        <v>175</v>
      </c>
      <c r="FP194" t="s">
        <v>175</v>
      </c>
      <c r="FQ194" t="s">
        <v>57</v>
      </c>
      <c r="FR194" t="s">
        <v>57</v>
      </c>
      <c r="FS194" t="s">
        <v>57</v>
      </c>
      <c r="FT194" t="s">
        <v>57</v>
      </c>
      <c r="FU194" t="s">
        <v>57</v>
      </c>
      <c r="FV194" t="s">
        <v>57</v>
      </c>
      <c r="FW194" t="s">
        <v>57</v>
      </c>
      <c r="FX194" t="s">
        <v>57</v>
      </c>
      <c r="FY194" t="s">
        <v>57</v>
      </c>
      <c r="FZ194" t="s">
        <v>57</v>
      </c>
      <c r="GA194" t="s">
        <v>57</v>
      </c>
      <c r="GB194" t="s">
        <v>57</v>
      </c>
      <c r="GC194" t="s">
        <v>57</v>
      </c>
      <c r="GD194" t="s">
        <v>57</v>
      </c>
      <c r="GE194" t="s">
        <v>57</v>
      </c>
      <c r="GF194" t="s">
        <v>57</v>
      </c>
      <c r="GG194" t="s">
        <v>175</v>
      </c>
      <c r="GH194" t="s">
        <v>57</v>
      </c>
      <c r="GI194" t="s">
        <v>57</v>
      </c>
      <c r="GJ194" t="s">
        <v>57</v>
      </c>
      <c r="GK194" t="s">
        <v>57</v>
      </c>
      <c r="GL194" t="s">
        <v>175</v>
      </c>
      <c r="GM194" t="s">
        <v>175</v>
      </c>
      <c r="GN194" t="s">
        <v>57</v>
      </c>
      <c r="GO194" t="s">
        <v>57</v>
      </c>
      <c r="GP194" t="s">
        <v>57</v>
      </c>
      <c r="GQ194" t="s">
        <v>57</v>
      </c>
      <c r="GR194" t="s">
        <v>175</v>
      </c>
      <c r="GS194" t="s">
        <v>57</v>
      </c>
      <c r="GT194" t="s">
        <v>57</v>
      </c>
      <c r="GU194" t="s">
        <v>57</v>
      </c>
      <c r="GV194" t="s">
        <v>175</v>
      </c>
      <c r="GW194" t="s">
        <v>57</v>
      </c>
      <c r="GX194" t="s">
        <v>175</v>
      </c>
      <c r="GY194" t="s">
        <v>57</v>
      </c>
      <c r="GZ194" t="s">
        <v>57</v>
      </c>
      <c r="HA194" t="s">
        <v>57</v>
      </c>
      <c r="HB194" t="s">
        <v>57</v>
      </c>
      <c r="HC194" t="s">
        <v>57</v>
      </c>
      <c r="HD194" t="s">
        <v>57</v>
      </c>
      <c r="HE194" t="s">
        <v>57</v>
      </c>
      <c r="HF194" t="s">
        <v>57</v>
      </c>
      <c r="HG194" t="s">
        <v>175</v>
      </c>
      <c r="HH194" t="s">
        <v>175</v>
      </c>
      <c r="HI194" t="s">
        <v>175</v>
      </c>
      <c r="HJ194" t="s">
        <v>175</v>
      </c>
      <c r="HK194" t="s">
        <v>175</v>
      </c>
      <c r="HL194" t="s">
        <v>57</v>
      </c>
      <c r="HM194" t="s">
        <v>57</v>
      </c>
      <c r="HN194" t="s">
        <v>57</v>
      </c>
      <c r="HO194" t="s">
        <v>57</v>
      </c>
      <c r="HP194" t="s">
        <v>57</v>
      </c>
      <c r="HQ194" t="s">
        <v>57</v>
      </c>
      <c r="HR194" t="s">
        <v>57</v>
      </c>
      <c r="HS194" t="s">
        <v>57</v>
      </c>
      <c r="HT194" t="s">
        <v>57</v>
      </c>
      <c r="HU194" t="s">
        <v>57</v>
      </c>
      <c r="HV194" t="s">
        <v>57</v>
      </c>
      <c r="HW194" t="s">
        <v>57</v>
      </c>
      <c r="HX194" t="s">
        <v>57</v>
      </c>
      <c r="HY194" t="s">
        <v>57</v>
      </c>
      <c r="HZ194" t="s">
        <v>57</v>
      </c>
      <c r="IA194" t="s">
        <v>57</v>
      </c>
      <c r="IB194" t="s">
        <v>58</v>
      </c>
      <c r="IC194" t="s">
        <v>58</v>
      </c>
      <c r="ID194" t="s">
        <v>58</v>
      </c>
      <c r="IE194" t="s">
        <v>57</v>
      </c>
      <c r="IF194" t="s">
        <v>124</v>
      </c>
      <c r="IG194" t="s">
        <v>148</v>
      </c>
      <c r="IH194" t="s">
        <v>123</v>
      </c>
      <c r="II194" t="s">
        <v>156</v>
      </c>
    </row>
    <row r="195" spans="1:243" x14ac:dyDescent="0.25">
      <c r="A195" s="201" t="str">
        <f>HYPERLINK("http://www.ofsted.gov.uk/inspection-reports/find-inspection-report/provider/ELS/136250 ","Ofsted School Webpage")</f>
        <v>Ofsted School Webpage</v>
      </c>
      <c r="B195">
        <v>136250</v>
      </c>
      <c r="C195">
        <v>2116399</v>
      </c>
      <c r="D195" t="s">
        <v>2318</v>
      </c>
      <c r="E195" t="s">
        <v>36</v>
      </c>
      <c r="F195" t="s">
        <v>166</v>
      </c>
      <c r="G195" t="s">
        <v>189</v>
      </c>
      <c r="H195" t="s">
        <v>189</v>
      </c>
      <c r="I195" t="s">
        <v>494</v>
      </c>
      <c r="J195" t="s">
        <v>2319</v>
      </c>
      <c r="K195" t="s">
        <v>142</v>
      </c>
      <c r="L195" t="s">
        <v>142</v>
      </c>
      <c r="M195" t="s">
        <v>2596</v>
      </c>
      <c r="N195" t="s">
        <v>143</v>
      </c>
      <c r="O195">
        <v>10041400</v>
      </c>
      <c r="P195" s="108">
        <v>43109</v>
      </c>
      <c r="Q195" s="108">
        <v>43111</v>
      </c>
      <c r="R195" s="108">
        <v>43140</v>
      </c>
      <c r="S195" t="s">
        <v>153</v>
      </c>
      <c r="T195" t="s">
        <v>154</v>
      </c>
      <c r="U195">
        <v>2</v>
      </c>
      <c r="V195">
        <v>2</v>
      </c>
      <c r="W195">
        <v>1</v>
      </c>
      <c r="X195">
        <v>2</v>
      </c>
      <c r="Y195">
        <v>2</v>
      </c>
      <c r="Z195" t="s">
        <v>2596</v>
      </c>
      <c r="AA195" t="s">
        <v>2596</v>
      </c>
      <c r="AB195" t="s">
        <v>123</v>
      </c>
      <c r="AC195" t="s">
        <v>2596</v>
      </c>
      <c r="AD195" t="s">
        <v>2598</v>
      </c>
      <c r="AE195" t="s">
        <v>57</v>
      </c>
      <c r="AF195" t="s">
        <v>57</v>
      </c>
      <c r="AG195" t="s">
        <v>57</v>
      </c>
      <c r="AH195" t="s">
        <v>57</v>
      </c>
      <c r="AI195" t="s">
        <v>57</v>
      </c>
      <c r="AJ195" t="s">
        <v>57</v>
      </c>
      <c r="AK195" t="s">
        <v>57</v>
      </c>
      <c r="AL195" t="s">
        <v>57</v>
      </c>
      <c r="AM195" t="s">
        <v>57</v>
      </c>
      <c r="AN195" t="s">
        <v>57</v>
      </c>
      <c r="AO195" t="s">
        <v>57</v>
      </c>
      <c r="AP195" t="s">
        <v>57</v>
      </c>
      <c r="AQ195" t="s">
        <v>57</v>
      </c>
      <c r="AR195" t="s">
        <v>57</v>
      </c>
      <c r="AS195" t="s">
        <v>57</v>
      </c>
      <c r="AT195" t="s">
        <v>57</v>
      </c>
      <c r="AU195" t="s">
        <v>57</v>
      </c>
      <c r="AV195" t="s">
        <v>57</v>
      </c>
      <c r="AW195" t="s">
        <v>57</v>
      </c>
      <c r="AX195" t="s">
        <v>57</v>
      </c>
      <c r="AY195" t="s">
        <v>175</v>
      </c>
      <c r="AZ195" t="s">
        <v>175</v>
      </c>
      <c r="BA195" t="s">
        <v>175</v>
      </c>
      <c r="BB195" t="s">
        <v>175</v>
      </c>
      <c r="BC195" t="s">
        <v>57</v>
      </c>
      <c r="BD195" t="s">
        <v>57</v>
      </c>
      <c r="BE195" t="s">
        <v>57</v>
      </c>
      <c r="BF195" t="s">
        <v>57</v>
      </c>
      <c r="BG195" t="s">
        <v>57</v>
      </c>
      <c r="BH195" t="s">
        <v>57</v>
      </c>
      <c r="BI195" t="s">
        <v>57</v>
      </c>
      <c r="BJ195" t="s">
        <v>57</v>
      </c>
      <c r="BK195" t="s">
        <v>57</v>
      </c>
      <c r="BL195" t="s">
        <v>57</v>
      </c>
      <c r="BM195" t="s">
        <v>57</v>
      </c>
      <c r="BN195" t="s">
        <v>57</v>
      </c>
      <c r="BO195" t="s">
        <v>57</v>
      </c>
      <c r="BP195" t="s">
        <v>57</v>
      </c>
      <c r="BQ195" t="s">
        <v>57</v>
      </c>
      <c r="BR195" t="s">
        <v>57</v>
      </c>
      <c r="BS195" t="s">
        <v>57</v>
      </c>
      <c r="BT195" t="s">
        <v>57</v>
      </c>
      <c r="BU195" t="s">
        <v>57</v>
      </c>
      <c r="BV195" t="s">
        <v>57</v>
      </c>
      <c r="BW195" t="s">
        <v>57</v>
      </c>
      <c r="BX195" t="s">
        <v>57</v>
      </c>
      <c r="BY195" t="s">
        <v>57</v>
      </c>
      <c r="BZ195" t="s">
        <v>57</v>
      </c>
      <c r="CA195" t="s">
        <v>57</v>
      </c>
      <c r="CB195" t="s">
        <v>57</v>
      </c>
      <c r="CC195" t="s">
        <v>57</v>
      </c>
      <c r="CD195" t="s">
        <v>57</v>
      </c>
      <c r="CE195" t="s">
        <v>57</v>
      </c>
      <c r="CF195" t="s">
        <v>57</v>
      </c>
      <c r="CG195" t="s">
        <v>57</v>
      </c>
      <c r="CH195" t="s">
        <v>57</v>
      </c>
      <c r="CI195" t="s">
        <v>57</v>
      </c>
      <c r="CJ195" t="s">
        <v>57</v>
      </c>
      <c r="CK195" t="s">
        <v>175</v>
      </c>
      <c r="CL195" t="s">
        <v>175</v>
      </c>
      <c r="CM195" t="s">
        <v>175</v>
      </c>
      <c r="CN195" t="s">
        <v>57</v>
      </c>
      <c r="CO195" t="s">
        <v>57</v>
      </c>
      <c r="CP195" t="s">
        <v>57</v>
      </c>
      <c r="CQ195" t="s">
        <v>57</v>
      </c>
      <c r="CR195" t="s">
        <v>57</v>
      </c>
      <c r="CS195" t="s">
        <v>57</v>
      </c>
      <c r="CT195" t="s">
        <v>57</v>
      </c>
      <c r="CU195" t="s">
        <v>57</v>
      </c>
      <c r="CV195" t="s">
        <v>57</v>
      </c>
      <c r="CW195" t="s">
        <v>57</v>
      </c>
      <c r="CX195" t="s">
        <v>57</v>
      </c>
      <c r="CY195" t="s">
        <v>57</v>
      </c>
      <c r="CZ195" t="s">
        <v>57</v>
      </c>
      <c r="DA195" t="s">
        <v>57</v>
      </c>
      <c r="DB195" t="s">
        <v>57</v>
      </c>
      <c r="DC195" t="s">
        <v>57</v>
      </c>
      <c r="DD195" t="s">
        <v>57</v>
      </c>
      <c r="DE195" t="s">
        <v>57</v>
      </c>
      <c r="DF195" t="s">
        <v>57</v>
      </c>
      <c r="DG195" t="s">
        <v>57</v>
      </c>
      <c r="DH195" t="s">
        <v>57</v>
      </c>
      <c r="DI195" t="s">
        <v>57</v>
      </c>
      <c r="DJ195" t="s">
        <v>57</v>
      </c>
      <c r="DK195" t="s">
        <v>57</v>
      </c>
      <c r="DL195" t="s">
        <v>57</v>
      </c>
      <c r="DM195" t="s">
        <v>57</v>
      </c>
      <c r="DN195" t="s">
        <v>57</v>
      </c>
      <c r="DO195" t="s">
        <v>57</v>
      </c>
      <c r="DP195" t="s">
        <v>57</v>
      </c>
      <c r="DQ195" t="s">
        <v>57</v>
      </c>
      <c r="DR195" t="s">
        <v>57</v>
      </c>
      <c r="DS195" t="s">
        <v>57</v>
      </c>
      <c r="DT195" t="s">
        <v>57</v>
      </c>
      <c r="DU195" t="s">
        <v>57</v>
      </c>
      <c r="DV195" t="s">
        <v>57</v>
      </c>
      <c r="DW195" t="s">
        <v>57</v>
      </c>
      <c r="DX195" t="s">
        <v>57</v>
      </c>
      <c r="DY195" t="s">
        <v>57</v>
      </c>
      <c r="DZ195" t="s">
        <v>57</v>
      </c>
      <c r="EA195" t="s">
        <v>57</v>
      </c>
      <c r="EB195" t="s">
        <v>57</v>
      </c>
      <c r="EC195" t="s">
        <v>57</v>
      </c>
      <c r="ED195" t="s">
        <v>57</v>
      </c>
      <c r="EE195" t="s">
        <v>57</v>
      </c>
      <c r="EF195" t="s">
        <v>57</v>
      </c>
      <c r="EG195" t="s">
        <v>57</v>
      </c>
      <c r="EH195" t="s">
        <v>57</v>
      </c>
      <c r="EI195" t="s">
        <v>57</v>
      </c>
      <c r="EJ195" t="s">
        <v>57</v>
      </c>
      <c r="EK195" t="s">
        <v>57</v>
      </c>
      <c r="EL195" t="s">
        <v>57</v>
      </c>
      <c r="EM195" t="s">
        <v>57</v>
      </c>
      <c r="EN195" t="s">
        <v>57</v>
      </c>
      <c r="EO195" t="s">
        <v>57</v>
      </c>
      <c r="EP195" t="s">
        <v>57</v>
      </c>
      <c r="EQ195" t="s">
        <v>57</v>
      </c>
      <c r="ER195" t="s">
        <v>57</v>
      </c>
      <c r="ES195" t="s">
        <v>57</v>
      </c>
      <c r="ET195" t="s">
        <v>57</v>
      </c>
      <c r="EU195" t="s">
        <v>57</v>
      </c>
      <c r="EV195" t="s">
        <v>57</v>
      </c>
      <c r="EW195" t="s">
        <v>57</v>
      </c>
      <c r="EX195" t="s">
        <v>57</v>
      </c>
      <c r="EY195" t="s">
        <v>57</v>
      </c>
      <c r="EZ195" t="s">
        <v>57</v>
      </c>
      <c r="FA195" t="s">
        <v>57</v>
      </c>
      <c r="FB195" t="s">
        <v>57</v>
      </c>
      <c r="FC195" t="s">
        <v>57</v>
      </c>
      <c r="FD195" t="s">
        <v>57</v>
      </c>
      <c r="FE195" t="s">
        <v>57</v>
      </c>
      <c r="FF195" t="s">
        <v>57</v>
      </c>
      <c r="FG195" t="s">
        <v>57</v>
      </c>
      <c r="FH195" t="s">
        <v>57</v>
      </c>
      <c r="FI195" t="s">
        <v>57</v>
      </c>
      <c r="FJ195" t="s">
        <v>175</v>
      </c>
      <c r="FK195" t="s">
        <v>175</v>
      </c>
      <c r="FL195" t="s">
        <v>57</v>
      </c>
      <c r="FM195" t="s">
        <v>57</v>
      </c>
      <c r="FN195" t="s">
        <v>57</v>
      </c>
      <c r="FO195" t="s">
        <v>57</v>
      </c>
      <c r="FP195" t="s">
        <v>57</v>
      </c>
      <c r="FQ195" t="s">
        <v>57</v>
      </c>
      <c r="FR195" t="s">
        <v>57</v>
      </c>
      <c r="FS195" t="s">
        <v>57</v>
      </c>
      <c r="FT195" t="s">
        <v>57</v>
      </c>
      <c r="FU195" t="s">
        <v>57</v>
      </c>
      <c r="FV195" t="s">
        <v>57</v>
      </c>
      <c r="FW195" t="s">
        <v>57</v>
      </c>
      <c r="FX195" t="s">
        <v>57</v>
      </c>
      <c r="FY195" t="s">
        <v>57</v>
      </c>
      <c r="FZ195" t="s">
        <v>57</v>
      </c>
      <c r="GA195" t="s">
        <v>57</v>
      </c>
      <c r="GB195" t="s">
        <v>57</v>
      </c>
      <c r="GC195" t="s">
        <v>57</v>
      </c>
      <c r="GD195" t="s">
        <v>57</v>
      </c>
      <c r="GE195" t="s">
        <v>57</v>
      </c>
      <c r="GF195" t="s">
        <v>57</v>
      </c>
      <c r="GG195" t="s">
        <v>175</v>
      </c>
      <c r="GH195" t="s">
        <v>57</v>
      </c>
      <c r="GI195" t="s">
        <v>57</v>
      </c>
      <c r="GJ195" t="s">
        <v>57</v>
      </c>
      <c r="GK195" t="s">
        <v>57</v>
      </c>
      <c r="GL195" t="s">
        <v>57</v>
      </c>
      <c r="GM195" t="s">
        <v>57</v>
      </c>
      <c r="GN195" t="s">
        <v>57</v>
      </c>
      <c r="GO195" t="s">
        <v>57</v>
      </c>
      <c r="GP195" t="s">
        <v>57</v>
      </c>
      <c r="GQ195" t="s">
        <v>175</v>
      </c>
      <c r="GR195" t="s">
        <v>57</v>
      </c>
      <c r="GS195" t="s">
        <v>57</v>
      </c>
      <c r="GT195" t="s">
        <v>57</v>
      </c>
      <c r="GU195" t="s">
        <v>57</v>
      </c>
      <c r="GV195" t="s">
        <v>57</v>
      </c>
      <c r="GW195" t="s">
        <v>175</v>
      </c>
      <c r="GX195" t="s">
        <v>175</v>
      </c>
      <c r="GY195" t="s">
        <v>57</v>
      </c>
      <c r="GZ195" t="s">
        <v>57</v>
      </c>
      <c r="HA195" t="s">
        <v>57</v>
      </c>
      <c r="HB195" t="s">
        <v>57</v>
      </c>
      <c r="HC195" t="s">
        <v>57</v>
      </c>
      <c r="HD195" t="s">
        <v>57</v>
      </c>
      <c r="HE195" t="s">
        <v>175</v>
      </c>
      <c r="HF195" t="s">
        <v>57</v>
      </c>
      <c r="HG195" t="s">
        <v>57</v>
      </c>
      <c r="HH195" t="s">
        <v>175</v>
      </c>
      <c r="HI195" t="s">
        <v>175</v>
      </c>
      <c r="HJ195" t="s">
        <v>175</v>
      </c>
      <c r="HK195" t="s">
        <v>175</v>
      </c>
      <c r="HL195" t="s">
        <v>57</v>
      </c>
      <c r="HM195" t="s">
        <v>57</v>
      </c>
      <c r="HN195" t="s">
        <v>57</v>
      </c>
      <c r="HO195" t="s">
        <v>57</v>
      </c>
      <c r="HP195" t="s">
        <v>57</v>
      </c>
      <c r="HQ195" t="s">
        <v>57</v>
      </c>
      <c r="HR195" t="s">
        <v>57</v>
      </c>
      <c r="HS195" t="s">
        <v>57</v>
      </c>
      <c r="HT195" t="s">
        <v>57</v>
      </c>
      <c r="HU195" t="s">
        <v>57</v>
      </c>
      <c r="HV195" t="s">
        <v>57</v>
      </c>
      <c r="HW195" t="s">
        <v>57</v>
      </c>
      <c r="HX195" t="s">
        <v>57</v>
      </c>
      <c r="HY195" t="s">
        <v>57</v>
      </c>
      <c r="HZ195" t="s">
        <v>57</v>
      </c>
      <c r="IA195" t="s">
        <v>57</v>
      </c>
      <c r="IB195" t="s">
        <v>57</v>
      </c>
      <c r="IC195" t="s">
        <v>57</v>
      </c>
      <c r="ID195" t="s">
        <v>57</v>
      </c>
      <c r="IE195" t="s">
        <v>57</v>
      </c>
      <c r="IF195" t="s">
        <v>124</v>
      </c>
      <c r="IG195" t="s">
        <v>148</v>
      </c>
      <c r="IH195" t="s">
        <v>123</v>
      </c>
      <c r="II195" t="s">
        <v>156</v>
      </c>
    </row>
    <row r="196" spans="1:243" x14ac:dyDescent="0.25">
      <c r="A196" s="201" t="str">
        <f>HYPERLINK("http://www.ofsted.gov.uk/inspection-reports/find-inspection-report/provider/ELS/136259 ","Ofsted School Webpage")</f>
        <v>Ofsted School Webpage</v>
      </c>
      <c r="B196">
        <v>136259</v>
      </c>
      <c r="C196">
        <v>8066002</v>
      </c>
      <c r="D196" t="s">
        <v>2874</v>
      </c>
      <c r="E196" t="s">
        <v>36</v>
      </c>
      <c r="F196" t="s">
        <v>166</v>
      </c>
      <c r="G196" t="s">
        <v>202</v>
      </c>
      <c r="H196" t="s">
        <v>234</v>
      </c>
      <c r="I196" t="s">
        <v>1033</v>
      </c>
      <c r="J196" t="s">
        <v>2239</v>
      </c>
      <c r="K196" t="s">
        <v>142</v>
      </c>
      <c r="L196" t="s">
        <v>142</v>
      </c>
      <c r="M196" t="s">
        <v>2596</v>
      </c>
      <c r="N196" t="s">
        <v>143</v>
      </c>
      <c r="O196">
        <v>10043657</v>
      </c>
      <c r="P196" s="108">
        <v>43116</v>
      </c>
      <c r="Q196" s="108">
        <v>43118</v>
      </c>
      <c r="R196" s="108">
        <v>43157</v>
      </c>
      <c r="S196" t="s">
        <v>153</v>
      </c>
      <c r="T196" t="s">
        <v>154</v>
      </c>
      <c r="U196">
        <v>3</v>
      </c>
      <c r="V196">
        <v>3</v>
      </c>
      <c r="W196">
        <v>3</v>
      </c>
      <c r="X196">
        <v>3</v>
      </c>
      <c r="Y196">
        <v>3</v>
      </c>
      <c r="Z196" t="s">
        <v>2596</v>
      </c>
      <c r="AA196" t="s">
        <v>2596</v>
      </c>
      <c r="AB196" t="s">
        <v>123</v>
      </c>
      <c r="AC196" t="s">
        <v>2596</v>
      </c>
      <c r="AD196" t="s">
        <v>2599</v>
      </c>
      <c r="AE196" t="s">
        <v>57</v>
      </c>
      <c r="AF196" t="s">
        <v>57</v>
      </c>
      <c r="AG196" t="s">
        <v>57</v>
      </c>
      <c r="AH196" t="s">
        <v>57</v>
      </c>
      <c r="AI196" t="s">
        <v>57</v>
      </c>
      <c r="AJ196" t="s">
        <v>57</v>
      </c>
      <c r="AK196" t="s">
        <v>57</v>
      </c>
      <c r="AL196" t="s">
        <v>58</v>
      </c>
      <c r="AM196" t="s">
        <v>57</v>
      </c>
      <c r="AN196" t="s">
        <v>57</v>
      </c>
      <c r="AO196" t="s">
        <v>57</v>
      </c>
      <c r="AP196" t="s">
        <v>57</v>
      </c>
      <c r="AQ196" t="s">
        <v>57</v>
      </c>
      <c r="AR196" t="s">
        <v>57</v>
      </c>
      <c r="AS196" t="s">
        <v>57</v>
      </c>
      <c r="AT196" t="s">
        <v>57</v>
      </c>
      <c r="AU196" t="s">
        <v>175</v>
      </c>
      <c r="AV196" t="s">
        <v>57</v>
      </c>
      <c r="AW196" t="s">
        <v>57</v>
      </c>
      <c r="AX196" t="s">
        <v>57</v>
      </c>
      <c r="AY196" t="s">
        <v>57</v>
      </c>
      <c r="AZ196" t="s">
        <v>57</v>
      </c>
      <c r="BA196" t="s">
        <v>57</v>
      </c>
      <c r="BB196" t="s">
        <v>57</v>
      </c>
      <c r="BC196" t="s">
        <v>175</v>
      </c>
      <c r="BD196" t="s">
        <v>175</v>
      </c>
      <c r="BE196" t="s">
        <v>57</v>
      </c>
      <c r="BF196" t="s">
        <v>57</v>
      </c>
      <c r="BG196" t="s">
        <v>58</v>
      </c>
      <c r="BH196" t="s">
        <v>58</v>
      </c>
      <c r="BI196" t="s">
        <v>57</v>
      </c>
      <c r="BJ196" t="s">
        <v>57</v>
      </c>
      <c r="BK196" t="s">
        <v>58</v>
      </c>
      <c r="BL196" t="s">
        <v>57</v>
      </c>
      <c r="BM196" t="s">
        <v>57</v>
      </c>
      <c r="BN196" t="s">
        <v>57</v>
      </c>
      <c r="BO196" t="s">
        <v>57</v>
      </c>
      <c r="BP196" t="s">
        <v>57</v>
      </c>
      <c r="BQ196" t="s">
        <v>57</v>
      </c>
      <c r="BR196" t="s">
        <v>57</v>
      </c>
      <c r="BS196" t="s">
        <v>57</v>
      </c>
      <c r="BT196" t="s">
        <v>57</v>
      </c>
      <c r="BU196" t="s">
        <v>57</v>
      </c>
      <c r="BV196" t="s">
        <v>57</v>
      </c>
      <c r="BW196" t="s">
        <v>57</v>
      </c>
      <c r="BX196" t="s">
        <v>57</v>
      </c>
      <c r="BY196" t="s">
        <v>57</v>
      </c>
      <c r="BZ196" t="s">
        <v>57</v>
      </c>
      <c r="CA196" t="s">
        <v>57</v>
      </c>
      <c r="CB196" t="s">
        <v>57</v>
      </c>
      <c r="CC196" t="s">
        <v>57</v>
      </c>
      <c r="CD196" t="s">
        <v>57</v>
      </c>
      <c r="CE196" t="s">
        <v>57</v>
      </c>
      <c r="CF196" t="s">
        <v>57</v>
      </c>
      <c r="CG196" t="s">
        <v>57</v>
      </c>
      <c r="CH196" t="s">
        <v>57</v>
      </c>
      <c r="CI196" t="s">
        <v>57</v>
      </c>
      <c r="CJ196" t="s">
        <v>57</v>
      </c>
      <c r="CK196" t="s">
        <v>175</v>
      </c>
      <c r="CL196" t="s">
        <v>175</v>
      </c>
      <c r="CM196" t="s">
        <v>175</v>
      </c>
      <c r="CN196" t="s">
        <v>57</v>
      </c>
      <c r="CO196" t="s">
        <v>57</v>
      </c>
      <c r="CP196" t="s">
        <v>57</v>
      </c>
      <c r="CQ196" t="s">
        <v>57</v>
      </c>
      <c r="CR196" t="s">
        <v>57</v>
      </c>
      <c r="CS196" t="s">
        <v>57</v>
      </c>
      <c r="CT196" t="s">
        <v>57</v>
      </c>
      <c r="CU196" t="s">
        <v>57</v>
      </c>
      <c r="CV196" t="s">
        <v>57</v>
      </c>
      <c r="CW196" t="s">
        <v>57</v>
      </c>
      <c r="CX196" t="s">
        <v>57</v>
      </c>
      <c r="CY196" t="s">
        <v>57</v>
      </c>
      <c r="CZ196" t="s">
        <v>57</v>
      </c>
      <c r="DA196" t="s">
        <v>57</v>
      </c>
      <c r="DB196" t="s">
        <v>57</v>
      </c>
      <c r="DC196" t="s">
        <v>57</v>
      </c>
      <c r="DD196" t="s">
        <v>57</v>
      </c>
      <c r="DE196" t="s">
        <v>57</v>
      </c>
      <c r="DF196" t="s">
        <v>57</v>
      </c>
      <c r="DG196" t="s">
        <v>57</v>
      </c>
      <c r="DH196" t="s">
        <v>57</v>
      </c>
      <c r="DI196" t="s">
        <v>57</v>
      </c>
      <c r="DJ196" t="s">
        <v>175</v>
      </c>
      <c r="DK196" t="s">
        <v>175</v>
      </c>
      <c r="DL196" t="s">
        <v>57</v>
      </c>
      <c r="DM196" t="s">
        <v>175</v>
      </c>
      <c r="DN196" t="s">
        <v>175</v>
      </c>
      <c r="DO196" t="s">
        <v>175</v>
      </c>
      <c r="DP196" t="s">
        <v>175</v>
      </c>
      <c r="DQ196" t="s">
        <v>175</v>
      </c>
      <c r="DR196" t="s">
        <v>175</v>
      </c>
      <c r="DS196" t="s">
        <v>175</v>
      </c>
      <c r="DT196" t="s">
        <v>175</v>
      </c>
      <c r="DU196" t="s">
        <v>175</v>
      </c>
      <c r="DV196" t="s">
        <v>175</v>
      </c>
      <c r="DW196" t="s">
        <v>175</v>
      </c>
      <c r="DX196" t="s">
        <v>175</v>
      </c>
      <c r="DY196" t="s">
        <v>175</v>
      </c>
      <c r="DZ196" t="s">
        <v>175</v>
      </c>
      <c r="EA196" t="s">
        <v>57</v>
      </c>
      <c r="EB196" t="s">
        <v>57</v>
      </c>
      <c r="EC196" t="s">
        <v>57</v>
      </c>
      <c r="ED196" t="s">
        <v>57</v>
      </c>
      <c r="EE196" t="s">
        <v>57</v>
      </c>
      <c r="EF196" t="s">
        <v>57</v>
      </c>
      <c r="EG196" t="s">
        <v>57</v>
      </c>
      <c r="EH196" t="s">
        <v>175</v>
      </c>
      <c r="EI196" t="s">
        <v>57</v>
      </c>
      <c r="EJ196" t="s">
        <v>57</v>
      </c>
      <c r="EK196" t="s">
        <v>57</v>
      </c>
      <c r="EL196" t="s">
        <v>57</v>
      </c>
      <c r="EM196" t="s">
        <v>57</v>
      </c>
      <c r="EN196" t="s">
        <v>57</v>
      </c>
      <c r="EO196" t="s">
        <v>57</v>
      </c>
      <c r="EP196" t="s">
        <v>57</v>
      </c>
      <c r="EQ196" t="s">
        <v>57</v>
      </c>
      <c r="ER196" t="s">
        <v>57</v>
      </c>
      <c r="ES196" t="s">
        <v>57</v>
      </c>
      <c r="ET196" t="s">
        <v>57</v>
      </c>
      <c r="EU196" t="s">
        <v>57</v>
      </c>
      <c r="EV196" t="s">
        <v>57</v>
      </c>
      <c r="EW196" t="s">
        <v>175</v>
      </c>
      <c r="EX196" t="s">
        <v>175</v>
      </c>
      <c r="EY196" t="s">
        <v>175</v>
      </c>
      <c r="EZ196" t="s">
        <v>175</v>
      </c>
      <c r="FA196" t="s">
        <v>175</v>
      </c>
      <c r="FB196" t="s">
        <v>175</v>
      </c>
      <c r="FC196" t="s">
        <v>175</v>
      </c>
      <c r="FD196" t="s">
        <v>57</v>
      </c>
      <c r="FE196" t="s">
        <v>57</v>
      </c>
      <c r="FF196" t="s">
        <v>57</v>
      </c>
      <c r="FG196" t="s">
        <v>57</v>
      </c>
      <c r="FH196" t="s">
        <v>57</v>
      </c>
      <c r="FI196" t="s">
        <v>57</v>
      </c>
      <c r="FJ196" t="s">
        <v>57</v>
      </c>
      <c r="FK196" t="s">
        <v>57</v>
      </c>
      <c r="FL196" t="s">
        <v>57</v>
      </c>
      <c r="FM196" t="s">
        <v>57</v>
      </c>
      <c r="FN196" t="s">
        <v>57</v>
      </c>
      <c r="FO196" t="s">
        <v>175</v>
      </c>
      <c r="FP196" t="s">
        <v>57</v>
      </c>
      <c r="FQ196" t="s">
        <v>57</v>
      </c>
      <c r="FR196" t="s">
        <v>57</v>
      </c>
      <c r="FS196" t="s">
        <v>57</v>
      </c>
      <c r="FT196" t="s">
        <v>57</v>
      </c>
      <c r="FU196" t="s">
        <v>57</v>
      </c>
      <c r="FV196" t="s">
        <v>57</v>
      </c>
      <c r="FW196" t="s">
        <v>57</v>
      </c>
      <c r="FX196" t="s">
        <v>57</v>
      </c>
      <c r="FY196" t="s">
        <v>57</v>
      </c>
      <c r="FZ196" t="s">
        <v>57</v>
      </c>
      <c r="GA196" t="s">
        <v>57</v>
      </c>
      <c r="GB196" t="s">
        <v>57</v>
      </c>
      <c r="GC196" t="s">
        <v>57</v>
      </c>
      <c r="GD196" t="s">
        <v>57</v>
      </c>
      <c r="GE196" t="s">
        <v>57</v>
      </c>
      <c r="GF196" t="s">
        <v>57</v>
      </c>
      <c r="GG196" t="s">
        <v>175</v>
      </c>
      <c r="GH196" t="s">
        <v>57</v>
      </c>
      <c r="GI196" t="s">
        <v>57</v>
      </c>
      <c r="GJ196" t="s">
        <v>57</v>
      </c>
      <c r="GK196" t="s">
        <v>57</v>
      </c>
      <c r="GL196" t="s">
        <v>57</v>
      </c>
      <c r="GM196" t="s">
        <v>175</v>
      </c>
      <c r="GN196" t="s">
        <v>57</v>
      </c>
      <c r="GO196" t="s">
        <v>57</v>
      </c>
      <c r="GP196" t="s">
        <v>57</v>
      </c>
      <c r="GQ196" t="s">
        <v>175</v>
      </c>
      <c r="GR196" t="s">
        <v>57</v>
      </c>
      <c r="GS196" t="s">
        <v>57</v>
      </c>
      <c r="GT196" t="s">
        <v>57</v>
      </c>
      <c r="GU196" t="s">
        <v>57</v>
      </c>
      <c r="GV196" t="s">
        <v>175</v>
      </c>
      <c r="GW196" t="s">
        <v>57</v>
      </c>
      <c r="GX196" t="s">
        <v>175</v>
      </c>
      <c r="GY196" t="s">
        <v>57</v>
      </c>
      <c r="GZ196" t="s">
        <v>57</v>
      </c>
      <c r="HA196" t="s">
        <v>57</v>
      </c>
      <c r="HB196" t="s">
        <v>175</v>
      </c>
      <c r="HC196" t="s">
        <v>57</v>
      </c>
      <c r="HD196" t="s">
        <v>57</v>
      </c>
      <c r="HE196" t="s">
        <v>57</v>
      </c>
      <c r="HF196" t="s">
        <v>57</v>
      </c>
      <c r="HG196" t="s">
        <v>57</v>
      </c>
      <c r="HH196" t="s">
        <v>175</v>
      </c>
      <c r="HI196" t="s">
        <v>175</v>
      </c>
      <c r="HJ196" t="s">
        <v>175</v>
      </c>
      <c r="HK196" t="s">
        <v>175</v>
      </c>
      <c r="HL196" t="s">
        <v>57</v>
      </c>
      <c r="HM196" t="s">
        <v>57</v>
      </c>
      <c r="HN196" t="s">
        <v>57</v>
      </c>
      <c r="HO196" t="s">
        <v>57</v>
      </c>
      <c r="HP196" t="s">
        <v>57</v>
      </c>
      <c r="HQ196" t="s">
        <v>57</v>
      </c>
      <c r="HR196" t="s">
        <v>57</v>
      </c>
      <c r="HS196" t="s">
        <v>57</v>
      </c>
      <c r="HT196" t="s">
        <v>57</v>
      </c>
      <c r="HU196" t="s">
        <v>57</v>
      </c>
      <c r="HV196" t="s">
        <v>57</v>
      </c>
      <c r="HW196" t="s">
        <v>57</v>
      </c>
      <c r="HX196" t="s">
        <v>57</v>
      </c>
      <c r="HY196" t="s">
        <v>57</v>
      </c>
      <c r="HZ196" t="s">
        <v>57</v>
      </c>
      <c r="IA196" t="s">
        <v>57</v>
      </c>
      <c r="IB196" t="s">
        <v>58</v>
      </c>
      <c r="IC196" t="s">
        <v>58</v>
      </c>
      <c r="ID196" t="s">
        <v>58</v>
      </c>
      <c r="IE196" t="s">
        <v>57</v>
      </c>
      <c r="IF196" t="s">
        <v>124</v>
      </c>
      <c r="IG196" t="s">
        <v>148</v>
      </c>
      <c r="IH196" t="s">
        <v>123</v>
      </c>
      <c r="II196" t="s">
        <v>156</v>
      </c>
    </row>
    <row r="197" spans="1:243" x14ac:dyDescent="0.25">
      <c r="A197" s="201" t="str">
        <f>HYPERLINK("http://www.ofsted.gov.uk/inspection-reports/find-inspection-report/provider/ELS/136263 ","Ofsted School Webpage")</f>
        <v>Ofsted School Webpage</v>
      </c>
      <c r="B197">
        <v>136263</v>
      </c>
      <c r="C197">
        <v>3026201</v>
      </c>
      <c r="D197" t="s">
        <v>1072</v>
      </c>
      <c r="E197" t="s">
        <v>37</v>
      </c>
      <c r="F197" t="s">
        <v>138</v>
      </c>
      <c r="G197" t="s">
        <v>189</v>
      </c>
      <c r="H197" t="s">
        <v>189</v>
      </c>
      <c r="I197" t="s">
        <v>268</v>
      </c>
      <c r="J197" t="s">
        <v>1073</v>
      </c>
      <c r="K197" t="s">
        <v>142</v>
      </c>
      <c r="L197" t="s">
        <v>142</v>
      </c>
      <c r="M197" t="s">
        <v>2596</v>
      </c>
      <c r="N197" t="s">
        <v>143</v>
      </c>
      <c r="O197">
        <v>10041401</v>
      </c>
      <c r="P197" s="108">
        <v>43123</v>
      </c>
      <c r="Q197" s="108">
        <v>43125</v>
      </c>
      <c r="R197" s="108">
        <v>43145</v>
      </c>
      <c r="S197" t="s">
        <v>153</v>
      </c>
      <c r="T197" t="s">
        <v>154</v>
      </c>
      <c r="U197">
        <v>2</v>
      </c>
      <c r="V197">
        <v>1</v>
      </c>
      <c r="W197">
        <v>1</v>
      </c>
      <c r="X197">
        <v>2</v>
      </c>
      <c r="Y197">
        <v>2</v>
      </c>
      <c r="Z197" t="s">
        <v>2596</v>
      </c>
      <c r="AA197">
        <v>1</v>
      </c>
      <c r="AB197" t="s">
        <v>123</v>
      </c>
      <c r="AC197" t="s">
        <v>2596</v>
      </c>
      <c r="AD197" t="s">
        <v>2598</v>
      </c>
      <c r="AE197" t="s">
        <v>57</v>
      </c>
      <c r="AF197" t="s">
        <v>57</v>
      </c>
      <c r="AG197" t="s">
        <v>57</v>
      </c>
      <c r="AH197" t="s">
        <v>57</v>
      </c>
      <c r="AI197" t="s">
        <v>57</v>
      </c>
      <c r="AJ197" t="s">
        <v>57</v>
      </c>
      <c r="AK197" t="s">
        <v>57</v>
      </c>
      <c r="AL197" t="s">
        <v>57</v>
      </c>
      <c r="AM197" t="s">
        <v>57</v>
      </c>
      <c r="AN197" t="s">
        <v>57</v>
      </c>
      <c r="AO197" t="s">
        <v>57</v>
      </c>
      <c r="AP197" t="s">
        <v>57</v>
      </c>
      <c r="AQ197" t="s">
        <v>57</v>
      </c>
      <c r="AR197" t="s">
        <v>57</v>
      </c>
      <c r="AS197" t="s">
        <v>57</v>
      </c>
      <c r="AT197" t="s">
        <v>57</v>
      </c>
      <c r="AU197" t="s">
        <v>175</v>
      </c>
      <c r="AV197" t="s">
        <v>57</v>
      </c>
      <c r="AW197" t="s">
        <v>57</v>
      </c>
      <c r="AX197" t="s">
        <v>57</v>
      </c>
      <c r="AY197" t="s">
        <v>57</v>
      </c>
      <c r="AZ197" t="s">
        <v>57</v>
      </c>
      <c r="BA197" t="s">
        <v>57</v>
      </c>
      <c r="BB197" t="s">
        <v>57</v>
      </c>
      <c r="BC197" t="s">
        <v>175</v>
      </c>
      <c r="BD197" t="s">
        <v>57</v>
      </c>
      <c r="BE197" t="s">
        <v>57</v>
      </c>
      <c r="BF197" t="s">
        <v>57</v>
      </c>
      <c r="BG197" t="s">
        <v>57</v>
      </c>
      <c r="BH197" t="s">
        <v>57</v>
      </c>
      <c r="BI197" t="s">
        <v>57</v>
      </c>
      <c r="BJ197" t="s">
        <v>57</v>
      </c>
      <c r="BK197" t="s">
        <v>57</v>
      </c>
      <c r="BL197" t="s">
        <v>57</v>
      </c>
      <c r="BM197" t="s">
        <v>57</v>
      </c>
      <c r="BN197" t="s">
        <v>57</v>
      </c>
      <c r="BO197" t="s">
        <v>57</v>
      </c>
      <c r="BP197" t="s">
        <v>57</v>
      </c>
      <c r="BQ197" t="s">
        <v>57</v>
      </c>
      <c r="BR197" t="s">
        <v>57</v>
      </c>
      <c r="BS197" t="s">
        <v>57</v>
      </c>
      <c r="BT197" t="s">
        <v>57</v>
      </c>
      <c r="BU197" t="s">
        <v>57</v>
      </c>
      <c r="BV197" t="s">
        <v>57</v>
      </c>
      <c r="BW197" t="s">
        <v>57</v>
      </c>
      <c r="BX197" t="s">
        <v>57</v>
      </c>
      <c r="BY197" t="s">
        <v>57</v>
      </c>
      <c r="BZ197" t="s">
        <v>57</v>
      </c>
      <c r="CA197" t="s">
        <v>57</v>
      </c>
      <c r="CB197" t="s">
        <v>57</v>
      </c>
      <c r="CC197" t="s">
        <v>57</v>
      </c>
      <c r="CD197" t="s">
        <v>57</v>
      </c>
      <c r="CE197" t="s">
        <v>57</v>
      </c>
      <c r="CF197" t="s">
        <v>57</v>
      </c>
      <c r="CG197" t="s">
        <v>57</v>
      </c>
      <c r="CH197" t="s">
        <v>57</v>
      </c>
      <c r="CI197" t="s">
        <v>57</v>
      </c>
      <c r="CJ197" t="s">
        <v>57</v>
      </c>
      <c r="CK197" t="s">
        <v>175</v>
      </c>
      <c r="CL197" t="s">
        <v>175</v>
      </c>
      <c r="CM197" t="s">
        <v>175</v>
      </c>
      <c r="CN197" t="s">
        <v>57</v>
      </c>
      <c r="CO197" t="s">
        <v>57</v>
      </c>
      <c r="CP197" t="s">
        <v>57</v>
      </c>
      <c r="CQ197" t="s">
        <v>57</v>
      </c>
      <c r="CR197" t="s">
        <v>57</v>
      </c>
      <c r="CS197" t="s">
        <v>57</v>
      </c>
      <c r="CT197" t="s">
        <v>57</v>
      </c>
      <c r="CU197" t="s">
        <v>57</v>
      </c>
      <c r="CV197" t="s">
        <v>57</v>
      </c>
      <c r="CW197" t="s">
        <v>57</v>
      </c>
      <c r="CX197" t="s">
        <v>57</v>
      </c>
      <c r="CY197" t="s">
        <v>57</v>
      </c>
      <c r="CZ197" t="s">
        <v>57</v>
      </c>
      <c r="DA197" t="s">
        <v>57</v>
      </c>
      <c r="DB197" t="s">
        <v>57</v>
      </c>
      <c r="DC197" t="s">
        <v>57</v>
      </c>
      <c r="DD197" t="s">
        <v>57</v>
      </c>
      <c r="DE197" t="s">
        <v>57</v>
      </c>
      <c r="DF197" t="s">
        <v>57</v>
      </c>
      <c r="DG197" t="s">
        <v>57</v>
      </c>
      <c r="DH197" t="s">
        <v>57</v>
      </c>
      <c r="DI197" t="s">
        <v>57</v>
      </c>
      <c r="DJ197" t="s">
        <v>57</v>
      </c>
      <c r="DK197" t="s">
        <v>175</v>
      </c>
      <c r="DL197" t="s">
        <v>57</v>
      </c>
      <c r="DM197" t="s">
        <v>57</v>
      </c>
      <c r="DN197" t="s">
        <v>57</v>
      </c>
      <c r="DO197" t="s">
        <v>57</v>
      </c>
      <c r="DP197" t="s">
        <v>57</v>
      </c>
      <c r="DQ197" t="s">
        <v>57</v>
      </c>
      <c r="DR197" t="s">
        <v>57</v>
      </c>
      <c r="DS197" t="s">
        <v>57</v>
      </c>
      <c r="DT197" t="s">
        <v>57</v>
      </c>
      <c r="DU197" t="s">
        <v>57</v>
      </c>
      <c r="DV197" t="s">
        <v>57</v>
      </c>
      <c r="DW197" t="s">
        <v>57</v>
      </c>
      <c r="DX197" t="s">
        <v>57</v>
      </c>
      <c r="DY197" t="s">
        <v>175</v>
      </c>
      <c r="DZ197" t="s">
        <v>57</v>
      </c>
      <c r="EA197" t="s">
        <v>57</v>
      </c>
      <c r="EB197" t="s">
        <v>57</v>
      </c>
      <c r="EC197" t="s">
        <v>57</v>
      </c>
      <c r="ED197" t="s">
        <v>57</v>
      </c>
      <c r="EE197" t="s">
        <v>57</v>
      </c>
      <c r="EF197" t="s">
        <v>57</v>
      </c>
      <c r="EG197" t="s">
        <v>57</v>
      </c>
      <c r="EH197" t="s">
        <v>57</v>
      </c>
      <c r="EI197" t="s">
        <v>57</v>
      </c>
      <c r="EJ197" t="s">
        <v>57</v>
      </c>
      <c r="EK197" t="s">
        <v>57</v>
      </c>
      <c r="EL197" t="s">
        <v>57</v>
      </c>
      <c r="EM197" t="s">
        <v>57</v>
      </c>
      <c r="EN197" t="s">
        <v>57</v>
      </c>
      <c r="EO197" t="s">
        <v>57</v>
      </c>
      <c r="EP197" t="s">
        <v>57</v>
      </c>
      <c r="EQ197" t="s">
        <v>57</v>
      </c>
      <c r="ER197" t="s">
        <v>57</v>
      </c>
      <c r="ES197" t="s">
        <v>57</v>
      </c>
      <c r="ET197" t="s">
        <v>57</v>
      </c>
      <c r="EU197" t="s">
        <v>57</v>
      </c>
      <c r="EV197" t="s">
        <v>57</v>
      </c>
      <c r="EW197" t="s">
        <v>57</v>
      </c>
      <c r="EX197" t="s">
        <v>57</v>
      </c>
      <c r="EY197" t="s">
        <v>57</v>
      </c>
      <c r="EZ197" t="s">
        <v>57</v>
      </c>
      <c r="FA197" t="s">
        <v>57</v>
      </c>
      <c r="FB197" t="s">
        <v>57</v>
      </c>
      <c r="FC197" t="s">
        <v>57</v>
      </c>
      <c r="FD197" t="s">
        <v>57</v>
      </c>
      <c r="FE197" t="s">
        <v>57</v>
      </c>
      <c r="FF197" t="s">
        <v>57</v>
      </c>
      <c r="FG197" t="s">
        <v>57</v>
      </c>
      <c r="FH197" t="s">
        <v>57</v>
      </c>
      <c r="FI197" t="s">
        <v>57</v>
      </c>
      <c r="FJ197" t="s">
        <v>57</v>
      </c>
      <c r="FK197" t="s">
        <v>57</v>
      </c>
      <c r="FL197" t="s">
        <v>57</v>
      </c>
      <c r="FM197" t="s">
        <v>57</v>
      </c>
      <c r="FN197" t="s">
        <v>57</v>
      </c>
      <c r="FO197" t="s">
        <v>175</v>
      </c>
      <c r="FP197" t="s">
        <v>57</v>
      </c>
      <c r="FQ197" t="s">
        <v>57</v>
      </c>
      <c r="FR197" t="s">
        <v>57</v>
      </c>
      <c r="FS197" t="s">
        <v>57</v>
      </c>
      <c r="FT197" t="s">
        <v>57</v>
      </c>
      <c r="FU197" t="s">
        <v>57</v>
      </c>
      <c r="FV197" t="s">
        <v>57</v>
      </c>
      <c r="FW197" t="s">
        <v>57</v>
      </c>
      <c r="FX197" t="s">
        <v>57</v>
      </c>
      <c r="FY197" t="s">
        <v>57</v>
      </c>
      <c r="FZ197" t="s">
        <v>57</v>
      </c>
      <c r="GA197" t="s">
        <v>57</v>
      </c>
      <c r="GB197" t="s">
        <v>57</v>
      </c>
      <c r="GC197" t="s">
        <v>57</v>
      </c>
      <c r="GD197" t="s">
        <v>57</v>
      </c>
      <c r="GE197" t="s">
        <v>57</v>
      </c>
      <c r="GF197" t="s">
        <v>57</v>
      </c>
      <c r="GG197" t="s">
        <v>175</v>
      </c>
      <c r="GH197" t="s">
        <v>57</v>
      </c>
      <c r="GI197" t="s">
        <v>57</v>
      </c>
      <c r="GJ197" t="s">
        <v>57</v>
      </c>
      <c r="GK197" t="s">
        <v>57</v>
      </c>
      <c r="GL197" t="s">
        <v>57</v>
      </c>
      <c r="GM197" t="s">
        <v>175</v>
      </c>
      <c r="GN197" t="s">
        <v>57</v>
      </c>
      <c r="GO197" t="s">
        <v>57</v>
      </c>
      <c r="GP197" t="s">
        <v>57</v>
      </c>
      <c r="GQ197" t="s">
        <v>57</v>
      </c>
      <c r="GR197" t="s">
        <v>57</v>
      </c>
      <c r="GS197" t="s">
        <v>57</v>
      </c>
      <c r="GT197" t="s">
        <v>57</v>
      </c>
      <c r="GU197" t="s">
        <v>57</v>
      </c>
      <c r="GV197" t="s">
        <v>175</v>
      </c>
      <c r="GW197" t="s">
        <v>57</v>
      </c>
      <c r="GX197" t="s">
        <v>57</v>
      </c>
      <c r="GY197" t="s">
        <v>57</v>
      </c>
      <c r="GZ197" t="s">
        <v>57</v>
      </c>
      <c r="HA197" t="s">
        <v>57</v>
      </c>
      <c r="HB197" t="s">
        <v>57</v>
      </c>
      <c r="HC197" t="s">
        <v>57</v>
      </c>
      <c r="HD197" t="s">
        <v>57</v>
      </c>
      <c r="HE197" t="s">
        <v>57</v>
      </c>
      <c r="HF197" t="s">
        <v>57</v>
      </c>
      <c r="HG197" t="s">
        <v>57</v>
      </c>
      <c r="HH197" t="s">
        <v>175</v>
      </c>
      <c r="HI197" t="s">
        <v>175</v>
      </c>
      <c r="HJ197" t="s">
        <v>175</v>
      </c>
      <c r="HK197" t="s">
        <v>175</v>
      </c>
      <c r="HL197" t="s">
        <v>57</v>
      </c>
      <c r="HM197" t="s">
        <v>57</v>
      </c>
      <c r="HN197" t="s">
        <v>57</v>
      </c>
      <c r="HO197" t="s">
        <v>57</v>
      </c>
      <c r="HP197" t="s">
        <v>57</v>
      </c>
      <c r="HQ197" t="s">
        <v>57</v>
      </c>
      <c r="HR197" t="s">
        <v>57</v>
      </c>
      <c r="HS197" t="s">
        <v>57</v>
      </c>
      <c r="HT197" t="s">
        <v>57</v>
      </c>
      <c r="HU197" t="s">
        <v>57</v>
      </c>
      <c r="HV197" t="s">
        <v>57</v>
      </c>
      <c r="HW197" t="s">
        <v>57</v>
      </c>
      <c r="HX197" t="s">
        <v>57</v>
      </c>
      <c r="HY197" t="s">
        <v>57</v>
      </c>
      <c r="HZ197" t="s">
        <v>57</v>
      </c>
      <c r="IA197" t="s">
        <v>57</v>
      </c>
      <c r="IB197" t="s">
        <v>57</v>
      </c>
      <c r="IC197" t="s">
        <v>57</v>
      </c>
      <c r="ID197" t="s">
        <v>57</v>
      </c>
      <c r="IE197" t="s">
        <v>57</v>
      </c>
      <c r="IF197" t="s">
        <v>124</v>
      </c>
      <c r="IG197" t="s">
        <v>148</v>
      </c>
      <c r="IH197" t="s">
        <v>123</v>
      </c>
      <c r="II197" t="s">
        <v>156</v>
      </c>
    </row>
    <row r="198" spans="1:243" x14ac:dyDescent="0.25">
      <c r="A198" s="201" t="str">
        <f>HYPERLINK("http://www.ofsted.gov.uk/inspection-reports/find-inspection-report/provider/ELS/136373 ","Ofsted School Webpage")</f>
        <v>Ofsted School Webpage</v>
      </c>
      <c r="B198">
        <v>136373</v>
      </c>
      <c r="C198">
        <v>8256043</v>
      </c>
      <c r="D198" t="s">
        <v>207</v>
      </c>
      <c r="E198" t="s">
        <v>37</v>
      </c>
      <c r="F198" t="s">
        <v>138</v>
      </c>
      <c r="G198" t="s">
        <v>139</v>
      </c>
      <c r="H198" t="s">
        <v>139</v>
      </c>
      <c r="I198" t="s">
        <v>208</v>
      </c>
      <c r="J198" t="s">
        <v>209</v>
      </c>
      <c r="K198" t="s">
        <v>142</v>
      </c>
      <c r="L198" t="s">
        <v>142</v>
      </c>
      <c r="M198" t="s">
        <v>2596</v>
      </c>
      <c r="N198" t="s">
        <v>143</v>
      </c>
      <c r="O198">
        <v>10035875</v>
      </c>
      <c r="P198" s="108">
        <v>43004</v>
      </c>
      <c r="Q198" s="108">
        <v>43006</v>
      </c>
      <c r="R198" s="108">
        <v>43038</v>
      </c>
      <c r="S198" t="s">
        <v>153</v>
      </c>
      <c r="T198" t="s">
        <v>154</v>
      </c>
      <c r="U198">
        <v>2</v>
      </c>
      <c r="V198">
        <v>1</v>
      </c>
      <c r="W198">
        <v>1</v>
      </c>
      <c r="X198">
        <v>2</v>
      </c>
      <c r="Y198">
        <v>2</v>
      </c>
      <c r="Z198" t="s">
        <v>2596</v>
      </c>
      <c r="AA198" t="s">
        <v>2596</v>
      </c>
      <c r="AB198" t="s">
        <v>123</v>
      </c>
      <c r="AC198" t="s">
        <v>2596</v>
      </c>
      <c r="AD198" t="s">
        <v>2598</v>
      </c>
      <c r="AE198" t="s">
        <v>57</v>
      </c>
      <c r="AF198" t="s">
        <v>57</v>
      </c>
      <c r="AG198" t="s">
        <v>57</v>
      </c>
      <c r="AH198" t="s">
        <v>57</v>
      </c>
      <c r="AI198" t="s">
        <v>57</v>
      </c>
      <c r="AJ198" t="s">
        <v>57</v>
      </c>
      <c r="AK198" t="s">
        <v>57</v>
      </c>
      <c r="AL198" t="s">
        <v>57</v>
      </c>
      <c r="AM198" t="s">
        <v>57</v>
      </c>
      <c r="AN198" t="s">
        <v>57</v>
      </c>
      <c r="AO198" t="s">
        <v>57</v>
      </c>
      <c r="AP198" t="s">
        <v>57</v>
      </c>
      <c r="AQ198" t="s">
        <v>57</v>
      </c>
      <c r="AR198" t="s">
        <v>57</v>
      </c>
      <c r="AS198" t="s">
        <v>57</v>
      </c>
      <c r="AT198" t="s">
        <v>57</v>
      </c>
      <c r="AU198" t="s">
        <v>175</v>
      </c>
      <c r="AV198" t="s">
        <v>57</v>
      </c>
      <c r="AW198" t="s">
        <v>57</v>
      </c>
      <c r="AX198" t="s">
        <v>57</v>
      </c>
      <c r="AY198" t="s">
        <v>57</v>
      </c>
      <c r="AZ198" t="s">
        <v>57</v>
      </c>
      <c r="BA198" t="s">
        <v>57</v>
      </c>
      <c r="BB198" t="s">
        <v>57</v>
      </c>
      <c r="BC198" t="s">
        <v>175</v>
      </c>
      <c r="BD198" t="s">
        <v>57</v>
      </c>
      <c r="BE198" t="s">
        <v>57</v>
      </c>
      <c r="BF198" t="s">
        <v>57</v>
      </c>
      <c r="BG198" t="s">
        <v>57</v>
      </c>
      <c r="BH198" t="s">
        <v>57</v>
      </c>
      <c r="BI198" t="s">
        <v>57</v>
      </c>
      <c r="BJ198" t="s">
        <v>57</v>
      </c>
      <c r="BK198" t="s">
        <v>57</v>
      </c>
      <c r="BL198" t="s">
        <v>57</v>
      </c>
      <c r="BM198" t="s">
        <v>57</v>
      </c>
      <c r="BN198" t="s">
        <v>57</v>
      </c>
      <c r="BO198" t="s">
        <v>57</v>
      </c>
      <c r="BP198" t="s">
        <v>57</v>
      </c>
      <c r="BQ198" t="s">
        <v>57</v>
      </c>
      <c r="BR198" t="s">
        <v>57</v>
      </c>
      <c r="BS198" t="s">
        <v>57</v>
      </c>
      <c r="BT198" t="s">
        <v>57</v>
      </c>
      <c r="BU198" t="s">
        <v>57</v>
      </c>
      <c r="BV198" t="s">
        <v>57</v>
      </c>
      <c r="BW198" t="s">
        <v>57</v>
      </c>
      <c r="BX198" t="s">
        <v>57</v>
      </c>
      <c r="BY198" t="s">
        <v>57</v>
      </c>
      <c r="BZ198" t="s">
        <v>57</v>
      </c>
      <c r="CA198" t="s">
        <v>57</v>
      </c>
      <c r="CB198" t="s">
        <v>57</v>
      </c>
      <c r="CC198" t="s">
        <v>57</v>
      </c>
      <c r="CD198" t="s">
        <v>57</v>
      </c>
      <c r="CE198" t="s">
        <v>57</v>
      </c>
      <c r="CF198" t="s">
        <v>57</v>
      </c>
      <c r="CG198" t="s">
        <v>57</v>
      </c>
      <c r="CH198" t="s">
        <v>57</v>
      </c>
      <c r="CI198" t="s">
        <v>57</v>
      </c>
      <c r="CJ198" t="s">
        <v>57</v>
      </c>
      <c r="CK198" t="s">
        <v>57</v>
      </c>
      <c r="CL198" t="s">
        <v>175</v>
      </c>
      <c r="CM198" t="s">
        <v>175</v>
      </c>
      <c r="CN198" t="s">
        <v>57</v>
      </c>
      <c r="CO198" t="s">
        <v>57</v>
      </c>
      <c r="CP198" t="s">
        <v>57</v>
      </c>
      <c r="CQ198" t="s">
        <v>57</v>
      </c>
      <c r="CR198" t="s">
        <v>57</v>
      </c>
      <c r="CS198" t="s">
        <v>57</v>
      </c>
      <c r="CT198" t="s">
        <v>57</v>
      </c>
      <c r="CU198" t="s">
        <v>57</v>
      </c>
      <c r="CV198" t="s">
        <v>57</v>
      </c>
      <c r="CW198" t="s">
        <v>57</v>
      </c>
      <c r="CX198" t="s">
        <v>57</v>
      </c>
      <c r="CY198" t="s">
        <v>57</v>
      </c>
      <c r="CZ198" t="s">
        <v>57</v>
      </c>
      <c r="DA198" t="s">
        <v>57</v>
      </c>
      <c r="DB198" t="s">
        <v>57</v>
      </c>
      <c r="DC198" t="s">
        <v>57</v>
      </c>
      <c r="DD198" t="s">
        <v>57</v>
      </c>
      <c r="DE198" t="s">
        <v>57</v>
      </c>
      <c r="DF198" t="s">
        <v>57</v>
      </c>
      <c r="DG198" t="s">
        <v>57</v>
      </c>
      <c r="DH198" t="s">
        <v>57</v>
      </c>
      <c r="DI198" t="s">
        <v>57</v>
      </c>
      <c r="DJ198" t="s">
        <v>57</v>
      </c>
      <c r="DK198" t="s">
        <v>175</v>
      </c>
      <c r="DL198" t="s">
        <v>57</v>
      </c>
      <c r="DM198" t="s">
        <v>57</v>
      </c>
      <c r="DN198" t="s">
        <v>57</v>
      </c>
      <c r="DO198" t="s">
        <v>57</v>
      </c>
      <c r="DP198" t="s">
        <v>57</v>
      </c>
      <c r="DQ198" t="s">
        <v>57</v>
      </c>
      <c r="DR198" t="s">
        <v>57</v>
      </c>
      <c r="DS198" t="s">
        <v>57</v>
      </c>
      <c r="DT198" t="s">
        <v>57</v>
      </c>
      <c r="DU198" t="s">
        <v>57</v>
      </c>
      <c r="DV198" t="s">
        <v>57</v>
      </c>
      <c r="DW198" t="s">
        <v>57</v>
      </c>
      <c r="DX198" t="s">
        <v>57</v>
      </c>
      <c r="DY198" t="s">
        <v>175</v>
      </c>
      <c r="DZ198" t="s">
        <v>57</v>
      </c>
      <c r="EA198" t="s">
        <v>57</v>
      </c>
      <c r="EB198" t="s">
        <v>57</v>
      </c>
      <c r="EC198" t="s">
        <v>57</v>
      </c>
      <c r="ED198" t="s">
        <v>57</v>
      </c>
      <c r="EE198" t="s">
        <v>57</v>
      </c>
      <c r="EF198" t="s">
        <v>57</v>
      </c>
      <c r="EG198" t="s">
        <v>57</v>
      </c>
      <c r="EH198" t="s">
        <v>175</v>
      </c>
      <c r="EI198" t="s">
        <v>175</v>
      </c>
      <c r="EJ198" t="s">
        <v>57</v>
      </c>
      <c r="EK198" t="s">
        <v>57</v>
      </c>
      <c r="EL198" t="s">
        <v>57</v>
      </c>
      <c r="EM198" t="s">
        <v>57</v>
      </c>
      <c r="EN198" t="s">
        <v>57</v>
      </c>
      <c r="EO198" t="s">
        <v>57</v>
      </c>
      <c r="EP198" t="s">
        <v>57</v>
      </c>
      <c r="EQ198" t="s">
        <v>57</v>
      </c>
      <c r="ER198" t="s">
        <v>57</v>
      </c>
      <c r="ES198" t="s">
        <v>57</v>
      </c>
      <c r="ET198" t="s">
        <v>175</v>
      </c>
      <c r="EU198" t="s">
        <v>57</v>
      </c>
      <c r="EV198" t="s">
        <v>57</v>
      </c>
      <c r="EW198" t="s">
        <v>175</v>
      </c>
      <c r="EX198" t="s">
        <v>57</v>
      </c>
      <c r="EY198" t="s">
        <v>57</v>
      </c>
      <c r="EZ198" t="s">
        <v>57</v>
      </c>
      <c r="FA198" t="s">
        <v>57</v>
      </c>
      <c r="FB198" t="s">
        <v>57</v>
      </c>
      <c r="FC198" t="s">
        <v>57</v>
      </c>
      <c r="FD198" t="s">
        <v>57</v>
      </c>
      <c r="FE198" t="s">
        <v>175</v>
      </c>
      <c r="FF198" t="s">
        <v>148</v>
      </c>
      <c r="FG198" t="s">
        <v>175</v>
      </c>
      <c r="FH198" t="s">
        <v>57</v>
      </c>
      <c r="FI198" t="s">
        <v>57</v>
      </c>
      <c r="FJ198" t="s">
        <v>57</v>
      </c>
      <c r="FK198" t="s">
        <v>175</v>
      </c>
      <c r="FL198" t="s">
        <v>57</v>
      </c>
      <c r="FM198" t="s">
        <v>57</v>
      </c>
      <c r="FN198" t="s">
        <v>57</v>
      </c>
      <c r="FO198" t="s">
        <v>175</v>
      </c>
      <c r="FP198" t="s">
        <v>57</v>
      </c>
      <c r="FQ198" t="s">
        <v>57</v>
      </c>
      <c r="FR198" t="s">
        <v>57</v>
      </c>
      <c r="FS198" t="s">
        <v>57</v>
      </c>
      <c r="FT198" t="s">
        <v>57</v>
      </c>
      <c r="FU198" t="s">
        <v>57</v>
      </c>
      <c r="FV198" t="s">
        <v>57</v>
      </c>
      <c r="FW198" t="s">
        <v>57</v>
      </c>
      <c r="FX198" t="s">
        <v>57</v>
      </c>
      <c r="FY198" t="s">
        <v>57</v>
      </c>
      <c r="FZ198" t="s">
        <v>57</v>
      </c>
      <c r="GA198" t="s">
        <v>57</v>
      </c>
      <c r="GB198" t="s">
        <v>57</v>
      </c>
      <c r="GC198" t="s">
        <v>57</v>
      </c>
      <c r="GD198" t="s">
        <v>57</v>
      </c>
      <c r="GE198" t="s">
        <v>57</v>
      </c>
      <c r="GF198" t="s">
        <v>57</v>
      </c>
      <c r="GG198" t="s">
        <v>175</v>
      </c>
      <c r="GH198" t="s">
        <v>57</v>
      </c>
      <c r="GI198" t="s">
        <v>57</v>
      </c>
      <c r="GJ198" t="s">
        <v>57</v>
      </c>
      <c r="GK198" t="s">
        <v>57</v>
      </c>
      <c r="GL198" t="s">
        <v>57</v>
      </c>
      <c r="GM198" t="s">
        <v>175</v>
      </c>
      <c r="GN198" t="s">
        <v>57</v>
      </c>
      <c r="GO198" t="s">
        <v>57</v>
      </c>
      <c r="GP198" t="s">
        <v>57</v>
      </c>
      <c r="GQ198" t="s">
        <v>57</v>
      </c>
      <c r="GR198" t="s">
        <v>57</v>
      </c>
      <c r="GS198" t="s">
        <v>57</v>
      </c>
      <c r="GT198" t="s">
        <v>57</v>
      </c>
      <c r="GU198" t="s">
        <v>57</v>
      </c>
      <c r="GV198" t="s">
        <v>57</v>
      </c>
      <c r="GW198" t="s">
        <v>57</v>
      </c>
      <c r="GX198" t="s">
        <v>175</v>
      </c>
      <c r="GY198" t="s">
        <v>57</v>
      </c>
      <c r="GZ198" t="s">
        <v>57</v>
      </c>
      <c r="HA198" t="s">
        <v>57</v>
      </c>
      <c r="HB198" t="s">
        <v>57</v>
      </c>
      <c r="HC198" t="s">
        <v>57</v>
      </c>
      <c r="HD198" t="s">
        <v>57</v>
      </c>
      <c r="HE198" t="s">
        <v>57</v>
      </c>
      <c r="HF198" t="s">
        <v>57</v>
      </c>
      <c r="HG198" t="s">
        <v>57</v>
      </c>
      <c r="HH198" t="s">
        <v>57</v>
      </c>
      <c r="HI198" t="s">
        <v>175</v>
      </c>
      <c r="HJ198" t="s">
        <v>175</v>
      </c>
      <c r="HK198" t="s">
        <v>175</v>
      </c>
      <c r="HL198" t="s">
        <v>57</v>
      </c>
      <c r="HM198" t="s">
        <v>57</v>
      </c>
      <c r="HN198" t="s">
        <v>57</v>
      </c>
      <c r="HO198" t="s">
        <v>57</v>
      </c>
      <c r="HP198" t="s">
        <v>57</v>
      </c>
      <c r="HQ198" t="s">
        <v>57</v>
      </c>
      <c r="HR198" t="s">
        <v>57</v>
      </c>
      <c r="HS198" t="s">
        <v>57</v>
      </c>
      <c r="HT198" t="s">
        <v>57</v>
      </c>
      <c r="HU198" t="s">
        <v>57</v>
      </c>
      <c r="HV198" t="s">
        <v>57</v>
      </c>
      <c r="HW198" t="s">
        <v>57</v>
      </c>
      <c r="HX198" t="s">
        <v>57</v>
      </c>
      <c r="HY198" t="s">
        <v>57</v>
      </c>
      <c r="HZ198" t="s">
        <v>57</v>
      </c>
      <c r="IA198" t="s">
        <v>57</v>
      </c>
      <c r="IB198" t="s">
        <v>57</v>
      </c>
      <c r="IC198" t="s">
        <v>57</v>
      </c>
      <c r="ID198" t="s">
        <v>57</v>
      </c>
      <c r="IE198" t="s">
        <v>57</v>
      </c>
      <c r="IF198" t="s">
        <v>124</v>
      </c>
      <c r="IG198" t="s">
        <v>148</v>
      </c>
      <c r="IH198" t="s">
        <v>123</v>
      </c>
      <c r="II198" t="s">
        <v>156</v>
      </c>
    </row>
    <row r="199" spans="1:243" x14ac:dyDescent="0.25">
      <c r="A199" s="201" t="str">
        <f>HYPERLINK("http://www.ofsted.gov.uk/inspection-reports/find-inspection-report/provider/ELS/136434 ","Ofsted School Webpage")</f>
        <v>Ofsted School Webpage</v>
      </c>
      <c r="B199">
        <v>136434</v>
      </c>
      <c r="C199">
        <v>9356229</v>
      </c>
      <c r="D199" t="s">
        <v>314</v>
      </c>
      <c r="E199" t="s">
        <v>37</v>
      </c>
      <c r="F199" t="s">
        <v>138</v>
      </c>
      <c r="G199" t="s">
        <v>177</v>
      </c>
      <c r="H199" t="s">
        <v>177</v>
      </c>
      <c r="I199" t="s">
        <v>254</v>
      </c>
      <c r="J199" t="s">
        <v>315</v>
      </c>
      <c r="K199" t="s">
        <v>142</v>
      </c>
      <c r="L199" t="s">
        <v>142</v>
      </c>
      <c r="M199" t="s">
        <v>2596</v>
      </c>
      <c r="N199" t="s">
        <v>143</v>
      </c>
      <c r="O199">
        <v>10038909</v>
      </c>
      <c r="P199" s="108">
        <v>42990</v>
      </c>
      <c r="Q199" s="108">
        <v>42991</v>
      </c>
      <c r="R199" s="108">
        <v>43021</v>
      </c>
      <c r="S199" t="s">
        <v>3005</v>
      </c>
      <c r="T199" t="s">
        <v>154</v>
      </c>
      <c r="U199">
        <v>3</v>
      </c>
      <c r="V199">
        <v>3</v>
      </c>
      <c r="W199">
        <v>3</v>
      </c>
      <c r="X199">
        <v>3</v>
      </c>
      <c r="Y199">
        <v>3</v>
      </c>
      <c r="Z199" t="s">
        <v>2596</v>
      </c>
      <c r="AA199" t="s">
        <v>2596</v>
      </c>
      <c r="AB199" t="s">
        <v>123</v>
      </c>
      <c r="AC199" t="s">
        <v>2596</v>
      </c>
      <c r="AD199" t="s">
        <v>2599</v>
      </c>
      <c r="AE199" t="s">
        <v>58</v>
      </c>
      <c r="AF199" t="s">
        <v>57</v>
      </c>
      <c r="AG199" t="s">
        <v>57</v>
      </c>
      <c r="AH199" t="s">
        <v>57</v>
      </c>
      <c r="AI199" t="s">
        <v>57</v>
      </c>
      <c r="AJ199" t="s">
        <v>58</v>
      </c>
      <c r="AK199" t="s">
        <v>57</v>
      </c>
      <c r="AL199" t="s">
        <v>58</v>
      </c>
      <c r="AM199" t="s">
        <v>58</v>
      </c>
      <c r="AN199" t="s">
        <v>58</v>
      </c>
      <c r="AO199" t="s">
        <v>58</v>
      </c>
      <c r="AP199" t="s">
        <v>58</v>
      </c>
      <c r="AQ199" t="s">
        <v>57</v>
      </c>
      <c r="AR199" t="s">
        <v>57</v>
      </c>
      <c r="AS199" t="s">
        <v>57</v>
      </c>
      <c r="AT199" t="s">
        <v>57</v>
      </c>
      <c r="AU199" t="s">
        <v>148</v>
      </c>
      <c r="AV199" t="s">
        <v>57</v>
      </c>
      <c r="AW199" t="s">
        <v>57</v>
      </c>
      <c r="AX199" t="s">
        <v>57</v>
      </c>
      <c r="AY199" t="s">
        <v>57</v>
      </c>
      <c r="AZ199" t="s">
        <v>57</v>
      </c>
      <c r="BA199" t="s">
        <v>57</v>
      </c>
      <c r="BB199" t="s">
        <v>57</v>
      </c>
      <c r="BC199" t="s">
        <v>148</v>
      </c>
      <c r="BD199" t="s">
        <v>148</v>
      </c>
      <c r="BE199" t="s">
        <v>57</v>
      </c>
      <c r="BF199" t="s">
        <v>57</v>
      </c>
      <c r="BG199" t="s">
        <v>58</v>
      </c>
      <c r="BH199" t="s">
        <v>58</v>
      </c>
      <c r="BI199" t="s">
        <v>57</v>
      </c>
      <c r="BJ199" t="s">
        <v>58</v>
      </c>
      <c r="BK199" t="s">
        <v>58</v>
      </c>
      <c r="BL199" t="s">
        <v>57</v>
      </c>
      <c r="BM199" t="s">
        <v>57</v>
      </c>
      <c r="BN199" t="s">
        <v>58</v>
      </c>
      <c r="BO199" t="s">
        <v>58</v>
      </c>
      <c r="BP199" t="s">
        <v>57</v>
      </c>
      <c r="BQ199" t="s">
        <v>57</v>
      </c>
      <c r="BR199" t="s">
        <v>58</v>
      </c>
      <c r="BS199" t="s">
        <v>57</v>
      </c>
      <c r="BT199" t="s">
        <v>57</v>
      </c>
      <c r="BU199" t="s">
        <v>57</v>
      </c>
      <c r="BV199" t="s">
        <v>57</v>
      </c>
      <c r="BW199" t="s">
        <v>57</v>
      </c>
      <c r="BX199" t="s">
        <v>57</v>
      </c>
      <c r="BY199" t="s">
        <v>57</v>
      </c>
      <c r="BZ199" t="s">
        <v>57</v>
      </c>
      <c r="CA199" t="s">
        <v>57</v>
      </c>
      <c r="CB199" t="s">
        <v>57</v>
      </c>
      <c r="CC199" t="s">
        <v>57</v>
      </c>
      <c r="CD199" t="s">
        <v>57</v>
      </c>
      <c r="CE199" t="s">
        <v>57</v>
      </c>
      <c r="CF199" t="s">
        <v>57</v>
      </c>
      <c r="CG199" t="s">
        <v>57</v>
      </c>
      <c r="CH199" t="s">
        <v>57</v>
      </c>
      <c r="CI199" t="s">
        <v>57</v>
      </c>
      <c r="CJ199" t="s">
        <v>57</v>
      </c>
      <c r="CK199" t="s">
        <v>148</v>
      </c>
      <c r="CL199" t="s">
        <v>148</v>
      </c>
      <c r="CM199" t="s">
        <v>148</v>
      </c>
      <c r="CN199" t="s">
        <v>58</v>
      </c>
      <c r="CO199" t="s">
        <v>57</v>
      </c>
      <c r="CP199" t="s">
        <v>58</v>
      </c>
      <c r="CQ199" t="s">
        <v>58</v>
      </c>
      <c r="CR199" t="s">
        <v>57</v>
      </c>
      <c r="CS199" t="s">
        <v>57</v>
      </c>
      <c r="CT199" t="s">
        <v>57</v>
      </c>
      <c r="CU199" t="s">
        <v>57</v>
      </c>
      <c r="CV199" t="s">
        <v>57</v>
      </c>
      <c r="CW199" t="s">
        <v>58</v>
      </c>
      <c r="CX199" t="s">
        <v>57</v>
      </c>
      <c r="CY199" t="s">
        <v>57</v>
      </c>
      <c r="CZ199" t="s">
        <v>57</v>
      </c>
      <c r="DA199" t="s">
        <v>57</v>
      </c>
      <c r="DB199" t="s">
        <v>57</v>
      </c>
      <c r="DC199" t="s">
        <v>57</v>
      </c>
      <c r="DD199" t="s">
        <v>57</v>
      </c>
      <c r="DE199" t="s">
        <v>57</v>
      </c>
      <c r="DF199" t="s">
        <v>57</v>
      </c>
      <c r="DG199" t="s">
        <v>57</v>
      </c>
      <c r="DH199" t="s">
        <v>57</v>
      </c>
      <c r="DI199" t="s">
        <v>57</v>
      </c>
      <c r="DJ199" t="s">
        <v>57</v>
      </c>
      <c r="DK199" t="s">
        <v>148</v>
      </c>
      <c r="DL199" t="s">
        <v>57</v>
      </c>
      <c r="DM199" t="s">
        <v>148</v>
      </c>
      <c r="DN199" t="s">
        <v>148</v>
      </c>
      <c r="DO199" t="s">
        <v>148</v>
      </c>
      <c r="DP199" t="s">
        <v>148</v>
      </c>
      <c r="DQ199" t="s">
        <v>148</v>
      </c>
      <c r="DR199" t="s">
        <v>148</v>
      </c>
      <c r="DS199" t="s">
        <v>148</v>
      </c>
      <c r="DT199" t="s">
        <v>148</v>
      </c>
      <c r="DU199" t="s">
        <v>148</v>
      </c>
      <c r="DV199" t="s">
        <v>148</v>
      </c>
      <c r="DW199" t="s">
        <v>148</v>
      </c>
      <c r="DX199" t="s">
        <v>148</v>
      </c>
      <c r="DY199" t="s">
        <v>148</v>
      </c>
      <c r="DZ199" t="s">
        <v>148</v>
      </c>
      <c r="EA199" t="s">
        <v>148</v>
      </c>
      <c r="EB199" t="s">
        <v>148</v>
      </c>
      <c r="EC199" t="s">
        <v>148</v>
      </c>
      <c r="ED199" t="s">
        <v>148</v>
      </c>
      <c r="EE199" t="s">
        <v>148</v>
      </c>
      <c r="EF199" t="s">
        <v>148</v>
      </c>
      <c r="EG199" t="s">
        <v>148</v>
      </c>
      <c r="EH199" t="s">
        <v>148</v>
      </c>
      <c r="EI199" t="s">
        <v>148</v>
      </c>
      <c r="EJ199" t="s">
        <v>57</v>
      </c>
      <c r="EK199" t="s">
        <v>57</v>
      </c>
      <c r="EL199" t="s">
        <v>57</v>
      </c>
      <c r="EM199" t="s">
        <v>57</v>
      </c>
      <c r="EN199" t="s">
        <v>57</v>
      </c>
      <c r="EO199" t="s">
        <v>57</v>
      </c>
      <c r="EP199" t="s">
        <v>57</v>
      </c>
      <c r="EQ199" t="s">
        <v>57</v>
      </c>
      <c r="ER199" t="s">
        <v>57</v>
      </c>
      <c r="ES199" t="s">
        <v>57</v>
      </c>
      <c r="ET199" t="s">
        <v>57</v>
      </c>
      <c r="EU199" t="s">
        <v>57</v>
      </c>
      <c r="EV199" t="s">
        <v>57</v>
      </c>
      <c r="EW199" t="s">
        <v>57</v>
      </c>
      <c r="EX199" t="s">
        <v>148</v>
      </c>
      <c r="EY199" t="s">
        <v>148</v>
      </c>
      <c r="EZ199" t="s">
        <v>148</v>
      </c>
      <c r="FA199" t="s">
        <v>148</v>
      </c>
      <c r="FB199" t="s">
        <v>148</v>
      </c>
      <c r="FC199" t="s">
        <v>148</v>
      </c>
      <c r="FD199" t="s">
        <v>148</v>
      </c>
      <c r="FE199" t="s">
        <v>148</v>
      </c>
      <c r="FF199" t="s">
        <v>148</v>
      </c>
      <c r="FG199" t="s">
        <v>148</v>
      </c>
      <c r="FH199" t="s">
        <v>57</v>
      </c>
      <c r="FI199" t="s">
        <v>57</v>
      </c>
      <c r="FJ199" t="s">
        <v>57</v>
      </c>
      <c r="FK199" t="s">
        <v>57</v>
      </c>
      <c r="FL199" t="s">
        <v>57</v>
      </c>
      <c r="FM199" t="s">
        <v>57</v>
      </c>
      <c r="FN199" t="s">
        <v>57</v>
      </c>
      <c r="FO199" t="s">
        <v>148</v>
      </c>
      <c r="FP199" t="s">
        <v>57</v>
      </c>
      <c r="FQ199" t="s">
        <v>57</v>
      </c>
      <c r="FR199" t="s">
        <v>57</v>
      </c>
      <c r="FS199" t="s">
        <v>57</v>
      </c>
      <c r="FT199" t="s">
        <v>57</v>
      </c>
      <c r="FU199" t="s">
        <v>57</v>
      </c>
      <c r="FV199" t="s">
        <v>57</v>
      </c>
      <c r="FW199" t="s">
        <v>57</v>
      </c>
      <c r="FX199" t="s">
        <v>57</v>
      </c>
      <c r="FY199" t="s">
        <v>57</v>
      </c>
      <c r="FZ199" t="s">
        <v>57</v>
      </c>
      <c r="GA199" t="s">
        <v>57</v>
      </c>
      <c r="GB199" t="s">
        <v>57</v>
      </c>
      <c r="GC199" t="s">
        <v>57</v>
      </c>
      <c r="GD199" t="s">
        <v>57</v>
      </c>
      <c r="GE199" t="s">
        <v>57</v>
      </c>
      <c r="GF199" t="s">
        <v>57</v>
      </c>
      <c r="GG199" t="s">
        <v>148</v>
      </c>
      <c r="GH199" t="s">
        <v>58</v>
      </c>
      <c r="GI199" t="s">
        <v>57</v>
      </c>
      <c r="GJ199" t="s">
        <v>58</v>
      </c>
      <c r="GK199" t="s">
        <v>57</v>
      </c>
      <c r="GL199" t="s">
        <v>57</v>
      </c>
      <c r="GM199" t="s">
        <v>148</v>
      </c>
      <c r="GN199" t="s">
        <v>58</v>
      </c>
      <c r="GO199" t="s">
        <v>57</v>
      </c>
      <c r="GP199" t="s">
        <v>57</v>
      </c>
      <c r="GQ199" t="s">
        <v>57</v>
      </c>
      <c r="GR199" t="s">
        <v>57</v>
      </c>
      <c r="GS199" t="s">
        <v>57</v>
      </c>
      <c r="GT199" t="s">
        <v>57</v>
      </c>
      <c r="GU199" t="s">
        <v>57</v>
      </c>
      <c r="GV199" t="s">
        <v>57</v>
      </c>
      <c r="GW199" t="s">
        <v>148</v>
      </c>
      <c r="GX199" t="s">
        <v>148</v>
      </c>
      <c r="GY199" t="s">
        <v>57</v>
      </c>
      <c r="GZ199" t="s">
        <v>58</v>
      </c>
      <c r="HA199" t="s">
        <v>57</v>
      </c>
      <c r="HB199" t="s">
        <v>58</v>
      </c>
      <c r="HC199" t="s">
        <v>57</v>
      </c>
      <c r="HD199" t="s">
        <v>57</v>
      </c>
      <c r="HE199" t="s">
        <v>57</v>
      </c>
      <c r="HF199" t="s">
        <v>57</v>
      </c>
      <c r="HG199" t="s">
        <v>57</v>
      </c>
      <c r="HH199" t="s">
        <v>57</v>
      </c>
      <c r="HI199" t="s">
        <v>57</v>
      </c>
      <c r="HJ199" t="s">
        <v>57</v>
      </c>
      <c r="HK199" t="s">
        <v>57</v>
      </c>
      <c r="HL199" t="s">
        <v>57</v>
      </c>
      <c r="HM199" t="s">
        <v>57</v>
      </c>
      <c r="HN199" t="s">
        <v>57</v>
      </c>
      <c r="HO199" t="s">
        <v>57</v>
      </c>
      <c r="HP199" t="s">
        <v>57</v>
      </c>
      <c r="HQ199" t="s">
        <v>57</v>
      </c>
      <c r="HR199" t="s">
        <v>57</v>
      </c>
      <c r="HS199" t="s">
        <v>57</v>
      </c>
      <c r="HT199" t="s">
        <v>57</v>
      </c>
      <c r="HU199" t="s">
        <v>57</v>
      </c>
      <c r="HV199" t="s">
        <v>57</v>
      </c>
      <c r="HW199" t="s">
        <v>57</v>
      </c>
      <c r="HX199" t="s">
        <v>57</v>
      </c>
      <c r="HY199" t="s">
        <v>57</v>
      </c>
      <c r="HZ199" t="s">
        <v>57</v>
      </c>
      <c r="IA199" t="s">
        <v>57</v>
      </c>
      <c r="IB199" t="s">
        <v>58</v>
      </c>
      <c r="IC199" t="s">
        <v>58</v>
      </c>
      <c r="ID199" t="s">
        <v>58</v>
      </c>
      <c r="IE199" t="s">
        <v>58</v>
      </c>
      <c r="IF199" t="s">
        <v>124</v>
      </c>
      <c r="IG199" t="s">
        <v>155</v>
      </c>
      <c r="IH199" t="s">
        <v>123</v>
      </c>
      <c r="II199" t="s">
        <v>156</v>
      </c>
    </row>
    <row r="200" spans="1:243" x14ac:dyDescent="0.25">
      <c r="A200" s="201" t="str">
        <f>HYPERLINK("http://www.ofsted.gov.uk/inspection-reports/find-inspection-report/provider/ELS/136503 ","Ofsted School Webpage")</f>
        <v>Ofsted School Webpage</v>
      </c>
      <c r="B200">
        <v>136503</v>
      </c>
      <c r="C200">
        <v>3556058</v>
      </c>
      <c r="D200" t="s">
        <v>1994</v>
      </c>
      <c r="E200" t="s">
        <v>36</v>
      </c>
      <c r="F200" t="s">
        <v>166</v>
      </c>
      <c r="G200" t="s">
        <v>162</v>
      </c>
      <c r="H200" t="s">
        <v>162</v>
      </c>
      <c r="I200" t="s">
        <v>804</v>
      </c>
      <c r="J200" t="s">
        <v>1995</v>
      </c>
      <c r="K200" t="s">
        <v>142</v>
      </c>
      <c r="L200" t="s">
        <v>275</v>
      </c>
      <c r="M200" t="s">
        <v>2596</v>
      </c>
      <c r="N200" t="s">
        <v>143</v>
      </c>
      <c r="O200">
        <v>10038933</v>
      </c>
      <c r="P200" s="108">
        <v>43109</v>
      </c>
      <c r="Q200" s="108">
        <v>43111</v>
      </c>
      <c r="R200" s="108">
        <v>43146</v>
      </c>
      <c r="S200" t="s">
        <v>153</v>
      </c>
      <c r="T200" t="s">
        <v>154</v>
      </c>
      <c r="U200">
        <v>3</v>
      </c>
      <c r="V200">
        <v>3</v>
      </c>
      <c r="W200">
        <v>3</v>
      </c>
      <c r="X200">
        <v>3</v>
      </c>
      <c r="Y200">
        <v>3</v>
      </c>
      <c r="Z200">
        <v>3</v>
      </c>
      <c r="AA200" t="s">
        <v>2596</v>
      </c>
      <c r="AB200" t="s">
        <v>123</v>
      </c>
      <c r="AC200" t="s">
        <v>2596</v>
      </c>
      <c r="AD200" t="s">
        <v>2598</v>
      </c>
      <c r="AE200" t="s">
        <v>57</v>
      </c>
      <c r="AF200" t="s">
        <v>57</v>
      </c>
      <c r="AG200" t="s">
        <v>57</v>
      </c>
      <c r="AH200" t="s">
        <v>57</v>
      </c>
      <c r="AI200" t="s">
        <v>57</v>
      </c>
      <c r="AJ200" t="s">
        <v>57</v>
      </c>
      <c r="AK200" t="s">
        <v>57</v>
      </c>
      <c r="AL200" t="s">
        <v>57</v>
      </c>
      <c r="AM200" t="s">
        <v>57</v>
      </c>
      <c r="AN200" t="s">
        <v>57</v>
      </c>
      <c r="AO200" t="s">
        <v>57</v>
      </c>
      <c r="AP200" t="s">
        <v>57</v>
      </c>
      <c r="AQ200" t="s">
        <v>57</v>
      </c>
      <c r="AR200" t="s">
        <v>57</v>
      </c>
      <c r="AS200" t="s">
        <v>57</v>
      </c>
      <c r="AT200" t="s">
        <v>57</v>
      </c>
      <c r="AU200" t="s">
        <v>175</v>
      </c>
      <c r="AV200" t="s">
        <v>57</v>
      </c>
      <c r="AW200" t="s">
        <v>57</v>
      </c>
      <c r="AX200" t="s">
        <v>57</v>
      </c>
      <c r="AY200" t="s">
        <v>175</v>
      </c>
      <c r="AZ200" t="s">
        <v>175</v>
      </c>
      <c r="BA200" t="s">
        <v>175</v>
      </c>
      <c r="BB200" t="s">
        <v>175</v>
      </c>
      <c r="BC200" t="s">
        <v>57</v>
      </c>
      <c r="BD200" t="s">
        <v>175</v>
      </c>
      <c r="BE200" t="s">
        <v>57</v>
      </c>
      <c r="BF200" t="s">
        <v>57</v>
      </c>
      <c r="BG200" t="s">
        <v>57</v>
      </c>
      <c r="BH200" t="s">
        <v>57</v>
      </c>
      <c r="BI200" t="s">
        <v>57</v>
      </c>
      <c r="BJ200" t="s">
        <v>57</v>
      </c>
      <c r="BK200" t="s">
        <v>57</v>
      </c>
      <c r="BL200" t="s">
        <v>57</v>
      </c>
      <c r="BM200" t="s">
        <v>57</v>
      </c>
      <c r="BN200" t="s">
        <v>57</v>
      </c>
      <c r="BO200" t="s">
        <v>57</v>
      </c>
      <c r="BP200" t="s">
        <v>57</v>
      </c>
      <c r="BQ200" t="s">
        <v>57</v>
      </c>
      <c r="BR200" t="s">
        <v>57</v>
      </c>
      <c r="BS200" t="s">
        <v>57</v>
      </c>
      <c r="BT200" t="s">
        <v>57</v>
      </c>
      <c r="BU200" t="s">
        <v>57</v>
      </c>
      <c r="BV200" t="s">
        <v>57</v>
      </c>
      <c r="BW200" t="s">
        <v>57</v>
      </c>
      <c r="BX200" t="s">
        <v>57</v>
      </c>
      <c r="BY200" t="s">
        <v>57</v>
      </c>
      <c r="BZ200" t="s">
        <v>57</v>
      </c>
      <c r="CA200" t="s">
        <v>57</v>
      </c>
      <c r="CB200" t="s">
        <v>57</v>
      </c>
      <c r="CC200" t="s">
        <v>57</v>
      </c>
      <c r="CD200" t="s">
        <v>57</v>
      </c>
      <c r="CE200" t="s">
        <v>57</v>
      </c>
      <c r="CF200" t="s">
        <v>57</v>
      </c>
      <c r="CG200" t="s">
        <v>57</v>
      </c>
      <c r="CH200" t="s">
        <v>57</v>
      </c>
      <c r="CI200" t="s">
        <v>57</v>
      </c>
      <c r="CJ200" t="s">
        <v>57</v>
      </c>
      <c r="CK200" t="s">
        <v>175</v>
      </c>
      <c r="CL200" t="s">
        <v>175</v>
      </c>
      <c r="CM200" t="s">
        <v>175</v>
      </c>
      <c r="CN200" t="s">
        <v>57</v>
      </c>
      <c r="CO200" t="s">
        <v>57</v>
      </c>
      <c r="CP200" t="s">
        <v>57</v>
      </c>
      <c r="CQ200" t="s">
        <v>57</v>
      </c>
      <c r="CR200" t="s">
        <v>57</v>
      </c>
      <c r="CS200" t="s">
        <v>57</v>
      </c>
      <c r="CT200" t="s">
        <v>57</v>
      </c>
      <c r="CU200" t="s">
        <v>57</v>
      </c>
      <c r="CV200" t="s">
        <v>57</v>
      </c>
      <c r="CW200" t="s">
        <v>57</v>
      </c>
      <c r="CX200" t="s">
        <v>57</v>
      </c>
      <c r="CY200" t="s">
        <v>57</v>
      </c>
      <c r="CZ200" t="s">
        <v>57</v>
      </c>
      <c r="DA200" t="s">
        <v>57</v>
      </c>
      <c r="DB200" t="s">
        <v>57</v>
      </c>
      <c r="DC200" t="s">
        <v>57</v>
      </c>
      <c r="DD200" t="s">
        <v>57</v>
      </c>
      <c r="DE200" t="s">
        <v>57</v>
      </c>
      <c r="DF200" t="s">
        <v>57</v>
      </c>
      <c r="DG200" t="s">
        <v>57</v>
      </c>
      <c r="DH200" t="s">
        <v>57</v>
      </c>
      <c r="DI200" t="s">
        <v>57</v>
      </c>
      <c r="DJ200" t="s">
        <v>57</v>
      </c>
      <c r="DK200" t="s">
        <v>175</v>
      </c>
      <c r="DL200" t="s">
        <v>57</v>
      </c>
      <c r="DM200" t="s">
        <v>175</v>
      </c>
      <c r="DN200" t="s">
        <v>175</v>
      </c>
      <c r="DO200" t="s">
        <v>175</v>
      </c>
      <c r="DP200" t="s">
        <v>175</v>
      </c>
      <c r="DQ200" t="s">
        <v>175</v>
      </c>
      <c r="DR200" t="s">
        <v>175</v>
      </c>
      <c r="DS200" t="s">
        <v>175</v>
      </c>
      <c r="DT200" t="s">
        <v>175</v>
      </c>
      <c r="DU200" t="s">
        <v>175</v>
      </c>
      <c r="DV200" t="s">
        <v>175</v>
      </c>
      <c r="DW200" t="s">
        <v>175</v>
      </c>
      <c r="DX200" t="s">
        <v>175</v>
      </c>
      <c r="DY200" t="s">
        <v>175</v>
      </c>
      <c r="DZ200" t="s">
        <v>175</v>
      </c>
      <c r="EA200" t="s">
        <v>175</v>
      </c>
      <c r="EB200" t="s">
        <v>175</v>
      </c>
      <c r="EC200" t="s">
        <v>175</v>
      </c>
      <c r="ED200" t="s">
        <v>175</v>
      </c>
      <c r="EE200" t="s">
        <v>175</v>
      </c>
      <c r="EF200" t="s">
        <v>175</v>
      </c>
      <c r="EG200" t="s">
        <v>175</v>
      </c>
      <c r="EH200" t="s">
        <v>175</v>
      </c>
      <c r="EI200" t="s">
        <v>175</v>
      </c>
      <c r="EJ200" t="s">
        <v>57</v>
      </c>
      <c r="EK200" t="s">
        <v>57</v>
      </c>
      <c r="EL200" t="s">
        <v>57</v>
      </c>
      <c r="EM200" t="s">
        <v>57</v>
      </c>
      <c r="EN200" t="s">
        <v>57</v>
      </c>
      <c r="EO200" t="s">
        <v>57</v>
      </c>
      <c r="EP200" t="s">
        <v>57</v>
      </c>
      <c r="EQ200" t="s">
        <v>57</v>
      </c>
      <c r="ER200" t="s">
        <v>57</v>
      </c>
      <c r="ES200" t="s">
        <v>57</v>
      </c>
      <c r="ET200" t="s">
        <v>57</v>
      </c>
      <c r="EU200" t="s">
        <v>57</v>
      </c>
      <c r="EV200" t="s">
        <v>57</v>
      </c>
      <c r="EW200" t="s">
        <v>175</v>
      </c>
      <c r="EX200" t="s">
        <v>175</v>
      </c>
      <c r="EY200" t="s">
        <v>175</v>
      </c>
      <c r="EZ200" t="s">
        <v>175</v>
      </c>
      <c r="FA200" t="s">
        <v>175</v>
      </c>
      <c r="FB200" t="s">
        <v>175</v>
      </c>
      <c r="FC200" t="s">
        <v>57</v>
      </c>
      <c r="FD200" t="s">
        <v>175</v>
      </c>
      <c r="FE200" t="s">
        <v>175</v>
      </c>
      <c r="FF200" t="s">
        <v>57</v>
      </c>
      <c r="FG200" t="s">
        <v>175</v>
      </c>
      <c r="FH200" t="s">
        <v>57</v>
      </c>
      <c r="FI200" t="s">
        <v>57</v>
      </c>
      <c r="FJ200" t="s">
        <v>57</v>
      </c>
      <c r="FK200" t="s">
        <v>57</v>
      </c>
      <c r="FL200" t="s">
        <v>57</v>
      </c>
      <c r="FM200" t="s">
        <v>57</v>
      </c>
      <c r="FN200" t="s">
        <v>57</v>
      </c>
      <c r="FO200" t="s">
        <v>57</v>
      </c>
      <c r="FP200" t="s">
        <v>57</v>
      </c>
      <c r="FQ200" t="s">
        <v>57</v>
      </c>
      <c r="FR200" t="s">
        <v>57</v>
      </c>
      <c r="FS200" t="s">
        <v>57</v>
      </c>
      <c r="FT200" t="s">
        <v>57</v>
      </c>
      <c r="FU200" t="s">
        <v>57</v>
      </c>
      <c r="FV200" t="s">
        <v>57</v>
      </c>
      <c r="FW200" t="s">
        <v>57</v>
      </c>
      <c r="FX200" t="s">
        <v>57</v>
      </c>
      <c r="FY200" t="s">
        <v>57</v>
      </c>
      <c r="FZ200" t="s">
        <v>57</v>
      </c>
      <c r="GA200" t="s">
        <v>57</v>
      </c>
      <c r="GB200" t="s">
        <v>57</v>
      </c>
      <c r="GC200" t="s">
        <v>57</v>
      </c>
      <c r="GD200" t="s">
        <v>57</v>
      </c>
      <c r="GE200" t="s">
        <v>57</v>
      </c>
      <c r="GF200" t="s">
        <v>57</v>
      </c>
      <c r="GG200" t="s">
        <v>175</v>
      </c>
      <c r="GH200" t="s">
        <v>57</v>
      </c>
      <c r="GI200" t="s">
        <v>57</v>
      </c>
      <c r="GJ200" t="s">
        <v>57</v>
      </c>
      <c r="GK200" t="s">
        <v>57</v>
      </c>
      <c r="GL200" t="s">
        <v>57</v>
      </c>
      <c r="GM200" t="s">
        <v>175</v>
      </c>
      <c r="GN200" t="s">
        <v>57</v>
      </c>
      <c r="GO200" t="s">
        <v>57</v>
      </c>
      <c r="GP200" t="s">
        <v>57</v>
      </c>
      <c r="GQ200" t="s">
        <v>57</v>
      </c>
      <c r="GR200" t="s">
        <v>57</v>
      </c>
      <c r="GS200" t="s">
        <v>57</v>
      </c>
      <c r="GT200" t="s">
        <v>57</v>
      </c>
      <c r="GU200" t="s">
        <v>57</v>
      </c>
      <c r="GV200" t="s">
        <v>57</v>
      </c>
      <c r="GW200" t="s">
        <v>175</v>
      </c>
      <c r="GX200" t="s">
        <v>57</v>
      </c>
      <c r="GY200" t="s">
        <v>57</v>
      </c>
      <c r="GZ200" t="s">
        <v>57</v>
      </c>
      <c r="HA200" t="s">
        <v>57</v>
      </c>
      <c r="HB200" t="s">
        <v>57</v>
      </c>
      <c r="HC200" t="s">
        <v>57</v>
      </c>
      <c r="HD200" t="s">
        <v>57</v>
      </c>
      <c r="HE200" t="s">
        <v>57</v>
      </c>
      <c r="HF200" t="s">
        <v>57</v>
      </c>
      <c r="HG200" t="s">
        <v>57</v>
      </c>
      <c r="HH200" t="s">
        <v>175</v>
      </c>
      <c r="HI200" t="s">
        <v>175</v>
      </c>
      <c r="HJ200" t="s">
        <v>175</v>
      </c>
      <c r="HK200" t="s">
        <v>175</v>
      </c>
      <c r="HL200" t="s">
        <v>57</v>
      </c>
      <c r="HM200" t="s">
        <v>57</v>
      </c>
      <c r="HN200" t="s">
        <v>57</v>
      </c>
      <c r="HO200" t="s">
        <v>57</v>
      </c>
      <c r="HP200" t="s">
        <v>57</v>
      </c>
      <c r="HQ200" t="s">
        <v>57</v>
      </c>
      <c r="HR200" t="s">
        <v>57</v>
      </c>
      <c r="HS200" t="s">
        <v>57</v>
      </c>
      <c r="HT200" t="s">
        <v>57</v>
      </c>
      <c r="HU200" t="s">
        <v>57</v>
      </c>
      <c r="HV200" t="s">
        <v>57</v>
      </c>
      <c r="HW200" t="s">
        <v>57</v>
      </c>
      <c r="HX200" t="s">
        <v>57</v>
      </c>
      <c r="HY200" t="s">
        <v>57</v>
      </c>
      <c r="HZ200" t="s">
        <v>57</v>
      </c>
      <c r="IA200" t="s">
        <v>57</v>
      </c>
      <c r="IB200" t="s">
        <v>57</v>
      </c>
      <c r="IC200" t="s">
        <v>57</v>
      </c>
      <c r="ID200" t="s">
        <v>57</v>
      </c>
      <c r="IE200" t="s">
        <v>57</v>
      </c>
      <c r="IF200" t="s">
        <v>124</v>
      </c>
      <c r="IG200" t="s">
        <v>148</v>
      </c>
      <c r="IH200" t="s">
        <v>123</v>
      </c>
      <c r="II200" t="s">
        <v>156</v>
      </c>
    </row>
    <row r="201" spans="1:243" x14ac:dyDescent="0.25">
      <c r="A201" s="201" t="str">
        <f>HYPERLINK("http://www.ofsted.gov.uk/inspection-reports/find-inspection-report/provider/ELS/136823 ","Ofsted School Webpage")</f>
        <v>Ofsted School Webpage</v>
      </c>
      <c r="B201">
        <v>136823</v>
      </c>
      <c r="C201">
        <v>8566006</v>
      </c>
      <c r="D201" t="s">
        <v>286</v>
      </c>
      <c r="E201" t="s">
        <v>36</v>
      </c>
      <c r="F201" t="s">
        <v>166</v>
      </c>
      <c r="G201" t="s">
        <v>171</v>
      </c>
      <c r="H201" t="s">
        <v>171</v>
      </c>
      <c r="I201" t="s">
        <v>287</v>
      </c>
      <c r="J201" t="s">
        <v>288</v>
      </c>
      <c r="K201" t="s">
        <v>142</v>
      </c>
      <c r="L201" t="s">
        <v>180</v>
      </c>
      <c r="M201" t="s">
        <v>2596</v>
      </c>
      <c r="N201" t="s">
        <v>143</v>
      </c>
      <c r="O201">
        <v>10012981</v>
      </c>
      <c r="P201" s="108">
        <v>43011</v>
      </c>
      <c r="Q201" s="108">
        <v>43013</v>
      </c>
      <c r="R201" s="108">
        <v>43042</v>
      </c>
      <c r="S201" t="s">
        <v>153</v>
      </c>
      <c r="T201" t="s">
        <v>154</v>
      </c>
      <c r="U201">
        <v>3</v>
      </c>
      <c r="V201">
        <v>3</v>
      </c>
      <c r="W201">
        <v>3</v>
      </c>
      <c r="X201">
        <v>3</v>
      </c>
      <c r="Y201">
        <v>3</v>
      </c>
      <c r="Z201" t="s">
        <v>2596</v>
      </c>
      <c r="AA201" t="s">
        <v>2596</v>
      </c>
      <c r="AB201" t="s">
        <v>123</v>
      </c>
      <c r="AC201" t="s">
        <v>2596</v>
      </c>
      <c r="AD201" t="s">
        <v>2599</v>
      </c>
      <c r="AE201" t="s">
        <v>58</v>
      </c>
      <c r="AF201" t="s">
        <v>57</v>
      </c>
      <c r="AG201" t="s">
        <v>57</v>
      </c>
      <c r="AH201" t="s">
        <v>57</v>
      </c>
      <c r="AI201" t="s">
        <v>57</v>
      </c>
      <c r="AJ201" t="s">
        <v>57</v>
      </c>
      <c r="AK201" t="s">
        <v>57</v>
      </c>
      <c r="AL201" t="s">
        <v>58</v>
      </c>
      <c r="AM201" t="s">
        <v>58</v>
      </c>
      <c r="AN201" t="s">
        <v>57</v>
      </c>
      <c r="AO201" t="s">
        <v>57</v>
      </c>
      <c r="AP201" t="s">
        <v>57</v>
      </c>
      <c r="AQ201" t="s">
        <v>57</v>
      </c>
      <c r="AR201" t="s">
        <v>58</v>
      </c>
      <c r="AS201" t="s">
        <v>57</v>
      </c>
      <c r="AT201" t="s">
        <v>57</v>
      </c>
      <c r="AU201" t="s">
        <v>148</v>
      </c>
      <c r="AV201" t="s">
        <v>57</v>
      </c>
      <c r="AW201" t="s">
        <v>57</v>
      </c>
      <c r="AX201" t="s">
        <v>57</v>
      </c>
      <c r="AY201" t="s">
        <v>58</v>
      </c>
      <c r="AZ201" t="s">
        <v>58</v>
      </c>
      <c r="BA201" t="s">
        <v>57</v>
      </c>
      <c r="BB201" t="s">
        <v>57</v>
      </c>
      <c r="BC201" t="s">
        <v>148</v>
      </c>
      <c r="BD201" t="s">
        <v>148</v>
      </c>
      <c r="BE201" t="s">
        <v>57</v>
      </c>
      <c r="BF201" t="s">
        <v>57</v>
      </c>
      <c r="BG201" t="s">
        <v>58</v>
      </c>
      <c r="BH201" t="s">
        <v>58</v>
      </c>
      <c r="BI201" t="s">
        <v>57</v>
      </c>
      <c r="BJ201" t="s">
        <v>58</v>
      </c>
      <c r="BK201" t="s">
        <v>58</v>
      </c>
      <c r="BL201" t="s">
        <v>57</v>
      </c>
      <c r="BM201" t="s">
        <v>57</v>
      </c>
      <c r="BN201" t="s">
        <v>58</v>
      </c>
      <c r="BO201" t="s">
        <v>57</v>
      </c>
      <c r="BP201" t="s">
        <v>57</v>
      </c>
      <c r="BQ201" t="s">
        <v>57</v>
      </c>
      <c r="BR201" t="s">
        <v>57</v>
      </c>
      <c r="BS201" t="s">
        <v>57</v>
      </c>
      <c r="BT201" t="s">
        <v>57</v>
      </c>
      <c r="BU201" t="s">
        <v>57</v>
      </c>
      <c r="BV201" t="s">
        <v>57</v>
      </c>
      <c r="BW201" t="s">
        <v>57</v>
      </c>
      <c r="BX201" t="s">
        <v>57</v>
      </c>
      <c r="BY201" t="s">
        <v>57</v>
      </c>
      <c r="BZ201" t="s">
        <v>57</v>
      </c>
      <c r="CA201" t="s">
        <v>57</v>
      </c>
      <c r="CB201" t="s">
        <v>57</v>
      </c>
      <c r="CC201" t="s">
        <v>57</v>
      </c>
      <c r="CD201" t="s">
        <v>57</v>
      </c>
      <c r="CE201" t="s">
        <v>57</v>
      </c>
      <c r="CF201" t="s">
        <v>57</v>
      </c>
      <c r="CG201" t="s">
        <v>57</v>
      </c>
      <c r="CH201" t="s">
        <v>57</v>
      </c>
      <c r="CI201" t="s">
        <v>57</v>
      </c>
      <c r="CJ201" t="s">
        <v>57</v>
      </c>
      <c r="CK201" t="s">
        <v>148</v>
      </c>
      <c r="CL201" t="s">
        <v>148</v>
      </c>
      <c r="CM201" t="s">
        <v>148</v>
      </c>
      <c r="CN201" t="s">
        <v>57</v>
      </c>
      <c r="CO201" t="s">
        <v>57</v>
      </c>
      <c r="CP201" t="s">
        <v>57</v>
      </c>
      <c r="CQ201" t="s">
        <v>57</v>
      </c>
      <c r="CR201" t="s">
        <v>57</v>
      </c>
      <c r="CS201" t="s">
        <v>57</v>
      </c>
      <c r="CT201" t="s">
        <v>57</v>
      </c>
      <c r="CU201" t="s">
        <v>57</v>
      </c>
      <c r="CV201" t="s">
        <v>57</v>
      </c>
      <c r="CW201" t="s">
        <v>57</v>
      </c>
      <c r="CX201" t="s">
        <v>57</v>
      </c>
      <c r="CY201" t="s">
        <v>57</v>
      </c>
      <c r="CZ201" t="s">
        <v>57</v>
      </c>
      <c r="DA201" t="s">
        <v>57</v>
      </c>
      <c r="DB201" t="s">
        <v>57</v>
      </c>
      <c r="DC201" t="s">
        <v>57</v>
      </c>
      <c r="DD201" t="s">
        <v>57</v>
      </c>
      <c r="DE201" t="s">
        <v>57</v>
      </c>
      <c r="DF201" t="s">
        <v>57</v>
      </c>
      <c r="DG201" t="s">
        <v>57</v>
      </c>
      <c r="DH201" t="s">
        <v>57</v>
      </c>
      <c r="DI201" t="s">
        <v>57</v>
      </c>
      <c r="DJ201" t="s">
        <v>57</v>
      </c>
      <c r="DK201" t="s">
        <v>148</v>
      </c>
      <c r="DL201" t="s">
        <v>57</v>
      </c>
      <c r="DM201" t="s">
        <v>148</v>
      </c>
      <c r="DN201" t="s">
        <v>148</v>
      </c>
      <c r="DO201" t="s">
        <v>148</v>
      </c>
      <c r="DP201" t="s">
        <v>148</v>
      </c>
      <c r="DQ201" t="s">
        <v>148</v>
      </c>
      <c r="DR201" t="s">
        <v>148</v>
      </c>
      <c r="DS201" t="s">
        <v>148</v>
      </c>
      <c r="DT201" t="s">
        <v>148</v>
      </c>
      <c r="DU201" t="s">
        <v>148</v>
      </c>
      <c r="DV201" t="s">
        <v>148</v>
      </c>
      <c r="DW201" t="s">
        <v>148</v>
      </c>
      <c r="DX201" t="s">
        <v>148</v>
      </c>
      <c r="DY201" t="s">
        <v>148</v>
      </c>
      <c r="DZ201" t="s">
        <v>148</v>
      </c>
      <c r="EA201" t="s">
        <v>148</v>
      </c>
      <c r="EB201" t="s">
        <v>148</v>
      </c>
      <c r="EC201" t="s">
        <v>148</v>
      </c>
      <c r="ED201" t="s">
        <v>148</v>
      </c>
      <c r="EE201" t="s">
        <v>148</v>
      </c>
      <c r="EF201" t="s">
        <v>148</v>
      </c>
      <c r="EG201" t="s">
        <v>148</v>
      </c>
      <c r="EH201" t="s">
        <v>148</v>
      </c>
      <c r="EI201" t="s">
        <v>148</v>
      </c>
      <c r="EJ201" t="s">
        <v>57</v>
      </c>
      <c r="EK201" t="s">
        <v>57</v>
      </c>
      <c r="EL201" t="s">
        <v>57</v>
      </c>
      <c r="EM201" t="s">
        <v>57</v>
      </c>
      <c r="EN201" t="s">
        <v>57</v>
      </c>
      <c r="EO201" t="s">
        <v>57</v>
      </c>
      <c r="EP201" t="s">
        <v>57</v>
      </c>
      <c r="EQ201" t="s">
        <v>57</v>
      </c>
      <c r="ER201" t="s">
        <v>57</v>
      </c>
      <c r="ES201" t="s">
        <v>57</v>
      </c>
      <c r="ET201" t="s">
        <v>57</v>
      </c>
      <c r="EU201" t="s">
        <v>57</v>
      </c>
      <c r="EV201" t="s">
        <v>57</v>
      </c>
      <c r="EW201" t="s">
        <v>148</v>
      </c>
      <c r="EX201" t="s">
        <v>148</v>
      </c>
      <c r="EY201" t="s">
        <v>148</v>
      </c>
      <c r="EZ201" t="s">
        <v>148</v>
      </c>
      <c r="FA201" t="s">
        <v>148</v>
      </c>
      <c r="FB201" t="s">
        <v>148</v>
      </c>
      <c r="FC201" t="s">
        <v>148</v>
      </c>
      <c r="FD201" t="s">
        <v>148</v>
      </c>
      <c r="FE201" t="s">
        <v>148</v>
      </c>
      <c r="FF201" t="s">
        <v>148</v>
      </c>
      <c r="FG201" t="s">
        <v>148</v>
      </c>
      <c r="FH201" t="s">
        <v>57</v>
      </c>
      <c r="FI201" t="s">
        <v>57</v>
      </c>
      <c r="FJ201" t="s">
        <v>57</v>
      </c>
      <c r="FK201" t="s">
        <v>57</v>
      </c>
      <c r="FL201" t="s">
        <v>57</v>
      </c>
      <c r="FM201" t="s">
        <v>57</v>
      </c>
      <c r="FN201" t="s">
        <v>57</v>
      </c>
      <c r="FO201" t="s">
        <v>148</v>
      </c>
      <c r="FP201" t="s">
        <v>57</v>
      </c>
      <c r="FQ201" t="s">
        <v>57</v>
      </c>
      <c r="FR201" t="s">
        <v>57</v>
      </c>
      <c r="FS201" t="s">
        <v>57</v>
      </c>
      <c r="FT201" t="s">
        <v>57</v>
      </c>
      <c r="FU201" t="s">
        <v>57</v>
      </c>
      <c r="FV201" t="s">
        <v>57</v>
      </c>
      <c r="FW201" t="s">
        <v>57</v>
      </c>
      <c r="FX201" t="s">
        <v>57</v>
      </c>
      <c r="FY201" t="s">
        <v>57</v>
      </c>
      <c r="FZ201" t="s">
        <v>57</v>
      </c>
      <c r="GA201" t="s">
        <v>57</v>
      </c>
      <c r="GB201" t="s">
        <v>57</v>
      </c>
      <c r="GC201" t="s">
        <v>57</v>
      </c>
      <c r="GD201" t="s">
        <v>57</v>
      </c>
      <c r="GE201" t="s">
        <v>57</v>
      </c>
      <c r="GF201" t="s">
        <v>57</v>
      </c>
      <c r="GG201" t="s">
        <v>148</v>
      </c>
      <c r="GH201" t="s">
        <v>57</v>
      </c>
      <c r="GI201" t="s">
        <v>57</v>
      </c>
      <c r="GJ201" t="s">
        <v>57</v>
      </c>
      <c r="GK201" t="s">
        <v>57</v>
      </c>
      <c r="GL201" t="s">
        <v>57</v>
      </c>
      <c r="GM201" t="s">
        <v>148</v>
      </c>
      <c r="GN201" t="s">
        <v>57</v>
      </c>
      <c r="GO201" t="s">
        <v>57</v>
      </c>
      <c r="GP201" t="s">
        <v>148</v>
      </c>
      <c r="GQ201" t="s">
        <v>148</v>
      </c>
      <c r="GR201" t="s">
        <v>148</v>
      </c>
      <c r="GS201" t="s">
        <v>57</v>
      </c>
      <c r="GT201" t="s">
        <v>57</v>
      </c>
      <c r="GU201" t="s">
        <v>57</v>
      </c>
      <c r="GV201" t="s">
        <v>57</v>
      </c>
      <c r="GW201" t="s">
        <v>148</v>
      </c>
      <c r="GX201" t="s">
        <v>57</v>
      </c>
      <c r="GY201" t="s">
        <v>57</v>
      </c>
      <c r="GZ201" t="s">
        <v>57</v>
      </c>
      <c r="HA201" t="s">
        <v>57</v>
      </c>
      <c r="HB201" t="s">
        <v>57</v>
      </c>
      <c r="HC201" t="s">
        <v>57</v>
      </c>
      <c r="HD201" t="s">
        <v>57</v>
      </c>
      <c r="HE201" t="s">
        <v>57</v>
      </c>
      <c r="HF201" t="s">
        <v>57</v>
      </c>
      <c r="HG201" t="s">
        <v>57</v>
      </c>
      <c r="HH201" t="s">
        <v>148</v>
      </c>
      <c r="HI201" t="s">
        <v>148</v>
      </c>
      <c r="HJ201" t="s">
        <v>148</v>
      </c>
      <c r="HK201" t="s">
        <v>148</v>
      </c>
      <c r="HL201" t="s">
        <v>57</v>
      </c>
      <c r="HM201" t="s">
        <v>57</v>
      </c>
      <c r="HN201" t="s">
        <v>57</v>
      </c>
      <c r="HO201" t="s">
        <v>57</v>
      </c>
      <c r="HP201" t="s">
        <v>57</v>
      </c>
      <c r="HQ201" t="s">
        <v>57</v>
      </c>
      <c r="HR201" t="s">
        <v>57</v>
      </c>
      <c r="HS201" t="s">
        <v>57</v>
      </c>
      <c r="HT201" t="s">
        <v>57</v>
      </c>
      <c r="HU201" t="s">
        <v>57</v>
      </c>
      <c r="HV201" t="s">
        <v>57</v>
      </c>
      <c r="HW201" t="s">
        <v>57</v>
      </c>
      <c r="HX201" t="s">
        <v>57</v>
      </c>
      <c r="HY201" t="s">
        <v>57</v>
      </c>
      <c r="HZ201" t="s">
        <v>57</v>
      </c>
      <c r="IA201" t="s">
        <v>57</v>
      </c>
      <c r="IB201" t="s">
        <v>58</v>
      </c>
      <c r="IC201" t="s">
        <v>58</v>
      </c>
      <c r="ID201" t="s">
        <v>58</v>
      </c>
      <c r="IE201" t="s">
        <v>57</v>
      </c>
      <c r="IF201" t="s">
        <v>124</v>
      </c>
      <c r="IG201" t="s">
        <v>155</v>
      </c>
      <c r="IH201" t="s">
        <v>123</v>
      </c>
      <c r="II201" t="s">
        <v>156</v>
      </c>
    </row>
    <row r="202" spans="1:243" x14ac:dyDescent="0.25">
      <c r="A202" s="201" t="str">
        <f>HYPERLINK("http://www.ofsted.gov.uk/inspection-reports/find-inspection-report/provider/ELS/136947 ","Ofsted School Webpage")</f>
        <v>Ofsted School Webpage</v>
      </c>
      <c r="B202">
        <v>136947</v>
      </c>
      <c r="C202">
        <v>8466018</v>
      </c>
      <c r="D202" t="s">
        <v>364</v>
      </c>
      <c r="E202" t="s">
        <v>36</v>
      </c>
      <c r="F202" t="s">
        <v>166</v>
      </c>
      <c r="G202" t="s">
        <v>139</v>
      </c>
      <c r="H202" t="s">
        <v>139</v>
      </c>
      <c r="I202" t="s">
        <v>365</v>
      </c>
      <c r="J202" t="s">
        <v>366</v>
      </c>
      <c r="K202" t="s">
        <v>142</v>
      </c>
      <c r="L202" t="s">
        <v>142</v>
      </c>
      <c r="M202" t="s">
        <v>2596</v>
      </c>
      <c r="N202" t="s">
        <v>143</v>
      </c>
      <c r="O202">
        <v>10012927</v>
      </c>
      <c r="P202" s="108">
        <v>42997</v>
      </c>
      <c r="Q202" s="108">
        <v>42999</v>
      </c>
      <c r="R202" s="108">
        <v>43042</v>
      </c>
      <c r="S202" t="s">
        <v>153</v>
      </c>
      <c r="T202" t="s">
        <v>154</v>
      </c>
      <c r="U202">
        <v>1</v>
      </c>
      <c r="V202">
        <v>1</v>
      </c>
      <c r="W202">
        <v>1</v>
      </c>
      <c r="X202">
        <v>1</v>
      </c>
      <c r="Y202">
        <v>1</v>
      </c>
      <c r="Z202">
        <v>1</v>
      </c>
      <c r="AA202" t="s">
        <v>2596</v>
      </c>
      <c r="AB202" t="s">
        <v>123</v>
      </c>
      <c r="AC202" t="s">
        <v>2596</v>
      </c>
      <c r="AD202" t="s">
        <v>2598</v>
      </c>
      <c r="AE202" t="s">
        <v>57</v>
      </c>
      <c r="AF202" t="s">
        <v>57</v>
      </c>
      <c r="AG202" t="s">
        <v>57</v>
      </c>
      <c r="AH202" t="s">
        <v>57</v>
      </c>
      <c r="AI202" t="s">
        <v>57</v>
      </c>
      <c r="AJ202" t="s">
        <v>57</v>
      </c>
      <c r="AK202" t="s">
        <v>57</v>
      </c>
      <c r="AL202" t="s">
        <v>57</v>
      </c>
      <c r="AM202" t="s">
        <v>57</v>
      </c>
      <c r="AN202" t="s">
        <v>57</v>
      </c>
      <c r="AO202" t="s">
        <v>57</v>
      </c>
      <c r="AP202" t="s">
        <v>57</v>
      </c>
      <c r="AQ202" t="s">
        <v>57</v>
      </c>
      <c r="AR202" t="s">
        <v>57</v>
      </c>
      <c r="AS202" t="s">
        <v>57</v>
      </c>
      <c r="AT202" t="s">
        <v>57</v>
      </c>
      <c r="AU202" t="s">
        <v>148</v>
      </c>
      <c r="AV202" t="s">
        <v>57</v>
      </c>
      <c r="AW202" t="s">
        <v>57</v>
      </c>
      <c r="AX202" t="s">
        <v>57</v>
      </c>
      <c r="AY202" t="s">
        <v>57</v>
      </c>
      <c r="AZ202" t="s">
        <v>57</v>
      </c>
      <c r="BA202" t="s">
        <v>57</v>
      </c>
      <c r="BB202" t="s">
        <v>57</v>
      </c>
      <c r="BC202" t="s">
        <v>57</v>
      </c>
      <c r="BD202" t="s">
        <v>148</v>
      </c>
      <c r="BE202" t="s">
        <v>57</v>
      </c>
      <c r="BF202" t="s">
        <v>57</v>
      </c>
      <c r="BG202" t="s">
        <v>57</v>
      </c>
      <c r="BH202" t="s">
        <v>57</v>
      </c>
      <c r="BI202" t="s">
        <v>57</v>
      </c>
      <c r="BJ202" t="s">
        <v>57</v>
      </c>
      <c r="BK202" t="s">
        <v>57</v>
      </c>
      <c r="BL202" t="s">
        <v>57</v>
      </c>
      <c r="BM202" t="s">
        <v>57</v>
      </c>
      <c r="BN202" t="s">
        <v>57</v>
      </c>
      <c r="BO202" t="s">
        <v>57</v>
      </c>
      <c r="BP202" t="s">
        <v>57</v>
      </c>
      <c r="BQ202" t="s">
        <v>57</v>
      </c>
      <c r="BR202" t="s">
        <v>57</v>
      </c>
      <c r="BS202" t="s">
        <v>57</v>
      </c>
      <c r="BT202" t="s">
        <v>57</v>
      </c>
      <c r="BU202" t="s">
        <v>57</v>
      </c>
      <c r="BV202" t="s">
        <v>57</v>
      </c>
      <c r="BW202" t="s">
        <v>57</v>
      </c>
      <c r="BX202" t="s">
        <v>57</v>
      </c>
      <c r="BY202" t="s">
        <v>57</v>
      </c>
      <c r="BZ202" t="s">
        <v>57</v>
      </c>
      <c r="CA202" t="s">
        <v>57</v>
      </c>
      <c r="CB202" t="s">
        <v>57</v>
      </c>
      <c r="CC202" t="s">
        <v>57</v>
      </c>
      <c r="CD202" t="s">
        <v>57</v>
      </c>
      <c r="CE202" t="s">
        <v>57</v>
      </c>
      <c r="CF202" t="s">
        <v>57</v>
      </c>
      <c r="CG202" t="s">
        <v>57</v>
      </c>
      <c r="CH202" t="s">
        <v>57</v>
      </c>
      <c r="CI202" t="s">
        <v>57</v>
      </c>
      <c r="CJ202" t="s">
        <v>57</v>
      </c>
      <c r="CK202" t="s">
        <v>148</v>
      </c>
      <c r="CL202" t="s">
        <v>148</v>
      </c>
      <c r="CM202" t="s">
        <v>148</v>
      </c>
      <c r="CN202" t="s">
        <v>57</v>
      </c>
      <c r="CO202" t="s">
        <v>57</v>
      </c>
      <c r="CP202" t="s">
        <v>57</v>
      </c>
      <c r="CQ202" t="s">
        <v>57</v>
      </c>
      <c r="CR202" t="s">
        <v>57</v>
      </c>
      <c r="CS202" t="s">
        <v>57</v>
      </c>
      <c r="CT202" t="s">
        <v>57</v>
      </c>
      <c r="CU202" t="s">
        <v>57</v>
      </c>
      <c r="CV202" t="s">
        <v>57</v>
      </c>
      <c r="CW202" t="s">
        <v>57</v>
      </c>
      <c r="CX202" t="s">
        <v>57</v>
      </c>
      <c r="CY202" t="s">
        <v>57</v>
      </c>
      <c r="CZ202" t="s">
        <v>57</v>
      </c>
      <c r="DA202" t="s">
        <v>57</v>
      </c>
      <c r="DB202" t="s">
        <v>57</v>
      </c>
      <c r="DC202" t="s">
        <v>57</v>
      </c>
      <c r="DD202" t="s">
        <v>57</v>
      </c>
      <c r="DE202" t="s">
        <v>57</v>
      </c>
      <c r="DF202" t="s">
        <v>57</v>
      </c>
      <c r="DG202" t="s">
        <v>57</v>
      </c>
      <c r="DH202" t="s">
        <v>57</v>
      </c>
      <c r="DI202" t="s">
        <v>57</v>
      </c>
      <c r="DJ202" t="s">
        <v>57</v>
      </c>
      <c r="DK202" t="s">
        <v>148</v>
      </c>
      <c r="DL202" t="s">
        <v>57</v>
      </c>
      <c r="DM202" t="s">
        <v>57</v>
      </c>
      <c r="DN202" t="s">
        <v>57</v>
      </c>
      <c r="DO202" t="s">
        <v>57</v>
      </c>
      <c r="DP202" t="s">
        <v>57</v>
      </c>
      <c r="DQ202" t="s">
        <v>57</v>
      </c>
      <c r="DR202" t="s">
        <v>57</v>
      </c>
      <c r="DS202" t="s">
        <v>57</v>
      </c>
      <c r="DT202" t="s">
        <v>57</v>
      </c>
      <c r="DU202" t="s">
        <v>57</v>
      </c>
      <c r="DV202" t="s">
        <v>57</v>
      </c>
      <c r="DW202" t="s">
        <v>57</v>
      </c>
      <c r="DX202" t="s">
        <v>57</v>
      </c>
      <c r="DY202" t="s">
        <v>57</v>
      </c>
      <c r="DZ202" t="s">
        <v>57</v>
      </c>
      <c r="EA202" t="s">
        <v>57</v>
      </c>
      <c r="EB202" t="s">
        <v>57</v>
      </c>
      <c r="EC202" t="s">
        <v>57</v>
      </c>
      <c r="ED202" t="s">
        <v>57</v>
      </c>
      <c r="EE202" t="s">
        <v>57</v>
      </c>
      <c r="EF202" t="s">
        <v>57</v>
      </c>
      <c r="EG202" t="s">
        <v>57</v>
      </c>
      <c r="EH202" t="s">
        <v>57</v>
      </c>
      <c r="EI202" t="s">
        <v>57</v>
      </c>
      <c r="EJ202" t="s">
        <v>57</v>
      </c>
      <c r="EK202" t="s">
        <v>57</v>
      </c>
      <c r="EL202" t="s">
        <v>57</v>
      </c>
      <c r="EM202" t="s">
        <v>57</v>
      </c>
      <c r="EN202" t="s">
        <v>57</v>
      </c>
      <c r="EO202" t="s">
        <v>57</v>
      </c>
      <c r="EP202" t="s">
        <v>57</v>
      </c>
      <c r="EQ202" t="s">
        <v>57</v>
      </c>
      <c r="ER202" t="s">
        <v>57</v>
      </c>
      <c r="ES202" t="s">
        <v>57</v>
      </c>
      <c r="ET202" t="s">
        <v>57</v>
      </c>
      <c r="EU202" t="s">
        <v>57</v>
      </c>
      <c r="EV202" t="s">
        <v>57</v>
      </c>
      <c r="EW202" t="s">
        <v>57</v>
      </c>
      <c r="EX202" t="s">
        <v>57</v>
      </c>
      <c r="EY202" t="s">
        <v>57</v>
      </c>
      <c r="EZ202" t="s">
        <v>57</v>
      </c>
      <c r="FA202" t="s">
        <v>57</v>
      </c>
      <c r="FB202" t="s">
        <v>57</v>
      </c>
      <c r="FC202" t="s">
        <v>57</v>
      </c>
      <c r="FD202" t="s">
        <v>57</v>
      </c>
      <c r="FE202" t="s">
        <v>57</v>
      </c>
      <c r="FF202" t="s">
        <v>57</v>
      </c>
      <c r="FG202" t="s">
        <v>57</v>
      </c>
      <c r="FH202" t="s">
        <v>57</v>
      </c>
      <c r="FI202" t="s">
        <v>57</v>
      </c>
      <c r="FJ202" t="s">
        <v>57</v>
      </c>
      <c r="FK202" t="s">
        <v>57</v>
      </c>
      <c r="FL202" t="s">
        <v>57</v>
      </c>
      <c r="FM202" t="s">
        <v>57</v>
      </c>
      <c r="FN202" t="s">
        <v>57</v>
      </c>
      <c r="FO202" t="s">
        <v>148</v>
      </c>
      <c r="FP202" t="s">
        <v>57</v>
      </c>
      <c r="FQ202" t="s">
        <v>57</v>
      </c>
      <c r="FR202" t="s">
        <v>57</v>
      </c>
      <c r="FS202" t="s">
        <v>57</v>
      </c>
      <c r="FT202" t="s">
        <v>57</v>
      </c>
      <c r="FU202" t="s">
        <v>57</v>
      </c>
      <c r="FV202" t="s">
        <v>57</v>
      </c>
      <c r="FW202" t="s">
        <v>57</v>
      </c>
      <c r="FX202" t="s">
        <v>57</v>
      </c>
      <c r="FY202" t="s">
        <v>57</v>
      </c>
      <c r="FZ202" t="s">
        <v>57</v>
      </c>
      <c r="GA202" t="s">
        <v>57</v>
      </c>
      <c r="GB202" t="s">
        <v>57</v>
      </c>
      <c r="GC202" t="s">
        <v>57</v>
      </c>
      <c r="GD202" t="s">
        <v>57</v>
      </c>
      <c r="GE202" t="s">
        <v>57</v>
      </c>
      <c r="GF202" t="s">
        <v>57</v>
      </c>
      <c r="GG202" t="s">
        <v>57</v>
      </c>
      <c r="GH202" t="s">
        <v>57</v>
      </c>
      <c r="GI202" t="s">
        <v>57</v>
      </c>
      <c r="GJ202" t="s">
        <v>57</v>
      </c>
      <c r="GK202" t="s">
        <v>57</v>
      </c>
      <c r="GL202" t="s">
        <v>57</v>
      </c>
      <c r="GM202" t="s">
        <v>57</v>
      </c>
      <c r="GN202" t="s">
        <v>57</v>
      </c>
      <c r="GO202" t="s">
        <v>57</v>
      </c>
      <c r="GP202" t="s">
        <v>57</v>
      </c>
      <c r="GQ202" t="s">
        <v>57</v>
      </c>
      <c r="GR202" t="s">
        <v>57</v>
      </c>
      <c r="GS202" t="s">
        <v>57</v>
      </c>
      <c r="GT202" t="s">
        <v>57</v>
      </c>
      <c r="GU202" t="s">
        <v>57</v>
      </c>
      <c r="GV202" t="s">
        <v>57</v>
      </c>
      <c r="GW202" t="s">
        <v>148</v>
      </c>
      <c r="GX202" t="s">
        <v>148</v>
      </c>
      <c r="GY202" t="s">
        <v>57</v>
      </c>
      <c r="GZ202" t="s">
        <v>57</v>
      </c>
      <c r="HA202" t="s">
        <v>57</v>
      </c>
      <c r="HB202" t="s">
        <v>57</v>
      </c>
      <c r="HC202" t="s">
        <v>57</v>
      </c>
      <c r="HD202" t="s">
        <v>57</v>
      </c>
      <c r="HE202" t="s">
        <v>57</v>
      </c>
      <c r="HF202" t="s">
        <v>57</v>
      </c>
      <c r="HG202" t="s">
        <v>57</v>
      </c>
      <c r="HH202" t="s">
        <v>57</v>
      </c>
      <c r="HI202" t="s">
        <v>57</v>
      </c>
      <c r="HJ202" t="s">
        <v>57</v>
      </c>
      <c r="HK202" t="s">
        <v>57</v>
      </c>
      <c r="HL202" t="s">
        <v>57</v>
      </c>
      <c r="HM202" t="s">
        <v>57</v>
      </c>
      <c r="HN202" t="s">
        <v>57</v>
      </c>
      <c r="HO202" t="s">
        <v>57</v>
      </c>
      <c r="HP202" t="s">
        <v>57</v>
      </c>
      <c r="HQ202" t="s">
        <v>57</v>
      </c>
      <c r="HR202" t="s">
        <v>57</v>
      </c>
      <c r="HS202" t="s">
        <v>57</v>
      </c>
      <c r="HT202" t="s">
        <v>57</v>
      </c>
      <c r="HU202" t="s">
        <v>57</v>
      </c>
      <c r="HV202" t="s">
        <v>57</v>
      </c>
      <c r="HW202" t="s">
        <v>57</v>
      </c>
      <c r="HX202" t="s">
        <v>57</v>
      </c>
      <c r="HY202" t="s">
        <v>57</v>
      </c>
      <c r="HZ202" t="s">
        <v>57</v>
      </c>
      <c r="IA202" t="s">
        <v>57</v>
      </c>
      <c r="IB202" t="s">
        <v>57</v>
      </c>
      <c r="IC202" t="s">
        <v>57</v>
      </c>
      <c r="ID202" t="s">
        <v>57</v>
      </c>
      <c r="IE202" t="s">
        <v>57</v>
      </c>
      <c r="IF202" t="s">
        <v>124</v>
      </c>
      <c r="IG202" t="s">
        <v>155</v>
      </c>
      <c r="IH202" t="s">
        <v>123</v>
      </c>
      <c r="II202" t="s">
        <v>156</v>
      </c>
    </row>
    <row r="203" spans="1:243" x14ac:dyDescent="0.25">
      <c r="A203" s="201" t="str">
        <f>HYPERLINK("http://www.ofsted.gov.uk/inspection-reports/find-inspection-report/provider/ELS/136955 ","Ofsted School Webpage")</f>
        <v>Ofsted School Webpage</v>
      </c>
      <c r="B203">
        <v>136955</v>
      </c>
      <c r="C203">
        <v>8716002</v>
      </c>
      <c r="D203" t="s">
        <v>398</v>
      </c>
      <c r="E203" t="s">
        <v>36</v>
      </c>
      <c r="F203" t="s">
        <v>166</v>
      </c>
      <c r="G203" t="s">
        <v>139</v>
      </c>
      <c r="H203" t="s">
        <v>139</v>
      </c>
      <c r="I203" t="s">
        <v>186</v>
      </c>
      <c r="J203" t="s">
        <v>399</v>
      </c>
      <c r="K203" t="s">
        <v>180</v>
      </c>
      <c r="L203" t="s">
        <v>261</v>
      </c>
      <c r="M203" t="s">
        <v>2596</v>
      </c>
      <c r="N203" t="s">
        <v>143</v>
      </c>
      <c r="O203">
        <v>10039165</v>
      </c>
      <c r="P203" s="108">
        <v>43039</v>
      </c>
      <c r="Q203" s="108">
        <v>43041</v>
      </c>
      <c r="R203" s="108">
        <v>43068</v>
      </c>
      <c r="S203" t="s">
        <v>153</v>
      </c>
      <c r="T203" t="s">
        <v>154</v>
      </c>
      <c r="U203">
        <v>2</v>
      </c>
      <c r="V203">
        <v>2</v>
      </c>
      <c r="W203">
        <v>2</v>
      </c>
      <c r="X203">
        <v>2</v>
      </c>
      <c r="Y203">
        <v>2</v>
      </c>
      <c r="Z203" t="s">
        <v>2596</v>
      </c>
      <c r="AA203" t="s">
        <v>2596</v>
      </c>
      <c r="AB203" t="s">
        <v>123</v>
      </c>
      <c r="AC203" t="s">
        <v>2596</v>
      </c>
      <c r="AD203" t="s">
        <v>2598</v>
      </c>
      <c r="AE203" t="s">
        <v>57</v>
      </c>
      <c r="AF203" t="s">
        <v>57</v>
      </c>
      <c r="AG203" t="s">
        <v>57</v>
      </c>
      <c r="AH203" t="s">
        <v>57</v>
      </c>
      <c r="AI203" t="s">
        <v>57</v>
      </c>
      <c r="AJ203" t="s">
        <v>57</v>
      </c>
      <c r="AK203" t="s">
        <v>57</v>
      </c>
      <c r="AL203" t="s">
        <v>57</v>
      </c>
      <c r="AM203" t="s">
        <v>57</v>
      </c>
      <c r="AN203" t="s">
        <v>57</v>
      </c>
      <c r="AO203" t="s">
        <v>57</v>
      </c>
      <c r="AP203" t="s">
        <v>57</v>
      </c>
      <c r="AQ203" t="s">
        <v>57</v>
      </c>
      <c r="AR203" t="s">
        <v>57</v>
      </c>
      <c r="AS203" t="s">
        <v>57</v>
      </c>
      <c r="AT203" t="s">
        <v>57</v>
      </c>
      <c r="AU203" t="s">
        <v>57</v>
      </c>
      <c r="AV203" t="s">
        <v>57</v>
      </c>
      <c r="AW203" t="s">
        <v>57</v>
      </c>
      <c r="AX203" t="s">
        <v>57</v>
      </c>
      <c r="AY203" t="s">
        <v>57</v>
      </c>
      <c r="AZ203" t="s">
        <v>57</v>
      </c>
      <c r="BA203" t="s">
        <v>57</v>
      </c>
      <c r="BB203" t="s">
        <v>57</v>
      </c>
      <c r="BC203" t="s">
        <v>57</v>
      </c>
      <c r="BD203" t="s">
        <v>57</v>
      </c>
      <c r="BE203" t="s">
        <v>175</v>
      </c>
      <c r="BF203" t="s">
        <v>57</v>
      </c>
      <c r="BG203" t="s">
        <v>57</v>
      </c>
      <c r="BH203" t="s">
        <v>57</v>
      </c>
      <c r="BI203" t="s">
        <v>57</v>
      </c>
      <c r="BJ203" t="s">
        <v>57</v>
      </c>
      <c r="BK203" t="s">
        <v>57</v>
      </c>
      <c r="BL203" t="s">
        <v>57</v>
      </c>
      <c r="BM203" t="s">
        <v>57</v>
      </c>
      <c r="BN203" t="s">
        <v>57</v>
      </c>
      <c r="BO203" t="s">
        <v>57</v>
      </c>
      <c r="BP203" t="s">
        <v>57</v>
      </c>
      <c r="BQ203" t="s">
        <v>57</v>
      </c>
      <c r="BR203" t="s">
        <v>57</v>
      </c>
      <c r="BS203" t="s">
        <v>57</v>
      </c>
      <c r="BT203" t="s">
        <v>57</v>
      </c>
      <c r="BU203" t="s">
        <v>57</v>
      </c>
      <c r="BV203" t="s">
        <v>57</v>
      </c>
      <c r="BW203" t="s">
        <v>57</v>
      </c>
      <c r="BX203" t="s">
        <v>57</v>
      </c>
      <c r="BY203" t="s">
        <v>57</v>
      </c>
      <c r="BZ203" t="s">
        <v>57</v>
      </c>
      <c r="CA203" t="s">
        <v>57</v>
      </c>
      <c r="CB203" t="s">
        <v>57</v>
      </c>
      <c r="CC203" t="s">
        <v>57</v>
      </c>
      <c r="CD203" t="s">
        <v>57</v>
      </c>
      <c r="CE203" t="s">
        <v>57</v>
      </c>
      <c r="CF203" t="s">
        <v>57</v>
      </c>
      <c r="CG203" t="s">
        <v>57</v>
      </c>
      <c r="CH203" t="s">
        <v>57</v>
      </c>
      <c r="CI203" t="s">
        <v>57</v>
      </c>
      <c r="CJ203" t="s">
        <v>57</v>
      </c>
      <c r="CK203" t="s">
        <v>175</v>
      </c>
      <c r="CL203" t="s">
        <v>175</v>
      </c>
      <c r="CM203" t="s">
        <v>175</v>
      </c>
      <c r="CN203" t="s">
        <v>57</v>
      </c>
      <c r="CO203" t="s">
        <v>57</v>
      </c>
      <c r="CP203" t="s">
        <v>57</v>
      </c>
      <c r="CQ203" t="s">
        <v>57</v>
      </c>
      <c r="CR203" t="s">
        <v>57</v>
      </c>
      <c r="CS203" t="s">
        <v>57</v>
      </c>
      <c r="CT203" t="s">
        <v>57</v>
      </c>
      <c r="CU203" t="s">
        <v>57</v>
      </c>
      <c r="CV203" t="s">
        <v>57</v>
      </c>
      <c r="CW203" t="s">
        <v>57</v>
      </c>
      <c r="CX203" t="s">
        <v>57</v>
      </c>
      <c r="CY203" t="s">
        <v>57</v>
      </c>
      <c r="CZ203" t="s">
        <v>57</v>
      </c>
      <c r="DA203" t="s">
        <v>57</v>
      </c>
      <c r="DB203" t="s">
        <v>57</v>
      </c>
      <c r="DC203" t="s">
        <v>57</v>
      </c>
      <c r="DD203" t="s">
        <v>57</v>
      </c>
      <c r="DE203" t="s">
        <v>57</v>
      </c>
      <c r="DF203" t="s">
        <v>57</v>
      </c>
      <c r="DG203" t="s">
        <v>57</v>
      </c>
      <c r="DH203" t="s">
        <v>57</v>
      </c>
      <c r="DI203" t="s">
        <v>57</v>
      </c>
      <c r="DJ203" t="s">
        <v>57</v>
      </c>
      <c r="DK203" t="s">
        <v>175</v>
      </c>
      <c r="DL203" t="s">
        <v>57</v>
      </c>
      <c r="DM203" t="s">
        <v>57</v>
      </c>
      <c r="DN203" t="s">
        <v>57</v>
      </c>
      <c r="DO203" t="s">
        <v>57</v>
      </c>
      <c r="DP203" t="s">
        <v>57</v>
      </c>
      <c r="DQ203" t="s">
        <v>57</v>
      </c>
      <c r="DR203" t="s">
        <v>57</v>
      </c>
      <c r="DS203" t="s">
        <v>57</v>
      </c>
      <c r="DT203" t="s">
        <v>57</v>
      </c>
      <c r="DU203" t="s">
        <v>57</v>
      </c>
      <c r="DV203" t="s">
        <v>57</v>
      </c>
      <c r="DW203" t="s">
        <v>57</v>
      </c>
      <c r="DX203" t="s">
        <v>57</v>
      </c>
      <c r="DY203" t="s">
        <v>175</v>
      </c>
      <c r="DZ203" t="s">
        <v>57</v>
      </c>
      <c r="EA203" t="s">
        <v>57</v>
      </c>
      <c r="EB203" t="s">
        <v>57</v>
      </c>
      <c r="EC203" t="s">
        <v>57</v>
      </c>
      <c r="ED203" t="s">
        <v>57</v>
      </c>
      <c r="EE203" t="s">
        <v>57</v>
      </c>
      <c r="EF203" t="s">
        <v>57</v>
      </c>
      <c r="EG203" t="s">
        <v>57</v>
      </c>
      <c r="EH203" t="s">
        <v>57</v>
      </c>
      <c r="EI203" t="s">
        <v>57</v>
      </c>
      <c r="EJ203" t="s">
        <v>57</v>
      </c>
      <c r="EK203" t="s">
        <v>57</v>
      </c>
      <c r="EL203" t="s">
        <v>57</v>
      </c>
      <c r="EM203" t="s">
        <v>57</v>
      </c>
      <c r="EN203" t="s">
        <v>57</v>
      </c>
      <c r="EO203" t="s">
        <v>57</v>
      </c>
      <c r="EP203" t="s">
        <v>57</v>
      </c>
      <c r="EQ203" t="s">
        <v>57</v>
      </c>
      <c r="ER203" t="s">
        <v>57</v>
      </c>
      <c r="ES203" t="s">
        <v>57</v>
      </c>
      <c r="ET203" t="s">
        <v>57</v>
      </c>
      <c r="EU203" t="s">
        <v>57</v>
      </c>
      <c r="EV203" t="s">
        <v>57</v>
      </c>
      <c r="EW203" t="s">
        <v>57</v>
      </c>
      <c r="EX203" t="s">
        <v>57</v>
      </c>
      <c r="EY203" t="s">
        <v>57</v>
      </c>
      <c r="EZ203" t="s">
        <v>57</v>
      </c>
      <c r="FA203" t="s">
        <v>57</v>
      </c>
      <c r="FB203" t="s">
        <v>57</v>
      </c>
      <c r="FC203" t="s">
        <v>57</v>
      </c>
      <c r="FD203" t="s">
        <v>57</v>
      </c>
      <c r="FE203" t="s">
        <v>57</v>
      </c>
      <c r="FF203" t="s">
        <v>57</v>
      </c>
      <c r="FG203" t="s">
        <v>57</v>
      </c>
      <c r="FH203" t="s">
        <v>57</v>
      </c>
      <c r="FI203" t="s">
        <v>57</v>
      </c>
      <c r="FJ203" t="s">
        <v>57</v>
      </c>
      <c r="FK203" t="s">
        <v>57</v>
      </c>
      <c r="FL203" t="s">
        <v>57</v>
      </c>
      <c r="FM203" t="s">
        <v>57</v>
      </c>
      <c r="FN203" t="s">
        <v>57</v>
      </c>
      <c r="FO203" t="s">
        <v>175</v>
      </c>
      <c r="FP203" t="s">
        <v>57</v>
      </c>
      <c r="FQ203" t="s">
        <v>57</v>
      </c>
      <c r="FR203" t="s">
        <v>57</v>
      </c>
      <c r="FS203" t="s">
        <v>57</v>
      </c>
      <c r="FT203" t="s">
        <v>57</v>
      </c>
      <c r="FU203" t="s">
        <v>57</v>
      </c>
      <c r="FV203" t="s">
        <v>57</v>
      </c>
      <c r="FW203" t="s">
        <v>57</v>
      </c>
      <c r="FX203" t="s">
        <v>57</v>
      </c>
      <c r="FY203" t="s">
        <v>57</v>
      </c>
      <c r="FZ203" t="s">
        <v>57</v>
      </c>
      <c r="GA203" t="s">
        <v>57</v>
      </c>
      <c r="GB203" t="s">
        <v>57</v>
      </c>
      <c r="GC203" t="s">
        <v>57</v>
      </c>
      <c r="GD203" t="s">
        <v>57</v>
      </c>
      <c r="GE203" t="s">
        <v>57</v>
      </c>
      <c r="GF203" t="s">
        <v>57</v>
      </c>
      <c r="GG203" t="s">
        <v>175</v>
      </c>
      <c r="GH203" t="s">
        <v>57</v>
      </c>
      <c r="GI203" t="s">
        <v>57</v>
      </c>
      <c r="GJ203" t="s">
        <v>57</v>
      </c>
      <c r="GK203" t="s">
        <v>57</v>
      </c>
      <c r="GL203" t="s">
        <v>57</v>
      </c>
      <c r="GM203" t="s">
        <v>57</v>
      </c>
      <c r="GN203" t="s">
        <v>57</v>
      </c>
      <c r="GO203" t="s">
        <v>57</v>
      </c>
      <c r="GP203" t="s">
        <v>175</v>
      </c>
      <c r="GQ203" t="s">
        <v>175</v>
      </c>
      <c r="GR203" t="s">
        <v>57</v>
      </c>
      <c r="GS203" t="s">
        <v>57</v>
      </c>
      <c r="GT203" t="s">
        <v>57</v>
      </c>
      <c r="GU203" t="s">
        <v>57</v>
      </c>
      <c r="GV203" t="s">
        <v>57</v>
      </c>
      <c r="GW203" t="s">
        <v>57</v>
      </c>
      <c r="GX203" t="s">
        <v>57</v>
      </c>
      <c r="GY203" t="s">
        <v>57</v>
      </c>
      <c r="GZ203" t="s">
        <v>57</v>
      </c>
      <c r="HA203" t="s">
        <v>57</v>
      </c>
      <c r="HB203" t="s">
        <v>57</v>
      </c>
      <c r="HC203" t="s">
        <v>57</v>
      </c>
      <c r="HD203" t="s">
        <v>57</v>
      </c>
      <c r="HE203" t="s">
        <v>57</v>
      </c>
      <c r="HF203" t="s">
        <v>57</v>
      </c>
      <c r="HG203" t="s">
        <v>57</v>
      </c>
      <c r="HH203" t="s">
        <v>57</v>
      </c>
      <c r="HI203" t="s">
        <v>57</v>
      </c>
      <c r="HJ203" t="s">
        <v>57</v>
      </c>
      <c r="HK203" t="s">
        <v>175</v>
      </c>
      <c r="HL203" t="s">
        <v>57</v>
      </c>
      <c r="HM203" t="s">
        <v>57</v>
      </c>
      <c r="HN203" t="s">
        <v>57</v>
      </c>
      <c r="HO203" t="s">
        <v>57</v>
      </c>
      <c r="HP203" t="s">
        <v>57</v>
      </c>
      <c r="HQ203" t="s">
        <v>57</v>
      </c>
      <c r="HR203" t="s">
        <v>57</v>
      </c>
      <c r="HS203" t="s">
        <v>57</v>
      </c>
      <c r="HT203" t="s">
        <v>57</v>
      </c>
      <c r="HU203" t="s">
        <v>57</v>
      </c>
      <c r="HV203" t="s">
        <v>57</v>
      </c>
      <c r="HW203" t="s">
        <v>57</v>
      </c>
      <c r="HX203" t="s">
        <v>57</v>
      </c>
      <c r="HY203" t="s">
        <v>57</v>
      </c>
      <c r="HZ203" t="s">
        <v>57</v>
      </c>
      <c r="IA203" t="s">
        <v>57</v>
      </c>
      <c r="IB203" t="s">
        <v>57</v>
      </c>
      <c r="IC203" t="s">
        <v>57</v>
      </c>
      <c r="ID203" t="s">
        <v>57</v>
      </c>
      <c r="IE203" t="s">
        <v>57</v>
      </c>
      <c r="IF203" t="s">
        <v>124</v>
      </c>
      <c r="IG203" t="s">
        <v>148</v>
      </c>
      <c r="IH203" t="s">
        <v>123</v>
      </c>
      <c r="II203" t="s">
        <v>156</v>
      </c>
    </row>
    <row r="204" spans="1:243" x14ac:dyDescent="0.25">
      <c r="A204" s="201" t="str">
        <f>HYPERLINK("http://www.ofsted.gov.uk/inspection-reports/find-inspection-report/provider/ELS/137279 ","Ofsted School Webpage")</f>
        <v>Ofsted School Webpage</v>
      </c>
      <c r="B204">
        <v>137279</v>
      </c>
      <c r="C204">
        <v>8506089</v>
      </c>
      <c r="D204" t="s">
        <v>157</v>
      </c>
      <c r="E204" t="s">
        <v>37</v>
      </c>
      <c r="F204" t="s">
        <v>138</v>
      </c>
      <c r="G204" t="s">
        <v>139</v>
      </c>
      <c r="H204" t="s">
        <v>139</v>
      </c>
      <c r="I204" t="s">
        <v>158</v>
      </c>
      <c r="J204" t="s">
        <v>159</v>
      </c>
      <c r="K204" t="s">
        <v>142</v>
      </c>
      <c r="L204" t="s">
        <v>142</v>
      </c>
      <c r="M204" t="s">
        <v>2596</v>
      </c>
      <c r="N204" t="s">
        <v>143</v>
      </c>
      <c r="O204">
        <v>10008605</v>
      </c>
      <c r="P204" s="108">
        <v>43004</v>
      </c>
      <c r="Q204" s="108">
        <v>43006</v>
      </c>
      <c r="R204" s="108">
        <v>43045</v>
      </c>
      <c r="S204" t="s">
        <v>153</v>
      </c>
      <c r="T204" t="s">
        <v>154</v>
      </c>
      <c r="U204">
        <v>1</v>
      </c>
      <c r="V204">
        <v>1</v>
      </c>
      <c r="W204">
        <v>1</v>
      </c>
      <c r="X204">
        <v>1</v>
      </c>
      <c r="Y204">
        <v>1</v>
      </c>
      <c r="Z204" t="s">
        <v>2596</v>
      </c>
      <c r="AA204" t="s">
        <v>2596</v>
      </c>
      <c r="AB204" t="s">
        <v>123</v>
      </c>
      <c r="AC204" t="s">
        <v>2596</v>
      </c>
      <c r="AD204" t="s">
        <v>2598</v>
      </c>
      <c r="AE204" t="s">
        <v>57</v>
      </c>
      <c r="AF204" t="s">
        <v>57</v>
      </c>
      <c r="AG204" t="s">
        <v>57</v>
      </c>
      <c r="AH204" t="s">
        <v>57</v>
      </c>
      <c r="AI204" t="s">
        <v>57</v>
      </c>
      <c r="AJ204" t="s">
        <v>57</v>
      </c>
      <c r="AK204" t="s">
        <v>57</v>
      </c>
      <c r="AL204" t="s">
        <v>57</v>
      </c>
      <c r="AM204" t="s">
        <v>57</v>
      </c>
      <c r="AN204" t="s">
        <v>57</v>
      </c>
      <c r="AO204" t="s">
        <v>57</v>
      </c>
      <c r="AP204" t="s">
        <v>57</v>
      </c>
      <c r="AQ204" t="s">
        <v>57</v>
      </c>
      <c r="AR204" t="s">
        <v>57</v>
      </c>
      <c r="AS204" t="s">
        <v>57</v>
      </c>
      <c r="AT204" t="s">
        <v>57</v>
      </c>
      <c r="AU204" t="s">
        <v>57</v>
      </c>
      <c r="AV204" t="s">
        <v>57</v>
      </c>
      <c r="AW204" t="s">
        <v>57</v>
      </c>
      <c r="AX204" t="s">
        <v>57</v>
      </c>
      <c r="AY204" t="s">
        <v>57</v>
      </c>
      <c r="AZ204" t="s">
        <v>57</v>
      </c>
      <c r="BA204" t="s">
        <v>57</v>
      </c>
      <c r="BB204" t="s">
        <v>57</v>
      </c>
      <c r="BC204" t="s">
        <v>148</v>
      </c>
      <c r="BD204" t="s">
        <v>57</v>
      </c>
      <c r="BE204" t="s">
        <v>57</v>
      </c>
      <c r="BF204" t="s">
        <v>57</v>
      </c>
      <c r="BG204" t="s">
        <v>57</v>
      </c>
      <c r="BH204" t="s">
        <v>57</v>
      </c>
      <c r="BI204" t="s">
        <v>57</v>
      </c>
      <c r="BJ204" t="s">
        <v>57</v>
      </c>
      <c r="BK204" t="s">
        <v>57</v>
      </c>
      <c r="BL204" t="s">
        <v>57</v>
      </c>
      <c r="BM204" t="s">
        <v>57</v>
      </c>
      <c r="BN204" t="s">
        <v>57</v>
      </c>
      <c r="BO204" t="s">
        <v>57</v>
      </c>
      <c r="BP204" t="s">
        <v>57</v>
      </c>
      <c r="BQ204" t="s">
        <v>57</v>
      </c>
      <c r="BR204" t="s">
        <v>57</v>
      </c>
      <c r="BS204" t="s">
        <v>57</v>
      </c>
      <c r="BT204" t="s">
        <v>57</v>
      </c>
      <c r="BU204" t="s">
        <v>57</v>
      </c>
      <c r="BV204" t="s">
        <v>57</v>
      </c>
      <c r="BW204" t="s">
        <v>57</v>
      </c>
      <c r="BX204" t="s">
        <v>57</v>
      </c>
      <c r="BY204" t="s">
        <v>57</v>
      </c>
      <c r="BZ204" t="s">
        <v>57</v>
      </c>
      <c r="CA204" t="s">
        <v>57</v>
      </c>
      <c r="CB204" t="s">
        <v>57</v>
      </c>
      <c r="CC204" t="s">
        <v>57</v>
      </c>
      <c r="CD204" t="s">
        <v>57</v>
      </c>
      <c r="CE204" t="s">
        <v>57</v>
      </c>
      <c r="CF204" t="s">
        <v>57</v>
      </c>
      <c r="CG204" t="s">
        <v>57</v>
      </c>
      <c r="CH204" t="s">
        <v>57</v>
      </c>
      <c r="CI204" t="s">
        <v>57</v>
      </c>
      <c r="CJ204" t="s">
        <v>57</v>
      </c>
      <c r="CK204" t="s">
        <v>148</v>
      </c>
      <c r="CL204" t="s">
        <v>148</v>
      </c>
      <c r="CM204" t="s">
        <v>148</v>
      </c>
      <c r="CN204" t="s">
        <v>57</v>
      </c>
      <c r="CO204" t="s">
        <v>57</v>
      </c>
      <c r="CP204" t="s">
        <v>57</v>
      </c>
      <c r="CQ204" t="s">
        <v>57</v>
      </c>
      <c r="CR204" t="s">
        <v>57</v>
      </c>
      <c r="CS204" t="s">
        <v>57</v>
      </c>
      <c r="CT204" t="s">
        <v>57</v>
      </c>
      <c r="CU204" t="s">
        <v>57</v>
      </c>
      <c r="CV204" t="s">
        <v>57</v>
      </c>
      <c r="CW204" t="s">
        <v>57</v>
      </c>
      <c r="CX204" t="s">
        <v>57</v>
      </c>
      <c r="CY204" t="s">
        <v>57</v>
      </c>
      <c r="CZ204" t="s">
        <v>57</v>
      </c>
      <c r="DA204" t="s">
        <v>57</v>
      </c>
      <c r="DB204" t="s">
        <v>57</v>
      </c>
      <c r="DC204" t="s">
        <v>57</v>
      </c>
      <c r="DD204" t="s">
        <v>57</v>
      </c>
      <c r="DE204" t="s">
        <v>57</v>
      </c>
      <c r="DF204" t="s">
        <v>57</v>
      </c>
      <c r="DG204" t="s">
        <v>57</v>
      </c>
      <c r="DH204" t="s">
        <v>57</v>
      </c>
      <c r="DI204" t="s">
        <v>57</v>
      </c>
      <c r="DJ204" t="s">
        <v>57</v>
      </c>
      <c r="DK204" t="s">
        <v>148</v>
      </c>
      <c r="DL204" t="s">
        <v>57</v>
      </c>
      <c r="DM204" t="s">
        <v>57</v>
      </c>
      <c r="DN204" t="s">
        <v>57</v>
      </c>
      <c r="DO204" t="s">
        <v>57</v>
      </c>
      <c r="DP204" t="s">
        <v>57</v>
      </c>
      <c r="DQ204" t="s">
        <v>57</v>
      </c>
      <c r="DR204" t="s">
        <v>57</v>
      </c>
      <c r="DS204" t="s">
        <v>57</v>
      </c>
      <c r="DT204" t="s">
        <v>57</v>
      </c>
      <c r="DU204" t="s">
        <v>57</v>
      </c>
      <c r="DV204" t="s">
        <v>57</v>
      </c>
      <c r="DW204" t="s">
        <v>57</v>
      </c>
      <c r="DX204" t="s">
        <v>57</v>
      </c>
      <c r="DY204" t="s">
        <v>148</v>
      </c>
      <c r="DZ204" t="s">
        <v>57</v>
      </c>
      <c r="EA204" t="s">
        <v>57</v>
      </c>
      <c r="EB204" t="s">
        <v>57</v>
      </c>
      <c r="EC204" t="s">
        <v>57</v>
      </c>
      <c r="ED204" t="s">
        <v>57</v>
      </c>
      <c r="EE204" t="s">
        <v>57</v>
      </c>
      <c r="EF204" t="s">
        <v>57</v>
      </c>
      <c r="EG204" t="s">
        <v>57</v>
      </c>
      <c r="EH204" t="s">
        <v>57</v>
      </c>
      <c r="EI204" t="s">
        <v>57</v>
      </c>
      <c r="EJ204" t="s">
        <v>57</v>
      </c>
      <c r="EK204" t="s">
        <v>57</v>
      </c>
      <c r="EL204" t="s">
        <v>57</v>
      </c>
      <c r="EM204" t="s">
        <v>57</v>
      </c>
      <c r="EN204" t="s">
        <v>57</v>
      </c>
      <c r="EO204" t="s">
        <v>57</v>
      </c>
      <c r="EP204" t="s">
        <v>57</v>
      </c>
      <c r="EQ204" t="s">
        <v>57</v>
      </c>
      <c r="ER204" t="s">
        <v>57</v>
      </c>
      <c r="ES204" t="s">
        <v>57</v>
      </c>
      <c r="ET204" t="s">
        <v>57</v>
      </c>
      <c r="EU204" t="s">
        <v>57</v>
      </c>
      <c r="EV204" t="s">
        <v>57</v>
      </c>
      <c r="EW204" t="s">
        <v>57</v>
      </c>
      <c r="EX204" t="s">
        <v>57</v>
      </c>
      <c r="EY204" t="s">
        <v>57</v>
      </c>
      <c r="EZ204" t="s">
        <v>57</v>
      </c>
      <c r="FA204" t="s">
        <v>57</v>
      </c>
      <c r="FB204" t="s">
        <v>57</v>
      </c>
      <c r="FC204" t="s">
        <v>57</v>
      </c>
      <c r="FD204" t="s">
        <v>57</v>
      </c>
      <c r="FE204" t="s">
        <v>57</v>
      </c>
      <c r="FF204" t="s">
        <v>57</v>
      </c>
      <c r="FG204" t="s">
        <v>57</v>
      </c>
      <c r="FH204" t="s">
        <v>57</v>
      </c>
      <c r="FI204" t="s">
        <v>57</v>
      </c>
      <c r="FJ204" t="s">
        <v>57</v>
      </c>
      <c r="FK204" t="s">
        <v>57</v>
      </c>
      <c r="FL204" t="s">
        <v>57</v>
      </c>
      <c r="FM204" t="s">
        <v>57</v>
      </c>
      <c r="FN204" t="s">
        <v>57</v>
      </c>
      <c r="FO204" t="s">
        <v>57</v>
      </c>
      <c r="FP204" t="s">
        <v>57</v>
      </c>
      <c r="FQ204" t="s">
        <v>57</v>
      </c>
      <c r="FR204" t="s">
        <v>57</v>
      </c>
      <c r="FS204" t="s">
        <v>57</v>
      </c>
      <c r="FT204" t="s">
        <v>57</v>
      </c>
      <c r="FU204" t="s">
        <v>57</v>
      </c>
      <c r="FV204" t="s">
        <v>57</v>
      </c>
      <c r="FW204" t="s">
        <v>57</v>
      </c>
      <c r="FX204" t="s">
        <v>57</v>
      </c>
      <c r="FY204" t="s">
        <v>57</v>
      </c>
      <c r="FZ204" t="s">
        <v>57</v>
      </c>
      <c r="GA204" t="s">
        <v>57</v>
      </c>
      <c r="GB204" t="s">
        <v>57</v>
      </c>
      <c r="GC204" t="s">
        <v>57</v>
      </c>
      <c r="GD204" t="s">
        <v>57</v>
      </c>
      <c r="GE204" t="s">
        <v>57</v>
      </c>
      <c r="GF204" t="s">
        <v>57</v>
      </c>
      <c r="GG204" t="s">
        <v>148</v>
      </c>
      <c r="GH204" t="s">
        <v>57</v>
      </c>
      <c r="GI204" t="s">
        <v>57</v>
      </c>
      <c r="GJ204" t="s">
        <v>57</v>
      </c>
      <c r="GK204" t="s">
        <v>57</v>
      </c>
      <c r="GL204" t="s">
        <v>57</v>
      </c>
      <c r="GM204" t="s">
        <v>57</v>
      </c>
      <c r="GN204" t="s">
        <v>57</v>
      </c>
      <c r="GO204" t="s">
        <v>57</v>
      </c>
      <c r="GP204" t="s">
        <v>57</v>
      </c>
      <c r="GQ204" t="s">
        <v>57</v>
      </c>
      <c r="GR204" t="s">
        <v>57</v>
      </c>
      <c r="GS204" t="s">
        <v>57</v>
      </c>
      <c r="GT204" t="s">
        <v>57</v>
      </c>
      <c r="GU204" t="s">
        <v>57</v>
      </c>
      <c r="GV204" t="s">
        <v>57</v>
      </c>
      <c r="GW204" t="s">
        <v>57</v>
      </c>
      <c r="GX204" t="s">
        <v>57</v>
      </c>
      <c r="GY204" t="s">
        <v>57</v>
      </c>
      <c r="GZ204" t="s">
        <v>57</v>
      </c>
      <c r="HA204" t="s">
        <v>57</v>
      </c>
      <c r="HB204" t="s">
        <v>57</v>
      </c>
      <c r="HC204" t="s">
        <v>57</v>
      </c>
      <c r="HD204" t="s">
        <v>160</v>
      </c>
      <c r="HE204" t="s">
        <v>57</v>
      </c>
      <c r="HF204" t="s">
        <v>57</v>
      </c>
      <c r="HG204" t="s">
        <v>57</v>
      </c>
      <c r="HH204" t="s">
        <v>57</v>
      </c>
      <c r="HI204" t="s">
        <v>57</v>
      </c>
      <c r="HJ204" t="s">
        <v>57</v>
      </c>
      <c r="HK204" t="s">
        <v>57</v>
      </c>
      <c r="HL204" t="s">
        <v>57</v>
      </c>
      <c r="HM204" t="s">
        <v>57</v>
      </c>
      <c r="HN204" t="s">
        <v>57</v>
      </c>
      <c r="HO204" t="s">
        <v>57</v>
      </c>
      <c r="HP204" t="s">
        <v>57</v>
      </c>
      <c r="HQ204" t="s">
        <v>57</v>
      </c>
      <c r="HR204" t="s">
        <v>57</v>
      </c>
      <c r="HS204" t="s">
        <v>57</v>
      </c>
      <c r="HT204" t="s">
        <v>57</v>
      </c>
      <c r="HU204" t="s">
        <v>57</v>
      </c>
      <c r="HV204" t="s">
        <v>57</v>
      </c>
      <c r="HW204" t="s">
        <v>57</v>
      </c>
      <c r="HX204" t="s">
        <v>57</v>
      </c>
      <c r="HY204" t="s">
        <v>57</v>
      </c>
      <c r="HZ204" t="s">
        <v>57</v>
      </c>
      <c r="IA204" t="s">
        <v>57</v>
      </c>
      <c r="IB204" t="s">
        <v>57</v>
      </c>
      <c r="IC204" t="s">
        <v>57</v>
      </c>
      <c r="ID204" t="s">
        <v>57</v>
      </c>
      <c r="IE204" t="s">
        <v>57</v>
      </c>
      <c r="IF204" t="s">
        <v>123</v>
      </c>
      <c r="IG204" t="s">
        <v>155</v>
      </c>
      <c r="IH204" t="s">
        <v>123</v>
      </c>
      <c r="II204" t="s">
        <v>156</v>
      </c>
    </row>
    <row r="205" spans="1:243" x14ac:dyDescent="0.25">
      <c r="A205" s="201" t="str">
        <f>HYPERLINK("http://www.ofsted.gov.uk/inspection-reports/find-inspection-report/provider/ELS/137562 ","Ofsted School Webpage")</f>
        <v>Ofsted School Webpage</v>
      </c>
      <c r="B205">
        <v>137562</v>
      </c>
      <c r="C205">
        <v>8826010</v>
      </c>
      <c r="D205" t="s">
        <v>1142</v>
      </c>
      <c r="E205" t="s">
        <v>37</v>
      </c>
      <c r="F205" t="s">
        <v>138</v>
      </c>
      <c r="G205" t="s">
        <v>177</v>
      </c>
      <c r="H205" t="s">
        <v>177</v>
      </c>
      <c r="I205" t="s">
        <v>699</v>
      </c>
      <c r="J205" t="s">
        <v>1143</v>
      </c>
      <c r="K205" t="s">
        <v>142</v>
      </c>
      <c r="L205" t="s">
        <v>142</v>
      </c>
      <c r="M205" t="s">
        <v>2596</v>
      </c>
      <c r="N205" t="s">
        <v>143</v>
      </c>
      <c r="O205">
        <v>10043122</v>
      </c>
      <c r="P205" s="108">
        <v>43053</v>
      </c>
      <c r="Q205" s="108">
        <v>43055</v>
      </c>
      <c r="R205" s="108">
        <v>43081</v>
      </c>
      <c r="S205" t="s">
        <v>153</v>
      </c>
      <c r="T205" t="s">
        <v>154</v>
      </c>
      <c r="U205">
        <v>3</v>
      </c>
      <c r="V205">
        <v>3</v>
      </c>
      <c r="W205">
        <v>3</v>
      </c>
      <c r="X205">
        <v>3</v>
      </c>
      <c r="Y205">
        <v>3</v>
      </c>
      <c r="Z205" t="s">
        <v>2596</v>
      </c>
      <c r="AA205" t="s">
        <v>2596</v>
      </c>
      <c r="AB205" t="s">
        <v>123</v>
      </c>
      <c r="AC205" t="s">
        <v>2596</v>
      </c>
      <c r="AD205" t="s">
        <v>2599</v>
      </c>
      <c r="AE205" t="s">
        <v>57</v>
      </c>
      <c r="AF205" t="s">
        <v>57</v>
      </c>
      <c r="AG205" t="s">
        <v>57</v>
      </c>
      <c r="AH205" t="s">
        <v>57</v>
      </c>
      <c r="AI205" t="s">
        <v>57</v>
      </c>
      <c r="AJ205" t="s">
        <v>57</v>
      </c>
      <c r="AK205" t="s">
        <v>57</v>
      </c>
      <c r="AL205" t="s">
        <v>58</v>
      </c>
      <c r="AM205" t="s">
        <v>57</v>
      </c>
      <c r="AN205" t="s">
        <v>57</v>
      </c>
      <c r="AO205" t="s">
        <v>57</v>
      </c>
      <c r="AP205" t="s">
        <v>57</v>
      </c>
      <c r="AQ205" t="s">
        <v>57</v>
      </c>
      <c r="AR205" t="s">
        <v>57</v>
      </c>
      <c r="AS205" t="s">
        <v>57</v>
      </c>
      <c r="AT205" t="s">
        <v>57</v>
      </c>
      <c r="AU205" t="s">
        <v>57</v>
      </c>
      <c r="AV205" t="s">
        <v>57</v>
      </c>
      <c r="AW205" t="s">
        <v>57</v>
      </c>
      <c r="AX205" t="s">
        <v>57</v>
      </c>
      <c r="AY205" t="s">
        <v>57</v>
      </c>
      <c r="AZ205" t="s">
        <v>57</v>
      </c>
      <c r="BA205" t="s">
        <v>57</v>
      </c>
      <c r="BB205" t="s">
        <v>57</v>
      </c>
      <c r="BC205" t="s">
        <v>175</v>
      </c>
      <c r="BD205" t="s">
        <v>175</v>
      </c>
      <c r="BE205" t="s">
        <v>57</v>
      </c>
      <c r="BF205" t="s">
        <v>57</v>
      </c>
      <c r="BG205" t="s">
        <v>58</v>
      </c>
      <c r="BH205" t="s">
        <v>58</v>
      </c>
      <c r="BI205" t="s">
        <v>58</v>
      </c>
      <c r="BJ205" t="s">
        <v>58</v>
      </c>
      <c r="BK205" t="s">
        <v>58</v>
      </c>
      <c r="BL205" t="s">
        <v>57</v>
      </c>
      <c r="BM205" t="s">
        <v>58</v>
      </c>
      <c r="BN205" t="s">
        <v>58</v>
      </c>
      <c r="BO205" t="s">
        <v>57</v>
      </c>
      <c r="BP205" t="s">
        <v>57</v>
      </c>
      <c r="BQ205" t="s">
        <v>57</v>
      </c>
      <c r="BR205" t="s">
        <v>57</v>
      </c>
      <c r="BS205" t="s">
        <v>57</v>
      </c>
      <c r="BT205" t="s">
        <v>57</v>
      </c>
      <c r="BU205" t="s">
        <v>57</v>
      </c>
      <c r="BV205" t="s">
        <v>57</v>
      </c>
      <c r="BW205" t="s">
        <v>57</v>
      </c>
      <c r="BX205" t="s">
        <v>57</v>
      </c>
      <c r="BY205" t="s">
        <v>57</v>
      </c>
      <c r="BZ205" t="s">
        <v>57</v>
      </c>
      <c r="CA205" t="s">
        <v>57</v>
      </c>
      <c r="CB205" t="s">
        <v>57</v>
      </c>
      <c r="CC205" t="s">
        <v>57</v>
      </c>
      <c r="CD205" t="s">
        <v>57</v>
      </c>
      <c r="CE205" t="s">
        <v>57</v>
      </c>
      <c r="CF205" t="s">
        <v>57</v>
      </c>
      <c r="CG205" t="s">
        <v>57</v>
      </c>
      <c r="CH205" t="s">
        <v>57</v>
      </c>
      <c r="CI205" t="s">
        <v>57</v>
      </c>
      <c r="CJ205" t="s">
        <v>57</v>
      </c>
      <c r="CK205" t="s">
        <v>175</v>
      </c>
      <c r="CL205" t="s">
        <v>175</v>
      </c>
      <c r="CM205" t="s">
        <v>175</v>
      </c>
      <c r="CN205" t="s">
        <v>175</v>
      </c>
      <c r="CO205" t="s">
        <v>57</v>
      </c>
      <c r="CP205" t="s">
        <v>57</v>
      </c>
      <c r="CQ205" t="s">
        <v>57</v>
      </c>
      <c r="CR205" t="s">
        <v>57</v>
      </c>
      <c r="CS205" t="s">
        <v>57</v>
      </c>
      <c r="CT205" t="s">
        <v>57</v>
      </c>
      <c r="CU205" t="s">
        <v>57</v>
      </c>
      <c r="CV205" t="s">
        <v>57</v>
      </c>
      <c r="CW205" t="s">
        <v>57</v>
      </c>
      <c r="CX205" t="s">
        <v>57</v>
      </c>
      <c r="CY205" t="s">
        <v>57</v>
      </c>
      <c r="CZ205" t="s">
        <v>57</v>
      </c>
      <c r="DA205" t="s">
        <v>57</v>
      </c>
      <c r="DB205" t="s">
        <v>57</v>
      </c>
      <c r="DC205" t="s">
        <v>57</v>
      </c>
      <c r="DD205" t="s">
        <v>57</v>
      </c>
      <c r="DE205" t="s">
        <v>57</v>
      </c>
      <c r="DF205" t="s">
        <v>57</v>
      </c>
      <c r="DG205" t="s">
        <v>175</v>
      </c>
      <c r="DH205" t="s">
        <v>57</v>
      </c>
      <c r="DI205" t="s">
        <v>57</v>
      </c>
      <c r="DJ205" t="s">
        <v>175</v>
      </c>
      <c r="DK205" t="s">
        <v>175</v>
      </c>
      <c r="DL205" t="s">
        <v>57</v>
      </c>
      <c r="DM205" t="s">
        <v>57</v>
      </c>
      <c r="DN205" t="s">
        <v>57</v>
      </c>
      <c r="DO205" t="s">
        <v>57</v>
      </c>
      <c r="DP205" t="s">
        <v>57</v>
      </c>
      <c r="DQ205" t="s">
        <v>57</v>
      </c>
      <c r="DR205" t="s">
        <v>57</v>
      </c>
      <c r="DS205" t="s">
        <v>57</v>
      </c>
      <c r="DT205" t="s">
        <v>57</v>
      </c>
      <c r="DU205" t="s">
        <v>57</v>
      </c>
      <c r="DV205" t="s">
        <v>57</v>
      </c>
      <c r="DW205" t="s">
        <v>57</v>
      </c>
      <c r="DX205" t="s">
        <v>57</v>
      </c>
      <c r="DY205" t="s">
        <v>175</v>
      </c>
      <c r="DZ205" t="s">
        <v>57</v>
      </c>
      <c r="EA205" t="s">
        <v>175</v>
      </c>
      <c r="EB205" t="s">
        <v>175</v>
      </c>
      <c r="EC205" t="s">
        <v>175</v>
      </c>
      <c r="ED205" t="s">
        <v>175</v>
      </c>
      <c r="EE205" t="s">
        <v>175</v>
      </c>
      <c r="EF205" t="s">
        <v>175</v>
      </c>
      <c r="EG205" t="s">
        <v>175</v>
      </c>
      <c r="EH205" t="s">
        <v>175</v>
      </c>
      <c r="EI205" t="s">
        <v>175</v>
      </c>
      <c r="EJ205" t="s">
        <v>57</v>
      </c>
      <c r="EK205" t="s">
        <v>57</v>
      </c>
      <c r="EL205" t="s">
        <v>57</v>
      </c>
      <c r="EM205" t="s">
        <v>57</v>
      </c>
      <c r="EN205" t="s">
        <v>57</v>
      </c>
      <c r="EO205" t="s">
        <v>57</v>
      </c>
      <c r="EP205" t="s">
        <v>57</v>
      </c>
      <c r="EQ205" t="s">
        <v>57</v>
      </c>
      <c r="ER205" t="s">
        <v>57</v>
      </c>
      <c r="ES205" t="s">
        <v>57</v>
      </c>
      <c r="ET205" t="s">
        <v>175</v>
      </c>
      <c r="EU205" t="s">
        <v>57</v>
      </c>
      <c r="EV205" t="s">
        <v>57</v>
      </c>
      <c r="EW205" t="s">
        <v>175</v>
      </c>
      <c r="EX205" t="s">
        <v>175</v>
      </c>
      <c r="EY205" t="s">
        <v>175</v>
      </c>
      <c r="EZ205" t="s">
        <v>175</v>
      </c>
      <c r="FA205" t="s">
        <v>175</v>
      </c>
      <c r="FB205" t="s">
        <v>175</v>
      </c>
      <c r="FC205" t="s">
        <v>175</v>
      </c>
      <c r="FD205" t="s">
        <v>175</v>
      </c>
      <c r="FE205" t="s">
        <v>175</v>
      </c>
      <c r="FF205" t="s">
        <v>148</v>
      </c>
      <c r="FG205" t="s">
        <v>175</v>
      </c>
      <c r="FH205" t="s">
        <v>57</v>
      </c>
      <c r="FI205" t="s">
        <v>57</v>
      </c>
      <c r="FJ205" t="s">
        <v>57</v>
      </c>
      <c r="FK205" t="s">
        <v>175</v>
      </c>
      <c r="FL205" t="s">
        <v>57</v>
      </c>
      <c r="FM205" t="s">
        <v>57</v>
      </c>
      <c r="FN205" t="s">
        <v>57</v>
      </c>
      <c r="FO205" t="s">
        <v>175</v>
      </c>
      <c r="FP205" t="s">
        <v>57</v>
      </c>
      <c r="FQ205" t="s">
        <v>57</v>
      </c>
      <c r="FR205" t="s">
        <v>57</v>
      </c>
      <c r="FS205" t="s">
        <v>57</v>
      </c>
      <c r="FT205" t="s">
        <v>57</v>
      </c>
      <c r="FU205" t="s">
        <v>57</v>
      </c>
      <c r="FV205" t="s">
        <v>57</v>
      </c>
      <c r="FW205" t="s">
        <v>57</v>
      </c>
      <c r="FX205" t="s">
        <v>57</v>
      </c>
      <c r="FY205" t="s">
        <v>57</v>
      </c>
      <c r="FZ205" t="s">
        <v>57</v>
      </c>
      <c r="GA205" t="s">
        <v>57</v>
      </c>
      <c r="GB205" t="s">
        <v>57</v>
      </c>
      <c r="GC205" t="s">
        <v>57</v>
      </c>
      <c r="GD205" t="s">
        <v>57</v>
      </c>
      <c r="GE205" t="s">
        <v>57</v>
      </c>
      <c r="GF205" t="s">
        <v>57</v>
      </c>
      <c r="GG205" t="s">
        <v>175</v>
      </c>
      <c r="GH205" t="s">
        <v>57</v>
      </c>
      <c r="GI205" t="s">
        <v>57</v>
      </c>
      <c r="GJ205" t="s">
        <v>57</v>
      </c>
      <c r="GK205" t="s">
        <v>57</v>
      </c>
      <c r="GL205" t="s">
        <v>175</v>
      </c>
      <c r="GM205" t="s">
        <v>175</v>
      </c>
      <c r="GN205" t="s">
        <v>57</v>
      </c>
      <c r="GO205" t="s">
        <v>57</v>
      </c>
      <c r="GP205" t="s">
        <v>57</v>
      </c>
      <c r="GQ205" t="s">
        <v>57</v>
      </c>
      <c r="GR205" t="s">
        <v>57</v>
      </c>
      <c r="GS205" t="s">
        <v>57</v>
      </c>
      <c r="GT205" t="s">
        <v>57</v>
      </c>
      <c r="GU205" t="s">
        <v>57</v>
      </c>
      <c r="GV205" t="s">
        <v>57</v>
      </c>
      <c r="GW205" t="s">
        <v>175</v>
      </c>
      <c r="GX205" t="s">
        <v>175</v>
      </c>
      <c r="GY205" t="s">
        <v>57</v>
      </c>
      <c r="GZ205" t="s">
        <v>57</v>
      </c>
      <c r="HA205" t="s">
        <v>57</v>
      </c>
      <c r="HB205" t="s">
        <v>57</v>
      </c>
      <c r="HC205" t="s">
        <v>57</v>
      </c>
      <c r="HD205" t="s">
        <v>57</v>
      </c>
      <c r="HE205" t="s">
        <v>57</v>
      </c>
      <c r="HF205" t="s">
        <v>57</v>
      </c>
      <c r="HG205" t="s">
        <v>175</v>
      </c>
      <c r="HH205" t="s">
        <v>175</v>
      </c>
      <c r="HI205" t="s">
        <v>175</v>
      </c>
      <c r="HJ205" t="s">
        <v>175</v>
      </c>
      <c r="HK205" t="s">
        <v>175</v>
      </c>
      <c r="HL205" t="s">
        <v>57</v>
      </c>
      <c r="HM205" t="s">
        <v>57</v>
      </c>
      <c r="HN205" t="s">
        <v>57</v>
      </c>
      <c r="HO205" t="s">
        <v>57</v>
      </c>
      <c r="HP205" t="s">
        <v>57</v>
      </c>
      <c r="HQ205" t="s">
        <v>57</v>
      </c>
      <c r="HR205" t="s">
        <v>57</v>
      </c>
      <c r="HS205" t="s">
        <v>57</v>
      </c>
      <c r="HT205" t="s">
        <v>57</v>
      </c>
      <c r="HU205" t="s">
        <v>57</v>
      </c>
      <c r="HV205" t="s">
        <v>57</v>
      </c>
      <c r="HW205" t="s">
        <v>57</v>
      </c>
      <c r="HX205" t="s">
        <v>57</v>
      </c>
      <c r="HY205" t="s">
        <v>57</v>
      </c>
      <c r="HZ205" t="s">
        <v>57</v>
      </c>
      <c r="IA205" t="s">
        <v>57</v>
      </c>
      <c r="IB205" t="s">
        <v>58</v>
      </c>
      <c r="IC205" t="s">
        <v>57</v>
      </c>
      <c r="ID205" t="s">
        <v>58</v>
      </c>
      <c r="IE205" t="s">
        <v>57</v>
      </c>
      <c r="IF205" t="s">
        <v>124</v>
      </c>
      <c r="IG205" t="s">
        <v>148</v>
      </c>
      <c r="IH205" t="s">
        <v>123</v>
      </c>
      <c r="II205" t="s">
        <v>156</v>
      </c>
    </row>
    <row r="206" spans="1:243" x14ac:dyDescent="0.25">
      <c r="A206" s="201" t="str">
        <f>HYPERLINK("http://www.ofsted.gov.uk/inspection-reports/find-inspection-report/provider/ELS/137571 ","Ofsted School Webpage")</f>
        <v>Ofsted School Webpage</v>
      </c>
      <c r="B206">
        <v>137571</v>
      </c>
      <c r="C206">
        <v>3326007</v>
      </c>
      <c r="D206" t="s">
        <v>304</v>
      </c>
      <c r="E206" t="s">
        <v>36</v>
      </c>
      <c r="F206" t="s">
        <v>166</v>
      </c>
      <c r="G206" t="s">
        <v>150</v>
      </c>
      <c r="H206" t="s">
        <v>150</v>
      </c>
      <c r="I206" t="s">
        <v>305</v>
      </c>
      <c r="J206" t="s">
        <v>306</v>
      </c>
      <c r="K206" t="s">
        <v>142</v>
      </c>
      <c r="L206" t="s">
        <v>142</v>
      </c>
      <c r="M206" t="s">
        <v>2596</v>
      </c>
      <c r="N206" t="s">
        <v>143</v>
      </c>
      <c r="O206">
        <v>10006094</v>
      </c>
      <c r="P206" s="108">
        <v>43046</v>
      </c>
      <c r="Q206" s="108">
        <v>43048</v>
      </c>
      <c r="R206" s="108">
        <v>43069</v>
      </c>
      <c r="S206" t="s">
        <v>153</v>
      </c>
      <c r="T206" t="s">
        <v>154</v>
      </c>
      <c r="U206">
        <v>2</v>
      </c>
      <c r="V206">
        <v>2</v>
      </c>
      <c r="W206">
        <v>2</v>
      </c>
      <c r="X206">
        <v>2</v>
      </c>
      <c r="Y206">
        <v>1</v>
      </c>
      <c r="Z206" t="s">
        <v>2596</v>
      </c>
      <c r="AA206" t="s">
        <v>2596</v>
      </c>
      <c r="AB206" t="s">
        <v>123</v>
      </c>
      <c r="AC206" t="s">
        <v>2596</v>
      </c>
      <c r="AD206" t="s">
        <v>2598</v>
      </c>
      <c r="AE206" t="s">
        <v>57</v>
      </c>
      <c r="AF206" t="s">
        <v>57</v>
      </c>
      <c r="AG206" t="s">
        <v>57</v>
      </c>
      <c r="AH206" t="s">
        <v>57</v>
      </c>
      <c r="AI206" t="s">
        <v>57</v>
      </c>
      <c r="AJ206" t="s">
        <v>57</v>
      </c>
      <c r="AK206" t="s">
        <v>57</v>
      </c>
      <c r="AL206" t="s">
        <v>57</v>
      </c>
      <c r="AM206" t="s">
        <v>57</v>
      </c>
      <c r="AN206" t="s">
        <v>57</v>
      </c>
      <c r="AO206" t="s">
        <v>57</v>
      </c>
      <c r="AP206" t="s">
        <v>57</v>
      </c>
      <c r="AQ206" t="s">
        <v>57</v>
      </c>
      <c r="AR206" t="s">
        <v>57</v>
      </c>
      <c r="AS206" t="s">
        <v>57</v>
      </c>
      <c r="AT206" t="s">
        <v>57</v>
      </c>
      <c r="AU206" t="s">
        <v>57</v>
      </c>
      <c r="AV206" t="s">
        <v>57</v>
      </c>
      <c r="AW206" t="s">
        <v>57</v>
      </c>
      <c r="AX206" t="s">
        <v>57</v>
      </c>
      <c r="AY206" t="s">
        <v>57</v>
      </c>
      <c r="AZ206" t="s">
        <v>57</v>
      </c>
      <c r="BA206" t="s">
        <v>57</v>
      </c>
      <c r="BB206" t="s">
        <v>57</v>
      </c>
      <c r="BC206" t="s">
        <v>57</v>
      </c>
      <c r="BD206" t="s">
        <v>57</v>
      </c>
      <c r="BE206" t="s">
        <v>57</v>
      </c>
      <c r="BF206" t="s">
        <v>57</v>
      </c>
      <c r="BG206" t="s">
        <v>57</v>
      </c>
      <c r="BH206" t="s">
        <v>57</v>
      </c>
      <c r="BI206" t="s">
        <v>57</v>
      </c>
      <c r="BJ206" t="s">
        <v>57</v>
      </c>
      <c r="BK206" t="s">
        <v>57</v>
      </c>
      <c r="BL206" t="s">
        <v>57</v>
      </c>
      <c r="BM206" t="s">
        <v>57</v>
      </c>
      <c r="BN206" t="s">
        <v>57</v>
      </c>
      <c r="BO206" t="s">
        <v>57</v>
      </c>
      <c r="BP206" t="s">
        <v>57</v>
      </c>
      <c r="BQ206" t="s">
        <v>57</v>
      </c>
      <c r="BR206" t="s">
        <v>57</v>
      </c>
      <c r="BS206" t="s">
        <v>57</v>
      </c>
      <c r="BT206" t="s">
        <v>57</v>
      </c>
      <c r="BU206" t="s">
        <v>57</v>
      </c>
      <c r="BV206" t="s">
        <v>57</v>
      </c>
      <c r="BW206" t="s">
        <v>57</v>
      </c>
      <c r="BX206" t="s">
        <v>57</v>
      </c>
      <c r="BY206" t="s">
        <v>57</v>
      </c>
      <c r="BZ206" t="s">
        <v>57</v>
      </c>
      <c r="CA206" t="s">
        <v>57</v>
      </c>
      <c r="CB206" t="s">
        <v>57</v>
      </c>
      <c r="CC206" t="s">
        <v>57</v>
      </c>
      <c r="CD206" t="s">
        <v>57</v>
      </c>
      <c r="CE206" t="s">
        <v>57</v>
      </c>
      <c r="CF206" t="s">
        <v>57</v>
      </c>
      <c r="CG206" t="s">
        <v>57</v>
      </c>
      <c r="CH206" t="s">
        <v>57</v>
      </c>
      <c r="CI206" t="s">
        <v>57</v>
      </c>
      <c r="CJ206" t="s">
        <v>57</v>
      </c>
      <c r="CK206" t="s">
        <v>148</v>
      </c>
      <c r="CL206" t="s">
        <v>148</v>
      </c>
      <c r="CM206" t="s">
        <v>148</v>
      </c>
      <c r="CN206" t="s">
        <v>57</v>
      </c>
      <c r="CO206" t="s">
        <v>57</v>
      </c>
      <c r="CP206" t="s">
        <v>57</v>
      </c>
      <c r="CQ206" t="s">
        <v>57</v>
      </c>
      <c r="CR206" t="s">
        <v>57</v>
      </c>
      <c r="CS206" t="s">
        <v>57</v>
      </c>
      <c r="CT206" t="s">
        <v>57</v>
      </c>
      <c r="CU206" t="s">
        <v>57</v>
      </c>
      <c r="CV206" t="s">
        <v>57</v>
      </c>
      <c r="CW206" t="s">
        <v>57</v>
      </c>
      <c r="CX206" t="s">
        <v>57</v>
      </c>
      <c r="CY206" t="s">
        <v>57</v>
      </c>
      <c r="CZ206" t="s">
        <v>57</v>
      </c>
      <c r="DA206" t="s">
        <v>57</v>
      </c>
      <c r="DB206" t="s">
        <v>57</v>
      </c>
      <c r="DC206" t="s">
        <v>57</v>
      </c>
      <c r="DD206" t="s">
        <v>57</v>
      </c>
      <c r="DE206" t="s">
        <v>57</v>
      </c>
      <c r="DF206" t="s">
        <v>57</v>
      </c>
      <c r="DG206" t="s">
        <v>57</v>
      </c>
      <c r="DH206" t="s">
        <v>57</v>
      </c>
      <c r="DI206" t="s">
        <v>57</v>
      </c>
      <c r="DJ206" t="s">
        <v>57</v>
      </c>
      <c r="DK206" t="s">
        <v>148</v>
      </c>
      <c r="DL206" t="s">
        <v>57</v>
      </c>
      <c r="DM206" t="s">
        <v>57</v>
      </c>
      <c r="DN206" t="s">
        <v>57</v>
      </c>
      <c r="DO206" t="s">
        <v>57</v>
      </c>
      <c r="DP206" t="s">
        <v>57</v>
      </c>
      <c r="DQ206" t="s">
        <v>57</v>
      </c>
      <c r="DR206" t="s">
        <v>57</v>
      </c>
      <c r="DS206" t="s">
        <v>57</v>
      </c>
      <c r="DT206" t="s">
        <v>57</v>
      </c>
      <c r="DU206" t="s">
        <v>57</v>
      </c>
      <c r="DV206" t="s">
        <v>57</v>
      </c>
      <c r="DW206" t="s">
        <v>57</v>
      </c>
      <c r="DX206" t="s">
        <v>57</v>
      </c>
      <c r="DY206" t="s">
        <v>57</v>
      </c>
      <c r="DZ206" t="s">
        <v>57</v>
      </c>
      <c r="EA206" t="s">
        <v>57</v>
      </c>
      <c r="EB206" t="s">
        <v>57</v>
      </c>
      <c r="EC206" t="s">
        <v>57</v>
      </c>
      <c r="ED206" t="s">
        <v>57</v>
      </c>
      <c r="EE206" t="s">
        <v>57</v>
      </c>
      <c r="EF206" t="s">
        <v>57</v>
      </c>
      <c r="EG206" t="s">
        <v>57</v>
      </c>
      <c r="EH206" t="s">
        <v>57</v>
      </c>
      <c r="EI206" t="s">
        <v>57</v>
      </c>
      <c r="EJ206" t="s">
        <v>57</v>
      </c>
      <c r="EK206" t="s">
        <v>57</v>
      </c>
      <c r="EL206" t="s">
        <v>57</v>
      </c>
      <c r="EM206" t="s">
        <v>57</v>
      </c>
      <c r="EN206" t="s">
        <v>57</v>
      </c>
      <c r="EO206" t="s">
        <v>57</v>
      </c>
      <c r="EP206" t="s">
        <v>57</v>
      </c>
      <c r="EQ206" t="s">
        <v>57</v>
      </c>
      <c r="ER206" t="s">
        <v>57</v>
      </c>
      <c r="ES206" t="s">
        <v>57</v>
      </c>
      <c r="ET206" t="s">
        <v>57</v>
      </c>
      <c r="EU206" t="s">
        <v>57</v>
      </c>
      <c r="EV206" t="s">
        <v>57</v>
      </c>
      <c r="EW206" t="s">
        <v>57</v>
      </c>
      <c r="EX206" t="s">
        <v>57</v>
      </c>
      <c r="EY206" t="s">
        <v>57</v>
      </c>
      <c r="EZ206" t="s">
        <v>57</v>
      </c>
      <c r="FA206" t="s">
        <v>57</v>
      </c>
      <c r="FB206" t="s">
        <v>57</v>
      </c>
      <c r="FC206" t="s">
        <v>57</v>
      </c>
      <c r="FD206" t="s">
        <v>57</v>
      </c>
      <c r="FE206" t="s">
        <v>57</v>
      </c>
      <c r="FF206" t="s">
        <v>57</v>
      </c>
      <c r="FG206" t="s">
        <v>57</v>
      </c>
      <c r="FH206" t="s">
        <v>57</v>
      </c>
      <c r="FI206" t="s">
        <v>57</v>
      </c>
      <c r="FJ206" t="s">
        <v>57</v>
      </c>
      <c r="FK206" t="s">
        <v>57</v>
      </c>
      <c r="FL206" t="s">
        <v>57</v>
      </c>
      <c r="FM206" t="s">
        <v>57</v>
      </c>
      <c r="FN206" t="s">
        <v>57</v>
      </c>
      <c r="FO206" t="s">
        <v>57</v>
      </c>
      <c r="FP206" t="s">
        <v>57</v>
      </c>
      <c r="FQ206" t="s">
        <v>57</v>
      </c>
      <c r="FR206" t="s">
        <v>57</v>
      </c>
      <c r="FS206" t="s">
        <v>57</v>
      </c>
      <c r="FT206" t="s">
        <v>57</v>
      </c>
      <c r="FU206" t="s">
        <v>57</v>
      </c>
      <c r="FV206" t="s">
        <v>57</v>
      </c>
      <c r="FW206" t="s">
        <v>57</v>
      </c>
      <c r="FX206" t="s">
        <v>57</v>
      </c>
      <c r="FY206" t="s">
        <v>57</v>
      </c>
      <c r="FZ206" t="s">
        <v>57</v>
      </c>
      <c r="GA206" t="s">
        <v>57</v>
      </c>
      <c r="GB206" t="s">
        <v>57</v>
      </c>
      <c r="GC206" t="s">
        <v>57</v>
      </c>
      <c r="GD206" t="s">
        <v>57</v>
      </c>
      <c r="GE206" t="s">
        <v>57</v>
      </c>
      <c r="GF206" t="s">
        <v>57</v>
      </c>
      <c r="GG206" t="s">
        <v>148</v>
      </c>
      <c r="GH206" t="s">
        <v>57</v>
      </c>
      <c r="GI206" t="s">
        <v>57</v>
      </c>
      <c r="GJ206" t="s">
        <v>57</v>
      </c>
      <c r="GK206" t="s">
        <v>57</v>
      </c>
      <c r="GL206" t="s">
        <v>57</v>
      </c>
      <c r="GM206" t="s">
        <v>57</v>
      </c>
      <c r="GN206" t="s">
        <v>57</v>
      </c>
      <c r="GO206" t="s">
        <v>57</v>
      </c>
      <c r="GP206" t="s">
        <v>57</v>
      </c>
      <c r="GQ206" t="s">
        <v>57</v>
      </c>
      <c r="GR206" t="s">
        <v>57</v>
      </c>
      <c r="GS206" t="s">
        <v>57</v>
      </c>
      <c r="GT206" t="s">
        <v>57</v>
      </c>
      <c r="GU206" t="s">
        <v>57</v>
      </c>
      <c r="GV206" t="s">
        <v>57</v>
      </c>
      <c r="GW206" t="s">
        <v>148</v>
      </c>
      <c r="GX206" t="s">
        <v>57</v>
      </c>
      <c r="GY206" t="s">
        <v>57</v>
      </c>
      <c r="GZ206" t="s">
        <v>57</v>
      </c>
      <c r="HA206" t="s">
        <v>57</v>
      </c>
      <c r="HB206" t="s">
        <v>57</v>
      </c>
      <c r="HC206" t="s">
        <v>57</v>
      </c>
      <c r="HD206" t="s">
        <v>57</v>
      </c>
      <c r="HE206" t="s">
        <v>57</v>
      </c>
      <c r="HF206" t="s">
        <v>57</v>
      </c>
      <c r="HG206" t="s">
        <v>57</v>
      </c>
      <c r="HH206" t="s">
        <v>57</v>
      </c>
      <c r="HI206" t="s">
        <v>57</v>
      </c>
      <c r="HJ206" t="s">
        <v>57</v>
      </c>
      <c r="HK206" t="s">
        <v>57</v>
      </c>
      <c r="HL206" t="s">
        <v>57</v>
      </c>
      <c r="HM206" t="s">
        <v>57</v>
      </c>
      <c r="HN206" t="s">
        <v>57</v>
      </c>
      <c r="HO206" t="s">
        <v>57</v>
      </c>
      <c r="HP206" t="s">
        <v>57</v>
      </c>
      <c r="HQ206" t="s">
        <v>57</v>
      </c>
      <c r="HR206" t="s">
        <v>57</v>
      </c>
      <c r="HS206" t="s">
        <v>57</v>
      </c>
      <c r="HT206" t="s">
        <v>57</v>
      </c>
      <c r="HU206" t="s">
        <v>57</v>
      </c>
      <c r="HV206" t="s">
        <v>57</v>
      </c>
      <c r="HW206" t="s">
        <v>57</v>
      </c>
      <c r="HX206" t="s">
        <v>57</v>
      </c>
      <c r="HY206" t="s">
        <v>57</v>
      </c>
      <c r="HZ206" t="s">
        <v>57</v>
      </c>
      <c r="IA206" t="s">
        <v>57</v>
      </c>
      <c r="IB206" t="s">
        <v>57</v>
      </c>
      <c r="IC206" t="s">
        <v>57</v>
      </c>
      <c r="ID206" t="s">
        <v>57</v>
      </c>
      <c r="IE206" t="s">
        <v>57</v>
      </c>
      <c r="IF206" t="s">
        <v>124</v>
      </c>
      <c r="IG206" t="s">
        <v>155</v>
      </c>
      <c r="IH206" t="s">
        <v>123</v>
      </c>
      <c r="II206" t="s">
        <v>156</v>
      </c>
    </row>
    <row r="207" spans="1:243" x14ac:dyDescent="0.25">
      <c r="A207" s="201" t="str">
        <f>HYPERLINK("http://www.ofsted.gov.uk/inspection-reports/find-inspection-report/provider/ELS/137574 ","Ofsted School Webpage")</f>
        <v>Ofsted School Webpage</v>
      </c>
      <c r="B207">
        <v>137574</v>
      </c>
      <c r="C207">
        <v>8616006</v>
      </c>
      <c r="D207" t="s">
        <v>481</v>
      </c>
      <c r="E207" t="s">
        <v>36</v>
      </c>
      <c r="F207" t="s">
        <v>166</v>
      </c>
      <c r="G207" t="s">
        <v>150</v>
      </c>
      <c r="H207" t="s">
        <v>150</v>
      </c>
      <c r="I207" t="s">
        <v>447</v>
      </c>
      <c r="J207" t="s">
        <v>482</v>
      </c>
      <c r="K207" t="s">
        <v>142</v>
      </c>
      <c r="L207" t="s">
        <v>142</v>
      </c>
      <c r="M207" t="s">
        <v>2596</v>
      </c>
      <c r="N207" t="s">
        <v>143</v>
      </c>
      <c r="O207">
        <v>10006068</v>
      </c>
      <c r="P207" s="108">
        <v>43018</v>
      </c>
      <c r="Q207" s="108">
        <v>43020</v>
      </c>
      <c r="R207" s="108">
        <v>43047</v>
      </c>
      <c r="S207" t="s">
        <v>153</v>
      </c>
      <c r="T207" t="s">
        <v>154</v>
      </c>
      <c r="U207">
        <v>2</v>
      </c>
      <c r="V207">
        <v>2</v>
      </c>
      <c r="W207">
        <v>2</v>
      </c>
      <c r="X207">
        <v>2</v>
      </c>
      <c r="Y207">
        <v>2</v>
      </c>
      <c r="Z207" t="s">
        <v>2596</v>
      </c>
      <c r="AA207" t="s">
        <v>2596</v>
      </c>
      <c r="AB207" t="s">
        <v>123</v>
      </c>
      <c r="AC207" t="s">
        <v>2596</v>
      </c>
      <c r="AD207" t="s">
        <v>2598</v>
      </c>
      <c r="AE207" t="s">
        <v>57</v>
      </c>
      <c r="AF207" t="s">
        <v>57</v>
      </c>
      <c r="AG207" t="s">
        <v>57</v>
      </c>
      <c r="AH207" t="s">
        <v>57</v>
      </c>
      <c r="AI207" t="s">
        <v>57</v>
      </c>
      <c r="AJ207" t="s">
        <v>57</v>
      </c>
      <c r="AK207" t="s">
        <v>57</v>
      </c>
      <c r="AL207" t="s">
        <v>57</v>
      </c>
      <c r="AM207" t="s">
        <v>57</v>
      </c>
      <c r="AN207" t="s">
        <v>57</v>
      </c>
      <c r="AO207" t="s">
        <v>57</v>
      </c>
      <c r="AP207" t="s">
        <v>57</v>
      </c>
      <c r="AQ207" t="s">
        <v>57</v>
      </c>
      <c r="AR207" t="s">
        <v>57</v>
      </c>
      <c r="AS207" t="s">
        <v>57</v>
      </c>
      <c r="AT207" t="s">
        <v>57</v>
      </c>
      <c r="AU207" t="s">
        <v>148</v>
      </c>
      <c r="AV207" t="s">
        <v>57</v>
      </c>
      <c r="AW207" t="s">
        <v>57</v>
      </c>
      <c r="AX207" t="s">
        <v>57</v>
      </c>
      <c r="AY207" t="s">
        <v>57</v>
      </c>
      <c r="AZ207" t="s">
        <v>57</v>
      </c>
      <c r="BA207" t="s">
        <v>57</v>
      </c>
      <c r="BB207" t="s">
        <v>57</v>
      </c>
      <c r="BC207" t="s">
        <v>148</v>
      </c>
      <c r="BD207" t="s">
        <v>148</v>
      </c>
      <c r="BE207" t="s">
        <v>57</v>
      </c>
      <c r="BF207" t="s">
        <v>57</v>
      </c>
      <c r="BG207" t="s">
        <v>57</v>
      </c>
      <c r="BH207" t="s">
        <v>57</v>
      </c>
      <c r="BI207" t="s">
        <v>57</v>
      </c>
      <c r="BJ207" t="s">
        <v>57</v>
      </c>
      <c r="BK207" t="s">
        <v>57</v>
      </c>
      <c r="BL207" t="s">
        <v>57</v>
      </c>
      <c r="BM207" t="s">
        <v>57</v>
      </c>
      <c r="BN207" t="s">
        <v>57</v>
      </c>
      <c r="BO207" t="s">
        <v>57</v>
      </c>
      <c r="BP207" t="s">
        <v>57</v>
      </c>
      <c r="BQ207" t="s">
        <v>57</v>
      </c>
      <c r="BR207" t="s">
        <v>57</v>
      </c>
      <c r="BS207" t="s">
        <v>57</v>
      </c>
      <c r="BT207" t="s">
        <v>57</v>
      </c>
      <c r="BU207" t="s">
        <v>57</v>
      </c>
      <c r="BV207" t="s">
        <v>57</v>
      </c>
      <c r="BW207" t="s">
        <v>57</v>
      </c>
      <c r="BX207" t="s">
        <v>57</v>
      </c>
      <c r="BY207" t="s">
        <v>57</v>
      </c>
      <c r="BZ207" t="s">
        <v>57</v>
      </c>
      <c r="CA207" t="s">
        <v>57</v>
      </c>
      <c r="CB207" t="s">
        <v>57</v>
      </c>
      <c r="CC207" t="s">
        <v>57</v>
      </c>
      <c r="CD207" t="s">
        <v>57</v>
      </c>
      <c r="CE207" t="s">
        <v>57</v>
      </c>
      <c r="CF207" t="s">
        <v>57</v>
      </c>
      <c r="CG207" t="s">
        <v>57</v>
      </c>
      <c r="CH207" t="s">
        <v>57</v>
      </c>
      <c r="CI207" t="s">
        <v>57</v>
      </c>
      <c r="CJ207" t="s">
        <v>57</v>
      </c>
      <c r="CK207" t="s">
        <v>148</v>
      </c>
      <c r="CL207" t="s">
        <v>148</v>
      </c>
      <c r="CM207" t="s">
        <v>148</v>
      </c>
      <c r="CN207" t="s">
        <v>57</v>
      </c>
      <c r="CO207" t="s">
        <v>57</v>
      </c>
      <c r="CP207" t="s">
        <v>57</v>
      </c>
      <c r="CQ207" t="s">
        <v>57</v>
      </c>
      <c r="CR207" t="s">
        <v>57</v>
      </c>
      <c r="CS207" t="s">
        <v>57</v>
      </c>
      <c r="CT207" t="s">
        <v>57</v>
      </c>
      <c r="CU207" t="s">
        <v>57</v>
      </c>
      <c r="CV207" t="s">
        <v>57</v>
      </c>
      <c r="CW207" t="s">
        <v>57</v>
      </c>
      <c r="CX207" t="s">
        <v>57</v>
      </c>
      <c r="CY207" t="s">
        <v>57</v>
      </c>
      <c r="CZ207" t="s">
        <v>57</v>
      </c>
      <c r="DA207" t="s">
        <v>57</v>
      </c>
      <c r="DB207" t="s">
        <v>57</v>
      </c>
      <c r="DC207" t="s">
        <v>57</v>
      </c>
      <c r="DD207" t="s">
        <v>57</v>
      </c>
      <c r="DE207" t="s">
        <v>57</v>
      </c>
      <c r="DF207" t="s">
        <v>57</v>
      </c>
      <c r="DG207" t="s">
        <v>57</v>
      </c>
      <c r="DH207" t="s">
        <v>57</v>
      </c>
      <c r="DI207" t="s">
        <v>57</v>
      </c>
      <c r="DJ207" t="s">
        <v>57</v>
      </c>
      <c r="DK207" t="s">
        <v>148</v>
      </c>
      <c r="DL207" t="s">
        <v>57</v>
      </c>
      <c r="DM207" t="s">
        <v>148</v>
      </c>
      <c r="DN207" t="s">
        <v>148</v>
      </c>
      <c r="DO207" t="s">
        <v>148</v>
      </c>
      <c r="DP207" t="s">
        <v>148</v>
      </c>
      <c r="DQ207" t="s">
        <v>148</v>
      </c>
      <c r="DR207" t="s">
        <v>148</v>
      </c>
      <c r="DS207" t="s">
        <v>148</v>
      </c>
      <c r="DT207" t="s">
        <v>148</v>
      </c>
      <c r="DU207" t="s">
        <v>148</v>
      </c>
      <c r="DV207" t="s">
        <v>148</v>
      </c>
      <c r="DW207" t="s">
        <v>148</v>
      </c>
      <c r="DX207" t="s">
        <v>148</v>
      </c>
      <c r="DY207" t="s">
        <v>148</v>
      </c>
      <c r="DZ207" t="s">
        <v>57</v>
      </c>
      <c r="EA207" t="s">
        <v>57</v>
      </c>
      <c r="EB207" t="s">
        <v>57</v>
      </c>
      <c r="EC207" t="s">
        <v>57</v>
      </c>
      <c r="ED207" t="s">
        <v>57</v>
      </c>
      <c r="EE207" t="s">
        <v>148</v>
      </c>
      <c r="EF207" t="s">
        <v>148</v>
      </c>
      <c r="EG207" t="s">
        <v>148</v>
      </c>
      <c r="EH207" t="s">
        <v>148</v>
      </c>
      <c r="EI207" t="s">
        <v>57</v>
      </c>
      <c r="EJ207" t="s">
        <v>57</v>
      </c>
      <c r="EK207" t="s">
        <v>57</v>
      </c>
      <c r="EL207" t="s">
        <v>57</v>
      </c>
      <c r="EM207" t="s">
        <v>57</v>
      </c>
      <c r="EN207" t="s">
        <v>57</v>
      </c>
      <c r="EO207" t="s">
        <v>57</v>
      </c>
      <c r="EP207" t="s">
        <v>57</v>
      </c>
      <c r="EQ207" t="s">
        <v>57</v>
      </c>
      <c r="ER207" t="s">
        <v>57</v>
      </c>
      <c r="ES207" t="s">
        <v>57</v>
      </c>
      <c r="ET207" t="s">
        <v>57</v>
      </c>
      <c r="EU207" t="s">
        <v>57</v>
      </c>
      <c r="EV207" t="s">
        <v>57</v>
      </c>
      <c r="EW207" t="s">
        <v>148</v>
      </c>
      <c r="EX207" t="s">
        <v>148</v>
      </c>
      <c r="EY207" t="s">
        <v>148</v>
      </c>
      <c r="EZ207" t="s">
        <v>148</v>
      </c>
      <c r="FA207" t="s">
        <v>148</v>
      </c>
      <c r="FB207" t="s">
        <v>148</v>
      </c>
      <c r="FC207" t="s">
        <v>148</v>
      </c>
      <c r="FD207" t="s">
        <v>57</v>
      </c>
      <c r="FE207" t="s">
        <v>148</v>
      </c>
      <c r="FF207" t="s">
        <v>148</v>
      </c>
      <c r="FG207" t="s">
        <v>148</v>
      </c>
      <c r="FH207" t="s">
        <v>57</v>
      </c>
      <c r="FI207" t="s">
        <v>57</v>
      </c>
      <c r="FJ207" t="s">
        <v>57</v>
      </c>
      <c r="FK207" t="s">
        <v>57</v>
      </c>
      <c r="FL207" t="s">
        <v>57</v>
      </c>
      <c r="FM207" t="s">
        <v>57</v>
      </c>
      <c r="FN207" t="s">
        <v>57</v>
      </c>
      <c r="FO207" t="s">
        <v>148</v>
      </c>
      <c r="FP207" t="s">
        <v>57</v>
      </c>
      <c r="FQ207" t="s">
        <v>57</v>
      </c>
      <c r="FR207" t="s">
        <v>57</v>
      </c>
      <c r="FS207" t="s">
        <v>57</v>
      </c>
      <c r="FT207" t="s">
        <v>57</v>
      </c>
      <c r="FU207" t="s">
        <v>57</v>
      </c>
      <c r="FV207" t="s">
        <v>57</v>
      </c>
      <c r="FW207" t="s">
        <v>57</v>
      </c>
      <c r="FX207" t="s">
        <v>57</v>
      </c>
      <c r="FY207" t="s">
        <v>57</v>
      </c>
      <c r="FZ207" t="s">
        <v>57</v>
      </c>
      <c r="GA207" t="s">
        <v>57</v>
      </c>
      <c r="GB207" t="s">
        <v>57</v>
      </c>
      <c r="GC207" t="s">
        <v>57</v>
      </c>
      <c r="GD207" t="s">
        <v>57</v>
      </c>
      <c r="GE207" t="s">
        <v>57</v>
      </c>
      <c r="GF207" t="s">
        <v>57</v>
      </c>
      <c r="GG207" t="s">
        <v>148</v>
      </c>
      <c r="GH207" t="s">
        <v>57</v>
      </c>
      <c r="GI207" t="s">
        <v>57</v>
      </c>
      <c r="GJ207" t="s">
        <v>57</v>
      </c>
      <c r="GK207" t="s">
        <v>57</v>
      </c>
      <c r="GL207" t="s">
        <v>57</v>
      </c>
      <c r="GM207" t="s">
        <v>57</v>
      </c>
      <c r="GN207" t="s">
        <v>57</v>
      </c>
      <c r="GO207" t="s">
        <v>57</v>
      </c>
      <c r="GP207" t="s">
        <v>57</v>
      </c>
      <c r="GQ207" t="s">
        <v>148</v>
      </c>
      <c r="GR207" t="s">
        <v>57</v>
      </c>
      <c r="GS207" t="s">
        <v>57</v>
      </c>
      <c r="GT207" t="s">
        <v>57</v>
      </c>
      <c r="GU207" t="s">
        <v>57</v>
      </c>
      <c r="GV207" t="s">
        <v>148</v>
      </c>
      <c r="GW207" t="s">
        <v>57</v>
      </c>
      <c r="GX207" t="s">
        <v>148</v>
      </c>
      <c r="GY207" t="s">
        <v>57</v>
      </c>
      <c r="GZ207" t="s">
        <v>57</v>
      </c>
      <c r="HA207" t="s">
        <v>57</v>
      </c>
      <c r="HB207" t="s">
        <v>57</v>
      </c>
      <c r="HC207" t="s">
        <v>57</v>
      </c>
      <c r="HD207" t="s">
        <v>57</v>
      </c>
      <c r="HE207" t="s">
        <v>57</v>
      </c>
      <c r="HF207" t="s">
        <v>57</v>
      </c>
      <c r="HG207" t="s">
        <v>57</v>
      </c>
      <c r="HH207" t="s">
        <v>57</v>
      </c>
      <c r="HI207" t="s">
        <v>148</v>
      </c>
      <c r="HJ207" t="s">
        <v>148</v>
      </c>
      <c r="HK207" t="s">
        <v>148</v>
      </c>
      <c r="HL207" t="s">
        <v>57</v>
      </c>
      <c r="HM207" t="s">
        <v>57</v>
      </c>
      <c r="HN207" t="s">
        <v>57</v>
      </c>
      <c r="HO207" t="s">
        <v>57</v>
      </c>
      <c r="HP207" t="s">
        <v>57</v>
      </c>
      <c r="HQ207" t="s">
        <v>57</v>
      </c>
      <c r="HR207" t="s">
        <v>57</v>
      </c>
      <c r="HS207" t="s">
        <v>57</v>
      </c>
      <c r="HT207" t="s">
        <v>57</v>
      </c>
      <c r="HU207" t="s">
        <v>57</v>
      </c>
      <c r="HV207" t="s">
        <v>57</v>
      </c>
      <c r="HW207" t="s">
        <v>57</v>
      </c>
      <c r="HX207" t="s">
        <v>57</v>
      </c>
      <c r="HY207" t="s">
        <v>57</v>
      </c>
      <c r="HZ207" t="s">
        <v>57</v>
      </c>
      <c r="IA207" t="s">
        <v>57</v>
      </c>
      <c r="IB207" t="s">
        <v>57</v>
      </c>
      <c r="IC207" t="s">
        <v>57</v>
      </c>
      <c r="ID207" t="s">
        <v>57</v>
      </c>
      <c r="IE207" t="s">
        <v>57</v>
      </c>
      <c r="IF207" t="s">
        <v>124</v>
      </c>
      <c r="IG207" t="s">
        <v>155</v>
      </c>
      <c r="IH207" t="s">
        <v>123</v>
      </c>
      <c r="II207" t="s">
        <v>156</v>
      </c>
    </row>
    <row r="208" spans="1:243" x14ac:dyDescent="0.25">
      <c r="A208" s="201" t="str">
        <f>HYPERLINK("http://www.ofsted.gov.uk/inspection-reports/find-inspection-report/provider/ELS/137795 ","Ofsted School Webpage")</f>
        <v>Ofsted School Webpage</v>
      </c>
      <c r="B208">
        <v>137795</v>
      </c>
      <c r="C208">
        <v>8866137</v>
      </c>
      <c r="D208" t="s">
        <v>1161</v>
      </c>
      <c r="E208" t="s">
        <v>37</v>
      </c>
      <c r="F208" t="s">
        <v>138</v>
      </c>
      <c r="G208" t="s">
        <v>139</v>
      </c>
      <c r="H208" t="s">
        <v>139</v>
      </c>
      <c r="I208" t="s">
        <v>140</v>
      </c>
      <c r="J208" t="s">
        <v>1162</v>
      </c>
      <c r="K208" t="s">
        <v>142</v>
      </c>
      <c r="L208" t="s">
        <v>142</v>
      </c>
      <c r="M208" t="s">
        <v>2596</v>
      </c>
      <c r="N208" t="s">
        <v>143</v>
      </c>
      <c r="O208">
        <v>10008591</v>
      </c>
      <c r="P208" s="108">
        <v>43074</v>
      </c>
      <c r="Q208" s="108">
        <v>43076</v>
      </c>
      <c r="R208" s="108">
        <v>43111</v>
      </c>
      <c r="S208" t="s">
        <v>153</v>
      </c>
      <c r="T208" t="s">
        <v>154</v>
      </c>
      <c r="U208">
        <v>2</v>
      </c>
      <c r="V208">
        <v>2</v>
      </c>
      <c r="W208">
        <v>1</v>
      </c>
      <c r="X208">
        <v>2</v>
      </c>
      <c r="Y208">
        <v>2</v>
      </c>
      <c r="Z208" t="s">
        <v>2596</v>
      </c>
      <c r="AA208" t="s">
        <v>2596</v>
      </c>
      <c r="AB208" t="s">
        <v>123</v>
      </c>
      <c r="AC208" t="s">
        <v>2596</v>
      </c>
      <c r="AD208" t="s">
        <v>2598</v>
      </c>
      <c r="AE208" t="s">
        <v>57</v>
      </c>
      <c r="AF208" t="s">
        <v>57</v>
      </c>
      <c r="AG208" t="s">
        <v>57</v>
      </c>
      <c r="AH208" t="s">
        <v>57</v>
      </c>
      <c r="AI208" t="s">
        <v>57</v>
      </c>
      <c r="AJ208" t="s">
        <v>57</v>
      </c>
      <c r="AK208" t="s">
        <v>57</v>
      </c>
      <c r="AL208" t="s">
        <v>57</v>
      </c>
      <c r="AM208" t="s">
        <v>57</v>
      </c>
      <c r="AN208" t="s">
        <v>57</v>
      </c>
      <c r="AO208" t="s">
        <v>57</v>
      </c>
      <c r="AP208" t="s">
        <v>57</v>
      </c>
      <c r="AQ208" t="s">
        <v>57</v>
      </c>
      <c r="AR208" t="s">
        <v>57</v>
      </c>
      <c r="AS208" t="s">
        <v>57</v>
      </c>
      <c r="AT208" t="s">
        <v>57</v>
      </c>
      <c r="AU208" t="s">
        <v>148</v>
      </c>
      <c r="AV208" t="s">
        <v>57</v>
      </c>
      <c r="AW208" t="s">
        <v>57</v>
      </c>
      <c r="AX208" t="s">
        <v>57</v>
      </c>
      <c r="AY208" t="s">
        <v>57</v>
      </c>
      <c r="AZ208" t="s">
        <v>57</v>
      </c>
      <c r="BA208" t="s">
        <v>57</v>
      </c>
      <c r="BB208" t="s">
        <v>57</v>
      </c>
      <c r="BC208" t="s">
        <v>148</v>
      </c>
      <c r="BD208" t="s">
        <v>148</v>
      </c>
      <c r="BE208" t="s">
        <v>57</v>
      </c>
      <c r="BF208" t="s">
        <v>57</v>
      </c>
      <c r="BG208" t="s">
        <v>57</v>
      </c>
      <c r="BH208" t="s">
        <v>57</v>
      </c>
      <c r="BI208" t="s">
        <v>57</v>
      </c>
      <c r="BJ208" t="s">
        <v>57</v>
      </c>
      <c r="BK208" t="s">
        <v>57</v>
      </c>
      <c r="BL208" t="s">
        <v>57</v>
      </c>
      <c r="BM208" t="s">
        <v>57</v>
      </c>
      <c r="BN208" t="s">
        <v>57</v>
      </c>
      <c r="BO208" t="s">
        <v>57</v>
      </c>
      <c r="BP208" t="s">
        <v>57</v>
      </c>
      <c r="BQ208" t="s">
        <v>57</v>
      </c>
      <c r="BR208" t="s">
        <v>57</v>
      </c>
      <c r="BS208" t="s">
        <v>57</v>
      </c>
      <c r="BT208" t="s">
        <v>57</v>
      </c>
      <c r="BU208" t="s">
        <v>57</v>
      </c>
      <c r="BV208" t="s">
        <v>57</v>
      </c>
      <c r="BW208" t="s">
        <v>57</v>
      </c>
      <c r="BX208" t="s">
        <v>57</v>
      </c>
      <c r="BY208" t="s">
        <v>57</v>
      </c>
      <c r="BZ208" t="s">
        <v>57</v>
      </c>
      <c r="CA208" t="s">
        <v>57</v>
      </c>
      <c r="CB208" t="s">
        <v>57</v>
      </c>
      <c r="CC208" t="s">
        <v>57</v>
      </c>
      <c r="CD208" t="s">
        <v>57</v>
      </c>
      <c r="CE208" t="s">
        <v>57</v>
      </c>
      <c r="CF208" t="s">
        <v>57</v>
      </c>
      <c r="CG208" t="s">
        <v>57</v>
      </c>
      <c r="CH208" t="s">
        <v>57</v>
      </c>
      <c r="CI208" t="s">
        <v>57</v>
      </c>
      <c r="CJ208" t="s">
        <v>57</v>
      </c>
      <c r="CK208" t="s">
        <v>148</v>
      </c>
      <c r="CL208" t="s">
        <v>148</v>
      </c>
      <c r="CM208" t="s">
        <v>148</v>
      </c>
      <c r="CN208" t="s">
        <v>57</v>
      </c>
      <c r="CO208" t="s">
        <v>57</v>
      </c>
      <c r="CP208" t="s">
        <v>57</v>
      </c>
      <c r="CQ208" t="s">
        <v>57</v>
      </c>
      <c r="CR208" t="s">
        <v>57</v>
      </c>
      <c r="CS208" t="s">
        <v>57</v>
      </c>
      <c r="CT208" t="s">
        <v>57</v>
      </c>
      <c r="CU208" t="s">
        <v>57</v>
      </c>
      <c r="CV208" t="s">
        <v>57</v>
      </c>
      <c r="CW208" t="s">
        <v>57</v>
      </c>
      <c r="CX208" t="s">
        <v>57</v>
      </c>
      <c r="CY208" t="s">
        <v>57</v>
      </c>
      <c r="CZ208" t="s">
        <v>57</v>
      </c>
      <c r="DA208" t="s">
        <v>57</v>
      </c>
      <c r="DB208" t="s">
        <v>57</v>
      </c>
      <c r="DC208" t="s">
        <v>57</v>
      </c>
      <c r="DD208" t="s">
        <v>57</v>
      </c>
      <c r="DE208" t="s">
        <v>57</v>
      </c>
      <c r="DF208" t="s">
        <v>57</v>
      </c>
      <c r="DG208" t="s">
        <v>57</v>
      </c>
      <c r="DH208" t="s">
        <v>57</v>
      </c>
      <c r="DI208" t="s">
        <v>57</v>
      </c>
      <c r="DJ208" t="s">
        <v>57</v>
      </c>
      <c r="DK208" t="s">
        <v>57</v>
      </c>
      <c r="DL208" t="s">
        <v>57</v>
      </c>
      <c r="DM208" t="s">
        <v>57</v>
      </c>
      <c r="DN208" t="s">
        <v>57</v>
      </c>
      <c r="DO208" t="s">
        <v>57</v>
      </c>
      <c r="DP208" t="s">
        <v>57</v>
      </c>
      <c r="DQ208" t="s">
        <v>57</v>
      </c>
      <c r="DR208" t="s">
        <v>57</v>
      </c>
      <c r="DS208" t="s">
        <v>57</v>
      </c>
      <c r="DT208" t="s">
        <v>57</v>
      </c>
      <c r="DU208" t="s">
        <v>57</v>
      </c>
      <c r="DV208" t="s">
        <v>57</v>
      </c>
      <c r="DW208" t="s">
        <v>57</v>
      </c>
      <c r="DX208" t="s">
        <v>57</v>
      </c>
      <c r="DY208" t="s">
        <v>57</v>
      </c>
      <c r="DZ208" t="s">
        <v>57</v>
      </c>
      <c r="EA208" t="s">
        <v>57</v>
      </c>
      <c r="EB208" t="s">
        <v>57</v>
      </c>
      <c r="EC208" t="s">
        <v>57</v>
      </c>
      <c r="ED208" t="s">
        <v>57</v>
      </c>
      <c r="EE208" t="s">
        <v>57</v>
      </c>
      <c r="EF208" t="s">
        <v>57</v>
      </c>
      <c r="EG208" t="s">
        <v>57</v>
      </c>
      <c r="EH208" t="s">
        <v>57</v>
      </c>
      <c r="EI208" t="s">
        <v>57</v>
      </c>
      <c r="EJ208" t="s">
        <v>57</v>
      </c>
      <c r="EK208" t="s">
        <v>57</v>
      </c>
      <c r="EL208" t="s">
        <v>57</v>
      </c>
      <c r="EM208" t="s">
        <v>57</v>
      </c>
      <c r="EN208" t="s">
        <v>57</v>
      </c>
      <c r="EO208" t="s">
        <v>57</v>
      </c>
      <c r="EP208" t="s">
        <v>57</v>
      </c>
      <c r="EQ208" t="s">
        <v>57</v>
      </c>
      <c r="ER208" t="s">
        <v>57</v>
      </c>
      <c r="ES208" t="s">
        <v>57</v>
      </c>
      <c r="ET208" t="s">
        <v>57</v>
      </c>
      <c r="EU208" t="s">
        <v>57</v>
      </c>
      <c r="EV208" t="s">
        <v>57</v>
      </c>
      <c r="EW208" t="s">
        <v>57</v>
      </c>
      <c r="EX208" t="s">
        <v>57</v>
      </c>
      <c r="EY208" t="s">
        <v>57</v>
      </c>
      <c r="EZ208" t="s">
        <v>57</v>
      </c>
      <c r="FA208" t="s">
        <v>57</v>
      </c>
      <c r="FB208" t="s">
        <v>57</v>
      </c>
      <c r="FC208" t="s">
        <v>57</v>
      </c>
      <c r="FD208" t="s">
        <v>57</v>
      </c>
      <c r="FE208" t="s">
        <v>57</v>
      </c>
      <c r="FF208" t="s">
        <v>57</v>
      </c>
      <c r="FG208" t="s">
        <v>57</v>
      </c>
      <c r="FH208" t="s">
        <v>57</v>
      </c>
      <c r="FI208" t="s">
        <v>57</v>
      </c>
      <c r="FJ208" t="s">
        <v>57</v>
      </c>
      <c r="FK208" t="s">
        <v>57</v>
      </c>
      <c r="FL208" t="s">
        <v>57</v>
      </c>
      <c r="FM208" t="s">
        <v>57</v>
      </c>
      <c r="FN208" t="s">
        <v>57</v>
      </c>
      <c r="FO208" t="s">
        <v>148</v>
      </c>
      <c r="FP208" t="s">
        <v>57</v>
      </c>
      <c r="FQ208" t="s">
        <v>57</v>
      </c>
      <c r="FR208" t="s">
        <v>57</v>
      </c>
      <c r="FS208" t="s">
        <v>57</v>
      </c>
      <c r="FT208" t="s">
        <v>57</v>
      </c>
      <c r="FU208" t="s">
        <v>57</v>
      </c>
      <c r="FV208" t="s">
        <v>57</v>
      </c>
      <c r="FW208" t="s">
        <v>57</v>
      </c>
      <c r="FX208" t="s">
        <v>57</v>
      </c>
      <c r="FY208" t="s">
        <v>57</v>
      </c>
      <c r="FZ208" t="s">
        <v>57</v>
      </c>
      <c r="GA208" t="s">
        <v>57</v>
      </c>
      <c r="GB208" t="s">
        <v>57</v>
      </c>
      <c r="GC208" t="s">
        <v>57</v>
      </c>
      <c r="GD208" t="s">
        <v>57</v>
      </c>
      <c r="GE208" t="s">
        <v>57</v>
      </c>
      <c r="GF208" t="s">
        <v>57</v>
      </c>
      <c r="GG208" t="s">
        <v>148</v>
      </c>
      <c r="GH208" t="s">
        <v>57</v>
      </c>
      <c r="GI208" t="s">
        <v>57</v>
      </c>
      <c r="GJ208" t="s">
        <v>57</v>
      </c>
      <c r="GK208" t="s">
        <v>57</v>
      </c>
      <c r="GL208" t="s">
        <v>57</v>
      </c>
      <c r="GM208" t="s">
        <v>57</v>
      </c>
      <c r="GN208" t="s">
        <v>57</v>
      </c>
      <c r="GO208" t="s">
        <v>57</v>
      </c>
      <c r="GP208" t="s">
        <v>57</v>
      </c>
      <c r="GQ208" t="s">
        <v>57</v>
      </c>
      <c r="GR208" t="s">
        <v>57</v>
      </c>
      <c r="GS208" t="s">
        <v>57</v>
      </c>
      <c r="GT208" t="s">
        <v>57</v>
      </c>
      <c r="GU208" t="s">
        <v>57</v>
      </c>
      <c r="GV208" t="s">
        <v>148</v>
      </c>
      <c r="GW208" t="s">
        <v>57</v>
      </c>
      <c r="GX208" t="s">
        <v>148</v>
      </c>
      <c r="GY208" t="s">
        <v>57</v>
      </c>
      <c r="GZ208" t="s">
        <v>57</v>
      </c>
      <c r="HA208" t="s">
        <v>57</v>
      </c>
      <c r="HB208" t="s">
        <v>57</v>
      </c>
      <c r="HC208" t="s">
        <v>57</v>
      </c>
      <c r="HD208" t="s">
        <v>57</v>
      </c>
      <c r="HE208" t="s">
        <v>57</v>
      </c>
      <c r="HF208" t="s">
        <v>57</v>
      </c>
      <c r="HG208" t="s">
        <v>57</v>
      </c>
      <c r="HH208" t="s">
        <v>57</v>
      </c>
      <c r="HI208" t="s">
        <v>57</v>
      </c>
      <c r="HJ208" t="s">
        <v>57</v>
      </c>
      <c r="HK208" t="s">
        <v>57</v>
      </c>
      <c r="HL208" t="s">
        <v>57</v>
      </c>
      <c r="HM208" t="s">
        <v>57</v>
      </c>
      <c r="HN208" t="s">
        <v>57</v>
      </c>
      <c r="HO208" t="s">
        <v>57</v>
      </c>
      <c r="HP208" t="s">
        <v>57</v>
      </c>
      <c r="HQ208" t="s">
        <v>57</v>
      </c>
      <c r="HR208" t="s">
        <v>57</v>
      </c>
      <c r="HS208" t="s">
        <v>57</v>
      </c>
      <c r="HT208" t="s">
        <v>57</v>
      </c>
      <c r="HU208" t="s">
        <v>57</v>
      </c>
      <c r="HV208" t="s">
        <v>57</v>
      </c>
      <c r="HW208" t="s">
        <v>57</v>
      </c>
      <c r="HX208" t="s">
        <v>57</v>
      </c>
      <c r="HY208" t="s">
        <v>57</v>
      </c>
      <c r="HZ208" t="s">
        <v>57</v>
      </c>
      <c r="IA208" t="s">
        <v>57</v>
      </c>
      <c r="IB208" t="s">
        <v>57</v>
      </c>
      <c r="IC208" t="s">
        <v>57</v>
      </c>
      <c r="ID208" t="s">
        <v>57</v>
      </c>
      <c r="IE208" t="s">
        <v>57</v>
      </c>
      <c r="IF208" t="s">
        <v>124</v>
      </c>
      <c r="IG208" t="s">
        <v>155</v>
      </c>
      <c r="IH208" t="s">
        <v>123</v>
      </c>
      <c r="II208" t="s">
        <v>156</v>
      </c>
    </row>
    <row r="209" spans="1:243" x14ac:dyDescent="0.25">
      <c r="A209" s="201" t="str">
        <f>HYPERLINK("http://www.ofsted.gov.uk/inspection-reports/find-inspection-report/provider/ELS/137890 ","Ofsted School Webpage")</f>
        <v>Ofsted School Webpage</v>
      </c>
      <c r="B209">
        <v>137890</v>
      </c>
      <c r="C209">
        <v>3026003</v>
      </c>
      <c r="D209" t="s">
        <v>267</v>
      </c>
      <c r="E209" t="s">
        <v>37</v>
      </c>
      <c r="F209" t="s">
        <v>138</v>
      </c>
      <c r="G209" t="s">
        <v>189</v>
      </c>
      <c r="H209" t="s">
        <v>189</v>
      </c>
      <c r="I209" t="s">
        <v>268</v>
      </c>
      <c r="J209" t="s">
        <v>269</v>
      </c>
      <c r="K209" t="s">
        <v>142</v>
      </c>
      <c r="L209" t="s">
        <v>142</v>
      </c>
      <c r="M209" t="s">
        <v>2596</v>
      </c>
      <c r="N209" t="s">
        <v>143</v>
      </c>
      <c r="O209">
        <v>10008526</v>
      </c>
      <c r="P209" s="108">
        <v>42998</v>
      </c>
      <c r="Q209" s="108">
        <v>43000</v>
      </c>
      <c r="R209" s="108">
        <v>43052</v>
      </c>
      <c r="S209" t="s">
        <v>153</v>
      </c>
      <c r="T209" t="s">
        <v>154</v>
      </c>
      <c r="U209">
        <v>3</v>
      </c>
      <c r="V209">
        <v>3</v>
      </c>
      <c r="W209">
        <v>1</v>
      </c>
      <c r="X209">
        <v>3</v>
      </c>
      <c r="Y209">
        <v>3</v>
      </c>
      <c r="Z209" t="s">
        <v>2596</v>
      </c>
      <c r="AA209" t="s">
        <v>2596</v>
      </c>
      <c r="AB209" t="s">
        <v>123</v>
      </c>
      <c r="AC209" t="s">
        <v>2596</v>
      </c>
      <c r="AD209" t="s">
        <v>2598</v>
      </c>
      <c r="AE209" t="s">
        <v>57</v>
      </c>
      <c r="AF209" t="s">
        <v>57</v>
      </c>
      <c r="AG209" t="s">
        <v>57</v>
      </c>
      <c r="AH209" t="s">
        <v>57</v>
      </c>
      <c r="AI209" t="s">
        <v>57</v>
      </c>
      <c r="AJ209" t="s">
        <v>57</v>
      </c>
      <c r="AK209" t="s">
        <v>57</v>
      </c>
      <c r="AL209" t="s">
        <v>57</v>
      </c>
      <c r="AM209" t="s">
        <v>57</v>
      </c>
      <c r="AN209" t="s">
        <v>57</v>
      </c>
      <c r="AO209" t="s">
        <v>57</v>
      </c>
      <c r="AP209" t="s">
        <v>57</v>
      </c>
      <c r="AQ209" t="s">
        <v>57</v>
      </c>
      <c r="AR209" t="s">
        <v>57</v>
      </c>
      <c r="AS209" t="s">
        <v>57</v>
      </c>
      <c r="AT209" t="s">
        <v>57</v>
      </c>
      <c r="AU209" t="s">
        <v>148</v>
      </c>
      <c r="AV209" t="s">
        <v>57</v>
      </c>
      <c r="AW209" t="s">
        <v>57</v>
      </c>
      <c r="AX209" t="s">
        <v>57</v>
      </c>
      <c r="AY209" t="s">
        <v>148</v>
      </c>
      <c r="AZ209" t="s">
        <v>148</v>
      </c>
      <c r="BA209" t="s">
        <v>148</v>
      </c>
      <c r="BB209" t="s">
        <v>148</v>
      </c>
      <c r="BC209" t="s">
        <v>148</v>
      </c>
      <c r="BD209" t="s">
        <v>148</v>
      </c>
      <c r="BE209" t="s">
        <v>57</v>
      </c>
      <c r="BF209" t="s">
        <v>57</v>
      </c>
      <c r="BG209" t="s">
        <v>57</v>
      </c>
      <c r="BH209" t="s">
        <v>57</v>
      </c>
      <c r="BI209" t="s">
        <v>57</v>
      </c>
      <c r="BJ209" t="s">
        <v>57</v>
      </c>
      <c r="BK209" t="s">
        <v>57</v>
      </c>
      <c r="BL209" t="s">
        <v>57</v>
      </c>
      <c r="BM209" t="s">
        <v>57</v>
      </c>
      <c r="BN209" t="s">
        <v>57</v>
      </c>
      <c r="BO209" t="s">
        <v>57</v>
      </c>
      <c r="BP209" t="s">
        <v>57</v>
      </c>
      <c r="BQ209" t="s">
        <v>57</v>
      </c>
      <c r="BR209" t="s">
        <v>57</v>
      </c>
      <c r="BS209" t="s">
        <v>57</v>
      </c>
      <c r="BT209" t="s">
        <v>57</v>
      </c>
      <c r="BU209" t="s">
        <v>57</v>
      </c>
      <c r="BV209" t="s">
        <v>57</v>
      </c>
      <c r="BW209" t="s">
        <v>57</v>
      </c>
      <c r="BX209" t="s">
        <v>57</v>
      </c>
      <c r="BY209" t="s">
        <v>57</v>
      </c>
      <c r="BZ209" t="s">
        <v>57</v>
      </c>
      <c r="CA209" t="s">
        <v>57</v>
      </c>
      <c r="CB209" t="s">
        <v>57</v>
      </c>
      <c r="CC209" t="s">
        <v>57</v>
      </c>
      <c r="CD209" t="s">
        <v>57</v>
      </c>
      <c r="CE209" t="s">
        <v>57</v>
      </c>
      <c r="CF209" t="s">
        <v>57</v>
      </c>
      <c r="CG209" t="s">
        <v>57</v>
      </c>
      <c r="CH209" t="s">
        <v>57</v>
      </c>
      <c r="CI209" t="s">
        <v>57</v>
      </c>
      <c r="CJ209" t="s">
        <v>57</v>
      </c>
      <c r="CK209" t="s">
        <v>148</v>
      </c>
      <c r="CL209" t="s">
        <v>148</v>
      </c>
      <c r="CM209" t="s">
        <v>148</v>
      </c>
      <c r="CN209" t="s">
        <v>57</v>
      </c>
      <c r="CO209" t="s">
        <v>57</v>
      </c>
      <c r="CP209" t="s">
        <v>57</v>
      </c>
      <c r="CQ209" t="s">
        <v>57</v>
      </c>
      <c r="CR209" t="s">
        <v>57</v>
      </c>
      <c r="CS209" t="s">
        <v>57</v>
      </c>
      <c r="CT209" t="s">
        <v>57</v>
      </c>
      <c r="CU209" t="s">
        <v>57</v>
      </c>
      <c r="CV209" t="s">
        <v>57</v>
      </c>
      <c r="CW209" t="s">
        <v>57</v>
      </c>
      <c r="CX209" t="s">
        <v>57</v>
      </c>
      <c r="CY209" t="s">
        <v>57</v>
      </c>
      <c r="CZ209" t="s">
        <v>57</v>
      </c>
      <c r="DA209" t="s">
        <v>57</v>
      </c>
      <c r="DB209" t="s">
        <v>57</v>
      </c>
      <c r="DC209" t="s">
        <v>57</v>
      </c>
      <c r="DD209" t="s">
        <v>57</v>
      </c>
      <c r="DE209" t="s">
        <v>57</v>
      </c>
      <c r="DF209" t="s">
        <v>57</v>
      </c>
      <c r="DG209" t="s">
        <v>57</v>
      </c>
      <c r="DH209" t="s">
        <v>57</v>
      </c>
      <c r="DI209" t="s">
        <v>57</v>
      </c>
      <c r="DJ209" t="s">
        <v>57</v>
      </c>
      <c r="DK209" t="s">
        <v>148</v>
      </c>
      <c r="DL209" t="s">
        <v>57</v>
      </c>
      <c r="DM209" t="s">
        <v>57</v>
      </c>
      <c r="DN209" t="s">
        <v>57</v>
      </c>
      <c r="DO209" t="s">
        <v>57</v>
      </c>
      <c r="DP209" t="s">
        <v>57</v>
      </c>
      <c r="DQ209" t="s">
        <v>57</v>
      </c>
      <c r="DR209" t="s">
        <v>57</v>
      </c>
      <c r="DS209" t="s">
        <v>57</v>
      </c>
      <c r="DT209" t="s">
        <v>57</v>
      </c>
      <c r="DU209" t="s">
        <v>57</v>
      </c>
      <c r="DV209" t="s">
        <v>57</v>
      </c>
      <c r="DW209" t="s">
        <v>57</v>
      </c>
      <c r="DX209" t="s">
        <v>57</v>
      </c>
      <c r="DY209" t="s">
        <v>148</v>
      </c>
      <c r="DZ209" t="s">
        <v>57</v>
      </c>
      <c r="EA209" t="s">
        <v>148</v>
      </c>
      <c r="EB209" t="s">
        <v>148</v>
      </c>
      <c r="EC209" t="s">
        <v>148</v>
      </c>
      <c r="ED209" t="s">
        <v>148</v>
      </c>
      <c r="EE209" t="s">
        <v>148</v>
      </c>
      <c r="EF209" t="s">
        <v>148</v>
      </c>
      <c r="EG209" t="s">
        <v>148</v>
      </c>
      <c r="EH209" t="s">
        <v>148</v>
      </c>
      <c r="EI209" t="s">
        <v>57</v>
      </c>
      <c r="EJ209" t="s">
        <v>57</v>
      </c>
      <c r="EK209" t="s">
        <v>57</v>
      </c>
      <c r="EL209" t="s">
        <v>57</v>
      </c>
      <c r="EM209" t="s">
        <v>57</v>
      </c>
      <c r="EN209" t="s">
        <v>57</v>
      </c>
      <c r="EO209" t="s">
        <v>57</v>
      </c>
      <c r="EP209" t="s">
        <v>57</v>
      </c>
      <c r="EQ209" t="s">
        <v>57</v>
      </c>
      <c r="ER209" t="s">
        <v>57</v>
      </c>
      <c r="ES209" t="s">
        <v>57</v>
      </c>
      <c r="ET209" t="s">
        <v>57</v>
      </c>
      <c r="EU209" t="s">
        <v>57</v>
      </c>
      <c r="EV209" t="s">
        <v>57</v>
      </c>
      <c r="EW209" t="s">
        <v>148</v>
      </c>
      <c r="EX209" t="s">
        <v>57</v>
      </c>
      <c r="EY209" t="s">
        <v>57</v>
      </c>
      <c r="EZ209" t="s">
        <v>57</v>
      </c>
      <c r="FA209" t="s">
        <v>57</v>
      </c>
      <c r="FB209" t="s">
        <v>57</v>
      </c>
      <c r="FC209" t="s">
        <v>57</v>
      </c>
      <c r="FD209" t="s">
        <v>57</v>
      </c>
      <c r="FE209" t="s">
        <v>148</v>
      </c>
      <c r="FF209" t="s">
        <v>148</v>
      </c>
      <c r="FG209" t="s">
        <v>148</v>
      </c>
      <c r="FH209" t="s">
        <v>57</v>
      </c>
      <c r="FI209" t="s">
        <v>57</v>
      </c>
      <c r="FJ209" t="s">
        <v>57</v>
      </c>
      <c r="FK209" t="s">
        <v>148</v>
      </c>
      <c r="FL209" t="s">
        <v>57</v>
      </c>
      <c r="FM209" t="s">
        <v>57</v>
      </c>
      <c r="FN209" t="s">
        <v>57</v>
      </c>
      <c r="FO209" t="s">
        <v>148</v>
      </c>
      <c r="FP209" t="s">
        <v>57</v>
      </c>
      <c r="FQ209" t="s">
        <v>57</v>
      </c>
      <c r="FR209" t="s">
        <v>57</v>
      </c>
      <c r="FS209" t="s">
        <v>57</v>
      </c>
      <c r="FT209" t="s">
        <v>57</v>
      </c>
      <c r="FU209" t="s">
        <v>57</v>
      </c>
      <c r="FV209" t="s">
        <v>57</v>
      </c>
      <c r="FW209" t="s">
        <v>57</v>
      </c>
      <c r="FX209" t="s">
        <v>57</v>
      </c>
      <c r="FY209" t="s">
        <v>57</v>
      </c>
      <c r="FZ209" t="s">
        <v>57</v>
      </c>
      <c r="GA209" t="s">
        <v>57</v>
      </c>
      <c r="GB209" t="s">
        <v>57</v>
      </c>
      <c r="GC209" t="s">
        <v>57</v>
      </c>
      <c r="GD209" t="s">
        <v>57</v>
      </c>
      <c r="GE209" t="s">
        <v>57</v>
      </c>
      <c r="GF209" t="s">
        <v>57</v>
      </c>
      <c r="GG209" t="s">
        <v>148</v>
      </c>
      <c r="GH209" t="s">
        <v>57</v>
      </c>
      <c r="GI209" t="s">
        <v>57</v>
      </c>
      <c r="GJ209" t="s">
        <v>57</v>
      </c>
      <c r="GK209" t="s">
        <v>57</v>
      </c>
      <c r="GL209" t="s">
        <v>57</v>
      </c>
      <c r="GM209" t="s">
        <v>148</v>
      </c>
      <c r="GN209" t="s">
        <v>57</v>
      </c>
      <c r="GO209" t="s">
        <v>57</v>
      </c>
      <c r="GP209" t="s">
        <v>57</v>
      </c>
      <c r="GQ209" t="s">
        <v>57</v>
      </c>
      <c r="GR209" t="s">
        <v>57</v>
      </c>
      <c r="GS209" t="s">
        <v>57</v>
      </c>
      <c r="GT209" t="s">
        <v>57</v>
      </c>
      <c r="GU209" t="s">
        <v>57</v>
      </c>
      <c r="GV209" t="s">
        <v>57</v>
      </c>
      <c r="GW209" t="s">
        <v>148</v>
      </c>
      <c r="GX209" t="s">
        <v>148</v>
      </c>
      <c r="GY209" t="s">
        <v>57</v>
      </c>
      <c r="GZ209" t="s">
        <v>57</v>
      </c>
      <c r="HA209" t="s">
        <v>57</v>
      </c>
      <c r="HB209" t="s">
        <v>57</v>
      </c>
      <c r="HC209" t="s">
        <v>57</v>
      </c>
      <c r="HD209" t="s">
        <v>57</v>
      </c>
      <c r="HE209" t="s">
        <v>148</v>
      </c>
      <c r="HF209" t="s">
        <v>57</v>
      </c>
      <c r="HG209" t="s">
        <v>57</v>
      </c>
      <c r="HH209" t="s">
        <v>148</v>
      </c>
      <c r="HI209" t="s">
        <v>148</v>
      </c>
      <c r="HJ209" t="s">
        <v>148</v>
      </c>
      <c r="HK209" t="s">
        <v>148</v>
      </c>
      <c r="HL209" t="s">
        <v>57</v>
      </c>
      <c r="HM209" t="s">
        <v>57</v>
      </c>
      <c r="HN209" t="s">
        <v>57</v>
      </c>
      <c r="HO209" t="s">
        <v>57</v>
      </c>
      <c r="HP209" t="s">
        <v>57</v>
      </c>
      <c r="HQ209" t="s">
        <v>57</v>
      </c>
      <c r="HR209" t="s">
        <v>57</v>
      </c>
      <c r="HS209" t="s">
        <v>57</v>
      </c>
      <c r="HT209" t="s">
        <v>57</v>
      </c>
      <c r="HU209" t="s">
        <v>57</v>
      </c>
      <c r="HV209" t="s">
        <v>57</v>
      </c>
      <c r="HW209" t="s">
        <v>57</v>
      </c>
      <c r="HX209" t="s">
        <v>57</v>
      </c>
      <c r="HY209" t="s">
        <v>57</v>
      </c>
      <c r="HZ209" t="s">
        <v>57</v>
      </c>
      <c r="IA209" t="s">
        <v>57</v>
      </c>
      <c r="IB209" t="s">
        <v>57</v>
      </c>
      <c r="IC209" t="s">
        <v>57</v>
      </c>
      <c r="ID209" t="s">
        <v>57</v>
      </c>
      <c r="IE209" t="s">
        <v>57</v>
      </c>
      <c r="IF209" t="s">
        <v>124</v>
      </c>
      <c r="IG209" t="s">
        <v>155</v>
      </c>
      <c r="IH209" t="s">
        <v>123</v>
      </c>
      <c r="II209" t="s">
        <v>156</v>
      </c>
    </row>
    <row r="210" spans="1:243" x14ac:dyDescent="0.25">
      <c r="A210" s="201" t="str">
        <f>HYPERLINK("http://www.ofsted.gov.uk/inspection-reports/find-inspection-report/provider/ELS/137892 ","Ofsted School Webpage")</f>
        <v>Ofsted School Webpage</v>
      </c>
      <c r="B210">
        <v>137892</v>
      </c>
      <c r="C210">
        <v>8616007</v>
      </c>
      <c r="D210" t="s">
        <v>2424</v>
      </c>
      <c r="E210" t="s">
        <v>36</v>
      </c>
      <c r="F210" t="s">
        <v>166</v>
      </c>
      <c r="G210" t="s">
        <v>150</v>
      </c>
      <c r="H210" t="s">
        <v>150</v>
      </c>
      <c r="I210" t="s">
        <v>447</v>
      </c>
      <c r="J210" t="s">
        <v>2425</v>
      </c>
      <c r="K210" t="s">
        <v>142</v>
      </c>
      <c r="L210" t="s">
        <v>142</v>
      </c>
      <c r="M210" t="s">
        <v>2596</v>
      </c>
      <c r="N210" t="s">
        <v>143</v>
      </c>
      <c r="O210">
        <v>10026111</v>
      </c>
      <c r="P210" s="108">
        <v>43123</v>
      </c>
      <c r="Q210" s="108">
        <v>43125</v>
      </c>
      <c r="R210" s="108">
        <v>43145</v>
      </c>
      <c r="S210" t="s">
        <v>153</v>
      </c>
      <c r="T210" t="s">
        <v>154</v>
      </c>
      <c r="U210">
        <v>2</v>
      </c>
      <c r="V210">
        <v>2</v>
      </c>
      <c r="W210">
        <v>2</v>
      </c>
      <c r="X210">
        <v>2</v>
      </c>
      <c r="Y210">
        <v>2</v>
      </c>
      <c r="Z210" t="s">
        <v>2596</v>
      </c>
      <c r="AA210" t="s">
        <v>2596</v>
      </c>
      <c r="AB210" t="s">
        <v>123</v>
      </c>
      <c r="AC210" t="s">
        <v>2596</v>
      </c>
      <c r="AD210" t="s">
        <v>2598</v>
      </c>
      <c r="AE210" t="s">
        <v>57</v>
      </c>
      <c r="AF210" t="s">
        <v>57</v>
      </c>
      <c r="AG210" t="s">
        <v>57</v>
      </c>
      <c r="AH210" t="s">
        <v>57</v>
      </c>
      <c r="AI210" t="s">
        <v>57</v>
      </c>
      <c r="AJ210" t="s">
        <v>57</v>
      </c>
      <c r="AK210" t="s">
        <v>57</v>
      </c>
      <c r="AL210" t="s">
        <v>57</v>
      </c>
      <c r="AM210" t="s">
        <v>57</v>
      </c>
      <c r="AN210" t="s">
        <v>57</v>
      </c>
      <c r="AO210" t="s">
        <v>57</v>
      </c>
      <c r="AP210" t="s">
        <v>57</v>
      </c>
      <c r="AQ210" t="s">
        <v>57</v>
      </c>
      <c r="AR210" t="s">
        <v>57</v>
      </c>
      <c r="AS210" t="s">
        <v>57</v>
      </c>
      <c r="AT210" t="s">
        <v>57</v>
      </c>
      <c r="AU210" t="s">
        <v>57</v>
      </c>
      <c r="AV210" t="s">
        <v>57</v>
      </c>
      <c r="AW210" t="s">
        <v>57</v>
      </c>
      <c r="AX210" t="s">
        <v>57</v>
      </c>
      <c r="AY210" t="s">
        <v>57</v>
      </c>
      <c r="AZ210" t="s">
        <v>57</v>
      </c>
      <c r="BA210" t="s">
        <v>57</v>
      </c>
      <c r="BB210" t="s">
        <v>57</v>
      </c>
      <c r="BC210" t="s">
        <v>175</v>
      </c>
      <c r="BD210" t="s">
        <v>175</v>
      </c>
      <c r="BE210" t="s">
        <v>57</v>
      </c>
      <c r="BF210" t="s">
        <v>57</v>
      </c>
      <c r="BG210" t="s">
        <v>57</v>
      </c>
      <c r="BH210" t="s">
        <v>57</v>
      </c>
      <c r="BI210" t="s">
        <v>57</v>
      </c>
      <c r="BJ210" t="s">
        <v>57</v>
      </c>
      <c r="BK210" t="s">
        <v>57</v>
      </c>
      <c r="BL210" t="s">
        <v>57</v>
      </c>
      <c r="BM210" t="s">
        <v>57</v>
      </c>
      <c r="BN210" t="s">
        <v>57</v>
      </c>
      <c r="BO210" t="s">
        <v>57</v>
      </c>
      <c r="BP210" t="s">
        <v>57</v>
      </c>
      <c r="BQ210" t="s">
        <v>57</v>
      </c>
      <c r="BR210" t="s">
        <v>57</v>
      </c>
      <c r="BS210" t="s">
        <v>57</v>
      </c>
      <c r="BT210" t="s">
        <v>57</v>
      </c>
      <c r="BU210" t="s">
        <v>57</v>
      </c>
      <c r="BV210" t="s">
        <v>57</v>
      </c>
      <c r="BW210" t="s">
        <v>57</v>
      </c>
      <c r="BX210" t="s">
        <v>57</v>
      </c>
      <c r="BY210" t="s">
        <v>57</v>
      </c>
      <c r="BZ210" t="s">
        <v>57</v>
      </c>
      <c r="CA210" t="s">
        <v>57</v>
      </c>
      <c r="CB210" t="s">
        <v>57</v>
      </c>
      <c r="CC210" t="s">
        <v>57</v>
      </c>
      <c r="CD210" t="s">
        <v>57</v>
      </c>
      <c r="CE210" t="s">
        <v>57</v>
      </c>
      <c r="CF210" t="s">
        <v>57</v>
      </c>
      <c r="CG210" t="s">
        <v>57</v>
      </c>
      <c r="CH210" t="s">
        <v>57</v>
      </c>
      <c r="CI210" t="s">
        <v>57</v>
      </c>
      <c r="CJ210" t="s">
        <v>57</v>
      </c>
      <c r="CK210" t="s">
        <v>175</v>
      </c>
      <c r="CL210" t="s">
        <v>175</v>
      </c>
      <c r="CM210" t="s">
        <v>175</v>
      </c>
      <c r="CN210" t="s">
        <v>57</v>
      </c>
      <c r="CO210" t="s">
        <v>57</v>
      </c>
      <c r="CP210" t="s">
        <v>57</v>
      </c>
      <c r="CQ210" t="s">
        <v>57</v>
      </c>
      <c r="CR210" t="s">
        <v>57</v>
      </c>
      <c r="CS210" t="s">
        <v>57</v>
      </c>
      <c r="CT210" t="s">
        <v>57</v>
      </c>
      <c r="CU210" t="s">
        <v>57</v>
      </c>
      <c r="CV210" t="s">
        <v>57</v>
      </c>
      <c r="CW210" t="s">
        <v>57</v>
      </c>
      <c r="CX210" t="s">
        <v>57</v>
      </c>
      <c r="CY210" t="s">
        <v>57</v>
      </c>
      <c r="CZ210" t="s">
        <v>57</v>
      </c>
      <c r="DA210" t="s">
        <v>57</v>
      </c>
      <c r="DB210" t="s">
        <v>57</v>
      </c>
      <c r="DC210" t="s">
        <v>57</v>
      </c>
      <c r="DD210" t="s">
        <v>57</v>
      </c>
      <c r="DE210" t="s">
        <v>57</v>
      </c>
      <c r="DF210" t="s">
        <v>57</v>
      </c>
      <c r="DG210" t="s">
        <v>57</v>
      </c>
      <c r="DH210" t="s">
        <v>57</v>
      </c>
      <c r="DI210" t="s">
        <v>57</v>
      </c>
      <c r="DJ210" t="s">
        <v>57</v>
      </c>
      <c r="DK210" t="s">
        <v>175</v>
      </c>
      <c r="DL210" t="s">
        <v>57</v>
      </c>
      <c r="DM210" t="s">
        <v>175</v>
      </c>
      <c r="DN210" t="s">
        <v>175</v>
      </c>
      <c r="DO210" t="s">
        <v>175</v>
      </c>
      <c r="DP210" t="s">
        <v>175</v>
      </c>
      <c r="DQ210" t="s">
        <v>175</v>
      </c>
      <c r="DR210" t="s">
        <v>175</v>
      </c>
      <c r="DS210" t="s">
        <v>175</v>
      </c>
      <c r="DT210" t="s">
        <v>175</v>
      </c>
      <c r="DU210" t="s">
        <v>175</v>
      </c>
      <c r="DV210" t="s">
        <v>175</v>
      </c>
      <c r="DW210" t="s">
        <v>175</v>
      </c>
      <c r="DX210" t="s">
        <v>175</v>
      </c>
      <c r="DY210" t="s">
        <v>175</v>
      </c>
      <c r="DZ210" t="s">
        <v>57</v>
      </c>
      <c r="EA210" t="s">
        <v>57</v>
      </c>
      <c r="EB210" t="s">
        <v>57</v>
      </c>
      <c r="EC210" t="s">
        <v>57</v>
      </c>
      <c r="ED210" t="s">
        <v>57</v>
      </c>
      <c r="EE210" t="s">
        <v>57</v>
      </c>
      <c r="EF210" t="s">
        <v>57</v>
      </c>
      <c r="EG210" t="s">
        <v>57</v>
      </c>
      <c r="EH210" t="s">
        <v>175</v>
      </c>
      <c r="EI210" t="s">
        <v>57</v>
      </c>
      <c r="EJ210" t="s">
        <v>57</v>
      </c>
      <c r="EK210" t="s">
        <v>57</v>
      </c>
      <c r="EL210" t="s">
        <v>57</v>
      </c>
      <c r="EM210" t="s">
        <v>57</v>
      </c>
      <c r="EN210" t="s">
        <v>57</v>
      </c>
      <c r="EO210" t="s">
        <v>57</v>
      </c>
      <c r="EP210" t="s">
        <v>57</v>
      </c>
      <c r="EQ210" t="s">
        <v>57</v>
      </c>
      <c r="ER210" t="s">
        <v>57</v>
      </c>
      <c r="ES210" t="s">
        <v>57</v>
      </c>
      <c r="ET210" t="s">
        <v>57</v>
      </c>
      <c r="EU210" t="s">
        <v>57</v>
      </c>
      <c r="EV210" t="s">
        <v>57</v>
      </c>
      <c r="EW210" t="s">
        <v>175</v>
      </c>
      <c r="EX210" t="s">
        <v>175</v>
      </c>
      <c r="EY210" t="s">
        <v>175</v>
      </c>
      <c r="EZ210" t="s">
        <v>175</v>
      </c>
      <c r="FA210" t="s">
        <v>175</v>
      </c>
      <c r="FB210" t="s">
        <v>175</v>
      </c>
      <c r="FC210" t="s">
        <v>175</v>
      </c>
      <c r="FD210" t="s">
        <v>57</v>
      </c>
      <c r="FE210" t="s">
        <v>175</v>
      </c>
      <c r="FF210" t="s">
        <v>148</v>
      </c>
      <c r="FG210" t="s">
        <v>175</v>
      </c>
      <c r="FH210" t="s">
        <v>57</v>
      </c>
      <c r="FI210" t="s">
        <v>57</v>
      </c>
      <c r="FJ210" t="s">
        <v>57</v>
      </c>
      <c r="FK210" t="s">
        <v>57</v>
      </c>
      <c r="FL210" t="s">
        <v>57</v>
      </c>
      <c r="FM210" t="s">
        <v>57</v>
      </c>
      <c r="FN210" t="s">
        <v>57</v>
      </c>
      <c r="FO210" t="s">
        <v>175</v>
      </c>
      <c r="FP210" t="s">
        <v>57</v>
      </c>
      <c r="FQ210" t="s">
        <v>57</v>
      </c>
      <c r="FR210" t="s">
        <v>57</v>
      </c>
      <c r="FS210" t="s">
        <v>57</v>
      </c>
      <c r="FT210" t="s">
        <v>57</v>
      </c>
      <c r="FU210" t="s">
        <v>57</v>
      </c>
      <c r="FV210" t="s">
        <v>57</v>
      </c>
      <c r="FW210" t="s">
        <v>57</v>
      </c>
      <c r="FX210" t="s">
        <v>57</v>
      </c>
      <c r="FY210" t="s">
        <v>57</v>
      </c>
      <c r="FZ210" t="s">
        <v>57</v>
      </c>
      <c r="GA210" t="s">
        <v>57</v>
      </c>
      <c r="GB210" t="s">
        <v>57</v>
      </c>
      <c r="GC210" t="s">
        <v>57</v>
      </c>
      <c r="GD210" t="s">
        <v>57</v>
      </c>
      <c r="GE210" t="s">
        <v>57</v>
      </c>
      <c r="GF210" t="s">
        <v>57</v>
      </c>
      <c r="GG210" t="s">
        <v>175</v>
      </c>
      <c r="GH210" t="s">
        <v>57</v>
      </c>
      <c r="GI210" t="s">
        <v>57</v>
      </c>
      <c r="GJ210" t="s">
        <v>57</v>
      </c>
      <c r="GK210" t="s">
        <v>57</v>
      </c>
      <c r="GL210" t="s">
        <v>57</v>
      </c>
      <c r="GM210" t="s">
        <v>175</v>
      </c>
      <c r="GN210" t="s">
        <v>57</v>
      </c>
      <c r="GO210" t="s">
        <v>57</v>
      </c>
      <c r="GP210" t="s">
        <v>57</v>
      </c>
      <c r="GQ210" t="s">
        <v>57</v>
      </c>
      <c r="GR210" t="s">
        <v>57</v>
      </c>
      <c r="GS210" t="s">
        <v>57</v>
      </c>
      <c r="GT210" t="s">
        <v>57</v>
      </c>
      <c r="GU210" t="s">
        <v>57</v>
      </c>
      <c r="GV210" t="s">
        <v>57</v>
      </c>
      <c r="GW210" t="s">
        <v>175</v>
      </c>
      <c r="GX210" t="s">
        <v>175</v>
      </c>
      <c r="GY210" t="s">
        <v>57</v>
      </c>
      <c r="GZ210" t="s">
        <v>57</v>
      </c>
      <c r="HA210" t="s">
        <v>57</v>
      </c>
      <c r="HB210" t="s">
        <v>57</v>
      </c>
      <c r="HC210" t="s">
        <v>57</v>
      </c>
      <c r="HD210" t="s">
        <v>57</v>
      </c>
      <c r="HE210" t="s">
        <v>57</v>
      </c>
      <c r="HF210" t="s">
        <v>57</v>
      </c>
      <c r="HG210" t="s">
        <v>57</v>
      </c>
      <c r="HH210" t="s">
        <v>57</v>
      </c>
      <c r="HI210" t="s">
        <v>57</v>
      </c>
      <c r="HJ210" t="s">
        <v>57</v>
      </c>
      <c r="HK210" t="s">
        <v>57</v>
      </c>
      <c r="HL210" t="s">
        <v>57</v>
      </c>
      <c r="HM210" t="s">
        <v>57</v>
      </c>
      <c r="HN210" t="s">
        <v>57</v>
      </c>
      <c r="HO210" t="s">
        <v>57</v>
      </c>
      <c r="HP210" t="s">
        <v>57</v>
      </c>
      <c r="HQ210" t="s">
        <v>57</v>
      </c>
      <c r="HR210" t="s">
        <v>57</v>
      </c>
      <c r="HS210" t="s">
        <v>57</v>
      </c>
      <c r="HT210" t="s">
        <v>57</v>
      </c>
      <c r="HU210" t="s">
        <v>57</v>
      </c>
      <c r="HV210" t="s">
        <v>57</v>
      </c>
      <c r="HW210" t="s">
        <v>57</v>
      </c>
      <c r="HX210" t="s">
        <v>57</v>
      </c>
      <c r="HY210" t="s">
        <v>57</v>
      </c>
      <c r="HZ210" t="s">
        <v>57</v>
      </c>
      <c r="IA210" t="s">
        <v>57</v>
      </c>
      <c r="IB210" t="s">
        <v>57</v>
      </c>
      <c r="IC210" t="s">
        <v>57</v>
      </c>
      <c r="ID210" t="s">
        <v>57</v>
      </c>
      <c r="IE210" t="s">
        <v>57</v>
      </c>
      <c r="IF210" t="s">
        <v>124</v>
      </c>
      <c r="IG210" t="s">
        <v>148</v>
      </c>
      <c r="IH210" t="s">
        <v>123</v>
      </c>
      <c r="II210" t="s">
        <v>156</v>
      </c>
    </row>
    <row r="211" spans="1:243" x14ac:dyDescent="0.25">
      <c r="A211" s="201" t="str">
        <f>HYPERLINK("http://www.ofsted.gov.uk/inspection-reports/find-inspection-report/provider/ELS/137956 ","Ofsted School Webpage")</f>
        <v>Ofsted School Webpage</v>
      </c>
      <c r="B211">
        <v>137956</v>
      </c>
      <c r="C211">
        <v>8606039</v>
      </c>
      <c r="D211" t="s">
        <v>1004</v>
      </c>
      <c r="E211" t="s">
        <v>37</v>
      </c>
      <c r="F211" t="s">
        <v>138</v>
      </c>
      <c r="G211" t="s">
        <v>150</v>
      </c>
      <c r="H211" t="s">
        <v>150</v>
      </c>
      <c r="I211" t="s">
        <v>271</v>
      </c>
      <c r="J211" t="s">
        <v>1005</v>
      </c>
      <c r="K211" t="s">
        <v>142</v>
      </c>
      <c r="L211" t="s">
        <v>142</v>
      </c>
      <c r="M211" t="s">
        <v>2596</v>
      </c>
      <c r="N211" t="s">
        <v>143</v>
      </c>
      <c r="O211">
        <v>10041366</v>
      </c>
      <c r="P211" s="108">
        <v>43116</v>
      </c>
      <c r="Q211" s="108">
        <v>43118</v>
      </c>
      <c r="R211" s="108">
        <v>43139</v>
      </c>
      <c r="S211" t="s">
        <v>153</v>
      </c>
      <c r="T211" t="s">
        <v>154</v>
      </c>
      <c r="U211">
        <v>3</v>
      </c>
      <c r="V211">
        <v>3</v>
      </c>
      <c r="W211">
        <v>3</v>
      </c>
      <c r="X211">
        <v>3</v>
      </c>
      <c r="Y211">
        <v>3</v>
      </c>
      <c r="Z211" t="s">
        <v>2596</v>
      </c>
      <c r="AA211">
        <v>3</v>
      </c>
      <c r="AB211" t="s">
        <v>123</v>
      </c>
      <c r="AC211" t="s">
        <v>2596</v>
      </c>
      <c r="AD211" t="s">
        <v>2599</v>
      </c>
      <c r="AE211" t="s">
        <v>57</v>
      </c>
      <c r="AF211" t="s">
        <v>57</v>
      </c>
      <c r="AG211" t="s">
        <v>57</v>
      </c>
      <c r="AH211" t="s">
        <v>57</v>
      </c>
      <c r="AI211" t="s">
        <v>57</v>
      </c>
      <c r="AJ211" t="s">
        <v>57</v>
      </c>
      <c r="AK211" t="s">
        <v>57</v>
      </c>
      <c r="AL211" t="s">
        <v>58</v>
      </c>
      <c r="AM211" t="s">
        <v>57</v>
      </c>
      <c r="AN211" t="s">
        <v>57</v>
      </c>
      <c r="AO211" t="s">
        <v>57</v>
      </c>
      <c r="AP211" t="s">
        <v>57</v>
      </c>
      <c r="AQ211" t="s">
        <v>57</v>
      </c>
      <c r="AR211" t="s">
        <v>57</v>
      </c>
      <c r="AS211" t="s">
        <v>57</v>
      </c>
      <c r="AT211" t="s">
        <v>57</v>
      </c>
      <c r="AU211" t="s">
        <v>175</v>
      </c>
      <c r="AV211" t="s">
        <v>57</v>
      </c>
      <c r="AW211" t="s">
        <v>57</v>
      </c>
      <c r="AX211" t="s">
        <v>57</v>
      </c>
      <c r="AY211" t="s">
        <v>57</v>
      </c>
      <c r="AZ211" t="s">
        <v>57</v>
      </c>
      <c r="BA211" t="s">
        <v>57</v>
      </c>
      <c r="BB211" t="s">
        <v>57</v>
      </c>
      <c r="BC211" t="s">
        <v>175</v>
      </c>
      <c r="BD211" t="s">
        <v>57</v>
      </c>
      <c r="BE211" t="s">
        <v>57</v>
      </c>
      <c r="BF211" t="s">
        <v>57</v>
      </c>
      <c r="BG211" t="s">
        <v>58</v>
      </c>
      <c r="BH211" t="s">
        <v>58</v>
      </c>
      <c r="BI211" t="s">
        <v>57</v>
      </c>
      <c r="BJ211" t="s">
        <v>58</v>
      </c>
      <c r="BK211" t="s">
        <v>58</v>
      </c>
      <c r="BL211" t="s">
        <v>58</v>
      </c>
      <c r="BM211" t="s">
        <v>57</v>
      </c>
      <c r="BN211" t="s">
        <v>57</v>
      </c>
      <c r="BO211" t="s">
        <v>57</v>
      </c>
      <c r="BP211" t="s">
        <v>57</v>
      </c>
      <c r="BQ211" t="s">
        <v>57</v>
      </c>
      <c r="BR211" t="s">
        <v>57</v>
      </c>
      <c r="BS211" t="s">
        <v>57</v>
      </c>
      <c r="BT211" t="s">
        <v>57</v>
      </c>
      <c r="BU211" t="s">
        <v>57</v>
      </c>
      <c r="BV211" t="s">
        <v>57</v>
      </c>
      <c r="BW211" t="s">
        <v>57</v>
      </c>
      <c r="BX211" t="s">
        <v>57</v>
      </c>
      <c r="BY211" t="s">
        <v>57</v>
      </c>
      <c r="BZ211" t="s">
        <v>57</v>
      </c>
      <c r="CA211" t="s">
        <v>57</v>
      </c>
      <c r="CB211" t="s">
        <v>57</v>
      </c>
      <c r="CC211" t="s">
        <v>57</v>
      </c>
      <c r="CD211" t="s">
        <v>57</v>
      </c>
      <c r="CE211" t="s">
        <v>57</v>
      </c>
      <c r="CF211" t="s">
        <v>57</v>
      </c>
      <c r="CG211" t="s">
        <v>57</v>
      </c>
      <c r="CH211" t="s">
        <v>57</v>
      </c>
      <c r="CI211" t="s">
        <v>57</v>
      </c>
      <c r="CJ211" t="s">
        <v>57</v>
      </c>
      <c r="CK211" t="s">
        <v>175</v>
      </c>
      <c r="CL211" t="s">
        <v>175</v>
      </c>
      <c r="CM211" t="s">
        <v>175</v>
      </c>
      <c r="CN211" t="s">
        <v>57</v>
      </c>
      <c r="CO211" t="s">
        <v>57</v>
      </c>
      <c r="CP211" t="s">
        <v>57</v>
      </c>
      <c r="CQ211" t="s">
        <v>57</v>
      </c>
      <c r="CR211" t="s">
        <v>57</v>
      </c>
      <c r="CS211" t="s">
        <v>57</v>
      </c>
      <c r="CT211" t="s">
        <v>57</v>
      </c>
      <c r="CU211" t="s">
        <v>57</v>
      </c>
      <c r="CV211" t="s">
        <v>57</v>
      </c>
      <c r="CW211" t="s">
        <v>57</v>
      </c>
      <c r="CX211" t="s">
        <v>57</v>
      </c>
      <c r="CY211" t="s">
        <v>57</v>
      </c>
      <c r="CZ211" t="s">
        <v>57</v>
      </c>
      <c r="DA211" t="s">
        <v>57</v>
      </c>
      <c r="DB211" t="s">
        <v>57</v>
      </c>
      <c r="DC211" t="s">
        <v>57</v>
      </c>
      <c r="DD211" t="s">
        <v>57</v>
      </c>
      <c r="DE211" t="s">
        <v>57</v>
      </c>
      <c r="DF211" t="s">
        <v>57</v>
      </c>
      <c r="DG211" t="s">
        <v>57</v>
      </c>
      <c r="DH211" t="s">
        <v>57</v>
      </c>
      <c r="DI211" t="s">
        <v>57</v>
      </c>
      <c r="DJ211" t="s">
        <v>175</v>
      </c>
      <c r="DK211" t="s">
        <v>175</v>
      </c>
      <c r="DL211" t="s">
        <v>57</v>
      </c>
      <c r="DM211" t="s">
        <v>57</v>
      </c>
      <c r="DN211" t="s">
        <v>57</v>
      </c>
      <c r="DO211" t="s">
        <v>57</v>
      </c>
      <c r="DP211" t="s">
        <v>57</v>
      </c>
      <c r="DQ211" t="s">
        <v>57</v>
      </c>
      <c r="DR211" t="s">
        <v>57</v>
      </c>
      <c r="DS211" t="s">
        <v>57</v>
      </c>
      <c r="DT211" t="s">
        <v>57</v>
      </c>
      <c r="DU211" t="s">
        <v>57</v>
      </c>
      <c r="DV211" t="s">
        <v>57</v>
      </c>
      <c r="DW211" t="s">
        <v>57</v>
      </c>
      <c r="DX211" t="s">
        <v>57</v>
      </c>
      <c r="DY211" t="s">
        <v>175</v>
      </c>
      <c r="DZ211" t="s">
        <v>57</v>
      </c>
      <c r="EA211" t="s">
        <v>175</v>
      </c>
      <c r="EB211" t="s">
        <v>175</v>
      </c>
      <c r="EC211" t="s">
        <v>175</v>
      </c>
      <c r="ED211" t="s">
        <v>175</v>
      </c>
      <c r="EE211" t="s">
        <v>175</v>
      </c>
      <c r="EF211" t="s">
        <v>175</v>
      </c>
      <c r="EG211" t="s">
        <v>175</v>
      </c>
      <c r="EH211" t="s">
        <v>175</v>
      </c>
      <c r="EI211" t="s">
        <v>57</v>
      </c>
      <c r="EJ211" t="s">
        <v>57</v>
      </c>
      <c r="EK211" t="s">
        <v>57</v>
      </c>
      <c r="EL211" t="s">
        <v>57</v>
      </c>
      <c r="EM211" t="s">
        <v>57</v>
      </c>
      <c r="EN211" t="s">
        <v>57</v>
      </c>
      <c r="EO211" t="s">
        <v>57</v>
      </c>
      <c r="EP211" t="s">
        <v>57</v>
      </c>
      <c r="EQ211" t="s">
        <v>57</v>
      </c>
      <c r="ER211" t="s">
        <v>57</v>
      </c>
      <c r="ES211" t="s">
        <v>57</v>
      </c>
      <c r="ET211" t="s">
        <v>57</v>
      </c>
      <c r="EU211" t="s">
        <v>57</v>
      </c>
      <c r="EV211" t="s">
        <v>57</v>
      </c>
      <c r="EW211" t="s">
        <v>175</v>
      </c>
      <c r="EX211" t="s">
        <v>57</v>
      </c>
      <c r="EY211" t="s">
        <v>57</v>
      </c>
      <c r="EZ211" t="s">
        <v>57</v>
      </c>
      <c r="FA211" t="s">
        <v>57</v>
      </c>
      <c r="FB211" t="s">
        <v>57</v>
      </c>
      <c r="FC211" t="s">
        <v>57</v>
      </c>
      <c r="FD211" t="s">
        <v>175</v>
      </c>
      <c r="FE211" t="s">
        <v>175</v>
      </c>
      <c r="FF211" t="s">
        <v>148</v>
      </c>
      <c r="FG211" t="s">
        <v>175</v>
      </c>
      <c r="FH211" t="s">
        <v>57</v>
      </c>
      <c r="FI211" t="s">
        <v>57</v>
      </c>
      <c r="FJ211" t="s">
        <v>57</v>
      </c>
      <c r="FK211" t="s">
        <v>57</v>
      </c>
      <c r="FL211" t="s">
        <v>57</v>
      </c>
      <c r="FM211" t="s">
        <v>57</v>
      </c>
      <c r="FN211" t="s">
        <v>57</v>
      </c>
      <c r="FO211" t="s">
        <v>175</v>
      </c>
      <c r="FP211" t="s">
        <v>57</v>
      </c>
      <c r="FQ211" t="s">
        <v>57</v>
      </c>
      <c r="FR211" t="s">
        <v>57</v>
      </c>
      <c r="FS211" t="s">
        <v>57</v>
      </c>
      <c r="FT211" t="s">
        <v>57</v>
      </c>
      <c r="FU211" t="s">
        <v>57</v>
      </c>
      <c r="FV211" t="s">
        <v>57</v>
      </c>
      <c r="FW211" t="s">
        <v>57</v>
      </c>
      <c r="FX211" t="s">
        <v>57</v>
      </c>
      <c r="FY211" t="s">
        <v>57</v>
      </c>
      <c r="FZ211" t="s">
        <v>57</v>
      </c>
      <c r="GA211" t="s">
        <v>57</v>
      </c>
      <c r="GB211" t="s">
        <v>57</v>
      </c>
      <c r="GC211" t="s">
        <v>57</v>
      </c>
      <c r="GD211" t="s">
        <v>57</v>
      </c>
      <c r="GE211" t="s">
        <v>57</v>
      </c>
      <c r="GF211" t="s">
        <v>57</v>
      </c>
      <c r="GG211" t="s">
        <v>175</v>
      </c>
      <c r="GH211" t="s">
        <v>57</v>
      </c>
      <c r="GI211" t="s">
        <v>57</v>
      </c>
      <c r="GJ211" t="s">
        <v>57</v>
      </c>
      <c r="GK211" t="s">
        <v>57</v>
      </c>
      <c r="GL211" t="s">
        <v>57</v>
      </c>
      <c r="GM211" t="s">
        <v>175</v>
      </c>
      <c r="GN211" t="s">
        <v>57</v>
      </c>
      <c r="GO211" t="s">
        <v>57</v>
      </c>
      <c r="GP211" t="s">
        <v>57</v>
      </c>
      <c r="GQ211" t="s">
        <v>57</v>
      </c>
      <c r="GR211" t="s">
        <v>57</v>
      </c>
      <c r="GS211" t="s">
        <v>57</v>
      </c>
      <c r="GT211" t="s">
        <v>57</v>
      </c>
      <c r="GU211" t="s">
        <v>57</v>
      </c>
      <c r="GV211" t="s">
        <v>57</v>
      </c>
      <c r="GW211" t="s">
        <v>175</v>
      </c>
      <c r="GX211" t="s">
        <v>175</v>
      </c>
      <c r="GY211" t="s">
        <v>57</v>
      </c>
      <c r="GZ211" t="s">
        <v>57</v>
      </c>
      <c r="HA211" t="s">
        <v>57</v>
      </c>
      <c r="HB211" t="s">
        <v>57</v>
      </c>
      <c r="HC211" t="s">
        <v>57</v>
      </c>
      <c r="HD211" t="s">
        <v>57</v>
      </c>
      <c r="HE211" t="s">
        <v>57</v>
      </c>
      <c r="HF211" t="s">
        <v>57</v>
      </c>
      <c r="HG211" t="s">
        <v>57</v>
      </c>
      <c r="HH211" t="s">
        <v>175</v>
      </c>
      <c r="HI211" t="s">
        <v>175</v>
      </c>
      <c r="HJ211" t="s">
        <v>175</v>
      </c>
      <c r="HK211" t="s">
        <v>175</v>
      </c>
      <c r="HL211" t="s">
        <v>57</v>
      </c>
      <c r="HM211" t="s">
        <v>57</v>
      </c>
      <c r="HN211" t="s">
        <v>57</v>
      </c>
      <c r="HO211" t="s">
        <v>57</v>
      </c>
      <c r="HP211" t="s">
        <v>57</v>
      </c>
      <c r="HQ211" t="s">
        <v>57</v>
      </c>
      <c r="HR211" t="s">
        <v>57</v>
      </c>
      <c r="HS211" t="s">
        <v>57</v>
      </c>
      <c r="HT211" t="s">
        <v>57</v>
      </c>
      <c r="HU211" t="s">
        <v>57</v>
      </c>
      <c r="HV211" t="s">
        <v>57</v>
      </c>
      <c r="HW211" t="s">
        <v>57</v>
      </c>
      <c r="HX211" t="s">
        <v>57</v>
      </c>
      <c r="HY211" t="s">
        <v>57</v>
      </c>
      <c r="HZ211" t="s">
        <v>57</v>
      </c>
      <c r="IA211" t="s">
        <v>57</v>
      </c>
      <c r="IB211" t="s">
        <v>58</v>
      </c>
      <c r="IC211" t="s">
        <v>57</v>
      </c>
      <c r="ID211" t="s">
        <v>58</v>
      </c>
      <c r="IE211" t="s">
        <v>57</v>
      </c>
      <c r="IF211" t="s">
        <v>124</v>
      </c>
      <c r="IG211" t="s">
        <v>148</v>
      </c>
      <c r="IH211" t="s">
        <v>123</v>
      </c>
      <c r="II211" t="s">
        <v>156</v>
      </c>
    </row>
    <row r="212" spans="1:243" x14ac:dyDescent="0.25">
      <c r="A212" s="201" t="str">
        <f>HYPERLINK("http://www.ofsted.gov.uk/inspection-reports/find-inspection-report/provider/ELS/138119 ","Ofsted School Webpage")</f>
        <v>Ofsted School Webpage</v>
      </c>
      <c r="B212">
        <v>138119</v>
      </c>
      <c r="C212">
        <v>9316006</v>
      </c>
      <c r="D212" t="s">
        <v>198</v>
      </c>
      <c r="E212" t="s">
        <v>36</v>
      </c>
      <c r="F212" t="s">
        <v>166</v>
      </c>
      <c r="G212" t="s">
        <v>139</v>
      </c>
      <c r="H212" t="s">
        <v>139</v>
      </c>
      <c r="I212" t="s">
        <v>199</v>
      </c>
      <c r="J212" t="s">
        <v>200</v>
      </c>
      <c r="K212" t="s">
        <v>142</v>
      </c>
      <c r="L212" t="s">
        <v>142</v>
      </c>
      <c r="M212" t="s">
        <v>2596</v>
      </c>
      <c r="N212" t="s">
        <v>143</v>
      </c>
      <c r="O212">
        <v>10033956</v>
      </c>
      <c r="P212" s="108">
        <v>42997</v>
      </c>
      <c r="Q212" s="108">
        <v>42999</v>
      </c>
      <c r="R212" s="108">
        <v>43026</v>
      </c>
      <c r="S212" t="s">
        <v>153</v>
      </c>
      <c r="T212" t="s">
        <v>154</v>
      </c>
      <c r="U212">
        <v>3</v>
      </c>
      <c r="V212">
        <v>2</v>
      </c>
      <c r="W212">
        <v>2</v>
      </c>
      <c r="X212">
        <v>3</v>
      </c>
      <c r="Y212">
        <v>3</v>
      </c>
      <c r="Z212" t="s">
        <v>2596</v>
      </c>
      <c r="AA212" t="s">
        <v>2596</v>
      </c>
      <c r="AB212" t="s">
        <v>123</v>
      </c>
      <c r="AC212" t="s">
        <v>2596</v>
      </c>
      <c r="AD212" t="s">
        <v>2598</v>
      </c>
      <c r="AE212" t="s">
        <v>57</v>
      </c>
      <c r="AF212" t="s">
        <v>57</v>
      </c>
      <c r="AG212" t="s">
        <v>57</v>
      </c>
      <c r="AH212" t="s">
        <v>57</v>
      </c>
      <c r="AI212" t="s">
        <v>57</v>
      </c>
      <c r="AJ212" t="s">
        <v>57</v>
      </c>
      <c r="AK212" t="s">
        <v>57</v>
      </c>
      <c r="AL212" t="s">
        <v>57</v>
      </c>
      <c r="AM212" t="s">
        <v>57</v>
      </c>
      <c r="AN212" t="s">
        <v>57</v>
      </c>
      <c r="AO212" t="s">
        <v>57</v>
      </c>
      <c r="AP212" t="s">
        <v>57</v>
      </c>
      <c r="AQ212" t="s">
        <v>57</v>
      </c>
      <c r="AR212" t="s">
        <v>57</v>
      </c>
      <c r="AS212" t="s">
        <v>57</v>
      </c>
      <c r="AT212" t="s">
        <v>57</v>
      </c>
      <c r="AU212" t="s">
        <v>57</v>
      </c>
      <c r="AV212" t="s">
        <v>57</v>
      </c>
      <c r="AW212" t="s">
        <v>57</v>
      </c>
      <c r="AX212" t="s">
        <v>57</v>
      </c>
      <c r="AY212" t="s">
        <v>57</v>
      </c>
      <c r="AZ212" t="s">
        <v>57</v>
      </c>
      <c r="BA212" t="s">
        <v>57</v>
      </c>
      <c r="BB212" t="s">
        <v>57</v>
      </c>
      <c r="BC212" t="s">
        <v>57</v>
      </c>
      <c r="BD212" t="s">
        <v>57</v>
      </c>
      <c r="BE212" t="s">
        <v>57</v>
      </c>
      <c r="BF212" t="s">
        <v>57</v>
      </c>
      <c r="BG212" t="s">
        <v>57</v>
      </c>
      <c r="BH212" t="s">
        <v>57</v>
      </c>
      <c r="BI212" t="s">
        <v>57</v>
      </c>
      <c r="BJ212" t="s">
        <v>57</v>
      </c>
      <c r="BK212" t="s">
        <v>57</v>
      </c>
      <c r="BL212" t="s">
        <v>57</v>
      </c>
      <c r="BM212" t="s">
        <v>57</v>
      </c>
      <c r="BN212" t="s">
        <v>57</v>
      </c>
      <c r="BO212" t="s">
        <v>57</v>
      </c>
      <c r="BP212" t="s">
        <v>57</v>
      </c>
      <c r="BQ212" t="s">
        <v>57</v>
      </c>
      <c r="BR212" t="s">
        <v>57</v>
      </c>
      <c r="BS212" t="s">
        <v>57</v>
      </c>
      <c r="BT212" t="s">
        <v>57</v>
      </c>
      <c r="BU212" t="s">
        <v>57</v>
      </c>
      <c r="BV212" t="s">
        <v>57</v>
      </c>
      <c r="BW212" t="s">
        <v>57</v>
      </c>
      <c r="BX212" t="s">
        <v>57</v>
      </c>
      <c r="BY212" t="s">
        <v>57</v>
      </c>
      <c r="BZ212" t="s">
        <v>57</v>
      </c>
      <c r="CA212" t="s">
        <v>57</v>
      </c>
      <c r="CB212" t="s">
        <v>57</v>
      </c>
      <c r="CC212" t="s">
        <v>57</v>
      </c>
      <c r="CD212" t="s">
        <v>57</v>
      </c>
      <c r="CE212" t="s">
        <v>57</v>
      </c>
      <c r="CF212" t="s">
        <v>57</v>
      </c>
      <c r="CG212" t="s">
        <v>57</v>
      </c>
      <c r="CH212" t="s">
        <v>57</v>
      </c>
      <c r="CI212" t="s">
        <v>57</v>
      </c>
      <c r="CJ212" t="s">
        <v>57</v>
      </c>
      <c r="CK212" t="s">
        <v>148</v>
      </c>
      <c r="CL212" t="s">
        <v>148</v>
      </c>
      <c r="CM212" t="s">
        <v>148</v>
      </c>
      <c r="CN212" t="s">
        <v>57</v>
      </c>
      <c r="CO212" t="s">
        <v>57</v>
      </c>
      <c r="CP212" t="s">
        <v>57</v>
      </c>
      <c r="CQ212" t="s">
        <v>57</v>
      </c>
      <c r="CR212" t="s">
        <v>57</v>
      </c>
      <c r="CS212" t="s">
        <v>57</v>
      </c>
      <c r="CT212" t="s">
        <v>57</v>
      </c>
      <c r="CU212" t="s">
        <v>57</v>
      </c>
      <c r="CV212" t="s">
        <v>57</v>
      </c>
      <c r="CW212" t="s">
        <v>57</v>
      </c>
      <c r="CX212" t="s">
        <v>57</v>
      </c>
      <c r="CY212" t="s">
        <v>57</v>
      </c>
      <c r="CZ212" t="s">
        <v>57</v>
      </c>
      <c r="DA212" t="s">
        <v>57</v>
      </c>
      <c r="DB212" t="s">
        <v>57</v>
      </c>
      <c r="DC212" t="s">
        <v>57</v>
      </c>
      <c r="DD212" t="s">
        <v>57</v>
      </c>
      <c r="DE212" t="s">
        <v>57</v>
      </c>
      <c r="DF212" t="s">
        <v>57</v>
      </c>
      <c r="DG212" t="s">
        <v>57</v>
      </c>
      <c r="DH212" t="s">
        <v>57</v>
      </c>
      <c r="DI212" t="s">
        <v>57</v>
      </c>
      <c r="DJ212" t="s">
        <v>57</v>
      </c>
      <c r="DK212" t="s">
        <v>148</v>
      </c>
      <c r="DL212" t="s">
        <v>57</v>
      </c>
      <c r="DM212" t="s">
        <v>57</v>
      </c>
      <c r="DN212" t="s">
        <v>57</v>
      </c>
      <c r="DO212" t="s">
        <v>57</v>
      </c>
      <c r="DP212" t="s">
        <v>57</v>
      </c>
      <c r="DQ212" t="s">
        <v>57</v>
      </c>
      <c r="DR212" t="s">
        <v>57</v>
      </c>
      <c r="DS212" t="s">
        <v>57</v>
      </c>
      <c r="DT212" t="s">
        <v>57</v>
      </c>
      <c r="DU212" t="s">
        <v>57</v>
      </c>
      <c r="DV212" t="s">
        <v>57</v>
      </c>
      <c r="DW212" t="s">
        <v>57</v>
      </c>
      <c r="DX212" t="s">
        <v>57</v>
      </c>
      <c r="DY212" t="s">
        <v>148</v>
      </c>
      <c r="DZ212" t="s">
        <v>57</v>
      </c>
      <c r="EA212" t="s">
        <v>57</v>
      </c>
      <c r="EB212" t="s">
        <v>57</v>
      </c>
      <c r="EC212" t="s">
        <v>57</v>
      </c>
      <c r="ED212" t="s">
        <v>57</v>
      </c>
      <c r="EE212" t="s">
        <v>57</v>
      </c>
      <c r="EF212" t="s">
        <v>57</v>
      </c>
      <c r="EG212" t="s">
        <v>57</v>
      </c>
      <c r="EH212" t="s">
        <v>57</v>
      </c>
      <c r="EI212" t="s">
        <v>57</v>
      </c>
      <c r="EJ212" t="s">
        <v>57</v>
      </c>
      <c r="EK212" t="s">
        <v>57</v>
      </c>
      <c r="EL212" t="s">
        <v>57</v>
      </c>
      <c r="EM212" t="s">
        <v>57</v>
      </c>
      <c r="EN212" t="s">
        <v>57</v>
      </c>
      <c r="EO212" t="s">
        <v>57</v>
      </c>
      <c r="EP212" t="s">
        <v>57</v>
      </c>
      <c r="EQ212" t="s">
        <v>57</v>
      </c>
      <c r="ER212" t="s">
        <v>57</v>
      </c>
      <c r="ES212" t="s">
        <v>57</v>
      </c>
      <c r="ET212" t="s">
        <v>57</v>
      </c>
      <c r="EU212" t="s">
        <v>57</v>
      </c>
      <c r="EV212" t="s">
        <v>57</v>
      </c>
      <c r="EW212" t="s">
        <v>57</v>
      </c>
      <c r="EX212" t="s">
        <v>57</v>
      </c>
      <c r="EY212" t="s">
        <v>57</v>
      </c>
      <c r="EZ212" t="s">
        <v>57</v>
      </c>
      <c r="FA212" t="s">
        <v>57</v>
      </c>
      <c r="FB212" t="s">
        <v>57</v>
      </c>
      <c r="FC212" t="s">
        <v>57</v>
      </c>
      <c r="FD212" t="s">
        <v>57</v>
      </c>
      <c r="FE212" t="s">
        <v>57</v>
      </c>
      <c r="FF212" t="s">
        <v>57</v>
      </c>
      <c r="FG212" t="s">
        <v>57</v>
      </c>
      <c r="FH212" t="s">
        <v>57</v>
      </c>
      <c r="FI212" t="s">
        <v>57</v>
      </c>
      <c r="FJ212" t="s">
        <v>57</v>
      </c>
      <c r="FK212" t="s">
        <v>57</v>
      </c>
      <c r="FL212" t="s">
        <v>57</v>
      </c>
      <c r="FM212" t="s">
        <v>57</v>
      </c>
      <c r="FN212" t="s">
        <v>57</v>
      </c>
      <c r="FO212" t="s">
        <v>57</v>
      </c>
      <c r="FP212" t="s">
        <v>57</v>
      </c>
      <c r="FQ212" t="s">
        <v>57</v>
      </c>
      <c r="FR212" t="s">
        <v>57</v>
      </c>
      <c r="FS212" t="s">
        <v>57</v>
      </c>
      <c r="FT212" t="s">
        <v>57</v>
      </c>
      <c r="FU212" t="s">
        <v>57</v>
      </c>
      <c r="FV212" t="s">
        <v>58</v>
      </c>
      <c r="FW212" t="s">
        <v>57</v>
      </c>
      <c r="FX212" t="s">
        <v>58</v>
      </c>
      <c r="FY212" t="s">
        <v>57</v>
      </c>
      <c r="FZ212" t="s">
        <v>148</v>
      </c>
      <c r="GA212" t="s">
        <v>57</v>
      </c>
      <c r="GB212" t="s">
        <v>57</v>
      </c>
      <c r="GC212" t="s">
        <v>57</v>
      </c>
      <c r="GD212" t="s">
        <v>57</v>
      </c>
      <c r="GE212" t="s">
        <v>57</v>
      </c>
      <c r="GF212" t="s">
        <v>57</v>
      </c>
      <c r="GG212" t="s">
        <v>148</v>
      </c>
      <c r="GH212" t="s">
        <v>57</v>
      </c>
      <c r="GI212" t="s">
        <v>57</v>
      </c>
      <c r="GJ212" t="s">
        <v>57</v>
      </c>
      <c r="GK212" t="s">
        <v>57</v>
      </c>
      <c r="GL212" t="s">
        <v>57</v>
      </c>
      <c r="GM212" t="s">
        <v>57</v>
      </c>
      <c r="GN212" t="s">
        <v>57</v>
      </c>
      <c r="GO212" t="s">
        <v>57</v>
      </c>
      <c r="GP212" t="s">
        <v>57</v>
      </c>
      <c r="GQ212" t="s">
        <v>57</v>
      </c>
      <c r="GR212" t="s">
        <v>57</v>
      </c>
      <c r="GS212" t="s">
        <v>57</v>
      </c>
      <c r="GT212" t="s">
        <v>57</v>
      </c>
      <c r="GU212" t="s">
        <v>57</v>
      </c>
      <c r="GV212" t="s">
        <v>57</v>
      </c>
      <c r="GW212" t="s">
        <v>57</v>
      </c>
      <c r="GX212" t="s">
        <v>57</v>
      </c>
      <c r="GY212" t="s">
        <v>57</v>
      </c>
      <c r="GZ212" t="s">
        <v>57</v>
      </c>
      <c r="HA212" t="s">
        <v>57</v>
      </c>
      <c r="HB212" t="s">
        <v>57</v>
      </c>
      <c r="HC212" t="s">
        <v>57</v>
      </c>
      <c r="HD212" t="s">
        <v>57</v>
      </c>
      <c r="HE212" t="s">
        <v>57</v>
      </c>
      <c r="HF212" t="s">
        <v>57</v>
      </c>
      <c r="HG212" t="s">
        <v>57</v>
      </c>
      <c r="HH212" t="s">
        <v>57</v>
      </c>
      <c r="HI212" t="s">
        <v>57</v>
      </c>
      <c r="HJ212" t="s">
        <v>57</v>
      </c>
      <c r="HK212" t="s">
        <v>57</v>
      </c>
      <c r="HL212" t="s">
        <v>57</v>
      </c>
      <c r="HM212" t="s">
        <v>57</v>
      </c>
      <c r="HN212" t="s">
        <v>57</v>
      </c>
      <c r="HO212" t="s">
        <v>57</v>
      </c>
      <c r="HP212" t="s">
        <v>57</v>
      </c>
      <c r="HQ212" t="s">
        <v>57</v>
      </c>
      <c r="HR212" t="s">
        <v>57</v>
      </c>
      <c r="HS212" t="s">
        <v>57</v>
      </c>
      <c r="HT212" t="s">
        <v>57</v>
      </c>
      <c r="HU212" t="s">
        <v>57</v>
      </c>
      <c r="HV212" t="s">
        <v>57</v>
      </c>
      <c r="HW212" t="s">
        <v>57</v>
      </c>
      <c r="HX212" t="s">
        <v>57</v>
      </c>
      <c r="HY212" t="s">
        <v>57</v>
      </c>
      <c r="HZ212" t="s">
        <v>57</v>
      </c>
      <c r="IA212" t="s">
        <v>57</v>
      </c>
      <c r="IB212" t="s">
        <v>57</v>
      </c>
      <c r="IC212" t="s">
        <v>57</v>
      </c>
      <c r="ID212" t="s">
        <v>57</v>
      </c>
      <c r="IE212" t="s">
        <v>57</v>
      </c>
      <c r="IF212" t="s">
        <v>124</v>
      </c>
      <c r="IG212" t="s">
        <v>155</v>
      </c>
      <c r="IH212" t="s">
        <v>123</v>
      </c>
      <c r="II212" t="s">
        <v>156</v>
      </c>
    </row>
    <row r="213" spans="1:243" x14ac:dyDescent="0.25">
      <c r="A213" s="201" t="str">
        <f>HYPERLINK("http://www.ofsted.gov.uk/inspection-reports/find-inspection-report/provider/ELS/138384 ","Ofsted School Webpage")</f>
        <v>Ofsted School Webpage</v>
      </c>
      <c r="B213">
        <v>138384</v>
      </c>
      <c r="C213">
        <v>3056009</v>
      </c>
      <c r="D213" t="s">
        <v>1590</v>
      </c>
      <c r="E213" t="s">
        <v>36</v>
      </c>
      <c r="F213" t="s">
        <v>166</v>
      </c>
      <c r="G213" t="s">
        <v>189</v>
      </c>
      <c r="H213" t="s">
        <v>189</v>
      </c>
      <c r="I213" t="s">
        <v>540</v>
      </c>
      <c r="J213" t="s">
        <v>1591</v>
      </c>
      <c r="K213" t="s">
        <v>142</v>
      </c>
      <c r="L213" t="s">
        <v>142</v>
      </c>
      <c r="M213" t="s">
        <v>2596</v>
      </c>
      <c r="N213" t="s">
        <v>143</v>
      </c>
      <c r="O213">
        <v>10020778</v>
      </c>
      <c r="P213" s="108">
        <v>43123</v>
      </c>
      <c r="Q213" s="108">
        <v>43125</v>
      </c>
      <c r="R213" s="108">
        <v>43159</v>
      </c>
      <c r="S213" t="s">
        <v>153</v>
      </c>
      <c r="T213" t="s">
        <v>154</v>
      </c>
      <c r="U213">
        <v>2</v>
      </c>
      <c r="V213">
        <v>2</v>
      </c>
      <c r="W213">
        <v>1</v>
      </c>
      <c r="X213">
        <v>2</v>
      </c>
      <c r="Y213">
        <v>2</v>
      </c>
      <c r="Z213" t="s">
        <v>2596</v>
      </c>
      <c r="AA213" t="s">
        <v>2596</v>
      </c>
      <c r="AB213" t="s">
        <v>123</v>
      </c>
      <c r="AC213" t="s">
        <v>2596</v>
      </c>
      <c r="AD213" t="s">
        <v>2598</v>
      </c>
      <c r="AE213" t="s">
        <v>57</v>
      </c>
      <c r="AF213" t="s">
        <v>57</v>
      </c>
      <c r="AG213" t="s">
        <v>57</v>
      </c>
      <c r="AH213" t="s">
        <v>57</v>
      </c>
      <c r="AI213" t="s">
        <v>57</v>
      </c>
      <c r="AJ213" t="s">
        <v>57</v>
      </c>
      <c r="AK213" t="s">
        <v>57</v>
      </c>
      <c r="AL213" t="s">
        <v>57</v>
      </c>
      <c r="AM213" t="s">
        <v>57</v>
      </c>
      <c r="AN213" t="s">
        <v>57</v>
      </c>
      <c r="AO213" t="s">
        <v>57</v>
      </c>
      <c r="AP213" t="s">
        <v>57</v>
      </c>
      <c r="AQ213" t="s">
        <v>57</v>
      </c>
      <c r="AR213" t="s">
        <v>57</v>
      </c>
      <c r="AS213" t="s">
        <v>57</v>
      </c>
      <c r="AT213" t="s">
        <v>57</v>
      </c>
      <c r="AU213" t="s">
        <v>175</v>
      </c>
      <c r="AV213" t="s">
        <v>57</v>
      </c>
      <c r="AW213" t="s">
        <v>57</v>
      </c>
      <c r="AX213" t="s">
        <v>57</v>
      </c>
      <c r="AY213" t="s">
        <v>57</v>
      </c>
      <c r="AZ213" t="s">
        <v>57</v>
      </c>
      <c r="BA213" t="s">
        <v>57</v>
      </c>
      <c r="BB213" t="s">
        <v>57</v>
      </c>
      <c r="BC213" t="s">
        <v>175</v>
      </c>
      <c r="BD213" t="s">
        <v>57</v>
      </c>
      <c r="BE213" t="s">
        <v>57</v>
      </c>
      <c r="BF213" t="s">
        <v>57</v>
      </c>
      <c r="BG213" t="s">
        <v>57</v>
      </c>
      <c r="BH213" t="s">
        <v>57</v>
      </c>
      <c r="BI213" t="s">
        <v>57</v>
      </c>
      <c r="BJ213" t="s">
        <v>57</v>
      </c>
      <c r="BK213" t="s">
        <v>57</v>
      </c>
      <c r="BL213" t="s">
        <v>57</v>
      </c>
      <c r="BM213" t="s">
        <v>57</v>
      </c>
      <c r="BN213" t="s">
        <v>57</v>
      </c>
      <c r="BO213" t="s">
        <v>57</v>
      </c>
      <c r="BP213" t="s">
        <v>57</v>
      </c>
      <c r="BQ213" t="s">
        <v>57</v>
      </c>
      <c r="BR213" t="s">
        <v>57</v>
      </c>
      <c r="BS213" t="s">
        <v>57</v>
      </c>
      <c r="BT213" t="s">
        <v>57</v>
      </c>
      <c r="BU213" t="s">
        <v>57</v>
      </c>
      <c r="BV213" t="s">
        <v>57</v>
      </c>
      <c r="BW213" t="s">
        <v>57</v>
      </c>
      <c r="BX213" t="s">
        <v>57</v>
      </c>
      <c r="BY213" t="s">
        <v>57</v>
      </c>
      <c r="BZ213" t="s">
        <v>57</v>
      </c>
      <c r="CA213" t="s">
        <v>57</v>
      </c>
      <c r="CB213" t="s">
        <v>57</v>
      </c>
      <c r="CC213" t="s">
        <v>57</v>
      </c>
      <c r="CD213" t="s">
        <v>57</v>
      </c>
      <c r="CE213" t="s">
        <v>57</v>
      </c>
      <c r="CF213" t="s">
        <v>57</v>
      </c>
      <c r="CG213" t="s">
        <v>57</v>
      </c>
      <c r="CH213" t="s">
        <v>57</v>
      </c>
      <c r="CI213" t="s">
        <v>57</v>
      </c>
      <c r="CJ213" t="s">
        <v>57</v>
      </c>
      <c r="CK213" t="s">
        <v>57</v>
      </c>
      <c r="CL213" t="s">
        <v>175</v>
      </c>
      <c r="CM213" t="s">
        <v>175</v>
      </c>
      <c r="CN213" t="s">
        <v>57</v>
      </c>
      <c r="CO213" t="s">
        <v>57</v>
      </c>
      <c r="CP213" t="s">
        <v>57</v>
      </c>
      <c r="CQ213" t="s">
        <v>57</v>
      </c>
      <c r="CR213" t="s">
        <v>57</v>
      </c>
      <c r="CS213" t="s">
        <v>57</v>
      </c>
      <c r="CT213" t="s">
        <v>57</v>
      </c>
      <c r="CU213" t="s">
        <v>57</v>
      </c>
      <c r="CV213" t="s">
        <v>57</v>
      </c>
      <c r="CW213" t="s">
        <v>57</v>
      </c>
      <c r="CX213" t="s">
        <v>57</v>
      </c>
      <c r="CY213" t="s">
        <v>57</v>
      </c>
      <c r="CZ213" t="s">
        <v>57</v>
      </c>
      <c r="DA213" t="s">
        <v>57</v>
      </c>
      <c r="DB213" t="s">
        <v>57</v>
      </c>
      <c r="DC213" t="s">
        <v>57</v>
      </c>
      <c r="DD213" t="s">
        <v>57</v>
      </c>
      <c r="DE213" t="s">
        <v>57</v>
      </c>
      <c r="DF213" t="s">
        <v>57</v>
      </c>
      <c r="DG213" t="s">
        <v>57</v>
      </c>
      <c r="DH213" t="s">
        <v>57</v>
      </c>
      <c r="DI213" t="s">
        <v>57</v>
      </c>
      <c r="DJ213" t="s">
        <v>57</v>
      </c>
      <c r="DK213" t="s">
        <v>57</v>
      </c>
      <c r="DL213" t="s">
        <v>57</v>
      </c>
      <c r="DM213" t="s">
        <v>57</v>
      </c>
      <c r="DN213" t="s">
        <v>57</v>
      </c>
      <c r="DO213" t="s">
        <v>57</v>
      </c>
      <c r="DP213" t="s">
        <v>57</v>
      </c>
      <c r="DQ213" t="s">
        <v>57</v>
      </c>
      <c r="DR213" t="s">
        <v>57</v>
      </c>
      <c r="DS213" t="s">
        <v>57</v>
      </c>
      <c r="DT213" t="s">
        <v>57</v>
      </c>
      <c r="DU213" t="s">
        <v>57</v>
      </c>
      <c r="DV213" t="s">
        <v>57</v>
      </c>
      <c r="DW213" t="s">
        <v>57</v>
      </c>
      <c r="DX213" t="s">
        <v>57</v>
      </c>
      <c r="DY213" t="s">
        <v>175</v>
      </c>
      <c r="DZ213" t="s">
        <v>57</v>
      </c>
      <c r="EA213" t="s">
        <v>57</v>
      </c>
      <c r="EB213" t="s">
        <v>57</v>
      </c>
      <c r="EC213" t="s">
        <v>57</v>
      </c>
      <c r="ED213" t="s">
        <v>57</v>
      </c>
      <c r="EE213" t="s">
        <v>57</v>
      </c>
      <c r="EF213" t="s">
        <v>57</v>
      </c>
      <c r="EG213" t="s">
        <v>57</v>
      </c>
      <c r="EH213" t="s">
        <v>57</v>
      </c>
      <c r="EI213" t="s">
        <v>57</v>
      </c>
      <c r="EJ213" t="s">
        <v>57</v>
      </c>
      <c r="EK213" t="s">
        <v>57</v>
      </c>
      <c r="EL213" t="s">
        <v>57</v>
      </c>
      <c r="EM213" t="s">
        <v>57</v>
      </c>
      <c r="EN213" t="s">
        <v>57</v>
      </c>
      <c r="EO213" t="s">
        <v>57</v>
      </c>
      <c r="EP213" t="s">
        <v>57</v>
      </c>
      <c r="EQ213" t="s">
        <v>57</v>
      </c>
      <c r="ER213" t="s">
        <v>57</v>
      </c>
      <c r="ES213" t="s">
        <v>57</v>
      </c>
      <c r="ET213" t="s">
        <v>57</v>
      </c>
      <c r="EU213" t="s">
        <v>57</v>
      </c>
      <c r="EV213" t="s">
        <v>57</v>
      </c>
      <c r="EW213" t="s">
        <v>57</v>
      </c>
      <c r="EX213" t="s">
        <v>57</v>
      </c>
      <c r="EY213" t="s">
        <v>57</v>
      </c>
      <c r="EZ213" t="s">
        <v>57</v>
      </c>
      <c r="FA213" t="s">
        <v>57</v>
      </c>
      <c r="FB213" t="s">
        <v>57</v>
      </c>
      <c r="FC213" t="s">
        <v>57</v>
      </c>
      <c r="FD213" t="s">
        <v>57</v>
      </c>
      <c r="FE213" t="s">
        <v>175</v>
      </c>
      <c r="FF213" t="s">
        <v>148</v>
      </c>
      <c r="FG213" t="s">
        <v>175</v>
      </c>
      <c r="FH213" t="s">
        <v>57</v>
      </c>
      <c r="FI213" t="s">
        <v>57</v>
      </c>
      <c r="FJ213" t="s">
        <v>57</v>
      </c>
      <c r="FK213" t="s">
        <v>57</v>
      </c>
      <c r="FL213" t="s">
        <v>57</v>
      </c>
      <c r="FM213" t="s">
        <v>57</v>
      </c>
      <c r="FN213" t="s">
        <v>57</v>
      </c>
      <c r="FO213" t="s">
        <v>175</v>
      </c>
      <c r="FP213" t="s">
        <v>57</v>
      </c>
      <c r="FQ213" t="s">
        <v>57</v>
      </c>
      <c r="FR213" t="s">
        <v>57</v>
      </c>
      <c r="FS213" t="s">
        <v>57</v>
      </c>
      <c r="FT213" t="s">
        <v>57</v>
      </c>
      <c r="FU213" t="s">
        <v>57</v>
      </c>
      <c r="FV213" t="s">
        <v>57</v>
      </c>
      <c r="FW213" t="s">
        <v>57</v>
      </c>
      <c r="FX213" t="s">
        <v>57</v>
      </c>
      <c r="FY213" t="s">
        <v>57</v>
      </c>
      <c r="FZ213" t="s">
        <v>57</v>
      </c>
      <c r="GA213" t="s">
        <v>57</v>
      </c>
      <c r="GB213" t="s">
        <v>57</v>
      </c>
      <c r="GC213" t="s">
        <v>57</v>
      </c>
      <c r="GD213" t="s">
        <v>57</v>
      </c>
      <c r="GE213" t="s">
        <v>57</v>
      </c>
      <c r="GF213" t="s">
        <v>57</v>
      </c>
      <c r="GG213" t="s">
        <v>175</v>
      </c>
      <c r="GH213" t="s">
        <v>57</v>
      </c>
      <c r="GI213" t="s">
        <v>57</v>
      </c>
      <c r="GJ213" t="s">
        <v>57</v>
      </c>
      <c r="GK213" t="s">
        <v>57</v>
      </c>
      <c r="GL213" t="s">
        <v>57</v>
      </c>
      <c r="GM213" t="s">
        <v>57</v>
      </c>
      <c r="GN213" t="s">
        <v>57</v>
      </c>
      <c r="GO213" t="s">
        <v>57</v>
      </c>
      <c r="GP213" t="s">
        <v>175</v>
      </c>
      <c r="GQ213" t="s">
        <v>175</v>
      </c>
      <c r="GR213" t="s">
        <v>57</v>
      </c>
      <c r="GS213" t="s">
        <v>57</v>
      </c>
      <c r="GT213" t="s">
        <v>57</v>
      </c>
      <c r="GU213" t="s">
        <v>57</v>
      </c>
      <c r="GV213" t="s">
        <v>175</v>
      </c>
      <c r="GW213" t="s">
        <v>57</v>
      </c>
      <c r="GX213" t="s">
        <v>175</v>
      </c>
      <c r="GY213" t="s">
        <v>57</v>
      </c>
      <c r="GZ213" t="s">
        <v>57</v>
      </c>
      <c r="HA213" t="s">
        <v>57</v>
      </c>
      <c r="HB213" t="s">
        <v>57</v>
      </c>
      <c r="HC213" t="s">
        <v>57</v>
      </c>
      <c r="HD213" t="s">
        <v>57</v>
      </c>
      <c r="HE213" t="s">
        <v>57</v>
      </c>
      <c r="HF213" t="s">
        <v>57</v>
      </c>
      <c r="HG213" t="s">
        <v>57</v>
      </c>
      <c r="HH213" t="s">
        <v>57</v>
      </c>
      <c r="HI213" t="s">
        <v>175</v>
      </c>
      <c r="HJ213" t="s">
        <v>175</v>
      </c>
      <c r="HK213" t="s">
        <v>175</v>
      </c>
      <c r="HL213" t="s">
        <v>57</v>
      </c>
      <c r="HM213" t="s">
        <v>57</v>
      </c>
      <c r="HN213" t="s">
        <v>57</v>
      </c>
      <c r="HO213" t="s">
        <v>57</v>
      </c>
      <c r="HP213" t="s">
        <v>57</v>
      </c>
      <c r="HQ213" t="s">
        <v>57</v>
      </c>
      <c r="HR213" t="s">
        <v>57</v>
      </c>
      <c r="HS213" t="s">
        <v>57</v>
      </c>
      <c r="HT213" t="s">
        <v>57</v>
      </c>
      <c r="HU213" t="s">
        <v>57</v>
      </c>
      <c r="HV213" t="s">
        <v>57</v>
      </c>
      <c r="HW213" t="s">
        <v>57</v>
      </c>
      <c r="HX213" t="s">
        <v>57</v>
      </c>
      <c r="HY213" t="s">
        <v>57</v>
      </c>
      <c r="HZ213" t="s">
        <v>57</v>
      </c>
      <c r="IA213" t="s">
        <v>57</v>
      </c>
      <c r="IB213" t="s">
        <v>57</v>
      </c>
      <c r="IC213" t="s">
        <v>57</v>
      </c>
      <c r="ID213" t="s">
        <v>57</v>
      </c>
      <c r="IE213" t="s">
        <v>57</v>
      </c>
      <c r="IF213" t="s">
        <v>124</v>
      </c>
      <c r="IG213" t="s">
        <v>148</v>
      </c>
      <c r="IH213" t="s">
        <v>123</v>
      </c>
      <c r="II213" t="s">
        <v>156</v>
      </c>
    </row>
    <row r="214" spans="1:243" x14ac:dyDescent="0.25">
      <c r="A214" s="201" t="str">
        <f>HYPERLINK("http://www.ofsted.gov.uk/inspection-reports/find-inspection-report/provider/ELS/138408 ","Ofsted School Webpage")</f>
        <v>Ofsted School Webpage</v>
      </c>
      <c r="B214">
        <v>138408</v>
      </c>
      <c r="C214">
        <v>8866139</v>
      </c>
      <c r="D214" t="s">
        <v>213</v>
      </c>
      <c r="E214" t="s">
        <v>37</v>
      </c>
      <c r="F214" t="s">
        <v>138</v>
      </c>
      <c r="G214" t="s">
        <v>139</v>
      </c>
      <c r="H214" t="s">
        <v>139</v>
      </c>
      <c r="I214" t="s">
        <v>140</v>
      </c>
      <c r="J214" t="s">
        <v>214</v>
      </c>
      <c r="K214" t="s">
        <v>142</v>
      </c>
      <c r="L214" t="s">
        <v>142</v>
      </c>
      <c r="M214" t="s">
        <v>2596</v>
      </c>
      <c r="N214" t="s">
        <v>143</v>
      </c>
      <c r="O214">
        <v>10012918</v>
      </c>
      <c r="P214" s="108">
        <v>43046</v>
      </c>
      <c r="Q214" s="108">
        <v>43048</v>
      </c>
      <c r="R214" s="108">
        <v>43068</v>
      </c>
      <c r="S214" t="s">
        <v>153</v>
      </c>
      <c r="T214" t="s">
        <v>154</v>
      </c>
      <c r="U214">
        <v>3</v>
      </c>
      <c r="V214">
        <v>3</v>
      </c>
      <c r="W214">
        <v>2</v>
      </c>
      <c r="X214">
        <v>3</v>
      </c>
      <c r="Y214">
        <v>3</v>
      </c>
      <c r="Z214" t="s">
        <v>2596</v>
      </c>
      <c r="AA214">
        <v>3</v>
      </c>
      <c r="AB214" t="s">
        <v>123</v>
      </c>
      <c r="AC214" t="s">
        <v>2596</v>
      </c>
      <c r="AD214" t="s">
        <v>2598</v>
      </c>
      <c r="AE214" t="s">
        <v>57</v>
      </c>
      <c r="AF214" t="s">
        <v>57</v>
      </c>
      <c r="AG214" t="s">
        <v>57</v>
      </c>
      <c r="AH214" t="s">
        <v>57</v>
      </c>
      <c r="AI214" t="s">
        <v>57</v>
      </c>
      <c r="AJ214" t="s">
        <v>57</v>
      </c>
      <c r="AK214" t="s">
        <v>57</v>
      </c>
      <c r="AL214" t="s">
        <v>57</v>
      </c>
      <c r="AM214" t="s">
        <v>57</v>
      </c>
      <c r="AN214" t="s">
        <v>57</v>
      </c>
      <c r="AO214" t="s">
        <v>57</v>
      </c>
      <c r="AP214" t="s">
        <v>57</v>
      </c>
      <c r="AQ214" t="s">
        <v>57</v>
      </c>
      <c r="AR214" t="s">
        <v>57</v>
      </c>
      <c r="AS214" t="s">
        <v>57</v>
      </c>
      <c r="AT214" t="s">
        <v>57</v>
      </c>
      <c r="AU214" t="s">
        <v>148</v>
      </c>
      <c r="AV214" t="s">
        <v>57</v>
      </c>
      <c r="AW214" t="s">
        <v>57</v>
      </c>
      <c r="AX214" t="s">
        <v>57</v>
      </c>
      <c r="AY214" t="s">
        <v>57</v>
      </c>
      <c r="AZ214" t="s">
        <v>57</v>
      </c>
      <c r="BA214" t="s">
        <v>57</v>
      </c>
      <c r="BB214" t="s">
        <v>57</v>
      </c>
      <c r="BC214" t="s">
        <v>148</v>
      </c>
      <c r="BD214" t="s">
        <v>57</v>
      </c>
      <c r="BE214" t="s">
        <v>57</v>
      </c>
      <c r="BF214" t="s">
        <v>57</v>
      </c>
      <c r="BG214" t="s">
        <v>57</v>
      </c>
      <c r="BH214" t="s">
        <v>57</v>
      </c>
      <c r="BI214" t="s">
        <v>57</v>
      </c>
      <c r="BJ214" t="s">
        <v>57</v>
      </c>
      <c r="BK214" t="s">
        <v>57</v>
      </c>
      <c r="BL214" t="s">
        <v>57</v>
      </c>
      <c r="BM214" t="s">
        <v>57</v>
      </c>
      <c r="BN214" t="s">
        <v>57</v>
      </c>
      <c r="BO214" t="s">
        <v>57</v>
      </c>
      <c r="BP214" t="s">
        <v>57</v>
      </c>
      <c r="BQ214" t="s">
        <v>57</v>
      </c>
      <c r="BR214" t="s">
        <v>57</v>
      </c>
      <c r="BS214" t="s">
        <v>57</v>
      </c>
      <c r="BT214" t="s">
        <v>57</v>
      </c>
      <c r="BU214" t="s">
        <v>57</v>
      </c>
      <c r="BV214" t="s">
        <v>57</v>
      </c>
      <c r="BW214" t="s">
        <v>57</v>
      </c>
      <c r="BX214" t="s">
        <v>57</v>
      </c>
      <c r="BY214" t="s">
        <v>57</v>
      </c>
      <c r="BZ214" t="s">
        <v>57</v>
      </c>
      <c r="CA214" t="s">
        <v>57</v>
      </c>
      <c r="CB214" t="s">
        <v>57</v>
      </c>
      <c r="CC214" t="s">
        <v>57</v>
      </c>
      <c r="CD214" t="s">
        <v>57</v>
      </c>
      <c r="CE214" t="s">
        <v>57</v>
      </c>
      <c r="CF214" t="s">
        <v>57</v>
      </c>
      <c r="CG214" t="s">
        <v>57</v>
      </c>
      <c r="CH214" t="s">
        <v>57</v>
      </c>
      <c r="CI214" t="s">
        <v>57</v>
      </c>
      <c r="CJ214" t="s">
        <v>57</v>
      </c>
      <c r="CK214" t="s">
        <v>148</v>
      </c>
      <c r="CL214" t="s">
        <v>148</v>
      </c>
      <c r="CM214" t="s">
        <v>148</v>
      </c>
      <c r="CN214" t="s">
        <v>57</v>
      </c>
      <c r="CO214" t="s">
        <v>57</v>
      </c>
      <c r="CP214" t="s">
        <v>57</v>
      </c>
      <c r="CQ214" t="s">
        <v>57</v>
      </c>
      <c r="CR214" t="s">
        <v>57</v>
      </c>
      <c r="CS214" t="s">
        <v>57</v>
      </c>
      <c r="CT214" t="s">
        <v>57</v>
      </c>
      <c r="CU214" t="s">
        <v>57</v>
      </c>
      <c r="CV214" t="s">
        <v>57</v>
      </c>
      <c r="CW214" t="s">
        <v>57</v>
      </c>
      <c r="CX214" t="s">
        <v>57</v>
      </c>
      <c r="CY214" t="s">
        <v>57</v>
      </c>
      <c r="CZ214" t="s">
        <v>57</v>
      </c>
      <c r="DA214" t="s">
        <v>57</v>
      </c>
      <c r="DB214" t="s">
        <v>57</v>
      </c>
      <c r="DC214" t="s">
        <v>57</v>
      </c>
      <c r="DD214" t="s">
        <v>57</v>
      </c>
      <c r="DE214" t="s">
        <v>57</v>
      </c>
      <c r="DF214" t="s">
        <v>57</v>
      </c>
      <c r="DG214" t="s">
        <v>57</v>
      </c>
      <c r="DH214" t="s">
        <v>57</v>
      </c>
      <c r="DI214" t="s">
        <v>57</v>
      </c>
      <c r="DJ214" t="s">
        <v>57</v>
      </c>
      <c r="DK214" t="s">
        <v>57</v>
      </c>
      <c r="DL214" t="s">
        <v>57</v>
      </c>
      <c r="DM214" t="s">
        <v>57</v>
      </c>
      <c r="DN214" t="s">
        <v>57</v>
      </c>
      <c r="DO214" t="s">
        <v>57</v>
      </c>
      <c r="DP214" t="s">
        <v>57</v>
      </c>
      <c r="DQ214" t="s">
        <v>57</v>
      </c>
      <c r="DR214" t="s">
        <v>57</v>
      </c>
      <c r="DS214" t="s">
        <v>57</v>
      </c>
      <c r="DT214" t="s">
        <v>57</v>
      </c>
      <c r="DU214" t="s">
        <v>57</v>
      </c>
      <c r="DV214" t="s">
        <v>57</v>
      </c>
      <c r="DW214" t="s">
        <v>57</v>
      </c>
      <c r="DX214" t="s">
        <v>57</v>
      </c>
      <c r="DY214" t="s">
        <v>57</v>
      </c>
      <c r="DZ214" t="s">
        <v>57</v>
      </c>
      <c r="EA214" t="s">
        <v>57</v>
      </c>
      <c r="EB214" t="s">
        <v>57</v>
      </c>
      <c r="EC214" t="s">
        <v>57</v>
      </c>
      <c r="ED214" t="s">
        <v>57</v>
      </c>
      <c r="EE214" t="s">
        <v>57</v>
      </c>
      <c r="EF214" t="s">
        <v>57</v>
      </c>
      <c r="EG214" t="s">
        <v>57</v>
      </c>
      <c r="EH214" t="s">
        <v>57</v>
      </c>
      <c r="EI214" t="s">
        <v>57</v>
      </c>
      <c r="EJ214" t="s">
        <v>57</v>
      </c>
      <c r="EK214" t="s">
        <v>57</v>
      </c>
      <c r="EL214" t="s">
        <v>57</v>
      </c>
      <c r="EM214" t="s">
        <v>57</v>
      </c>
      <c r="EN214" t="s">
        <v>57</v>
      </c>
      <c r="EO214" t="s">
        <v>57</v>
      </c>
      <c r="EP214" t="s">
        <v>57</v>
      </c>
      <c r="EQ214" t="s">
        <v>57</v>
      </c>
      <c r="ER214" t="s">
        <v>57</v>
      </c>
      <c r="ES214" t="s">
        <v>57</v>
      </c>
      <c r="ET214" t="s">
        <v>57</v>
      </c>
      <c r="EU214" t="s">
        <v>57</v>
      </c>
      <c r="EV214" t="s">
        <v>57</v>
      </c>
      <c r="EW214" t="s">
        <v>57</v>
      </c>
      <c r="EX214" t="s">
        <v>57</v>
      </c>
      <c r="EY214" t="s">
        <v>57</v>
      </c>
      <c r="EZ214" t="s">
        <v>57</v>
      </c>
      <c r="FA214" t="s">
        <v>57</v>
      </c>
      <c r="FB214" t="s">
        <v>57</v>
      </c>
      <c r="FC214" t="s">
        <v>57</v>
      </c>
      <c r="FD214" t="s">
        <v>57</v>
      </c>
      <c r="FE214" t="s">
        <v>57</v>
      </c>
      <c r="FF214" t="s">
        <v>57</v>
      </c>
      <c r="FG214" t="s">
        <v>57</v>
      </c>
      <c r="FH214" t="s">
        <v>57</v>
      </c>
      <c r="FI214" t="s">
        <v>57</v>
      </c>
      <c r="FJ214" t="s">
        <v>57</v>
      </c>
      <c r="FK214" t="s">
        <v>57</v>
      </c>
      <c r="FL214" t="s">
        <v>57</v>
      </c>
      <c r="FM214" t="s">
        <v>57</v>
      </c>
      <c r="FN214" t="s">
        <v>57</v>
      </c>
      <c r="FO214" t="s">
        <v>57</v>
      </c>
      <c r="FP214" t="s">
        <v>57</v>
      </c>
      <c r="FQ214" t="s">
        <v>57</v>
      </c>
      <c r="FR214" t="s">
        <v>57</v>
      </c>
      <c r="FS214" t="s">
        <v>57</v>
      </c>
      <c r="FT214" t="s">
        <v>57</v>
      </c>
      <c r="FU214" t="s">
        <v>57</v>
      </c>
      <c r="FV214" t="s">
        <v>57</v>
      </c>
      <c r="FW214" t="s">
        <v>57</v>
      </c>
      <c r="FX214" t="s">
        <v>57</v>
      </c>
      <c r="FY214" t="s">
        <v>57</v>
      </c>
      <c r="FZ214" t="s">
        <v>57</v>
      </c>
      <c r="GA214" t="s">
        <v>57</v>
      </c>
      <c r="GB214" t="s">
        <v>57</v>
      </c>
      <c r="GC214" t="s">
        <v>57</v>
      </c>
      <c r="GD214" t="s">
        <v>57</v>
      </c>
      <c r="GE214" t="s">
        <v>57</v>
      </c>
      <c r="GF214" t="s">
        <v>57</v>
      </c>
      <c r="GG214" t="s">
        <v>148</v>
      </c>
      <c r="GH214" t="s">
        <v>57</v>
      </c>
      <c r="GI214" t="s">
        <v>57</v>
      </c>
      <c r="GJ214" t="s">
        <v>57</v>
      </c>
      <c r="GK214" t="s">
        <v>57</v>
      </c>
      <c r="GL214" t="s">
        <v>57</v>
      </c>
      <c r="GM214" t="s">
        <v>57</v>
      </c>
      <c r="GN214" t="s">
        <v>57</v>
      </c>
      <c r="GO214" t="s">
        <v>57</v>
      </c>
      <c r="GP214" t="s">
        <v>57</v>
      </c>
      <c r="GQ214" t="s">
        <v>57</v>
      </c>
      <c r="GR214" t="s">
        <v>57</v>
      </c>
      <c r="GS214" t="s">
        <v>57</v>
      </c>
      <c r="GT214" t="s">
        <v>57</v>
      </c>
      <c r="GU214" t="s">
        <v>57</v>
      </c>
      <c r="GV214" t="s">
        <v>57</v>
      </c>
      <c r="GW214" t="s">
        <v>148</v>
      </c>
      <c r="GX214" t="s">
        <v>57</v>
      </c>
      <c r="GY214" t="s">
        <v>57</v>
      </c>
      <c r="GZ214" t="s">
        <v>57</v>
      </c>
      <c r="HA214" t="s">
        <v>57</v>
      </c>
      <c r="HB214" t="s">
        <v>57</v>
      </c>
      <c r="HC214" t="s">
        <v>57</v>
      </c>
      <c r="HD214" t="s">
        <v>57</v>
      </c>
      <c r="HE214" t="s">
        <v>57</v>
      </c>
      <c r="HF214" t="s">
        <v>57</v>
      </c>
      <c r="HG214" t="s">
        <v>57</v>
      </c>
      <c r="HH214" t="s">
        <v>57</v>
      </c>
      <c r="HI214" t="s">
        <v>57</v>
      </c>
      <c r="HJ214" t="s">
        <v>57</v>
      </c>
      <c r="HK214" t="s">
        <v>57</v>
      </c>
      <c r="HL214" t="s">
        <v>57</v>
      </c>
      <c r="HM214" t="s">
        <v>57</v>
      </c>
      <c r="HN214" t="s">
        <v>57</v>
      </c>
      <c r="HO214" t="s">
        <v>57</v>
      </c>
      <c r="HP214" t="s">
        <v>57</v>
      </c>
      <c r="HQ214" t="s">
        <v>57</v>
      </c>
      <c r="HR214" t="s">
        <v>57</v>
      </c>
      <c r="HS214" t="s">
        <v>57</v>
      </c>
      <c r="HT214" t="s">
        <v>57</v>
      </c>
      <c r="HU214" t="s">
        <v>57</v>
      </c>
      <c r="HV214" t="s">
        <v>57</v>
      </c>
      <c r="HW214" t="s">
        <v>57</v>
      </c>
      <c r="HX214" t="s">
        <v>57</v>
      </c>
      <c r="HY214" t="s">
        <v>57</v>
      </c>
      <c r="HZ214" t="s">
        <v>57</v>
      </c>
      <c r="IA214" t="s">
        <v>57</v>
      </c>
      <c r="IB214" t="s">
        <v>57</v>
      </c>
      <c r="IC214" t="s">
        <v>57</v>
      </c>
      <c r="ID214" t="s">
        <v>57</v>
      </c>
      <c r="IE214" t="s">
        <v>57</v>
      </c>
      <c r="IF214" t="s">
        <v>123</v>
      </c>
      <c r="IG214" t="s">
        <v>123</v>
      </c>
      <c r="IH214" t="s">
        <v>123</v>
      </c>
      <c r="II214" t="s">
        <v>156</v>
      </c>
    </row>
    <row r="215" spans="1:243" x14ac:dyDescent="0.25">
      <c r="A215" s="201" t="str">
        <f>HYPERLINK("http://www.ofsted.gov.uk/inspection-reports/find-inspection-report/provider/ELS/138516 ","Ofsted School Webpage")</f>
        <v>Ofsted School Webpage</v>
      </c>
      <c r="B215">
        <v>138516</v>
      </c>
      <c r="C215">
        <v>2046006</v>
      </c>
      <c r="D215" t="s">
        <v>2328</v>
      </c>
      <c r="E215" t="s">
        <v>36</v>
      </c>
      <c r="F215" t="s">
        <v>166</v>
      </c>
      <c r="G215" t="s">
        <v>189</v>
      </c>
      <c r="H215" t="s">
        <v>189</v>
      </c>
      <c r="I215" t="s">
        <v>434</v>
      </c>
      <c r="J215" t="s">
        <v>1793</v>
      </c>
      <c r="K215" t="s">
        <v>776</v>
      </c>
      <c r="L215" t="s">
        <v>275</v>
      </c>
      <c r="M215" t="s">
        <v>2596</v>
      </c>
      <c r="N215" t="s">
        <v>143</v>
      </c>
      <c r="O215">
        <v>10020725</v>
      </c>
      <c r="P215" s="108">
        <v>43046</v>
      </c>
      <c r="Q215" s="108">
        <v>43048</v>
      </c>
      <c r="R215" s="108">
        <v>43123</v>
      </c>
      <c r="S215" t="s">
        <v>153</v>
      </c>
      <c r="T215" t="s">
        <v>154</v>
      </c>
      <c r="U215">
        <v>4</v>
      </c>
      <c r="V215">
        <v>4</v>
      </c>
      <c r="W215">
        <v>3</v>
      </c>
      <c r="X215">
        <v>2</v>
      </c>
      <c r="Y215">
        <v>2</v>
      </c>
      <c r="Z215">
        <v>3</v>
      </c>
      <c r="AA215" t="s">
        <v>2596</v>
      </c>
      <c r="AB215" t="s">
        <v>123</v>
      </c>
      <c r="AC215" t="s">
        <v>2596</v>
      </c>
      <c r="AD215" t="s">
        <v>2599</v>
      </c>
      <c r="AE215" t="s">
        <v>58</v>
      </c>
      <c r="AF215" t="s">
        <v>58</v>
      </c>
      <c r="AG215" t="s">
        <v>57</v>
      </c>
      <c r="AH215" t="s">
        <v>57</v>
      </c>
      <c r="AI215" t="s">
        <v>58</v>
      </c>
      <c r="AJ215" t="s">
        <v>58</v>
      </c>
      <c r="AK215" t="s">
        <v>57</v>
      </c>
      <c r="AL215" t="s">
        <v>58</v>
      </c>
      <c r="AM215" t="s">
        <v>58</v>
      </c>
      <c r="AN215" t="s">
        <v>58</v>
      </c>
      <c r="AO215" t="s">
        <v>58</v>
      </c>
      <c r="AP215" t="s">
        <v>58</v>
      </c>
      <c r="AQ215" t="s">
        <v>57</v>
      </c>
      <c r="AR215" t="s">
        <v>58</v>
      </c>
      <c r="AS215" t="s">
        <v>57</v>
      </c>
      <c r="AT215" t="s">
        <v>57</v>
      </c>
      <c r="AU215" t="s">
        <v>57</v>
      </c>
      <c r="AV215" t="s">
        <v>58</v>
      </c>
      <c r="AW215" t="s">
        <v>57</v>
      </c>
      <c r="AX215" t="s">
        <v>58</v>
      </c>
      <c r="AY215" t="s">
        <v>58</v>
      </c>
      <c r="AZ215" t="s">
        <v>58</v>
      </c>
      <c r="BA215" t="s">
        <v>58</v>
      </c>
      <c r="BB215" t="s">
        <v>58</v>
      </c>
      <c r="BC215" t="s">
        <v>57</v>
      </c>
      <c r="BD215" t="s">
        <v>148</v>
      </c>
      <c r="BE215" t="s">
        <v>57</v>
      </c>
      <c r="BF215" t="s">
        <v>58</v>
      </c>
      <c r="BG215" t="s">
        <v>57</v>
      </c>
      <c r="BH215" t="s">
        <v>57</v>
      </c>
      <c r="BI215" t="s">
        <v>57</v>
      </c>
      <c r="BJ215" t="s">
        <v>57</v>
      </c>
      <c r="BK215" t="s">
        <v>57</v>
      </c>
      <c r="BL215" t="s">
        <v>57</v>
      </c>
      <c r="BM215" t="s">
        <v>57</v>
      </c>
      <c r="BN215" t="s">
        <v>57</v>
      </c>
      <c r="BO215" t="s">
        <v>57</v>
      </c>
      <c r="BP215" t="s">
        <v>57</v>
      </c>
      <c r="BQ215" t="s">
        <v>57</v>
      </c>
      <c r="BR215" t="s">
        <v>57</v>
      </c>
      <c r="BS215" t="s">
        <v>58</v>
      </c>
      <c r="BT215" t="s">
        <v>58</v>
      </c>
      <c r="BU215" t="s">
        <v>58</v>
      </c>
      <c r="BV215" t="s">
        <v>57</v>
      </c>
      <c r="BW215" t="s">
        <v>57</v>
      </c>
      <c r="BX215" t="s">
        <v>58</v>
      </c>
      <c r="BY215" t="s">
        <v>57</v>
      </c>
      <c r="BZ215" t="s">
        <v>57</v>
      </c>
      <c r="CA215" t="s">
        <v>58</v>
      </c>
      <c r="CB215" t="s">
        <v>57</v>
      </c>
      <c r="CC215" t="s">
        <v>57</v>
      </c>
      <c r="CD215" t="s">
        <v>57</v>
      </c>
      <c r="CE215" t="s">
        <v>57</v>
      </c>
      <c r="CF215" t="s">
        <v>57</v>
      </c>
      <c r="CG215" t="s">
        <v>57</v>
      </c>
      <c r="CH215" t="s">
        <v>57</v>
      </c>
      <c r="CI215" t="s">
        <v>57</v>
      </c>
      <c r="CJ215" t="s">
        <v>57</v>
      </c>
      <c r="CK215" t="s">
        <v>148</v>
      </c>
      <c r="CL215" t="s">
        <v>148</v>
      </c>
      <c r="CM215" t="s">
        <v>148</v>
      </c>
      <c r="CN215" t="s">
        <v>57</v>
      </c>
      <c r="CO215" t="s">
        <v>57</v>
      </c>
      <c r="CP215" t="s">
        <v>57</v>
      </c>
      <c r="CQ215" t="s">
        <v>57</v>
      </c>
      <c r="CR215" t="s">
        <v>57</v>
      </c>
      <c r="CS215" t="s">
        <v>57</v>
      </c>
      <c r="CT215" t="s">
        <v>57</v>
      </c>
      <c r="CU215" t="s">
        <v>57</v>
      </c>
      <c r="CV215" t="s">
        <v>57</v>
      </c>
      <c r="CW215" t="s">
        <v>57</v>
      </c>
      <c r="CX215" t="s">
        <v>57</v>
      </c>
      <c r="CY215" t="s">
        <v>57</v>
      </c>
      <c r="CZ215" t="s">
        <v>57</v>
      </c>
      <c r="DA215" t="s">
        <v>57</v>
      </c>
      <c r="DB215" t="s">
        <v>57</v>
      </c>
      <c r="DC215" t="s">
        <v>57</v>
      </c>
      <c r="DD215" t="s">
        <v>57</v>
      </c>
      <c r="DE215" t="s">
        <v>57</v>
      </c>
      <c r="DF215" t="s">
        <v>57</v>
      </c>
      <c r="DG215" t="s">
        <v>57</v>
      </c>
      <c r="DH215" t="s">
        <v>57</v>
      </c>
      <c r="DI215" t="s">
        <v>57</v>
      </c>
      <c r="DJ215" t="s">
        <v>57</v>
      </c>
      <c r="DK215" t="s">
        <v>148</v>
      </c>
      <c r="DL215" t="s">
        <v>57</v>
      </c>
      <c r="DM215" t="s">
        <v>57</v>
      </c>
      <c r="DN215" t="s">
        <v>57</v>
      </c>
      <c r="DO215" t="s">
        <v>57</v>
      </c>
      <c r="DP215" t="s">
        <v>57</v>
      </c>
      <c r="DQ215" t="s">
        <v>57</v>
      </c>
      <c r="DR215" t="s">
        <v>57</v>
      </c>
      <c r="DS215" t="s">
        <v>57</v>
      </c>
      <c r="DT215" t="s">
        <v>57</v>
      </c>
      <c r="DU215" t="s">
        <v>57</v>
      </c>
      <c r="DV215" t="s">
        <v>57</v>
      </c>
      <c r="DW215" t="s">
        <v>57</v>
      </c>
      <c r="DX215" t="s">
        <v>57</v>
      </c>
      <c r="DY215" t="s">
        <v>148</v>
      </c>
      <c r="DZ215" t="s">
        <v>57</v>
      </c>
      <c r="EA215" t="s">
        <v>57</v>
      </c>
      <c r="EB215" t="s">
        <v>57</v>
      </c>
      <c r="EC215" t="s">
        <v>57</v>
      </c>
      <c r="ED215" t="s">
        <v>57</v>
      </c>
      <c r="EE215" t="s">
        <v>57</v>
      </c>
      <c r="EF215" t="s">
        <v>57</v>
      </c>
      <c r="EG215" t="s">
        <v>57</v>
      </c>
      <c r="EH215" t="s">
        <v>57</v>
      </c>
      <c r="EI215" t="s">
        <v>57</v>
      </c>
      <c r="EJ215" t="s">
        <v>57</v>
      </c>
      <c r="EK215" t="s">
        <v>57</v>
      </c>
      <c r="EL215" t="s">
        <v>57</v>
      </c>
      <c r="EM215" t="s">
        <v>57</v>
      </c>
      <c r="EN215" t="s">
        <v>57</v>
      </c>
      <c r="EO215" t="s">
        <v>57</v>
      </c>
      <c r="EP215" t="s">
        <v>57</v>
      </c>
      <c r="EQ215" t="s">
        <v>57</v>
      </c>
      <c r="ER215" t="s">
        <v>57</v>
      </c>
      <c r="ES215" t="s">
        <v>57</v>
      </c>
      <c r="ET215" t="s">
        <v>57</v>
      </c>
      <c r="EU215" t="s">
        <v>57</v>
      </c>
      <c r="EV215" t="s">
        <v>57</v>
      </c>
      <c r="EW215" t="s">
        <v>148</v>
      </c>
      <c r="EX215" t="s">
        <v>57</v>
      </c>
      <c r="EY215" t="s">
        <v>57</v>
      </c>
      <c r="EZ215" t="s">
        <v>57</v>
      </c>
      <c r="FA215" t="s">
        <v>57</v>
      </c>
      <c r="FB215" t="s">
        <v>57</v>
      </c>
      <c r="FC215" t="s">
        <v>57</v>
      </c>
      <c r="FD215" t="s">
        <v>57</v>
      </c>
      <c r="FE215" t="s">
        <v>148</v>
      </c>
      <c r="FF215" t="s">
        <v>57</v>
      </c>
      <c r="FG215" t="s">
        <v>57</v>
      </c>
      <c r="FH215" t="s">
        <v>58</v>
      </c>
      <c r="FI215" t="s">
        <v>58</v>
      </c>
      <c r="FJ215" t="s">
        <v>148</v>
      </c>
      <c r="FK215" t="s">
        <v>58</v>
      </c>
      <c r="FL215" t="s">
        <v>57</v>
      </c>
      <c r="FM215" t="s">
        <v>57</v>
      </c>
      <c r="FN215" t="s">
        <v>57</v>
      </c>
      <c r="FO215" t="s">
        <v>148</v>
      </c>
      <c r="FP215" t="s">
        <v>57</v>
      </c>
      <c r="FQ215" t="s">
        <v>57</v>
      </c>
      <c r="FR215" t="s">
        <v>57</v>
      </c>
      <c r="FS215" t="s">
        <v>57</v>
      </c>
      <c r="FT215" t="s">
        <v>57</v>
      </c>
      <c r="FU215" t="s">
        <v>57</v>
      </c>
      <c r="FV215" t="s">
        <v>58</v>
      </c>
      <c r="FW215" t="s">
        <v>58</v>
      </c>
      <c r="FX215" t="s">
        <v>57</v>
      </c>
      <c r="FY215" t="s">
        <v>58</v>
      </c>
      <c r="FZ215" t="s">
        <v>57</v>
      </c>
      <c r="GA215" t="s">
        <v>58</v>
      </c>
      <c r="GB215" t="s">
        <v>57</v>
      </c>
      <c r="GC215" t="s">
        <v>58</v>
      </c>
      <c r="GD215" t="s">
        <v>57</v>
      </c>
      <c r="GE215" t="s">
        <v>57</v>
      </c>
      <c r="GF215" t="s">
        <v>57</v>
      </c>
      <c r="GG215" t="s">
        <v>148</v>
      </c>
      <c r="GH215" t="s">
        <v>58</v>
      </c>
      <c r="GI215" t="s">
        <v>57</v>
      </c>
      <c r="GJ215" t="s">
        <v>58</v>
      </c>
      <c r="GK215" t="s">
        <v>57</v>
      </c>
      <c r="GL215" t="s">
        <v>57</v>
      </c>
      <c r="GM215" t="s">
        <v>57</v>
      </c>
      <c r="GN215" t="s">
        <v>57</v>
      </c>
      <c r="GO215" t="s">
        <v>57</v>
      </c>
      <c r="GP215" t="s">
        <v>57</v>
      </c>
      <c r="GQ215" t="s">
        <v>57</v>
      </c>
      <c r="GR215" t="s">
        <v>148</v>
      </c>
      <c r="GS215" t="s">
        <v>57</v>
      </c>
      <c r="GT215" t="s">
        <v>57</v>
      </c>
      <c r="GU215" t="s">
        <v>57</v>
      </c>
      <c r="GV215" t="s">
        <v>57</v>
      </c>
      <c r="GW215" t="s">
        <v>57</v>
      </c>
      <c r="GX215" t="s">
        <v>148</v>
      </c>
      <c r="GY215" t="s">
        <v>57</v>
      </c>
      <c r="GZ215" t="s">
        <v>58</v>
      </c>
      <c r="HA215" t="s">
        <v>57</v>
      </c>
      <c r="HB215" t="s">
        <v>57</v>
      </c>
      <c r="HC215" t="s">
        <v>57</v>
      </c>
      <c r="HD215" t="s">
        <v>57</v>
      </c>
      <c r="HE215" t="s">
        <v>58</v>
      </c>
      <c r="HF215" t="s">
        <v>58</v>
      </c>
      <c r="HG215" t="s">
        <v>57</v>
      </c>
      <c r="HH215" t="s">
        <v>148</v>
      </c>
      <c r="HI215" t="s">
        <v>148</v>
      </c>
      <c r="HJ215" t="s">
        <v>148</v>
      </c>
      <c r="HK215" t="s">
        <v>148</v>
      </c>
      <c r="HL215" t="s">
        <v>57</v>
      </c>
      <c r="HM215" t="s">
        <v>57</v>
      </c>
      <c r="HN215" t="s">
        <v>57</v>
      </c>
      <c r="HO215" t="s">
        <v>57</v>
      </c>
      <c r="HP215" t="s">
        <v>57</v>
      </c>
      <c r="HQ215" t="s">
        <v>57</v>
      </c>
      <c r="HR215" t="s">
        <v>57</v>
      </c>
      <c r="HS215" t="s">
        <v>57</v>
      </c>
      <c r="HT215" t="s">
        <v>57</v>
      </c>
      <c r="HU215" t="s">
        <v>57</v>
      </c>
      <c r="HV215" t="s">
        <v>57</v>
      </c>
      <c r="HW215" t="s">
        <v>57</v>
      </c>
      <c r="HX215" t="s">
        <v>57</v>
      </c>
      <c r="HY215" t="s">
        <v>57</v>
      </c>
      <c r="HZ215" t="s">
        <v>57</v>
      </c>
      <c r="IA215" t="s">
        <v>57</v>
      </c>
      <c r="IB215" t="s">
        <v>58</v>
      </c>
      <c r="IC215" t="s">
        <v>58</v>
      </c>
      <c r="ID215" t="s">
        <v>58</v>
      </c>
      <c r="IE215" t="s">
        <v>57</v>
      </c>
      <c r="IF215" t="s">
        <v>124</v>
      </c>
      <c r="IG215" t="s">
        <v>155</v>
      </c>
      <c r="IH215" t="s">
        <v>123</v>
      </c>
      <c r="II215" t="s">
        <v>156</v>
      </c>
    </row>
    <row r="216" spans="1:243" x14ac:dyDescent="0.25">
      <c r="A216" s="201" t="str">
        <f>HYPERLINK("http://www.ofsted.gov.uk/inspection-reports/find-inspection-report/provider/ELS/138563 ","Ofsted School Webpage")</f>
        <v>Ofsted School Webpage</v>
      </c>
      <c r="B216">
        <v>138563</v>
      </c>
      <c r="C216">
        <v>8036009</v>
      </c>
      <c r="D216" t="s">
        <v>1505</v>
      </c>
      <c r="E216" t="s">
        <v>37</v>
      </c>
      <c r="F216" t="s">
        <v>138</v>
      </c>
      <c r="G216" t="s">
        <v>182</v>
      </c>
      <c r="H216" t="s">
        <v>182</v>
      </c>
      <c r="I216" t="s">
        <v>567</v>
      </c>
      <c r="J216" t="s">
        <v>1506</v>
      </c>
      <c r="K216" t="s">
        <v>142</v>
      </c>
      <c r="L216" t="s">
        <v>142</v>
      </c>
      <c r="M216" t="s">
        <v>2596</v>
      </c>
      <c r="N216" t="s">
        <v>143</v>
      </c>
      <c r="O216">
        <v>10026043</v>
      </c>
      <c r="P216" s="108">
        <v>43053</v>
      </c>
      <c r="Q216" s="108">
        <v>43055</v>
      </c>
      <c r="R216" s="108">
        <v>43077</v>
      </c>
      <c r="S216" t="s">
        <v>153</v>
      </c>
      <c r="T216" t="s">
        <v>154</v>
      </c>
      <c r="U216">
        <v>2</v>
      </c>
      <c r="V216">
        <v>2</v>
      </c>
      <c r="W216">
        <v>2</v>
      </c>
      <c r="X216">
        <v>2</v>
      </c>
      <c r="Y216">
        <v>2</v>
      </c>
      <c r="Z216" t="s">
        <v>2596</v>
      </c>
      <c r="AA216" t="s">
        <v>2596</v>
      </c>
      <c r="AB216" t="s">
        <v>123</v>
      </c>
      <c r="AC216" t="s">
        <v>2596</v>
      </c>
      <c r="AD216" t="s">
        <v>2598</v>
      </c>
      <c r="AE216" t="s">
        <v>57</v>
      </c>
      <c r="AF216" t="s">
        <v>57</v>
      </c>
      <c r="AG216" t="s">
        <v>57</v>
      </c>
      <c r="AH216" t="s">
        <v>57</v>
      </c>
      <c r="AI216" t="s">
        <v>57</v>
      </c>
      <c r="AJ216" t="s">
        <v>57</v>
      </c>
      <c r="AK216" t="s">
        <v>57</v>
      </c>
      <c r="AL216" t="s">
        <v>57</v>
      </c>
      <c r="AM216" t="s">
        <v>57</v>
      </c>
      <c r="AN216" t="s">
        <v>57</v>
      </c>
      <c r="AO216" t="s">
        <v>57</v>
      </c>
      <c r="AP216" t="s">
        <v>57</v>
      </c>
      <c r="AQ216" t="s">
        <v>57</v>
      </c>
      <c r="AR216" t="s">
        <v>57</v>
      </c>
      <c r="AS216" t="s">
        <v>57</v>
      </c>
      <c r="AT216" t="s">
        <v>57</v>
      </c>
      <c r="AU216" t="s">
        <v>57</v>
      </c>
      <c r="AV216" t="s">
        <v>57</v>
      </c>
      <c r="AW216" t="s">
        <v>57</v>
      </c>
      <c r="AX216" t="s">
        <v>57</v>
      </c>
      <c r="AY216" t="s">
        <v>57</v>
      </c>
      <c r="AZ216" t="s">
        <v>57</v>
      </c>
      <c r="BA216" t="s">
        <v>57</v>
      </c>
      <c r="BB216" t="s">
        <v>57</v>
      </c>
      <c r="BC216" t="s">
        <v>148</v>
      </c>
      <c r="BD216" t="s">
        <v>148</v>
      </c>
      <c r="BE216" t="s">
        <v>57</v>
      </c>
      <c r="BF216" t="s">
        <v>57</v>
      </c>
      <c r="BG216" t="s">
        <v>57</v>
      </c>
      <c r="BH216" t="s">
        <v>57</v>
      </c>
      <c r="BI216" t="s">
        <v>57</v>
      </c>
      <c r="BJ216" t="s">
        <v>57</v>
      </c>
      <c r="BK216" t="s">
        <v>57</v>
      </c>
      <c r="BL216" t="s">
        <v>57</v>
      </c>
      <c r="BM216" t="s">
        <v>57</v>
      </c>
      <c r="BN216" t="s">
        <v>57</v>
      </c>
      <c r="BO216" t="s">
        <v>57</v>
      </c>
      <c r="BP216" t="s">
        <v>57</v>
      </c>
      <c r="BQ216" t="s">
        <v>57</v>
      </c>
      <c r="BR216" t="s">
        <v>57</v>
      </c>
      <c r="BS216" t="s">
        <v>57</v>
      </c>
      <c r="BT216" t="s">
        <v>57</v>
      </c>
      <c r="BU216" t="s">
        <v>57</v>
      </c>
      <c r="BV216" t="s">
        <v>57</v>
      </c>
      <c r="BW216" t="s">
        <v>57</v>
      </c>
      <c r="BX216" t="s">
        <v>57</v>
      </c>
      <c r="BY216" t="s">
        <v>57</v>
      </c>
      <c r="BZ216" t="s">
        <v>57</v>
      </c>
      <c r="CA216" t="s">
        <v>57</v>
      </c>
      <c r="CB216" t="s">
        <v>57</v>
      </c>
      <c r="CC216" t="s">
        <v>57</v>
      </c>
      <c r="CD216" t="s">
        <v>57</v>
      </c>
      <c r="CE216" t="s">
        <v>57</v>
      </c>
      <c r="CF216" t="s">
        <v>57</v>
      </c>
      <c r="CG216" t="s">
        <v>57</v>
      </c>
      <c r="CH216" t="s">
        <v>57</v>
      </c>
      <c r="CI216" t="s">
        <v>57</v>
      </c>
      <c r="CJ216" t="s">
        <v>57</v>
      </c>
      <c r="CK216" t="s">
        <v>148</v>
      </c>
      <c r="CL216" t="s">
        <v>148</v>
      </c>
      <c r="CM216" t="s">
        <v>148</v>
      </c>
      <c r="CN216" t="s">
        <v>57</v>
      </c>
      <c r="CO216" t="s">
        <v>57</v>
      </c>
      <c r="CP216" t="s">
        <v>57</v>
      </c>
      <c r="CQ216" t="s">
        <v>57</v>
      </c>
      <c r="CR216" t="s">
        <v>57</v>
      </c>
      <c r="CS216" t="s">
        <v>57</v>
      </c>
      <c r="CT216" t="s">
        <v>57</v>
      </c>
      <c r="CU216" t="s">
        <v>57</v>
      </c>
      <c r="CV216" t="s">
        <v>57</v>
      </c>
      <c r="CW216" t="s">
        <v>57</v>
      </c>
      <c r="CX216" t="s">
        <v>57</v>
      </c>
      <c r="CY216" t="s">
        <v>57</v>
      </c>
      <c r="CZ216" t="s">
        <v>57</v>
      </c>
      <c r="DA216" t="s">
        <v>57</v>
      </c>
      <c r="DB216" t="s">
        <v>57</v>
      </c>
      <c r="DC216" t="s">
        <v>57</v>
      </c>
      <c r="DD216" t="s">
        <v>57</v>
      </c>
      <c r="DE216" t="s">
        <v>57</v>
      </c>
      <c r="DF216" t="s">
        <v>57</v>
      </c>
      <c r="DG216" t="s">
        <v>57</v>
      </c>
      <c r="DH216" t="s">
        <v>57</v>
      </c>
      <c r="DI216" t="s">
        <v>57</v>
      </c>
      <c r="DJ216" t="s">
        <v>57</v>
      </c>
      <c r="DK216" t="s">
        <v>148</v>
      </c>
      <c r="DL216" t="s">
        <v>57</v>
      </c>
      <c r="DM216" t="s">
        <v>57</v>
      </c>
      <c r="DN216" t="s">
        <v>57</v>
      </c>
      <c r="DO216" t="s">
        <v>57</v>
      </c>
      <c r="DP216" t="s">
        <v>57</v>
      </c>
      <c r="DQ216" t="s">
        <v>57</v>
      </c>
      <c r="DR216" t="s">
        <v>57</v>
      </c>
      <c r="DS216" t="s">
        <v>57</v>
      </c>
      <c r="DT216" t="s">
        <v>57</v>
      </c>
      <c r="DU216" t="s">
        <v>57</v>
      </c>
      <c r="DV216" t="s">
        <v>57</v>
      </c>
      <c r="DW216" t="s">
        <v>57</v>
      </c>
      <c r="DX216" t="s">
        <v>57</v>
      </c>
      <c r="DY216" t="s">
        <v>148</v>
      </c>
      <c r="DZ216" t="s">
        <v>57</v>
      </c>
      <c r="EA216" t="s">
        <v>57</v>
      </c>
      <c r="EB216" t="s">
        <v>57</v>
      </c>
      <c r="EC216" t="s">
        <v>57</v>
      </c>
      <c r="ED216" t="s">
        <v>57</v>
      </c>
      <c r="EE216" t="s">
        <v>57</v>
      </c>
      <c r="EF216" t="s">
        <v>57</v>
      </c>
      <c r="EG216" t="s">
        <v>57</v>
      </c>
      <c r="EH216" t="s">
        <v>57</v>
      </c>
      <c r="EI216" t="s">
        <v>57</v>
      </c>
      <c r="EJ216" t="s">
        <v>57</v>
      </c>
      <c r="EK216" t="s">
        <v>57</v>
      </c>
      <c r="EL216" t="s">
        <v>57</v>
      </c>
      <c r="EM216" t="s">
        <v>57</v>
      </c>
      <c r="EN216" t="s">
        <v>57</v>
      </c>
      <c r="EO216" t="s">
        <v>57</v>
      </c>
      <c r="EP216" t="s">
        <v>57</v>
      </c>
      <c r="EQ216" t="s">
        <v>57</v>
      </c>
      <c r="ER216" t="s">
        <v>57</v>
      </c>
      <c r="ES216" t="s">
        <v>57</v>
      </c>
      <c r="ET216" t="s">
        <v>57</v>
      </c>
      <c r="EU216" t="s">
        <v>57</v>
      </c>
      <c r="EV216" t="s">
        <v>57</v>
      </c>
      <c r="EW216" t="s">
        <v>57</v>
      </c>
      <c r="EX216" t="s">
        <v>57</v>
      </c>
      <c r="EY216" t="s">
        <v>57</v>
      </c>
      <c r="EZ216" t="s">
        <v>57</v>
      </c>
      <c r="FA216" t="s">
        <v>57</v>
      </c>
      <c r="FB216" t="s">
        <v>57</v>
      </c>
      <c r="FC216" t="s">
        <v>57</v>
      </c>
      <c r="FD216" t="s">
        <v>57</v>
      </c>
      <c r="FE216" t="s">
        <v>57</v>
      </c>
      <c r="FF216" t="s">
        <v>57</v>
      </c>
      <c r="FG216" t="s">
        <v>57</v>
      </c>
      <c r="FH216" t="s">
        <v>57</v>
      </c>
      <c r="FI216" t="s">
        <v>57</v>
      </c>
      <c r="FJ216" t="s">
        <v>57</v>
      </c>
      <c r="FK216" t="s">
        <v>57</v>
      </c>
      <c r="FL216" t="s">
        <v>57</v>
      </c>
      <c r="FM216" t="s">
        <v>57</v>
      </c>
      <c r="FN216" t="s">
        <v>57</v>
      </c>
      <c r="FO216" t="s">
        <v>57</v>
      </c>
      <c r="FP216" t="s">
        <v>57</v>
      </c>
      <c r="FQ216" t="s">
        <v>57</v>
      </c>
      <c r="FR216" t="s">
        <v>57</v>
      </c>
      <c r="FS216" t="s">
        <v>57</v>
      </c>
      <c r="FT216" t="s">
        <v>57</v>
      </c>
      <c r="FU216" t="s">
        <v>57</v>
      </c>
      <c r="FV216" t="s">
        <v>57</v>
      </c>
      <c r="FW216" t="s">
        <v>57</v>
      </c>
      <c r="FX216" t="s">
        <v>57</v>
      </c>
      <c r="FY216" t="s">
        <v>57</v>
      </c>
      <c r="FZ216" t="s">
        <v>57</v>
      </c>
      <c r="GA216" t="s">
        <v>57</v>
      </c>
      <c r="GB216" t="s">
        <v>57</v>
      </c>
      <c r="GC216" t="s">
        <v>57</v>
      </c>
      <c r="GD216" t="s">
        <v>57</v>
      </c>
      <c r="GE216" t="s">
        <v>57</v>
      </c>
      <c r="GF216" t="s">
        <v>57</v>
      </c>
      <c r="GG216" t="s">
        <v>148</v>
      </c>
      <c r="GH216" t="s">
        <v>57</v>
      </c>
      <c r="GI216" t="s">
        <v>57</v>
      </c>
      <c r="GJ216" t="s">
        <v>57</v>
      </c>
      <c r="GK216" t="s">
        <v>57</v>
      </c>
      <c r="GL216" t="s">
        <v>57</v>
      </c>
      <c r="GM216" t="s">
        <v>148</v>
      </c>
      <c r="GN216" t="s">
        <v>57</v>
      </c>
      <c r="GO216" t="s">
        <v>57</v>
      </c>
      <c r="GP216" t="s">
        <v>57</v>
      </c>
      <c r="GQ216" t="s">
        <v>57</v>
      </c>
      <c r="GR216" t="s">
        <v>57</v>
      </c>
      <c r="GS216" t="s">
        <v>57</v>
      </c>
      <c r="GT216" t="s">
        <v>57</v>
      </c>
      <c r="GU216" t="s">
        <v>57</v>
      </c>
      <c r="GV216" t="s">
        <v>57</v>
      </c>
      <c r="GW216" t="s">
        <v>57</v>
      </c>
      <c r="GX216" t="s">
        <v>57</v>
      </c>
      <c r="GY216" t="s">
        <v>57</v>
      </c>
      <c r="GZ216" t="s">
        <v>57</v>
      </c>
      <c r="HA216" t="s">
        <v>57</v>
      </c>
      <c r="HB216" t="s">
        <v>57</v>
      </c>
      <c r="HC216" t="s">
        <v>57</v>
      </c>
      <c r="HD216" t="s">
        <v>57</v>
      </c>
      <c r="HE216" t="s">
        <v>57</v>
      </c>
      <c r="HF216" t="s">
        <v>57</v>
      </c>
      <c r="HG216" t="s">
        <v>57</v>
      </c>
      <c r="HH216" t="s">
        <v>57</v>
      </c>
      <c r="HI216" t="s">
        <v>57</v>
      </c>
      <c r="HJ216" t="s">
        <v>57</v>
      </c>
      <c r="HK216" t="s">
        <v>57</v>
      </c>
      <c r="HL216" t="s">
        <v>57</v>
      </c>
      <c r="HM216" t="s">
        <v>57</v>
      </c>
      <c r="HN216" t="s">
        <v>57</v>
      </c>
      <c r="HO216" t="s">
        <v>57</v>
      </c>
      <c r="HP216" t="s">
        <v>57</v>
      </c>
      <c r="HQ216" t="s">
        <v>57</v>
      </c>
      <c r="HR216" t="s">
        <v>57</v>
      </c>
      <c r="HS216" t="s">
        <v>57</v>
      </c>
      <c r="HT216" t="s">
        <v>57</v>
      </c>
      <c r="HU216" t="s">
        <v>57</v>
      </c>
      <c r="HV216" t="s">
        <v>57</v>
      </c>
      <c r="HW216" t="s">
        <v>57</v>
      </c>
      <c r="HX216" t="s">
        <v>57</v>
      </c>
      <c r="HY216" t="s">
        <v>57</v>
      </c>
      <c r="HZ216" t="s">
        <v>57</v>
      </c>
      <c r="IA216" t="s">
        <v>57</v>
      </c>
      <c r="IB216" t="s">
        <v>57</v>
      </c>
      <c r="IC216" t="s">
        <v>57</v>
      </c>
      <c r="ID216" t="s">
        <v>57</v>
      </c>
      <c r="IE216" t="s">
        <v>57</v>
      </c>
      <c r="IF216" t="s">
        <v>124</v>
      </c>
      <c r="IG216" t="s">
        <v>155</v>
      </c>
      <c r="IH216" t="s">
        <v>123</v>
      </c>
      <c r="II216" t="s">
        <v>156</v>
      </c>
    </row>
    <row r="217" spans="1:243" x14ac:dyDescent="0.25">
      <c r="A217" s="201" t="str">
        <f>HYPERLINK("http://www.ofsted.gov.uk/inspection-reports/find-inspection-report/provider/ELS/138580 ","Ofsted School Webpage")</f>
        <v>Ofsted School Webpage</v>
      </c>
      <c r="B217">
        <v>138580</v>
      </c>
      <c r="C217">
        <v>8936029</v>
      </c>
      <c r="D217" t="s">
        <v>1116</v>
      </c>
      <c r="E217" t="s">
        <v>37</v>
      </c>
      <c r="F217" t="s">
        <v>138</v>
      </c>
      <c r="G217" t="s">
        <v>150</v>
      </c>
      <c r="H217" t="s">
        <v>150</v>
      </c>
      <c r="I217" t="s">
        <v>151</v>
      </c>
      <c r="J217" t="s">
        <v>1117</v>
      </c>
      <c r="K217" t="s">
        <v>142</v>
      </c>
      <c r="L217" t="s">
        <v>142</v>
      </c>
      <c r="M217" t="s">
        <v>2596</v>
      </c>
      <c r="N217" t="s">
        <v>143</v>
      </c>
      <c r="O217">
        <v>10012917</v>
      </c>
      <c r="P217" s="108">
        <v>43137</v>
      </c>
      <c r="Q217" s="108">
        <v>43139</v>
      </c>
      <c r="R217" s="108">
        <v>43173</v>
      </c>
      <c r="S217" t="s">
        <v>3005</v>
      </c>
      <c r="T217" t="s">
        <v>154</v>
      </c>
      <c r="U217">
        <v>3</v>
      </c>
      <c r="V217">
        <v>3</v>
      </c>
      <c r="W217">
        <v>2</v>
      </c>
      <c r="X217">
        <v>2</v>
      </c>
      <c r="Y217">
        <v>2</v>
      </c>
      <c r="Z217" t="s">
        <v>2596</v>
      </c>
      <c r="AA217">
        <v>2</v>
      </c>
      <c r="AB217" t="s">
        <v>123</v>
      </c>
      <c r="AC217" t="s">
        <v>2596</v>
      </c>
      <c r="AD217" t="s">
        <v>2599</v>
      </c>
      <c r="AE217" t="s">
        <v>57</v>
      </c>
      <c r="AF217" t="s">
        <v>57</v>
      </c>
      <c r="AG217" t="s">
        <v>58</v>
      </c>
      <c r="AH217" t="s">
        <v>57</v>
      </c>
      <c r="AI217" t="s">
        <v>57</v>
      </c>
      <c r="AJ217" t="s">
        <v>58</v>
      </c>
      <c r="AK217" t="s">
        <v>57</v>
      </c>
      <c r="AL217" t="s">
        <v>58</v>
      </c>
      <c r="AM217" t="s">
        <v>57</v>
      </c>
      <c r="AN217" t="s">
        <v>57</v>
      </c>
      <c r="AO217" t="s">
        <v>57</v>
      </c>
      <c r="AP217" t="s">
        <v>57</v>
      </c>
      <c r="AQ217" t="s">
        <v>57</v>
      </c>
      <c r="AR217" t="s">
        <v>57</v>
      </c>
      <c r="AS217" t="s">
        <v>57</v>
      </c>
      <c r="AT217" t="s">
        <v>57</v>
      </c>
      <c r="AU217" t="s">
        <v>175</v>
      </c>
      <c r="AV217" t="s">
        <v>57</v>
      </c>
      <c r="AW217" t="s">
        <v>57</v>
      </c>
      <c r="AX217" t="s">
        <v>57</v>
      </c>
      <c r="AY217" t="s">
        <v>57</v>
      </c>
      <c r="AZ217" t="s">
        <v>57</v>
      </c>
      <c r="BA217" t="s">
        <v>57</v>
      </c>
      <c r="BB217" t="s">
        <v>57</v>
      </c>
      <c r="BC217" t="s">
        <v>175</v>
      </c>
      <c r="BD217" t="s">
        <v>57</v>
      </c>
      <c r="BE217" t="s">
        <v>57</v>
      </c>
      <c r="BF217" t="s">
        <v>57</v>
      </c>
      <c r="BG217" t="s">
        <v>57</v>
      </c>
      <c r="BH217" t="s">
        <v>57</v>
      </c>
      <c r="BI217" t="s">
        <v>57</v>
      </c>
      <c r="BJ217" t="s">
        <v>57</v>
      </c>
      <c r="BK217" t="s">
        <v>57</v>
      </c>
      <c r="BL217" t="s">
        <v>57</v>
      </c>
      <c r="BM217" t="s">
        <v>57</v>
      </c>
      <c r="BN217" t="s">
        <v>57</v>
      </c>
      <c r="BO217" t="s">
        <v>57</v>
      </c>
      <c r="BP217" t="s">
        <v>57</v>
      </c>
      <c r="BQ217" t="s">
        <v>57</v>
      </c>
      <c r="BR217" t="s">
        <v>57</v>
      </c>
      <c r="BS217" t="s">
        <v>57</v>
      </c>
      <c r="BT217" t="s">
        <v>57</v>
      </c>
      <c r="BU217" t="s">
        <v>57</v>
      </c>
      <c r="BV217" t="s">
        <v>57</v>
      </c>
      <c r="BW217" t="s">
        <v>57</v>
      </c>
      <c r="BX217" t="s">
        <v>57</v>
      </c>
      <c r="BY217" t="s">
        <v>57</v>
      </c>
      <c r="BZ217" t="s">
        <v>57</v>
      </c>
      <c r="CA217" t="s">
        <v>57</v>
      </c>
      <c r="CB217" t="s">
        <v>57</v>
      </c>
      <c r="CC217" t="s">
        <v>57</v>
      </c>
      <c r="CD217" t="s">
        <v>57</v>
      </c>
      <c r="CE217" t="s">
        <v>57</v>
      </c>
      <c r="CF217" t="s">
        <v>57</v>
      </c>
      <c r="CG217" t="s">
        <v>57</v>
      </c>
      <c r="CH217" t="s">
        <v>58</v>
      </c>
      <c r="CI217" t="s">
        <v>57</v>
      </c>
      <c r="CJ217" t="s">
        <v>58</v>
      </c>
      <c r="CK217" t="s">
        <v>175</v>
      </c>
      <c r="CL217" t="s">
        <v>175</v>
      </c>
      <c r="CM217" t="s">
        <v>175</v>
      </c>
      <c r="CN217" t="s">
        <v>57</v>
      </c>
      <c r="CO217" t="s">
        <v>57</v>
      </c>
      <c r="CP217" t="s">
        <v>57</v>
      </c>
      <c r="CQ217" t="s">
        <v>57</v>
      </c>
      <c r="CR217" t="s">
        <v>57</v>
      </c>
      <c r="CS217" t="s">
        <v>57</v>
      </c>
      <c r="CT217" t="s">
        <v>57</v>
      </c>
      <c r="CU217" t="s">
        <v>57</v>
      </c>
      <c r="CV217" t="s">
        <v>57</v>
      </c>
      <c r="CW217" t="s">
        <v>58</v>
      </c>
      <c r="CX217" t="s">
        <v>57</v>
      </c>
      <c r="CY217" t="s">
        <v>57</v>
      </c>
      <c r="CZ217" t="s">
        <v>57</v>
      </c>
      <c r="DA217" t="s">
        <v>57</v>
      </c>
      <c r="DB217" t="s">
        <v>57</v>
      </c>
      <c r="DC217" t="s">
        <v>57</v>
      </c>
      <c r="DD217" t="s">
        <v>57</v>
      </c>
      <c r="DE217" t="s">
        <v>57</v>
      </c>
      <c r="DF217" t="s">
        <v>57</v>
      </c>
      <c r="DG217" t="s">
        <v>57</v>
      </c>
      <c r="DH217" t="s">
        <v>57</v>
      </c>
      <c r="DI217" t="s">
        <v>57</v>
      </c>
      <c r="DJ217" t="s">
        <v>175</v>
      </c>
      <c r="DK217" t="s">
        <v>175</v>
      </c>
      <c r="DL217" t="s">
        <v>57</v>
      </c>
      <c r="DM217" t="s">
        <v>175</v>
      </c>
      <c r="DN217" t="s">
        <v>175</v>
      </c>
      <c r="DO217" t="s">
        <v>175</v>
      </c>
      <c r="DP217" t="s">
        <v>175</v>
      </c>
      <c r="DQ217" t="s">
        <v>175</v>
      </c>
      <c r="DR217" t="s">
        <v>175</v>
      </c>
      <c r="DS217" t="s">
        <v>175</v>
      </c>
      <c r="DT217" t="s">
        <v>175</v>
      </c>
      <c r="DU217" t="s">
        <v>175</v>
      </c>
      <c r="DV217" t="s">
        <v>175</v>
      </c>
      <c r="DW217" t="s">
        <v>175</v>
      </c>
      <c r="DX217" t="s">
        <v>175</v>
      </c>
      <c r="DY217" t="s">
        <v>175</v>
      </c>
      <c r="DZ217" t="s">
        <v>175</v>
      </c>
      <c r="EA217" t="s">
        <v>57</v>
      </c>
      <c r="EB217" t="s">
        <v>57</v>
      </c>
      <c r="EC217" t="s">
        <v>57</v>
      </c>
      <c r="ED217" t="s">
        <v>57</v>
      </c>
      <c r="EE217" t="s">
        <v>57</v>
      </c>
      <c r="EF217" t="s">
        <v>57</v>
      </c>
      <c r="EG217" t="s">
        <v>57</v>
      </c>
      <c r="EH217" t="s">
        <v>175</v>
      </c>
      <c r="EI217" t="s">
        <v>57</v>
      </c>
      <c r="EJ217" t="s">
        <v>57</v>
      </c>
      <c r="EK217" t="s">
        <v>57</v>
      </c>
      <c r="EL217" t="s">
        <v>57</v>
      </c>
      <c r="EM217" t="s">
        <v>57</v>
      </c>
      <c r="EN217" t="s">
        <v>57</v>
      </c>
      <c r="EO217" t="s">
        <v>57</v>
      </c>
      <c r="EP217" t="s">
        <v>57</v>
      </c>
      <c r="EQ217" t="s">
        <v>57</v>
      </c>
      <c r="ER217" t="s">
        <v>57</v>
      </c>
      <c r="ES217" t="s">
        <v>57</v>
      </c>
      <c r="ET217" t="s">
        <v>57</v>
      </c>
      <c r="EU217" t="s">
        <v>57</v>
      </c>
      <c r="EV217" t="s">
        <v>57</v>
      </c>
      <c r="EW217" t="s">
        <v>57</v>
      </c>
      <c r="EX217" t="s">
        <v>175</v>
      </c>
      <c r="EY217" t="s">
        <v>175</v>
      </c>
      <c r="EZ217" t="s">
        <v>175</v>
      </c>
      <c r="FA217" t="s">
        <v>175</v>
      </c>
      <c r="FB217" t="s">
        <v>175</v>
      </c>
      <c r="FC217" t="s">
        <v>175</v>
      </c>
      <c r="FD217" t="s">
        <v>57</v>
      </c>
      <c r="FE217" t="s">
        <v>175</v>
      </c>
      <c r="FF217" t="s">
        <v>148</v>
      </c>
      <c r="FG217" t="s">
        <v>175</v>
      </c>
      <c r="FH217" t="s">
        <v>57</v>
      </c>
      <c r="FI217" t="s">
        <v>57</v>
      </c>
      <c r="FJ217" t="s">
        <v>57</v>
      </c>
      <c r="FK217" t="s">
        <v>175</v>
      </c>
      <c r="FL217" t="s">
        <v>57</v>
      </c>
      <c r="FM217" t="s">
        <v>57</v>
      </c>
      <c r="FN217" t="s">
        <v>57</v>
      </c>
      <c r="FO217" t="s">
        <v>175</v>
      </c>
      <c r="FP217" t="s">
        <v>57</v>
      </c>
      <c r="FQ217" t="s">
        <v>57</v>
      </c>
      <c r="FR217" t="s">
        <v>57</v>
      </c>
      <c r="FS217" t="s">
        <v>57</v>
      </c>
      <c r="FT217" t="s">
        <v>57</v>
      </c>
      <c r="FU217" t="s">
        <v>57</v>
      </c>
      <c r="FV217" t="s">
        <v>57</v>
      </c>
      <c r="FW217" t="s">
        <v>57</v>
      </c>
      <c r="FX217" t="s">
        <v>57</v>
      </c>
      <c r="FY217" t="s">
        <v>57</v>
      </c>
      <c r="FZ217" t="s">
        <v>57</v>
      </c>
      <c r="GA217" t="s">
        <v>57</v>
      </c>
      <c r="GB217" t="s">
        <v>57</v>
      </c>
      <c r="GC217" t="s">
        <v>57</v>
      </c>
      <c r="GD217" t="s">
        <v>57</v>
      </c>
      <c r="GE217" t="s">
        <v>57</v>
      </c>
      <c r="GF217" t="s">
        <v>57</v>
      </c>
      <c r="GG217" t="s">
        <v>175</v>
      </c>
      <c r="GH217" t="s">
        <v>58</v>
      </c>
      <c r="GI217" t="s">
        <v>57</v>
      </c>
      <c r="GJ217" t="s">
        <v>57</v>
      </c>
      <c r="GK217" t="s">
        <v>57</v>
      </c>
      <c r="GL217" t="s">
        <v>57</v>
      </c>
      <c r="GM217" t="s">
        <v>175</v>
      </c>
      <c r="GN217" t="s">
        <v>57</v>
      </c>
      <c r="GO217" t="s">
        <v>57</v>
      </c>
      <c r="GP217" t="s">
        <v>57</v>
      </c>
      <c r="GQ217" t="s">
        <v>175</v>
      </c>
      <c r="GR217" t="s">
        <v>57</v>
      </c>
      <c r="GS217" t="s">
        <v>57</v>
      </c>
      <c r="GT217" t="s">
        <v>57</v>
      </c>
      <c r="GU217" t="s">
        <v>57</v>
      </c>
      <c r="GV217" t="s">
        <v>57</v>
      </c>
      <c r="GW217" t="s">
        <v>57</v>
      </c>
      <c r="GX217" t="s">
        <v>175</v>
      </c>
      <c r="GY217" t="s">
        <v>57</v>
      </c>
      <c r="GZ217" t="s">
        <v>57</v>
      </c>
      <c r="HA217" t="s">
        <v>58</v>
      </c>
      <c r="HB217" t="s">
        <v>58</v>
      </c>
      <c r="HC217" t="s">
        <v>57</v>
      </c>
      <c r="HD217" t="s">
        <v>57</v>
      </c>
      <c r="HE217" t="s">
        <v>57</v>
      </c>
      <c r="HF217" t="s">
        <v>57</v>
      </c>
      <c r="HG217" t="s">
        <v>57</v>
      </c>
      <c r="HH217" t="s">
        <v>175</v>
      </c>
      <c r="HI217" t="s">
        <v>175</v>
      </c>
      <c r="HJ217" t="s">
        <v>175</v>
      </c>
      <c r="HK217" t="s">
        <v>175</v>
      </c>
      <c r="HL217" t="s">
        <v>57</v>
      </c>
      <c r="HM217" t="s">
        <v>57</v>
      </c>
      <c r="HN217" t="s">
        <v>57</v>
      </c>
      <c r="HO217" t="s">
        <v>57</v>
      </c>
      <c r="HP217" t="s">
        <v>57</v>
      </c>
      <c r="HQ217" t="s">
        <v>57</v>
      </c>
      <c r="HR217" t="s">
        <v>57</v>
      </c>
      <c r="HS217" t="s">
        <v>57</v>
      </c>
      <c r="HT217" t="s">
        <v>57</v>
      </c>
      <c r="HU217" t="s">
        <v>57</v>
      </c>
      <c r="HV217" t="s">
        <v>57</v>
      </c>
      <c r="HW217" t="s">
        <v>57</v>
      </c>
      <c r="HX217" t="s">
        <v>57</v>
      </c>
      <c r="HY217" t="s">
        <v>57</v>
      </c>
      <c r="HZ217" t="s">
        <v>57</v>
      </c>
      <c r="IA217" t="s">
        <v>57</v>
      </c>
      <c r="IB217" t="s">
        <v>58</v>
      </c>
      <c r="IC217" t="s">
        <v>58</v>
      </c>
      <c r="ID217" t="s">
        <v>58</v>
      </c>
      <c r="IE217" t="s">
        <v>57</v>
      </c>
      <c r="IF217" t="s">
        <v>124</v>
      </c>
      <c r="IG217" t="s">
        <v>148</v>
      </c>
      <c r="IH217" t="s">
        <v>123</v>
      </c>
      <c r="II217" t="s">
        <v>156</v>
      </c>
    </row>
    <row r="218" spans="1:243" x14ac:dyDescent="0.25">
      <c r="A218" s="201" t="str">
        <f>HYPERLINK("http://www.ofsted.gov.uk/inspection-reports/find-inspection-report/provider/ELS/138597 ","Ofsted School Webpage")</f>
        <v>Ofsted School Webpage</v>
      </c>
      <c r="B218">
        <v>138597</v>
      </c>
      <c r="C218">
        <v>8766014</v>
      </c>
      <c r="D218" t="s">
        <v>1035</v>
      </c>
      <c r="E218" t="s">
        <v>37</v>
      </c>
      <c r="F218" t="s">
        <v>138</v>
      </c>
      <c r="G218" t="s">
        <v>162</v>
      </c>
      <c r="H218" t="s">
        <v>162</v>
      </c>
      <c r="I218" t="s">
        <v>590</v>
      </c>
      <c r="J218" t="s">
        <v>1036</v>
      </c>
      <c r="K218" t="s">
        <v>142</v>
      </c>
      <c r="L218" t="s">
        <v>169</v>
      </c>
      <c r="M218" t="s">
        <v>2596</v>
      </c>
      <c r="N218" t="s">
        <v>143</v>
      </c>
      <c r="O218">
        <v>10012923</v>
      </c>
      <c r="P218" s="108">
        <v>43129</v>
      </c>
      <c r="Q218" s="108">
        <v>43131</v>
      </c>
      <c r="R218" s="108">
        <v>43158</v>
      </c>
      <c r="S218" t="s">
        <v>153</v>
      </c>
      <c r="T218" t="s">
        <v>154</v>
      </c>
      <c r="U218">
        <v>2</v>
      </c>
      <c r="V218">
        <v>2</v>
      </c>
      <c r="W218">
        <v>2</v>
      </c>
      <c r="X218">
        <v>2</v>
      </c>
      <c r="Y218">
        <v>2</v>
      </c>
      <c r="Z218" t="s">
        <v>2596</v>
      </c>
      <c r="AA218" t="s">
        <v>2596</v>
      </c>
      <c r="AB218" t="s">
        <v>123</v>
      </c>
      <c r="AC218" t="s">
        <v>2596</v>
      </c>
      <c r="AD218" t="s">
        <v>2598</v>
      </c>
      <c r="AE218" t="s">
        <v>57</v>
      </c>
      <c r="AF218" t="s">
        <v>57</v>
      </c>
      <c r="AG218" t="s">
        <v>57</v>
      </c>
      <c r="AH218" t="s">
        <v>57</v>
      </c>
      <c r="AI218" t="s">
        <v>57</v>
      </c>
      <c r="AJ218" t="s">
        <v>57</v>
      </c>
      <c r="AK218" t="s">
        <v>57</v>
      </c>
      <c r="AL218" t="s">
        <v>57</v>
      </c>
      <c r="AM218" t="s">
        <v>57</v>
      </c>
      <c r="AN218" t="s">
        <v>57</v>
      </c>
      <c r="AO218" t="s">
        <v>57</v>
      </c>
      <c r="AP218" t="s">
        <v>57</v>
      </c>
      <c r="AQ218" t="s">
        <v>57</v>
      </c>
      <c r="AR218" t="s">
        <v>57</v>
      </c>
      <c r="AS218" t="s">
        <v>57</v>
      </c>
      <c r="AT218" t="s">
        <v>57</v>
      </c>
      <c r="AU218" t="s">
        <v>148</v>
      </c>
      <c r="AV218" t="s">
        <v>57</v>
      </c>
      <c r="AW218" t="s">
        <v>57</v>
      </c>
      <c r="AX218" t="s">
        <v>57</v>
      </c>
      <c r="AY218" t="s">
        <v>57</v>
      </c>
      <c r="AZ218" t="s">
        <v>57</v>
      </c>
      <c r="BA218" t="s">
        <v>57</v>
      </c>
      <c r="BB218" t="s">
        <v>57</v>
      </c>
      <c r="BC218" t="s">
        <v>148</v>
      </c>
      <c r="BD218" t="s">
        <v>148</v>
      </c>
      <c r="BE218" t="s">
        <v>57</v>
      </c>
      <c r="BF218" t="s">
        <v>57</v>
      </c>
      <c r="BG218" t="s">
        <v>57</v>
      </c>
      <c r="BH218" t="s">
        <v>57</v>
      </c>
      <c r="BI218" t="s">
        <v>57</v>
      </c>
      <c r="BJ218" t="s">
        <v>57</v>
      </c>
      <c r="BK218" t="s">
        <v>57</v>
      </c>
      <c r="BL218" t="s">
        <v>57</v>
      </c>
      <c r="BM218" t="s">
        <v>57</v>
      </c>
      <c r="BN218" t="s">
        <v>57</v>
      </c>
      <c r="BO218" t="s">
        <v>57</v>
      </c>
      <c r="BP218" t="s">
        <v>57</v>
      </c>
      <c r="BQ218" t="s">
        <v>57</v>
      </c>
      <c r="BR218" t="s">
        <v>57</v>
      </c>
      <c r="BS218" t="s">
        <v>57</v>
      </c>
      <c r="BT218" t="s">
        <v>57</v>
      </c>
      <c r="BU218" t="s">
        <v>57</v>
      </c>
      <c r="BV218" t="s">
        <v>57</v>
      </c>
      <c r="BW218" t="s">
        <v>57</v>
      </c>
      <c r="BX218" t="s">
        <v>57</v>
      </c>
      <c r="BY218" t="s">
        <v>57</v>
      </c>
      <c r="BZ218" t="s">
        <v>57</v>
      </c>
      <c r="CA218" t="s">
        <v>57</v>
      </c>
      <c r="CB218" t="s">
        <v>57</v>
      </c>
      <c r="CC218" t="s">
        <v>57</v>
      </c>
      <c r="CD218" t="s">
        <v>57</v>
      </c>
      <c r="CE218" t="s">
        <v>57</v>
      </c>
      <c r="CF218" t="s">
        <v>57</v>
      </c>
      <c r="CG218" t="s">
        <v>57</v>
      </c>
      <c r="CH218" t="s">
        <v>57</v>
      </c>
      <c r="CI218" t="s">
        <v>57</v>
      </c>
      <c r="CJ218" t="s">
        <v>57</v>
      </c>
      <c r="CK218" t="s">
        <v>148</v>
      </c>
      <c r="CL218" t="s">
        <v>148</v>
      </c>
      <c r="CM218" t="s">
        <v>148</v>
      </c>
      <c r="CN218" t="s">
        <v>57</v>
      </c>
      <c r="CO218" t="s">
        <v>57</v>
      </c>
      <c r="CP218" t="s">
        <v>57</v>
      </c>
      <c r="CQ218" t="s">
        <v>57</v>
      </c>
      <c r="CR218" t="s">
        <v>57</v>
      </c>
      <c r="CS218" t="s">
        <v>57</v>
      </c>
      <c r="CT218" t="s">
        <v>57</v>
      </c>
      <c r="CU218" t="s">
        <v>57</v>
      </c>
      <c r="CV218" t="s">
        <v>57</v>
      </c>
      <c r="CW218" t="s">
        <v>57</v>
      </c>
      <c r="CX218" t="s">
        <v>57</v>
      </c>
      <c r="CY218" t="s">
        <v>57</v>
      </c>
      <c r="CZ218" t="s">
        <v>57</v>
      </c>
      <c r="DA218" t="s">
        <v>57</v>
      </c>
      <c r="DB218" t="s">
        <v>57</v>
      </c>
      <c r="DC218" t="s">
        <v>57</v>
      </c>
      <c r="DD218" t="s">
        <v>57</v>
      </c>
      <c r="DE218" t="s">
        <v>57</v>
      </c>
      <c r="DF218" t="s">
        <v>57</v>
      </c>
      <c r="DG218" t="s">
        <v>57</v>
      </c>
      <c r="DH218" t="s">
        <v>57</v>
      </c>
      <c r="DI218" t="s">
        <v>57</v>
      </c>
      <c r="DJ218" t="s">
        <v>148</v>
      </c>
      <c r="DK218" t="s">
        <v>148</v>
      </c>
      <c r="DL218" t="s">
        <v>57</v>
      </c>
      <c r="DM218" t="s">
        <v>148</v>
      </c>
      <c r="DN218" t="s">
        <v>148</v>
      </c>
      <c r="DO218" t="s">
        <v>148</v>
      </c>
      <c r="DP218" t="s">
        <v>148</v>
      </c>
      <c r="DQ218" t="s">
        <v>148</v>
      </c>
      <c r="DR218" t="s">
        <v>148</v>
      </c>
      <c r="DS218" t="s">
        <v>148</v>
      </c>
      <c r="DT218" t="s">
        <v>148</v>
      </c>
      <c r="DU218" t="s">
        <v>148</v>
      </c>
      <c r="DV218" t="s">
        <v>148</v>
      </c>
      <c r="DW218" t="s">
        <v>148</v>
      </c>
      <c r="DX218" t="s">
        <v>148</v>
      </c>
      <c r="DY218" t="s">
        <v>148</v>
      </c>
      <c r="DZ218" t="s">
        <v>148</v>
      </c>
      <c r="EA218" t="s">
        <v>148</v>
      </c>
      <c r="EB218" t="s">
        <v>148</v>
      </c>
      <c r="EC218" t="s">
        <v>148</v>
      </c>
      <c r="ED218" t="s">
        <v>148</v>
      </c>
      <c r="EE218" t="s">
        <v>148</v>
      </c>
      <c r="EF218" t="s">
        <v>148</v>
      </c>
      <c r="EG218" t="s">
        <v>148</v>
      </c>
      <c r="EH218" t="s">
        <v>148</v>
      </c>
      <c r="EI218" t="s">
        <v>148</v>
      </c>
      <c r="EJ218" t="s">
        <v>57</v>
      </c>
      <c r="EK218" t="s">
        <v>57</v>
      </c>
      <c r="EL218" t="s">
        <v>57</v>
      </c>
      <c r="EM218" t="s">
        <v>57</v>
      </c>
      <c r="EN218" t="s">
        <v>57</v>
      </c>
      <c r="EO218" t="s">
        <v>57</v>
      </c>
      <c r="EP218" t="s">
        <v>57</v>
      </c>
      <c r="EQ218" t="s">
        <v>57</v>
      </c>
      <c r="ER218" t="s">
        <v>57</v>
      </c>
      <c r="ES218" t="s">
        <v>57</v>
      </c>
      <c r="ET218" t="s">
        <v>57</v>
      </c>
      <c r="EU218" t="s">
        <v>57</v>
      </c>
      <c r="EV218" t="s">
        <v>57</v>
      </c>
      <c r="EW218" t="s">
        <v>148</v>
      </c>
      <c r="EX218" t="s">
        <v>148</v>
      </c>
      <c r="EY218" t="s">
        <v>148</v>
      </c>
      <c r="EZ218" t="s">
        <v>148</v>
      </c>
      <c r="FA218" t="s">
        <v>148</v>
      </c>
      <c r="FB218" t="s">
        <v>148</v>
      </c>
      <c r="FC218" t="s">
        <v>148</v>
      </c>
      <c r="FD218" t="s">
        <v>57</v>
      </c>
      <c r="FE218" t="s">
        <v>148</v>
      </c>
      <c r="FF218" t="s">
        <v>57</v>
      </c>
      <c r="FG218" t="s">
        <v>57</v>
      </c>
      <c r="FH218" t="s">
        <v>57</v>
      </c>
      <c r="FI218" t="s">
        <v>57</v>
      </c>
      <c r="FJ218" t="s">
        <v>57</v>
      </c>
      <c r="FK218" t="s">
        <v>57</v>
      </c>
      <c r="FL218" t="s">
        <v>57</v>
      </c>
      <c r="FM218" t="s">
        <v>57</v>
      </c>
      <c r="FN218" t="s">
        <v>57</v>
      </c>
      <c r="FO218" t="s">
        <v>57</v>
      </c>
      <c r="FP218" t="s">
        <v>57</v>
      </c>
      <c r="FQ218" t="s">
        <v>57</v>
      </c>
      <c r="FR218" t="s">
        <v>57</v>
      </c>
      <c r="FS218" t="s">
        <v>57</v>
      </c>
      <c r="FT218" t="s">
        <v>57</v>
      </c>
      <c r="FU218" t="s">
        <v>57</v>
      </c>
      <c r="FV218" t="s">
        <v>57</v>
      </c>
      <c r="FW218" t="s">
        <v>57</v>
      </c>
      <c r="FX218" t="s">
        <v>57</v>
      </c>
      <c r="FY218" t="s">
        <v>57</v>
      </c>
      <c r="FZ218" t="s">
        <v>57</v>
      </c>
      <c r="GA218" t="s">
        <v>57</v>
      </c>
      <c r="GB218" t="s">
        <v>57</v>
      </c>
      <c r="GC218" t="s">
        <v>57</v>
      </c>
      <c r="GD218" t="s">
        <v>57</v>
      </c>
      <c r="GE218" t="s">
        <v>57</v>
      </c>
      <c r="GF218" t="s">
        <v>57</v>
      </c>
      <c r="GG218" t="s">
        <v>148</v>
      </c>
      <c r="GH218" t="s">
        <v>57</v>
      </c>
      <c r="GI218" t="s">
        <v>57</v>
      </c>
      <c r="GJ218" t="s">
        <v>57</v>
      </c>
      <c r="GK218" t="s">
        <v>57</v>
      </c>
      <c r="GL218" t="s">
        <v>57</v>
      </c>
      <c r="GM218" t="s">
        <v>148</v>
      </c>
      <c r="GN218" t="s">
        <v>57</v>
      </c>
      <c r="GO218" t="s">
        <v>57</v>
      </c>
      <c r="GP218" t="s">
        <v>57</v>
      </c>
      <c r="GQ218" t="s">
        <v>57</v>
      </c>
      <c r="GR218" t="s">
        <v>57</v>
      </c>
      <c r="GS218" t="s">
        <v>57</v>
      </c>
      <c r="GT218" t="s">
        <v>57</v>
      </c>
      <c r="GU218" t="s">
        <v>57</v>
      </c>
      <c r="GV218" t="s">
        <v>57</v>
      </c>
      <c r="GW218" t="s">
        <v>57</v>
      </c>
      <c r="GX218" t="s">
        <v>57</v>
      </c>
      <c r="GY218" t="s">
        <v>57</v>
      </c>
      <c r="GZ218" t="s">
        <v>57</v>
      </c>
      <c r="HA218" t="s">
        <v>57</v>
      </c>
      <c r="HB218" t="s">
        <v>57</v>
      </c>
      <c r="HC218" t="s">
        <v>57</v>
      </c>
      <c r="HD218" t="s">
        <v>57</v>
      </c>
      <c r="HE218" t="s">
        <v>57</v>
      </c>
      <c r="HF218" t="s">
        <v>57</v>
      </c>
      <c r="HG218" t="s">
        <v>57</v>
      </c>
      <c r="HH218" t="s">
        <v>57</v>
      </c>
      <c r="HI218" t="s">
        <v>57</v>
      </c>
      <c r="HJ218" t="s">
        <v>57</v>
      </c>
      <c r="HK218" t="s">
        <v>57</v>
      </c>
      <c r="HL218" t="s">
        <v>57</v>
      </c>
      <c r="HM218" t="s">
        <v>57</v>
      </c>
      <c r="HN218" t="s">
        <v>57</v>
      </c>
      <c r="HO218" t="s">
        <v>57</v>
      </c>
      <c r="HP218" t="s">
        <v>57</v>
      </c>
      <c r="HQ218" t="s">
        <v>57</v>
      </c>
      <c r="HR218" t="s">
        <v>57</v>
      </c>
      <c r="HS218" t="s">
        <v>57</v>
      </c>
      <c r="HT218" t="s">
        <v>57</v>
      </c>
      <c r="HU218" t="s">
        <v>57</v>
      </c>
      <c r="HV218" t="s">
        <v>57</v>
      </c>
      <c r="HW218" t="s">
        <v>57</v>
      </c>
      <c r="HX218" t="s">
        <v>57</v>
      </c>
      <c r="HY218" t="s">
        <v>57</v>
      </c>
      <c r="HZ218" t="s">
        <v>57</v>
      </c>
      <c r="IA218" t="s">
        <v>57</v>
      </c>
      <c r="IB218" t="s">
        <v>57</v>
      </c>
      <c r="IC218" t="s">
        <v>57</v>
      </c>
      <c r="ID218" t="s">
        <v>57</v>
      </c>
      <c r="IE218" t="s">
        <v>57</v>
      </c>
      <c r="IF218" t="s">
        <v>124</v>
      </c>
      <c r="IG218" t="s">
        <v>155</v>
      </c>
      <c r="IH218" t="s">
        <v>123</v>
      </c>
      <c r="II218" t="s">
        <v>156</v>
      </c>
    </row>
    <row r="219" spans="1:243" x14ac:dyDescent="0.25">
      <c r="A219" s="201" t="str">
        <f>HYPERLINK("http://www.ofsted.gov.uk/inspection-reports/find-inspection-report/provider/ELS/138777 ","Ofsted School Webpage")</f>
        <v>Ofsted School Webpage</v>
      </c>
      <c r="B219">
        <v>138777</v>
      </c>
      <c r="C219">
        <v>2026002</v>
      </c>
      <c r="D219" t="s">
        <v>2201</v>
      </c>
      <c r="E219" t="s">
        <v>36</v>
      </c>
      <c r="F219" t="s">
        <v>166</v>
      </c>
      <c r="G219" t="s">
        <v>189</v>
      </c>
      <c r="H219" t="s">
        <v>189</v>
      </c>
      <c r="I219" t="s">
        <v>491</v>
      </c>
      <c r="J219" t="s">
        <v>2203</v>
      </c>
      <c r="K219" t="s">
        <v>142</v>
      </c>
      <c r="L219" t="s">
        <v>142</v>
      </c>
      <c r="M219" t="s">
        <v>2596</v>
      </c>
      <c r="N219" t="s">
        <v>143</v>
      </c>
      <c r="O219">
        <v>10012786</v>
      </c>
      <c r="P219" s="108">
        <v>43053</v>
      </c>
      <c r="Q219" s="108">
        <v>43055</v>
      </c>
      <c r="R219" s="108">
        <v>43089</v>
      </c>
      <c r="S219" t="s">
        <v>153</v>
      </c>
      <c r="T219" t="s">
        <v>154</v>
      </c>
      <c r="U219">
        <v>2</v>
      </c>
      <c r="V219">
        <v>2</v>
      </c>
      <c r="W219">
        <v>2</v>
      </c>
      <c r="X219">
        <v>2</v>
      </c>
      <c r="Y219">
        <v>2</v>
      </c>
      <c r="Z219">
        <v>2</v>
      </c>
      <c r="AA219" t="s">
        <v>2596</v>
      </c>
      <c r="AB219" t="s">
        <v>123</v>
      </c>
      <c r="AC219" t="s">
        <v>2596</v>
      </c>
      <c r="AD219" t="s">
        <v>2598</v>
      </c>
      <c r="AE219" t="s">
        <v>57</v>
      </c>
      <c r="AF219" t="s">
        <v>57</v>
      </c>
      <c r="AG219" t="s">
        <v>57</v>
      </c>
      <c r="AH219" t="s">
        <v>57</v>
      </c>
      <c r="AI219" t="s">
        <v>57</v>
      </c>
      <c r="AJ219" t="s">
        <v>57</v>
      </c>
      <c r="AK219" t="s">
        <v>57</v>
      </c>
      <c r="AL219" t="s">
        <v>57</v>
      </c>
      <c r="AM219" t="s">
        <v>57</v>
      </c>
      <c r="AN219" t="s">
        <v>57</v>
      </c>
      <c r="AO219" t="s">
        <v>57</v>
      </c>
      <c r="AP219" t="s">
        <v>57</v>
      </c>
      <c r="AQ219" t="s">
        <v>57</v>
      </c>
      <c r="AR219" t="s">
        <v>57</v>
      </c>
      <c r="AS219" t="s">
        <v>57</v>
      </c>
      <c r="AT219" t="s">
        <v>57</v>
      </c>
      <c r="AU219" t="s">
        <v>148</v>
      </c>
      <c r="AV219" t="s">
        <v>57</v>
      </c>
      <c r="AW219" t="s">
        <v>57</v>
      </c>
      <c r="AX219" t="s">
        <v>57</v>
      </c>
      <c r="AY219" t="s">
        <v>148</v>
      </c>
      <c r="AZ219" t="s">
        <v>148</v>
      </c>
      <c r="BA219" t="s">
        <v>148</v>
      </c>
      <c r="BB219" t="s">
        <v>148</v>
      </c>
      <c r="BC219" t="s">
        <v>57</v>
      </c>
      <c r="BD219" t="s">
        <v>148</v>
      </c>
      <c r="BE219" t="s">
        <v>57</v>
      </c>
      <c r="BF219" t="s">
        <v>57</v>
      </c>
      <c r="BG219" t="s">
        <v>57</v>
      </c>
      <c r="BH219" t="s">
        <v>57</v>
      </c>
      <c r="BI219" t="s">
        <v>57</v>
      </c>
      <c r="BJ219" t="s">
        <v>57</v>
      </c>
      <c r="BK219" t="s">
        <v>57</v>
      </c>
      <c r="BL219" t="s">
        <v>57</v>
      </c>
      <c r="BM219" t="s">
        <v>57</v>
      </c>
      <c r="BN219" t="s">
        <v>57</v>
      </c>
      <c r="BO219" t="s">
        <v>57</v>
      </c>
      <c r="BP219" t="s">
        <v>57</v>
      </c>
      <c r="BQ219" t="s">
        <v>57</v>
      </c>
      <c r="BR219" t="s">
        <v>57</v>
      </c>
      <c r="BS219" t="s">
        <v>57</v>
      </c>
      <c r="BT219" t="s">
        <v>57</v>
      </c>
      <c r="BU219" t="s">
        <v>57</v>
      </c>
      <c r="BV219" t="s">
        <v>57</v>
      </c>
      <c r="BW219" t="s">
        <v>57</v>
      </c>
      <c r="BX219" t="s">
        <v>57</v>
      </c>
      <c r="BY219" t="s">
        <v>57</v>
      </c>
      <c r="BZ219" t="s">
        <v>57</v>
      </c>
      <c r="CA219" t="s">
        <v>57</v>
      </c>
      <c r="CB219" t="s">
        <v>57</v>
      </c>
      <c r="CC219" t="s">
        <v>57</v>
      </c>
      <c r="CD219" t="s">
        <v>57</v>
      </c>
      <c r="CE219" t="s">
        <v>57</v>
      </c>
      <c r="CF219" t="s">
        <v>57</v>
      </c>
      <c r="CG219" t="s">
        <v>57</v>
      </c>
      <c r="CH219" t="s">
        <v>57</v>
      </c>
      <c r="CI219" t="s">
        <v>57</v>
      </c>
      <c r="CJ219" t="s">
        <v>57</v>
      </c>
      <c r="CK219" t="s">
        <v>148</v>
      </c>
      <c r="CL219" t="s">
        <v>148</v>
      </c>
      <c r="CM219" t="s">
        <v>148</v>
      </c>
      <c r="CN219" t="s">
        <v>57</v>
      </c>
      <c r="CO219" t="s">
        <v>57</v>
      </c>
      <c r="CP219" t="s">
        <v>57</v>
      </c>
      <c r="CQ219" t="s">
        <v>57</v>
      </c>
      <c r="CR219" t="s">
        <v>57</v>
      </c>
      <c r="CS219" t="s">
        <v>57</v>
      </c>
      <c r="CT219" t="s">
        <v>57</v>
      </c>
      <c r="CU219" t="s">
        <v>57</v>
      </c>
      <c r="CV219" t="s">
        <v>57</v>
      </c>
      <c r="CW219" t="s">
        <v>57</v>
      </c>
      <c r="CX219" t="s">
        <v>57</v>
      </c>
      <c r="CY219" t="s">
        <v>57</v>
      </c>
      <c r="CZ219" t="s">
        <v>57</v>
      </c>
      <c r="DA219" t="s">
        <v>57</v>
      </c>
      <c r="DB219" t="s">
        <v>57</v>
      </c>
      <c r="DC219" t="s">
        <v>57</v>
      </c>
      <c r="DD219" t="s">
        <v>57</v>
      </c>
      <c r="DE219" t="s">
        <v>57</v>
      </c>
      <c r="DF219" t="s">
        <v>57</v>
      </c>
      <c r="DG219" t="s">
        <v>57</v>
      </c>
      <c r="DH219" t="s">
        <v>57</v>
      </c>
      <c r="DI219" t="s">
        <v>57</v>
      </c>
      <c r="DJ219" t="s">
        <v>57</v>
      </c>
      <c r="DK219" t="s">
        <v>148</v>
      </c>
      <c r="DL219" t="s">
        <v>57</v>
      </c>
      <c r="DM219" t="s">
        <v>148</v>
      </c>
      <c r="DN219" t="s">
        <v>148</v>
      </c>
      <c r="DO219" t="s">
        <v>148</v>
      </c>
      <c r="DP219" t="s">
        <v>148</v>
      </c>
      <c r="DQ219" t="s">
        <v>148</v>
      </c>
      <c r="DR219" t="s">
        <v>148</v>
      </c>
      <c r="DS219" t="s">
        <v>148</v>
      </c>
      <c r="DT219" t="s">
        <v>148</v>
      </c>
      <c r="DU219" t="s">
        <v>148</v>
      </c>
      <c r="DV219" t="s">
        <v>148</v>
      </c>
      <c r="DW219" t="s">
        <v>148</v>
      </c>
      <c r="DX219" t="s">
        <v>148</v>
      </c>
      <c r="DY219" t="s">
        <v>148</v>
      </c>
      <c r="DZ219" t="s">
        <v>57</v>
      </c>
      <c r="EA219" t="s">
        <v>57</v>
      </c>
      <c r="EB219" t="s">
        <v>57</v>
      </c>
      <c r="EC219" t="s">
        <v>57</v>
      </c>
      <c r="ED219" t="s">
        <v>57</v>
      </c>
      <c r="EE219" t="s">
        <v>148</v>
      </c>
      <c r="EF219" t="s">
        <v>148</v>
      </c>
      <c r="EG219" t="s">
        <v>148</v>
      </c>
      <c r="EH219" t="s">
        <v>148</v>
      </c>
      <c r="EI219" t="s">
        <v>57</v>
      </c>
      <c r="EJ219" t="s">
        <v>57</v>
      </c>
      <c r="EK219" t="s">
        <v>57</v>
      </c>
      <c r="EL219" t="s">
        <v>57</v>
      </c>
      <c r="EM219" t="s">
        <v>57</v>
      </c>
      <c r="EN219" t="s">
        <v>57</v>
      </c>
      <c r="EO219" t="s">
        <v>57</v>
      </c>
      <c r="EP219" t="s">
        <v>57</v>
      </c>
      <c r="EQ219" t="s">
        <v>57</v>
      </c>
      <c r="ER219" t="s">
        <v>57</v>
      </c>
      <c r="ES219" t="s">
        <v>57</v>
      </c>
      <c r="ET219" t="s">
        <v>57</v>
      </c>
      <c r="EU219" t="s">
        <v>57</v>
      </c>
      <c r="EV219" t="s">
        <v>57</v>
      </c>
      <c r="EW219" t="s">
        <v>148</v>
      </c>
      <c r="EX219" t="s">
        <v>148</v>
      </c>
      <c r="EY219" t="s">
        <v>148</v>
      </c>
      <c r="EZ219" t="s">
        <v>148</v>
      </c>
      <c r="FA219" t="s">
        <v>148</v>
      </c>
      <c r="FB219" t="s">
        <v>148</v>
      </c>
      <c r="FC219" t="s">
        <v>148</v>
      </c>
      <c r="FD219" t="s">
        <v>148</v>
      </c>
      <c r="FE219" t="s">
        <v>148</v>
      </c>
      <c r="FF219" t="s">
        <v>148</v>
      </c>
      <c r="FG219" t="s">
        <v>148</v>
      </c>
      <c r="FH219" t="s">
        <v>57</v>
      </c>
      <c r="FI219" t="s">
        <v>57</v>
      </c>
      <c r="FJ219" t="s">
        <v>57</v>
      </c>
      <c r="FK219" t="s">
        <v>148</v>
      </c>
      <c r="FL219" t="s">
        <v>57</v>
      </c>
      <c r="FM219" t="s">
        <v>57</v>
      </c>
      <c r="FN219" t="s">
        <v>57</v>
      </c>
      <c r="FO219" t="s">
        <v>148</v>
      </c>
      <c r="FP219" t="s">
        <v>148</v>
      </c>
      <c r="FQ219" t="s">
        <v>57</v>
      </c>
      <c r="FR219" t="s">
        <v>57</v>
      </c>
      <c r="FS219" t="s">
        <v>57</v>
      </c>
      <c r="FT219" t="s">
        <v>57</v>
      </c>
      <c r="FU219" t="s">
        <v>57</v>
      </c>
      <c r="FV219" t="s">
        <v>57</v>
      </c>
      <c r="FW219" t="s">
        <v>57</v>
      </c>
      <c r="FX219" t="s">
        <v>57</v>
      </c>
      <c r="FY219" t="s">
        <v>57</v>
      </c>
      <c r="FZ219" t="s">
        <v>57</v>
      </c>
      <c r="GA219" t="s">
        <v>57</v>
      </c>
      <c r="GB219" t="s">
        <v>57</v>
      </c>
      <c r="GC219" t="s">
        <v>57</v>
      </c>
      <c r="GD219" t="s">
        <v>57</v>
      </c>
      <c r="GE219" t="s">
        <v>57</v>
      </c>
      <c r="GF219" t="s">
        <v>57</v>
      </c>
      <c r="GG219" t="s">
        <v>148</v>
      </c>
      <c r="GH219" t="s">
        <v>57</v>
      </c>
      <c r="GI219" t="s">
        <v>57</v>
      </c>
      <c r="GJ219" t="s">
        <v>57</v>
      </c>
      <c r="GK219" t="s">
        <v>57</v>
      </c>
      <c r="GL219" t="s">
        <v>57</v>
      </c>
      <c r="GM219" t="s">
        <v>148</v>
      </c>
      <c r="GN219" t="s">
        <v>57</v>
      </c>
      <c r="GO219" t="s">
        <v>57</v>
      </c>
      <c r="GP219" t="s">
        <v>148</v>
      </c>
      <c r="GQ219" t="s">
        <v>148</v>
      </c>
      <c r="GR219" t="s">
        <v>57</v>
      </c>
      <c r="GS219" t="s">
        <v>57</v>
      </c>
      <c r="GT219" t="s">
        <v>57</v>
      </c>
      <c r="GU219" t="s">
        <v>57</v>
      </c>
      <c r="GV219" t="s">
        <v>57</v>
      </c>
      <c r="GW219" t="s">
        <v>148</v>
      </c>
      <c r="GX219" t="s">
        <v>148</v>
      </c>
      <c r="GY219" t="s">
        <v>57</v>
      </c>
      <c r="GZ219" t="s">
        <v>57</v>
      </c>
      <c r="HA219" t="s">
        <v>57</v>
      </c>
      <c r="HB219" t="s">
        <v>57</v>
      </c>
      <c r="HC219" t="s">
        <v>57</v>
      </c>
      <c r="HD219" t="s">
        <v>57</v>
      </c>
      <c r="HE219" t="s">
        <v>57</v>
      </c>
      <c r="HF219" t="s">
        <v>57</v>
      </c>
      <c r="HG219" t="s">
        <v>57</v>
      </c>
      <c r="HH219" t="s">
        <v>148</v>
      </c>
      <c r="HI219" t="s">
        <v>148</v>
      </c>
      <c r="HJ219" t="s">
        <v>148</v>
      </c>
      <c r="HK219" t="s">
        <v>148</v>
      </c>
      <c r="HL219" t="s">
        <v>57</v>
      </c>
      <c r="HM219" t="s">
        <v>57</v>
      </c>
      <c r="HN219" t="s">
        <v>57</v>
      </c>
      <c r="HO219" t="s">
        <v>57</v>
      </c>
      <c r="HP219" t="s">
        <v>57</v>
      </c>
      <c r="HQ219" t="s">
        <v>57</v>
      </c>
      <c r="HR219" t="s">
        <v>57</v>
      </c>
      <c r="HS219" t="s">
        <v>57</v>
      </c>
      <c r="HT219" t="s">
        <v>57</v>
      </c>
      <c r="HU219" t="s">
        <v>57</v>
      </c>
      <c r="HV219" t="s">
        <v>57</v>
      </c>
      <c r="HW219" t="s">
        <v>57</v>
      </c>
      <c r="HX219" t="s">
        <v>57</v>
      </c>
      <c r="HY219" t="s">
        <v>57</v>
      </c>
      <c r="HZ219" t="s">
        <v>57</v>
      </c>
      <c r="IA219" t="s">
        <v>57</v>
      </c>
      <c r="IB219" t="s">
        <v>57</v>
      </c>
      <c r="IC219" t="s">
        <v>57</v>
      </c>
      <c r="ID219" t="s">
        <v>57</v>
      </c>
      <c r="IE219" t="s">
        <v>57</v>
      </c>
      <c r="IF219" t="s">
        <v>124</v>
      </c>
      <c r="IG219" t="s">
        <v>155</v>
      </c>
      <c r="IH219" t="s">
        <v>123</v>
      </c>
      <c r="II219" t="s">
        <v>156</v>
      </c>
    </row>
    <row r="220" spans="1:243" x14ac:dyDescent="0.25">
      <c r="A220" s="201" t="str">
        <f>HYPERLINK("http://www.ofsted.gov.uk/inspection-reports/find-inspection-report/provider/ELS/138875 ","Ofsted School Webpage")</f>
        <v>Ofsted School Webpage</v>
      </c>
      <c r="B220">
        <v>138875</v>
      </c>
      <c r="C220">
        <v>8936030</v>
      </c>
      <c r="D220" t="s">
        <v>149</v>
      </c>
      <c r="E220" t="s">
        <v>37</v>
      </c>
      <c r="F220" t="s">
        <v>138</v>
      </c>
      <c r="G220" t="s">
        <v>150</v>
      </c>
      <c r="H220" t="s">
        <v>150</v>
      </c>
      <c r="I220" t="s">
        <v>151</v>
      </c>
      <c r="J220" t="s">
        <v>152</v>
      </c>
      <c r="K220" t="s">
        <v>142</v>
      </c>
      <c r="L220" t="s">
        <v>142</v>
      </c>
      <c r="M220" t="s">
        <v>2596</v>
      </c>
      <c r="N220" t="s">
        <v>143</v>
      </c>
      <c r="O220">
        <v>10012924</v>
      </c>
      <c r="P220" s="108">
        <v>43011</v>
      </c>
      <c r="Q220" s="108">
        <v>43013</v>
      </c>
      <c r="R220" s="108">
        <v>43060</v>
      </c>
      <c r="S220" t="s">
        <v>153</v>
      </c>
      <c r="T220" t="s">
        <v>154</v>
      </c>
      <c r="U220">
        <v>4</v>
      </c>
      <c r="V220">
        <v>4</v>
      </c>
      <c r="W220">
        <v>3</v>
      </c>
      <c r="X220">
        <v>3</v>
      </c>
      <c r="Y220">
        <v>3</v>
      </c>
      <c r="Z220" t="s">
        <v>2596</v>
      </c>
      <c r="AA220" t="s">
        <v>2596</v>
      </c>
      <c r="AB220" t="s">
        <v>123</v>
      </c>
      <c r="AC220" t="s">
        <v>2596</v>
      </c>
      <c r="AD220" t="s">
        <v>2599</v>
      </c>
      <c r="AE220" t="s">
        <v>57</v>
      </c>
      <c r="AF220" t="s">
        <v>58</v>
      </c>
      <c r="AG220" t="s">
        <v>57</v>
      </c>
      <c r="AH220" t="s">
        <v>57</v>
      </c>
      <c r="AI220" t="s">
        <v>57</v>
      </c>
      <c r="AJ220" t="s">
        <v>58</v>
      </c>
      <c r="AK220" t="s">
        <v>57</v>
      </c>
      <c r="AL220" t="s">
        <v>58</v>
      </c>
      <c r="AM220" t="s">
        <v>57</v>
      </c>
      <c r="AN220" t="s">
        <v>57</v>
      </c>
      <c r="AO220" t="s">
        <v>57</v>
      </c>
      <c r="AP220" t="s">
        <v>57</v>
      </c>
      <c r="AQ220" t="s">
        <v>57</v>
      </c>
      <c r="AR220" t="s">
        <v>57</v>
      </c>
      <c r="AS220" t="s">
        <v>57</v>
      </c>
      <c r="AT220" t="s">
        <v>57</v>
      </c>
      <c r="AU220" t="s">
        <v>148</v>
      </c>
      <c r="AV220" t="s">
        <v>57</v>
      </c>
      <c r="AW220" t="s">
        <v>57</v>
      </c>
      <c r="AX220" t="s">
        <v>57</v>
      </c>
      <c r="AY220" t="s">
        <v>57</v>
      </c>
      <c r="AZ220" t="s">
        <v>57</v>
      </c>
      <c r="BA220" t="s">
        <v>57</v>
      </c>
      <c r="BB220" t="s">
        <v>57</v>
      </c>
      <c r="BC220" t="s">
        <v>148</v>
      </c>
      <c r="BD220" t="s">
        <v>57</v>
      </c>
      <c r="BE220" t="s">
        <v>57</v>
      </c>
      <c r="BF220" t="s">
        <v>57</v>
      </c>
      <c r="BG220" t="s">
        <v>58</v>
      </c>
      <c r="BH220" t="s">
        <v>58</v>
      </c>
      <c r="BI220" t="s">
        <v>57</v>
      </c>
      <c r="BJ220" t="s">
        <v>58</v>
      </c>
      <c r="BK220" t="s">
        <v>58</v>
      </c>
      <c r="BL220" t="s">
        <v>57</v>
      </c>
      <c r="BM220" t="s">
        <v>57</v>
      </c>
      <c r="BN220" t="s">
        <v>58</v>
      </c>
      <c r="BO220" t="s">
        <v>57</v>
      </c>
      <c r="BP220" t="s">
        <v>57</v>
      </c>
      <c r="BQ220" t="s">
        <v>57</v>
      </c>
      <c r="BR220" t="s">
        <v>57</v>
      </c>
      <c r="BS220" t="s">
        <v>58</v>
      </c>
      <c r="BT220" t="s">
        <v>57</v>
      </c>
      <c r="BU220" t="s">
        <v>58</v>
      </c>
      <c r="BV220" t="s">
        <v>57</v>
      </c>
      <c r="BW220" t="s">
        <v>57</v>
      </c>
      <c r="BX220" t="s">
        <v>57</v>
      </c>
      <c r="BY220" t="s">
        <v>57</v>
      </c>
      <c r="BZ220" t="s">
        <v>58</v>
      </c>
      <c r="CA220" t="s">
        <v>57</v>
      </c>
      <c r="CB220" t="s">
        <v>57</v>
      </c>
      <c r="CC220" t="s">
        <v>57</v>
      </c>
      <c r="CD220" t="s">
        <v>57</v>
      </c>
      <c r="CE220" t="s">
        <v>57</v>
      </c>
      <c r="CF220" t="s">
        <v>57</v>
      </c>
      <c r="CG220" t="s">
        <v>57</v>
      </c>
      <c r="CH220" t="s">
        <v>57</v>
      </c>
      <c r="CI220" t="s">
        <v>57</v>
      </c>
      <c r="CJ220" t="s">
        <v>57</v>
      </c>
      <c r="CK220" t="s">
        <v>148</v>
      </c>
      <c r="CL220" t="s">
        <v>148</v>
      </c>
      <c r="CM220" t="s">
        <v>148</v>
      </c>
      <c r="CN220" t="s">
        <v>57</v>
      </c>
      <c r="CO220" t="s">
        <v>57</v>
      </c>
      <c r="CP220" t="s">
        <v>57</v>
      </c>
      <c r="CQ220" t="s">
        <v>57</v>
      </c>
      <c r="CR220" t="s">
        <v>57</v>
      </c>
      <c r="CS220" t="s">
        <v>57</v>
      </c>
      <c r="CT220" t="s">
        <v>57</v>
      </c>
      <c r="CU220" t="s">
        <v>57</v>
      </c>
      <c r="CV220" t="s">
        <v>57</v>
      </c>
      <c r="CW220" t="s">
        <v>58</v>
      </c>
      <c r="CX220" t="s">
        <v>57</v>
      </c>
      <c r="CY220" t="s">
        <v>57</v>
      </c>
      <c r="CZ220" t="s">
        <v>57</v>
      </c>
      <c r="DA220" t="s">
        <v>57</v>
      </c>
      <c r="DB220" t="s">
        <v>57</v>
      </c>
      <c r="DC220" t="s">
        <v>57</v>
      </c>
      <c r="DD220" t="s">
        <v>57</v>
      </c>
      <c r="DE220" t="s">
        <v>57</v>
      </c>
      <c r="DF220" t="s">
        <v>57</v>
      </c>
      <c r="DG220" t="s">
        <v>57</v>
      </c>
      <c r="DH220" t="s">
        <v>57</v>
      </c>
      <c r="DI220" t="s">
        <v>57</v>
      </c>
      <c r="DJ220" t="s">
        <v>148</v>
      </c>
      <c r="DK220" t="s">
        <v>148</v>
      </c>
      <c r="DL220" t="s">
        <v>57</v>
      </c>
      <c r="DM220" t="s">
        <v>148</v>
      </c>
      <c r="DN220" t="s">
        <v>148</v>
      </c>
      <c r="DO220" t="s">
        <v>148</v>
      </c>
      <c r="DP220" t="s">
        <v>148</v>
      </c>
      <c r="DQ220" t="s">
        <v>148</v>
      </c>
      <c r="DR220" t="s">
        <v>148</v>
      </c>
      <c r="DS220" t="s">
        <v>148</v>
      </c>
      <c r="DT220" t="s">
        <v>148</v>
      </c>
      <c r="DU220" t="s">
        <v>148</v>
      </c>
      <c r="DV220" t="s">
        <v>148</v>
      </c>
      <c r="DW220" t="s">
        <v>148</v>
      </c>
      <c r="DX220" t="s">
        <v>148</v>
      </c>
      <c r="DY220" t="s">
        <v>148</v>
      </c>
      <c r="DZ220" t="s">
        <v>57</v>
      </c>
      <c r="EA220" t="s">
        <v>148</v>
      </c>
      <c r="EB220" t="s">
        <v>148</v>
      </c>
      <c r="EC220" t="s">
        <v>148</v>
      </c>
      <c r="ED220" t="s">
        <v>148</v>
      </c>
      <c r="EE220" t="s">
        <v>148</v>
      </c>
      <c r="EF220" t="s">
        <v>148</v>
      </c>
      <c r="EG220" t="s">
        <v>148</v>
      </c>
      <c r="EH220" t="s">
        <v>148</v>
      </c>
      <c r="EI220" t="s">
        <v>57</v>
      </c>
      <c r="EJ220" t="s">
        <v>57</v>
      </c>
      <c r="EK220" t="s">
        <v>57</v>
      </c>
      <c r="EL220" t="s">
        <v>57</v>
      </c>
      <c r="EM220" t="s">
        <v>57</v>
      </c>
      <c r="EN220" t="s">
        <v>57</v>
      </c>
      <c r="EO220" t="s">
        <v>57</v>
      </c>
      <c r="EP220" t="s">
        <v>57</v>
      </c>
      <c r="EQ220" t="s">
        <v>57</v>
      </c>
      <c r="ER220" t="s">
        <v>57</v>
      </c>
      <c r="ES220" t="s">
        <v>57</v>
      </c>
      <c r="ET220" t="s">
        <v>57</v>
      </c>
      <c r="EU220" t="s">
        <v>57</v>
      </c>
      <c r="EV220" t="s">
        <v>57</v>
      </c>
      <c r="EW220" t="s">
        <v>148</v>
      </c>
      <c r="EX220" t="s">
        <v>148</v>
      </c>
      <c r="EY220" t="s">
        <v>148</v>
      </c>
      <c r="EZ220" t="s">
        <v>148</v>
      </c>
      <c r="FA220" t="s">
        <v>148</v>
      </c>
      <c r="FB220" t="s">
        <v>148</v>
      </c>
      <c r="FC220" t="s">
        <v>148</v>
      </c>
      <c r="FD220" t="s">
        <v>148</v>
      </c>
      <c r="FE220" t="s">
        <v>148</v>
      </c>
      <c r="FF220" t="s">
        <v>148</v>
      </c>
      <c r="FG220" t="s">
        <v>148</v>
      </c>
      <c r="FH220" t="s">
        <v>57</v>
      </c>
      <c r="FI220" t="s">
        <v>57</v>
      </c>
      <c r="FJ220" t="s">
        <v>57</v>
      </c>
      <c r="FK220" t="s">
        <v>57</v>
      </c>
      <c r="FL220" t="s">
        <v>57</v>
      </c>
      <c r="FM220" t="s">
        <v>57</v>
      </c>
      <c r="FN220" t="s">
        <v>57</v>
      </c>
      <c r="FO220" t="s">
        <v>148</v>
      </c>
      <c r="FP220" t="s">
        <v>57</v>
      </c>
      <c r="FQ220" t="s">
        <v>57</v>
      </c>
      <c r="FR220" t="s">
        <v>57</v>
      </c>
      <c r="FS220" t="s">
        <v>57</v>
      </c>
      <c r="FT220" t="s">
        <v>57</v>
      </c>
      <c r="FU220" t="s">
        <v>57</v>
      </c>
      <c r="FV220" t="s">
        <v>57</v>
      </c>
      <c r="FW220" t="s">
        <v>57</v>
      </c>
      <c r="FX220" t="s">
        <v>57</v>
      </c>
      <c r="FY220" t="s">
        <v>57</v>
      </c>
      <c r="FZ220" t="s">
        <v>57</v>
      </c>
      <c r="GA220" t="s">
        <v>57</v>
      </c>
      <c r="GB220" t="s">
        <v>57</v>
      </c>
      <c r="GC220" t="s">
        <v>57</v>
      </c>
      <c r="GD220" t="s">
        <v>57</v>
      </c>
      <c r="GE220" t="s">
        <v>57</v>
      </c>
      <c r="GF220" t="s">
        <v>57</v>
      </c>
      <c r="GG220" t="s">
        <v>148</v>
      </c>
      <c r="GH220" t="s">
        <v>58</v>
      </c>
      <c r="GI220" t="s">
        <v>57</v>
      </c>
      <c r="GJ220" t="s">
        <v>58</v>
      </c>
      <c r="GK220" t="s">
        <v>57</v>
      </c>
      <c r="GL220" t="s">
        <v>58</v>
      </c>
      <c r="GM220" t="s">
        <v>148</v>
      </c>
      <c r="GN220" t="s">
        <v>57</v>
      </c>
      <c r="GO220" t="s">
        <v>57</v>
      </c>
      <c r="GP220" t="s">
        <v>148</v>
      </c>
      <c r="GQ220" t="s">
        <v>57</v>
      </c>
      <c r="GR220" t="s">
        <v>57</v>
      </c>
      <c r="GS220" t="s">
        <v>57</v>
      </c>
      <c r="GT220" t="s">
        <v>57</v>
      </c>
      <c r="GU220" t="s">
        <v>57</v>
      </c>
      <c r="GV220" t="s">
        <v>57</v>
      </c>
      <c r="GW220" t="s">
        <v>148</v>
      </c>
      <c r="GX220" t="s">
        <v>57</v>
      </c>
      <c r="GY220" t="s">
        <v>57</v>
      </c>
      <c r="GZ220" t="s">
        <v>58</v>
      </c>
      <c r="HA220" t="s">
        <v>57</v>
      </c>
      <c r="HB220" t="s">
        <v>58</v>
      </c>
      <c r="HC220" t="s">
        <v>57</v>
      </c>
      <c r="HD220" t="s">
        <v>57</v>
      </c>
      <c r="HE220" t="s">
        <v>57</v>
      </c>
      <c r="HF220" t="s">
        <v>57</v>
      </c>
      <c r="HG220" t="s">
        <v>57</v>
      </c>
      <c r="HH220" t="s">
        <v>148</v>
      </c>
      <c r="HI220" t="s">
        <v>148</v>
      </c>
      <c r="HJ220" t="s">
        <v>148</v>
      </c>
      <c r="HK220" t="s">
        <v>148</v>
      </c>
      <c r="HL220" t="s">
        <v>57</v>
      </c>
      <c r="HM220" t="s">
        <v>57</v>
      </c>
      <c r="HN220" t="s">
        <v>57</v>
      </c>
      <c r="HO220" t="s">
        <v>57</v>
      </c>
      <c r="HP220" t="s">
        <v>57</v>
      </c>
      <c r="HQ220" t="s">
        <v>57</v>
      </c>
      <c r="HR220" t="s">
        <v>57</v>
      </c>
      <c r="HS220" t="s">
        <v>57</v>
      </c>
      <c r="HT220" t="s">
        <v>57</v>
      </c>
      <c r="HU220" t="s">
        <v>57</v>
      </c>
      <c r="HV220" t="s">
        <v>57</v>
      </c>
      <c r="HW220" t="s">
        <v>57</v>
      </c>
      <c r="HX220" t="s">
        <v>57</v>
      </c>
      <c r="HY220" t="s">
        <v>57</v>
      </c>
      <c r="HZ220" t="s">
        <v>57</v>
      </c>
      <c r="IA220" t="s">
        <v>57</v>
      </c>
      <c r="IB220" t="s">
        <v>58</v>
      </c>
      <c r="IC220" t="s">
        <v>58</v>
      </c>
      <c r="ID220" t="s">
        <v>58</v>
      </c>
      <c r="IE220" t="s">
        <v>58</v>
      </c>
      <c r="IF220" t="s">
        <v>124</v>
      </c>
      <c r="IG220" t="s">
        <v>155</v>
      </c>
      <c r="IH220" t="s">
        <v>123</v>
      </c>
      <c r="II220" t="s">
        <v>156</v>
      </c>
    </row>
    <row r="221" spans="1:243" x14ac:dyDescent="0.25">
      <c r="A221" s="201" t="str">
        <f>HYPERLINK("http://www.ofsted.gov.uk/inspection-reports/find-inspection-report/provider/ELS/138884 ","Ofsted School Webpage")</f>
        <v>Ofsted School Webpage</v>
      </c>
      <c r="B221">
        <v>138884</v>
      </c>
      <c r="C221">
        <v>8896013</v>
      </c>
      <c r="D221" t="s">
        <v>439</v>
      </c>
      <c r="E221" t="s">
        <v>37</v>
      </c>
      <c r="F221" t="s">
        <v>138</v>
      </c>
      <c r="G221" t="s">
        <v>162</v>
      </c>
      <c r="H221" t="s">
        <v>162</v>
      </c>
      <c r="I221" t="s">
        <v>440</v>
      </c>
      <c r="J221" t="s">
        <v>441</v>
      </c>
      <c r="K221" t="s">
        <v>142</v>
      </c>
      <c r="L221" t="s">
        <v>142</v>
      </c>
      <c r="M221" t="s">
        <v>2596</v>
      </c>
      <c r="N221" t="s">
        <v>143</v>
      </c>
      <c r="O221">
        <v>10020807</v>
      </c>
      <c r="P221" s="108">
        <v>43011</v>
      </c>
      <c r="Q221" s="108">
        <v>43013</v>
      </c>
      <c r="R221" s="108">
        <v>43033</v>
      </c>
      <c r="S221" t="s">
        <v>153</v>
      </c>
      <c r="T221" t="s">
        <v>154</v>
      </c>
      <c r="U221">
        <v>2</v>
      </c>
      <c r="V221">
        <v>2</v>
      </c>
      <c r="W221">
        <v>2</v>
      </c>
      <c r="X221">
        <v>2</v>
      </c>
      <c r="Y221">
        <v>2</v>
      </c>
      <c r="Z221" t="s">
        <v>2596</v>
      </c>
      <c r="AA221" t="s">
        <v>2596</v>
      </c>
      <c r="AB221" t="s">
        <v>123</v>
      </c>
      <c r="AC221" t="s">
        <v>2596</v>
      </c>
      <c r="AD221" t="s">
        <v>2598</v>
      </c>
      <c r="AE221" t="s">
        <v>57</v>
      </c>
      <c r="AF221" t="s">
        <v>57</v>
      </c>
      <c r="AG221" t="s">
        <v>57</v>
      </c>
      <c r="AH221" t="s">
        <v>57</v>
      </c>
      <c r="AI221" t="s">
        <v>57</v>
      </c>
      <c r="AJ221" t="s">
        <v>57</v>
      </c>
      <c r="AK221" t="s">
        <v>57</v>
      </c>
      <c r="AL221" t="s">
        <v>57</v>
      </c>
      <c r="AM221" t="s">
        <v>57</v>
      </c>
      <c r="AN221" t="s">
        <v>57</v>
      </c>
      <c r="AO221" t="s">
        <v>57</v>
      </c>
      <c r="AP221" t="s">
        <v>57</v>
      </c>
      <c r="AQ221" t="s">
        <v>57</v>
      </c>
      <c r="AR221" t="s">
        <v>57</v>
      </c>
      <c r="AS221" t="s">
        <v>57</v>
      </c>
      <c r="AT221" t="s">
        <v>57</v>
      </c>
      <c r="AU221" t="s">
        <v>148</v>
      </c>
      <c r="AV221" t="s">
        <v>57</v>
      </c>
      <c r="AW221" t="s">
        <v>57</v>
      </c>
      <c r="AX221" t="s">
        <v>57</v>
      </c>
      <c r="AY221" t="s">
        <v>57</v>
      </c>
      <c r="AZ221" t="s">
        <v>57</v>
      </c>
      <c r="BA221" t="s">
        <v>57</v>
      </c>
      <c r="BB221" t="s">
        <v>57</v>
      </c>
      <c r="BC221" t="s">
        <v>148</v>
      </c>
      <c r="BD221" t="s">
        <v>148</v>
      </c>
      <c r="BE221" t="s">
        <v>57</v>
      </c>
      <c r="BF221" t="s">
        <v>57</v>
      </c>
      <c r="BG221" t="s">
        <v>57</v>
      </c>
      <c r="BH221" t="s">
        <v>57</v>
      </c>
      <c r="BI221" t="s">
        <v>57</v>
      </c>
      <c r="BJ221" t="s">
        <v>57</v>
      </c>
      <c r="BK221" t="s">
        <v>57</v>
      </c>
      <c r="BL221" t="s">
        <v>57</v>
      </c>
      <c r="BM221" t="s">
        <v>57</v>
      </c>
      <c r="BN221" t="s">
        <v>57</v>
      </c>
      <c r="BO221" t="s">
        <v>57</v>
      </c>
      <c r="BP221" t="s">
        <v>57</v>
      </c>
      <c r="BQ221" t="s">
        <v>57</v>
      </c>
      <c r="BR221" t="s">
        <v>57</v>
      </c>
      <c r="BS221" t="s">
        <v>57</v>
      </c>
      <c r="BT221" t="s">
        <v>57</v>
      </c>
      <c r="BU221" t="s">
        <v>57</v>
      </c>
      <c r="BV221" t="s">
        <v>57</v>
      </c>
      <c r="BW221" t="s">
        <v>57</v>
      </c>
      <c r="BX221" t="s">
        <v>57</v>
      </c>
      <c r="BY221" t="s">
        <v>57</v>
      </c>
      <c r="BZ221" t="s">
        <v>57</v>
      </c>
      <c r="CA221" t="s">
        <v>57</v>
      </c>
      <c r="CB221" t="s">
        <v>57</v>
      </c>
      <c r="CC221" t="s">
        <v>57</v>
      </c>
      <c r="CD221" t="s">
        <v>57</v>
      </c>
      <c r="CE221" t="s">
        <v>57</v>
      </c>
      <c r="CF221" t="s">
        <v>57</v>
      </c>
      <c r="CG221" t="s">
        <v>57</v>
      </c>
      <c r="CH221" t="s">
        <v>57</v>
      </c>
      <c r="CI221" t="s">
        <v>57</v>
      </c>
      <c r="CJ221" t="s">
        <v>57</v>
      </c>
      <c r="CK221" t="s">
        <v>148</v>
      </c>
      <c r="CL221" t="s">
        <v>148</v>
      </c>
      <c r="CM221" t="s">
        <v>148</v>
      </c>
      <c r="CN221" t="s">
        <v>57</v>
      </c>
      <c r="CO221" t="s">
        <v>57</v>
      </c>
      <c r="CP221" t="s">
        <v>57</v>
      </c>
      <c r="CQ221" t="s">
        <v>57</v>
      </c>
      <c r="CR221" t="s">
        <v>57</v>
      </c>
      <c r="CS221" t="s">
        <v>57</v>
      </c>
      <c r="CT221" t="s">
        <v>57</v>
      </c>
      <c r="CU221" t="s">
        <v>57</v>
      </c>
      <c r="CV221" t="s">
        <v>57</v>
      </c>
      <c r="CW221" t="s">
        <v>57</v>
      </c>
      <c r="CX221" t="s">
        <v>57</v>
      </c>
      <c r="CY221" t="s">
        <v>57</v>
      </c>
      <c r="CZ221" t="s">
        <v>57</v>
      </c>
      <c r="DA221" t="s">
        <v>57</v>
      </c>
      <c r="DB221" t="s">
        <v>57</v>
      </c>
      <c r="DC221" t="s">
        <v>57</v>
      </c>
      <c r="DD221" t="s">
        <v>57</v>
      </c>
      <c r="DE221" t="s">
        <v>57</v>
      </c>
      <c r="DF221" t="s">
        <v>57</v>
      </c>
      <c r="DG221" t="s">
        <v>57</v>
      </c>
      <c r="DH221" t="s">
        <v>57</v>
      </c>
      <c r="DI221" t="s">
        <v>57</v>
      </c>
      <c r="DJ221" t="s">
        <v>57</v>
      </c>
      <c r="DK221" t="s">
        <v>148</v>
      </c>
      <c r="DL221" t="s">
        <v>57</v>
      </c>
      <c r="DM221" t="s">
        <v>57</v>
      </c>
      <c r="DN221" t="s">
        <v>57</v>
      </c>
      <c r="DO221" t="s">
        <v>57</v>
      </c>
      <c r="DP221" t="s">
        <v>57</v>
      </c>
      <c r="DQ221" t="s">
        <v>57</v>
      </c>
      <c r="DR221" t="s">
        <v>57</v>
      </c>
      <c r="DS221" t="s">
        <v>57</v>
      </c>
      <c r="DT221" t="s">
        <v>57</v>
      </c>
      <c r="DU221" t="s">
        <v>57</v>
      </c>
      <c r="DV221" t="s">
        <v>57</v>
      </c>
      <c r="DW221" t="s">
        <v>57</v>
      </c>
      <c r="DX221" t="s">
        <v>57</v>
      </c>
      <c r="DY221" t="s">
        <v>148</v>
      </c>
      <c r="DZ221" t="s">
        <v>57</v>
      </c>
      <c r="EA221" t="s">
        <v>57</v>
      </c>
      <c r="EB221" t="s">
        <v>57</v>
      </c>
      <c r="EC221" t="s">
        <v>57</v>
      </c>
      <c r="ED221" t="s">
        <v>57</v>
      </c>
      <c r="EE221" t="s">
        <v>57</v>
      </c>
      <c r="EF221" t="s">
        <v>57</v>
      </c>
      <c r="EG221" t="s">
        <v>57</v>
      </c>
      <c r="EH221" t="s">
        <v>57</v>
      </c>
      <c r="EI221" t="s">
        <v>57</v>
      </c>
      <c r="EJ221" t="s">
        <v>57</v>
      </c>
      <c r="EK221" t="s">
        <v>57</v>
      </c>
      <c r="EL221" t="s">
        <v>57</v>
      </c>
      <c r="EM221" t="s">
        <v>57</v>
      </c>
      <c r="EN221" t="s">
        <v>57</v>
      </c>
      <c r="EO221" t="s">
        <v>57</v>
      </c>
      <c r="EP221" t="s">
        <v>57</v>
      </c>
      <c r="EQ221" t="s">
        <v>57</v>
      </c>
      <c r="ER221" t="s">
        <v>57</v>
      </c>
      <c r="ES221" t="s">
        <v>57</v>
      </c>
      <c r="ET221" t="s">
        <v>57</v>
      </c>
      <c r="EU221" t="s">
        <v>57</v>
      </c>
      <c r="EV221" t="s">
        <v>57</v>
      </c>
      <c r="EW221" t="s">
        <v>57</v>
      </c>
      <c r="EX221" t="s">
        <v>57</v>
      </c>
      <c r="EY221" t="s">
        <v>57</v>
      </c>
      <c r="EZ221" t="s">
        <v>57</v>
      </c>
      <c r="FA221" t="s">
        <v>57</v>
      </c>
      <c r="FB221" t="s">
        <v>57</v>
      </c>
      <c r="FC221" t="s">
        <v>57</v>
      </c>
      <c r="FD221" t="s">
        <v>57</v>
      </c>
      <c r="FE221" t="s">
        <v>57</v>
      </c>
      <c r="FF221" t="s">
        <v>57</v>
      </c>
      <c r="FG221" t="s">
        <v>57</v>
      </c>
      <c r="FH221" t="s">
        <v>57</v>
      </c>
      <c r="FI221" t="s">
        <v>57</v>
      </c>
      <c r="FJ221" t="s">
        <v>57</v>
      </c>
      <c r="FK221" t="s">
        <v>57</v>
      </c>
      <c r="FL221" t="s">
        <v>57</v>
      </c>
      <c r="FM221" t="s">
        <v>57</v>
      </c>
      <c r="FN221" t="s">
        <v>57</v>
      </c>
      <c r="FO221" t="s">
        <v>148</v>
      </c>
      <c r="FP221" t="s">
        <v>57</v>
      </c>
      <c r="FQ221" t="s">
        <v>57</v>
      </c>
      <c r="FR221" t="s">
        <v>57</v>
      </c>
      <c r="FS221" t="s">
        <v>57</v>
      </c>
      <c r="FT221" t="s">
        <v>57</v>
      </c>
      <c r="FU221" t="s">
        <v>57</v>
      </c>
      <c r="FV221" t="s">
        <v>57</v>
      </c>
      <c r="FW221" t="s">
        <v>57</v>
      </c>
      <c r="FX221" t="s">
        <v>57</v>
      </c>
      <c r="FY221" t="s">
        <v>57</v>
      </c>
      <c r="FZ221" t="s">
        <v>57</v>
      </c>
      <c r="GA221" t="s">
        <v>57</v>
      </c>
      <c r="GB221" t="s">
        <v>57</v>
      </c>
      <c r="GC221" t="s">
        <v>57</v>
      </c>
      <c r="GD221" t="s">
        <v>57</v>
      </c>
      <c r="GE221" t="s">
        <v>57</v>
      </c>
      <c r="GF221" t="s">
        <v>57</v>
      </c>
      <c r="GG221" t="s">
        <v>148</v>
      </c>
      <c r="GH221" t="s">
        <v>57</v>
      </c>
      <c r="GI221" t="s">
        <v>57</v>
      </c>
      <c r="GJ221" t="s">
        <v>57</v>
      </c>
      <c r="GK221" t="s">
        <v>57</v>
      </c>
      <c r="GL221" t="s">
        <v>57</v>
      </c>
      <c r="GM221" t="s">
        <v>148</v>
      </c>
      <c r="GN221" t="s">
        <v>57</v>
      </c>
      <c r="GO221" t="s">
        <v>57</v>
      </c>
      <c r="GP221" t="s">
        <v>57</v>
      </c>
      <c r="GQ221" t="s">
        <v>57</v>
      </c>
      <c r="GR221" t="s">
        <v>57</v>
      </c>
      <c r="GS221" t="s">
        <v>57</v>
      </c>
      <c r="GT221" t="s">
        <v>57</v>
      </c>
      <c r="GU221" t="s">
        <v>57</v>
      </c>
      <c r="GV221" t="s">
        <v>57</v>
      </c>
      <c r="GW221" t="s">
        <v>148</v>
      </c>
      <c r="GX221" t="s">
        <v>57</v>
      </c>
      <c r="GY221" t="s">
        <v>57</v>
      </c>
      <c r="GZ221" t="s">
        <v>57</v>
      </c>
      <c r="HA221" t="s">
        <v>57</v>
      </c>
      <c r="HB221" t="s">
        <v>57</v>
      </c>
      <c r="HC221" t="s">
        <v>57</v>
      </c>
      <c r="HD221" t="s">
        <v>57</v>
      </c>
      <c r="HE221" t="s">
        <v>57</v>
      </c>
      <c r="HF221" t="s">
        <v>57</v>
      </c>
      <c r="HG221" t="s">
        <v>57</v>
      </c>
      <c r="HH221" t="s">
        <v>57</v>
      </c>
      <c r="HI221" t="s">
        <v>148</v>
      </c>
      <c r="HJ221" t="s">
        <v>148</v>
      </c>
      <c r="HK221" t="s">
        <v>148</v>
      </c>
      <c r="HL221" t="s">
        <v>57</v>
      </c>
      <c r="HM221" t="s">
        <v>57</v>
      </c>
      <c r="HN221" t="s">
        <v>57</v>
      </c>
      <c r="HO221" t="s">
        <v>57</v>
      </c>
      <c r="HP221" t="s">
        <v>57</v>
      </c>
      <c r="HQ221" t="s">
        <v>57</v>
      </c>
      <c r="HR221" t="s">
        <v>57</v>
      </c>
      <c r="HS221" t="s">
        <v>57</v>
      </c>
      <c r="HT221" t="s">
        <v>57</v>
      </c>
      <c r="HU221" t="s">
        <v>57</v>
      </c>
      <c r="HV221" t="s">
        <v>57</v>
      </c>
      <c r="HW221" t="s">
        <v>57</v>
      </c>
      <c r="HX221" t="s">
        <v>57</v>
      </c>
      <c r="HY221" t="s">
        <v>57</v>
      </c>
      <c r="HZ221" t="s">
        <v>57</v>
      </c>
      <c r="IA221" t="s">
        <v>57</v>
      </c>
      <c r="IB221" t="s">
        <v>57</v>
      </c>
      <c r="IC221" t="s">
        <v>57</v>
      </c>
      <c r="ID221" t="s">
        <v>57</v>
      </c>
      <c r="IE221" t="s">
        <v>57</v>
      </c>
      <c r="IF221" t="s">
        <v>123</v>
      </c>
      <c r="IG221" t="s">
        <v>123</v>
      </c>
      <c r="IH221" t="s">
        <v>123</v>
      </c>
      <c r="II221" t="s">
        <v>156</v>
      </c>
    </row>
    <row r="222" spans="1:243" x14ac:dyDescent="0.25">
      <c r="A222" s="201" t="str">
        <f>HYPERLINK("http://www.ofsted.gov.uk/inspection-reports/find-inspection-report/provider/ELS/139331 ","Ofsted School Webpage")</f>
        <v>Ofsted School Webpage</v>
      </c>
      <c r="B222">
        <v>139331</v>
      </c>
      <c r="C222">
        <v>2096000</v>
      </c>
      <c r="D222" t="s">
        <v>2295</v>
      </c>
      <c r="E222" t="s">
        <v>36</v>
      </c>
      <c r="F222" t="s">
        <v>166</v>
      </c>
      <c r="G222" t="s">
        <v>189</v>
      </c>
      <c r="H222" t="s">
        <v>189</v>
      </c>
      <c r="I222" t="s">
        <v>484</v>
      </c>
      <c r="J222" t="s">
        <v>2296</v>
      </c>
      <c r="K222" t="s">
        <v>142</v>
      </c>
      <c r="L222" t="s">
        <v>142</v>
      </c>
      <c r="M222" t="s">
        <v>2596</v>
      </c>
      <c r="N222" t="s">
        <v>143</v>
      </c>
      <c r="O222">
        <v>10026297</v>
      </c>
      <c r="P222" s="108">
        <v>43046</v>
      </c>
      <c r="Q222" s="108">
        <v>43048</v>
      </c>
      <c r="R222" s="108">
        <v>43080</v>
      </c>
      <c r="S222" t="s">
        <v>153</v>
      </c>
      <c r="T222" t="s">
        <v>154</v>
      </c>
      <c r="U222">
        <v>2</v>
      </c>
      <c r="V222">
        <v>2</v>
      </c>
      <c r="W222">
        <v>2</v>
      </c>
      <c r="X222">
        <v>2</v>
      </c>
      <c r="Y222">
        <v>2</v>
      </c>
      <c r="Z222">
        <v>2</v>
      </c>
      <c r="AA222" t="s">
        <v>2596</v>
      </c>
      <c r="AB222" t="s">
        <v>123</v>
      </c>
      <c r="AC222" t="s">
        <v>2596</v>
      </c>
      <c r="AD222" t="s">
        <v>2598</v>
      </c>
      <c r="AE222" t="s">
        <v>57</v>
      </c>
      <c r="AF222" t="s">
        <v>57</v>
      </c>
      <c r="AG222" t="s">
        <v>57</v>
      </c>
      <c r="AH222" t="s">
        <v>57</v>
      </c>
      <c r="AI222" t="s">
        <v>57</v>
      </c>
      <c r="AJ222" t="s">
        <v>57</v>
      </c>
      <c r="AK222" t="s">
        <v>57</v>
      </c>
      <c r="AL222" t="s">
        <v>57</v>
      </c>
      <c r="AM222" t="s">
        <v>57</v>
      </c>
      <c r="AN222" t="s">
        <v>57</v>
      </c>
      <c r="AO222" t="s">
        <v>57</v>
      </c>
      <c r="AP222" t="s">
        <v>57</v>
      </c>
      <c r="AQ222" t="s">
        <v>57</v>
      </c>
      <c r="AR222" t="s">
        <v>57</v>
      </c>
      <c r="AS222" t="s">
        <v>57</v>
      </c>
      <c r="AT222" t="s">
        <v>57</v>
      </c>
      <c r="AU222" t="s">
        <v>175</v>
      </c>
      <c r="AV222" t="s">
        <v>57</v>
      </c>
      <c r="AW222" t="s">
        <v>57</v>
      </c>
      <c r="AX222" t="s">
        <v>57</v>
      </c>
      <c r="AY222" t="s">
        <v>175</v>
      </c>
      <c r="AZ222" t="s">
        <v>175</v>
      </c>
      <c r="BA222" t="s">
        <v>175</v>
      </c>
      <c r="BB222" t="s">
        <v>175</v>
      </c>
      <c r="BC222" t="s">
        <v>57</v>
      </c>
      <c r="BD222" t="s">
        <v>175</v>
      </c>
      <c r="BE222" t="s">
        <v>57</v>
      </c>
      <c r="BF222" t="s">
        <v>57</v>
      </c>
      <c r="BG222" t="s">
        <v>57</v>
      </c>
      <c r="BH222" t="s">
        <v>57</v>
      </c>
      <c r="BI222" t="s">
        <v>57</v>
      </c>
      <c r="BJ222" t="s">
        <v>57</v>
      </c>
      <c r="BK222" t="s">
        <v>57</v>
      </c>
      <c r="BL222" t="s">
        <v>57</v>
      </c>
      <c r="BM222" t="s">
        <v>57</v>
      </c>
      <c r="BN222" t="s">
        <v>57</v>
      </c>
      <c r="BO222" t="s">
        <v>57</v>
      </c>
      <c r="BP222" t="s">
        <v>57</v>
      </c>
      <c r="BQ222" t="s">
        <v>57</v>
      </c>
      <c r="BR222" t="s">
        <v>57</v>
      </c>
      <c r="BS222" t="s">
        <v>57</v>
      </c>
      <c r="BT222" t="s">
        <v>57</v>
      </c>
      <c r="BU222" t="s">
        <v>57</v>
      </c>
      <c r="BV222" t="s">
        <v>57</v>
      </c>
      <c r="BW222" t="s">
        <v>57</v>
      </c>
      <c r="BX222" t="s">
        <v>57</v>
      </c>
      <c r="BY222" t="s">
        <v>57</v>
      </c>
      <c r="BZ222" t="s">
        <v>57</v>
      </c>
      <c r="CA222" t="s">
        <v>57</v>
      </c>
      <c r="CB222" t="s">
        <v>57</v>
      </c>
      <c r="CC222" t="s">
        <v>57</v>
      </c>
      <c r="CD222" t="s">
        <v>57</v>
      </c>
      <c r="CE222" t="s">
        <v>57</v>
      </c>
      <c r="CF222" t="s">
        <v>57</v>
      </c>
      <c r="CG222" t="s">
        <v>57</v>
      </c>
      <c r="CH222" t="s">
        <v>57</v>
      </c>
      <c r="CI222" t="s">
        <v>57</v>
      </c>
      <c r="CJ222" t="s">
        <v>57</v>
      </c>
      <c r="CK222" t="s">
        <v>175</v>
      </c>
      <c r="CL222" t="s">
        <v>175</v>
      </c>
      <c r="CM222" t="s">
        <v>175</v>
      </c>
      <c r="CN222" t="s">
        <v>57</v>
      </c>
      <c r="CO222" t="s">
        <v>57</v>
      </c>
      <c r="CP222" t="s">
        <v>57</v>
      </c>
      <c r="CQ222" t="s">
        <v>57</v>
      </c>
      <c r="CR222" t="s">
        <v>57</v>
      </c>
      <c r="CS222" t="s">
        <v>57</v>
      </c>
      <c r="CT222" t="s">
        <v>57</v>
      </c>
      <c r="CU222" t="s">
        <v>57</v>
      </c>
      <c r="CV222" t="s">
        <v>57</v>
      </c>
      <c r="CW222" t="s">
        <v>57</v>
      </c>
      <c r="CX222" t="s">
        <v>57</v>
      </c>
      <c r="CY222" t="s">
        <v>57</v>
      </c>
      <c r="CZ222" t="s">
        <v>57</v>
      </c>
      <c r="DA222" t="s">
        <v>57</v>
      </c>
      <c r="DB222" t="s">
        <v>57</v>
      </c>
      <c r="DC222" t="s">
        <v>57</v>
      </c>
      <c r="DD222" t="s">
        <v>57</v>
      </c>
      <c r="DE222" t="s">
        <v>57</v>
      </c>
      <c r="DF222" t="s">
        <v>57</v>
      </c>
      <c r="DG222" t="s">
        <v>57</v>
      </c>
      <c r="DH222" t="s">
        <v>57</v>
      </c>
      <c r="DI222" t="s">
        <v>57</v>
      </c>
      <c r="DJ222" t="s">
        <v>57</v>
      </c>
      <c r="DK222" t="s">
        <v>175</v>
      </c>
      <c r="DL222" t="s">
        <v>57</v>
      </c>
      <c r="DM222" t="s">
        <v>175</v>
      </c>
      <c r="DN222" t="s">
        <v>175</v>
      </c>
      <c r="DO222" t="s">
        <v>175</v>
      </c>
      <c r="DP222" t="s">
        <v>175</v>
      </c>
      <c r="DQ222" t="s">
        <v>175</v>
      </c>
      <c r="DR222" t="s">
        <v>175</v>
      </c>
      <c r="DS222" t="s">
        <v>175</v>
      </c>
      <c r="DT222" t="s">
        <v>175</v>
      </c>
      <c r="DU222" t="s">
        <v>175</v>
      </c>
      <c r="DV222" t="s">
        <v>175</v>
      </c>
      <c r="DW222" t="s">
        <v>175</v>
      </c>
      <c r="DX222" t="s">
        <v>175</v>
      </c>
      <c r="DY222" t="s">
        <v>175</v>
      </c>
      <c r="DZ222" t="s">
        <v>175</v>
      </c>
      <c r="EA222" t="s">
        <v>57</v>
      </c>
      <c r="EB222" t="s">
        <v>57</v>
      </c>
      <c r="EC222" t="s">
        <v>57</v>
      </c>
      <c r="ED222" t="s">
        <v>57</v>
      </c>
      <c r="EE222" t="s">
        <v>57</v>
      </c>
      <c r="EF222" t="s">
        <v>57</v>
      </c>
      <c r="EG222" t="s">
        <v>57</v>
      </c>
      <c r="EH222" t="s">
        <v>57</v>
      </c>
      <c r="EI222" t="s">
        <v>57</v>
      </c>
      <c r="EJ222" t="s">
        <v>57</v>
      </c>
      <c r="EK222" t="s">
        <v>57</v>
      </c>
      <c r="EL222" t="s">
        <v>57</v>
      </c>
      <c r="EM222" t="s">
        <v>57</v>
      </c>
      <c r="EN222" t="s">
        <v>57</v>
      </c>
      <c r="EO222" t="s">
        <v>57</v>
      </c>
      <c r="EP222" t="s">
        <v>57</v>
      </c>
      <c r="EQ222" t="s">
        <v>57</v>
      </c>
      <c r="ER222" t="s">
        <v>57</v>
      </c>
      <c r="ES222" t="s">
        <v>57</v>
      </c>
      <c r="ET222" t="s">
        <v>57</v>
      </c>
      <c r="EU222" t="s">
        <v>57</v>
      </c>
      <c r="EV222" t="s">
        <v>57</v>
      </c>
      <c r="EW222" t="s">
        <v>57</v>
      </c>
      <c r="EX222" t="s">
        <v>175</v>
      </c>
      <c r="EY222" t="s">
        <v>175</v>
      </c>
      <c r="EZ222" t="s">
        <v>175</v>
      </c>
      <c r="FA222" t="s">
        <v>175</v>
      </c>
      <c r="FB222" t="s">
        <v>175</v>
      </c>
      <c r="FC222" t="s">
        <v>175</v>
      </c>
      <c r="FD222" t="s">
        <v>57</v>
      </c>
      <c r="FE222" t="s">
        <v>57</v>
      </c>
      <c r="FF222" t="s">
        <v>57</v>
      </c>
      <c r="FG222" t="s">
        <v>57</v>
      </c>
      <c r="FH222" t="s">
        <v>57</v>
      </c>
      <c r="FI222" t="s">
        <v>57</v>
      </c>
      <c r="FJ222" t="s">
        <v>57</v>
      </c>
      <c r="FK222" t="s">
        <v>175</v>
      </c>
      <c r="FL222" t="s">
        <v>57</v>
      </c>
      <c r="FM222" t="s">
        <v>57</v>
      </c>
      <c r="FN222" t="s">
        <v>57</v>
      </c>
      <c r="FO222" t="s">
        <v>175</v>
      </c>
      <c r="FP222" t="s">
        <v>57</v>
      </c>
      <c r="FQ222" t="s">
        <v>57</v>
      </c>
      <c r="FR222" t="s">
        <v>57</v>
      </c>
      <c r="FS222" t="s">
        <v>57</v>
      </c>
      <c r="FT222" t="s">
        <v>57</v>
      </c>
      <c r="FU222" t="s">
        <v>57</v>
      </c>
      <c r="FV222" t="s">
        <v>57</v>
      </c>
      <c r="FW222" t="s">
        <v>57</v>
      </c>
      <c r="FX222" t="s">
        <v>57</v>
      </c>
      <c r="FY222" t="s">
        <v>57</v>
      </c>
      <c r="FZ222" t="s">
        <v>57</v>
      </c>
      <c r="GA222" t="s">
        <v>57</v>
      </c>
      <c r="GB222" t="s">
        <v>57</v>
      </c>
      <c r="GC222" t="s">
        <v>57</v>
      </c>
      <c r="GD222" t="s">
        <v>57</v>
      </c>
      <c r="GE222" t="s">
        <v>57</v>
      </c>
      <c r="GF222" t="s">
        <v>57</v>
      </c>
      <c r="GG222" t="s">
        <v>175</v>
      </c>
      <c r="GH222" t="s">
        <v>57</v>
      </c>
      <c r="GI222" t="s">
        <v>57</v>
      </c>
      <c r="GJ222" t="s">
        <v>57</v>
      </c>
      <c r="GK222" t="s">
        <v>57</v>
      </c>
      <c r="GL222" t="s">
        <v>57</v>
      </c>
      <c r="GM222" t="s">
        <v>175</v>
      </c>
      <c r="GN222" t="s">
        <v>57</v>
      </c>
      <c r="GO222" t="s">
        <v>57</v>
      </c>
      <c r="GP222" t="s">
        <v>175</v>
      </c>
      <c r="GQ222" t="s">
        <v>175</v>
      </c>
      <c r="GR222" t="s">
        <v>175</v>
      </c>
      <c r="GS222" t="s">
        <v>57</v>
      </c>
      <c r="GT222" t="s">
        <v>57</v>
      </c>
      <c r="GU222" t="s">
        <v>57</v>
      </c>
      <c r="GV222" t="s">
        <v>175</v>
      </c>
      <c r="GW222" t="s">
        <v>57</v>
      </c>
      <c r="GX222" t="s">
        <v>175</v>
      </c>
      <c r="GY222" t="s">
        <v>57</v>
      </c>
      <c r="GZ222" t="s">
        <v>57</v>
      </c>
      <c r="HA222" t="s">
        <v>57</v>
      </c>
      <c r="HB222" t="s">
        <v>57</v>
      </c>
      <c r="HC222" t="s">
        <v>57</v>
      </c>
      <c r="HD222" t="s">
        <v>57</v>
      </c>
      <c r="HE222" t="s">
        <v>57</v>
      </c>
      <c r="HF222" t="s">
        <v>57</v>
      </c>
      <c r="HG222" t="s">
        <v>57</v>
      </c>
      <c r="HH222" t="s">
        <v>175</v>
      </c>
      <c r="HI222" t="s">
        <v>175</v>
      </c>
      <c r="HJ222" t="s">
        <v>175</v>
      </c>
      <c r="HK222" t="s">
        <v>175</v>
      </c>
      <c r="HL222" t="s">
        <v>57</v>
      </c>
      <c r="HM222" t="s">
        <v>57</v>
      </c>
      <c r="HN222" t="s">
        <v>57</v>
      </c>
      <c r="HO222" t="s">
        <v>57</v>
      </c>
      <c r="HP222" t="s">
        <v>57</v>
      </c>
      <c r="HQ222" t="s">
        <v>57</v>
      </c>
      <c r="HR222" t="s">
        <v>57</v>
      </c>
      <c r="HS222" t="s">
        <v>57</v>
      </c>
      <c r="HT222" t="s">
        <v>57</v>
      </c>
      <c r="HU222" t="s">
        <v>57</v>
      </c>
      <c r="HV222" t="s">
        <v>57</v>
      </c>
      <c r="HW222" t="s">
        <v>57</v>
      </c>
      <c r="HX222" t="s">
        <v>57</v>
      </c>
      <c r="HY222" t="s">
        <v>57</v>
      </c>
      <c r="HZ222" t="s">
        <v>57</v>
      </c>
      <c r="IA222" t="s">
        <v>57</v>
      </c>
      <c r="IB222" t="s">
        <v>57</v>
      </c>
      <c r="IC222" t="s">
        <v>57</v>
      </c>
      <c r="ID222" t="s">
        <v>57</v>
      </c>
      <c r="IE222" t="s">
        <v>57</v>
      </c>
      <c r="IF222" t="s">
        <v>124</v>
      </c>
      <c r="IG222" t="s">
        <v>148</v>
      </c>
      <c r="IH222" t="s">
        <v>123</v>
      </c>
      <c r="II222" t="s">
        <v>156</v>
      </c>
    </row>
    <row r="223" spans="1:243" x14ac:dyDescent="0.25">
      <c r="A223" s="201" t="str">
        <f>HYPERLINK("http://www.ofsted.gov.uk/inspection-reports/find-inspection-report/provider/ELS/139417 ","Ofsted School Webpage")</f>
        <v>Ofsted School Webpage</v>
      </c>
      <c r="B223">
        <v>139417</v>
      </c>
      <c r="C223">
        <v>3156001</v>
      </c>
      <c r="D223" t="s">
        <v>2057</v>
      </c>
      <c r="E223" t="s">
        <v>36</v>
      </c>
      <c r="F223" t="s">
        <v>166</v>
      </c>
      <c r="G223" t="s">
        <v>189</v>
      </c>
      <c r="H223" t="s">
        <v>189</v>
      </c>
      <c r="I223" t="s">
        <v>193</v>
      </c>
      <c r="J223" t="s">
        <v>2058</v>
      </c>
      <c r="K223" t="s">
        <v>142</v>
      </c>
      <c r="L223" t="s">
        <v>142</v>
      </c>
      <c r="M223" t="s">
        <v>2596</v>
      </c>
      <c r="N223" t="s">
        <v>143</v>
      </c>
      <c r="O223">
        <v>10026299</v>
      </c>
      <c r="P223" s="108">
        <v>43060</v>
      </c>
      <c r="Q223" s="108">
        <v>43062</v>
      </c>
      <c r="R223" s="108">
        <v>43126</v>
      </c>
      <c r="S223" t="s">
        <v>153</v>
      </c>
      <c r="T223" t="s">
        <v>154</v>
      </c>
      <c r="U223">
        <v>2</v>
      </c>
      <c r="V223">
        <v>2</v>
      </c>
      <c r="W223">
        <v>2</v>
      </c>
      <c r="X223">
        <v>2</v>
      </c>
      <c r="Y223">
        <v>2</v>
      </c>
      <c r="Z223">
        <v>2</v>
      </c>
      <c r="AA223" t="s">
        <v>2596</v>
      </c>
      <c r="AB223" t="s">
        <v>123</v>
      </c>
      <c r="AC223" t="s">
        <v>2596</v>
      </c>
      <c r="AD223" t="s">
        <v>2598</v>
      </c>
      <c r="AE223" t="s">
        <v>57</v>
      </c>
      <c r="AF223" t="s">
        <v>57</v>
      </c>
      <c r="AG223" t="s">
        <v>57</v>
      </c>
      <c r="AH223" t="s">
        <v>57</v>
      </c>
      <c r="AI223" t="s">
        <v>57</v>
      </c>
      <c r="AJ223" t="s">
        <v>57</v>
      </c>
      <c r="AK223" t="s">
        <v>57</v>
      </c>
      <c r="AL223" t="s">
        <v>57</v>
      </c>
      <c r="AM223" t="s">
        <v>57</v>
      </c>
      <c r="AN223" t="s">
        <v>57</v>
      </c>
      <c r="AO223" t="s">
        <v>57</v>
      </c>
      <c r="AP223" t="s">
        <v>57</v>
      </c>
      <c r="AQ223" t="s">
        <v>57</v>
      </c>
      <c r="AR223" t="s">
        <v>57</v>
      </c>
      <c r="AS223" t="s">
        <v>57</v>
      </c>
      <c r="AT223" t="s">
        <v>57</v>
      </c>
      <c r="AU223" t="s">
        <v>175</v>
      </c>
      <c r="AV223" t="s">
        <v>57</v>
      </c>
      <c r="AW223" t="s">
        <v>57</v>
      </c>
      <c r="AX223" t="s">
        <v>57</v>
      </c>
      <c r="AY223" t="s">
        <v>57</v>
      </c>
      <c r="AZ223" t="s">
        <v>57</v>
      </c>
      <c r="BA223" t="s">
        <v>57</v>
      </c>
      <c r="BB223" t="s">
        <v>57</v>
      </c>
      <c r="BC223" t="s">
        <v>57</v>
      </c>
      <c r="BD223" t="s">
        <v>175</v>
      </c>
      <c r="BE223" t="s">
        <v>57</v>
      </c>
      <c r="BF223" t="s">
        <v>57</v>
      </c>
      <c r="BG223" t="s">
        <v>57</v>
      </c>
      <c r="BH223" t="s">
        <v>57</v>
      </c>
      <c r="BI223" t="s">
        <v>57</v>
      </c>
      <c r="BJ223" t="s">
        <v>57</v>
      </c>
      <c r="BK223" t="s">
        <v>57</v>
      </c>
      <c r="BL223" t="s">
        <v>57</v>
      </c>
      <c r="BM223" t="s">
        <v>57</v>
      </c>
      <c r="BN223" t="s">
        <v>57</v>
      </c>
      <c r="BO223" t="s">
        <v>57</v>
      </c>
      <c r="BP223" t="s">
        <v>57</v>
      </c>
      <c r="BQ223" t="s">
        <v>57</v>
      </c>
      <c r="BR223" t="s">
        <v>57</v>
      </c>
      <c r="BS223" t="s">
        <v>57</v>
      </c>
      <c r="BT223" t="s">
        <v>57</v>
      </c>
      <c r="BU223" t="s">
        <v>57</v>
      </c>
      <c r="BV223" t="s">
        <v>57</v>
      </c>
      <c r="BW223" t="s">
        <v>57</v>
      </c>
      <c r="BX223" t="s">
        <v>57</v>
      </c>
      <c r="BY223" t="s">
        <v>57</v>
      </c>
      <c r="BZ223" t="s">
        <v>57</v>
      </c>
      <c r="CA223" t="s">
        <v>57</v>
      </c>
      <c r="CB223" t="s">
        <v>57</v>
      </c>
      <c r="CC223" t="s">
        <v>57</v>
      </c>
      <c r="CD223" t="s">
        <v>57</v>
      </c>
      <c r="CE223" t="s">
        <v>57</v>
      </c>
      <c r="CF223" t="s">
        <v>57</v>
      </c>
      <c r="CG223" t="s">
        <v>57</v>
      </c>
      <c r="CH223" t="s">
        <v>57</v>
      </c>
      <c r="CI223" t="s">
        <v>57</v>
      </c>
      <c r="CJ223" t="s">
        <v>57</v>
      </c>
      <c r="CK223" t="s">
        <v>175</v>
      </c>
      <c r="CL223" t="s">
        <v>175</v>
      </c>
      <c r="CM223" t="s">
        <v>175</v>
      </c>
      <c r="CN223" t="s">
        <v>57</v>
      </c>
      <c r="CO223" t="s">
        <v>57</v>
      </c>
      <c r="CP223" t="s">
        <v>57</v>
      </c>
      <c r="CQ223" t="s">
        <v>57</v>
      </c>
      <c r="CR223" t="s">
        <v>57</v>
      </c>
      <c r="CS223" t="s">
        <v>57</v>
      </c>
      <c r="CT223" t="s">
        <v>57</v>
      </c>
      <c r="CU223" t="s">
        <v>57</v>
      </c>
      <c r="CV223" t="s">
        <v>57</v>
      </c>
      <c r="CW223" t="s">
        <v>57</v>
      </c>
      <c r="CX223" t="s">
        <v>57</v>
      </c>
      <c r="CY223" t="s">
        <v>57</v>
      </c>
      <c r="CZ223" t="s">
        <v>57</v>
      </c>
      <c r="DA223" t="s">
        <v>57</v>
      </c>
      <c r="DB223" t="s">
        <v>57</v>
      </c>
      <c r="DC223" t="s">
        <v>57</v>
      </c>
      <c r="DD223" t="s">
        <v>57</v>
      </c>
      <c r="DE223" t="s">
        <v>57</v>
      </c>
      <c r="DF223" t="s">
        <v>57</v>
      </c>
      <c r="DG223" t="s">
        <v>57</v>
      </c>
      <c r="DH223" t="s">
        <v>57</v>
      </c>
      <c r="DI223" t="s">
        <v>57</v>
      </c>
      <c r="DJ223" t="s">
        <v>57</v>
      </c>
      <c r="DK223" t="s">
        <v>175</v>
      </c>
      <c r="DL223" t="s">
        <v>57</v>
      </c>
      <c r="DM223" t="s">
        <v>175</v>
      </c>
      <c r="DN223" t="s">
        <v>175</v>
      </c>
      <c r="DO223" t="s">
        <v>175</v>
      </c>
      <c r="DP223" t="s">
        <v>175</v>
      </c>
      <c r="DQ223" t="s">
        <v>175</v>
      </c>
      <c r="DR223" t="s">
        <v>175</v>
      </c>
      <c r="DS223" t="s">
        <v>175</v>
      </c>
      <c r="DT223" t="s">
        <v>175</v>
      </c>
      <c r="DU223" t="s">
        <v>175</v>
      </c>
      <c r="DV223" t="s">
        <v>175</v>
      </c>
      <c r="DW223" t="s">
        <v>175</v>
      </c>
      <c r="DX223" t="s">
        <v>175</v>
      </c>
      <c r="DY223" t="s">
        <v>175</v>
      </c>
      <c r="DZ223" t="s">
        <v>175</v>
      </c>
      <c r="EA223" t="s">
        <v>57</v>
      </c>
      <c r="EB223" t="s">
        <v>57</v>
      </c>
      <c r="EC223" t="s">
        <v>57</v>
      </c>
      <c r="ED223" t="s">
        <v>57</v>
      </c>
      <c r="EE223" t="s">
        <v>57</v>
      </c>
      <c r="EF223" t="s">
        <v>57</v>
      </c>
      <c r="EG223" t="s">
        <v>57</v>
      </c>
      <c r="EH223" t="s">
        <v>57</v>
      </c>
      <c r="EI223" t="s">
        <v>57</v>
      </c>
      <c r="EJ223" t="s">
        <v>57</v>
      </c>
      <c r="EK223" t="s">
        <v>57</v>
      </c>
      <c r="EL223" t="s">
        <v>57</v>
      </c>
      <c r="EM223" t="s">
        <v>57</v>
      </c>
      <c r="EN223" t="s">
        <v>57</v>
      </c>
      <c r="EO223" t="s">
        <v>57</v>
      </c>
      <c r="EP223" t="s">
        <v>57</v>
      </c>
      <c r="EQ223" t="s">
        <v>57</v>
      </c>
      <c r="ER223" t="s">
        <v>57</v>
      </c>
      <c r="ES223" t="s">
        <v>57</v>
      </c>
      <c r="ET223" t="s">
        <v>57</v>
      </c>
      <c r="EU223" t="s">
        <v>57</v>
      </c>
      <c r="EV223" t="s">
        <v>57</v>
      </c>
      <c r="EW223" t="s">
        <v>57</v>
      </c>
      <c r="EX223" t="s">
        <v>175</v>
      </c>
      <c r="EY223" t="s">
        <v>175</v>
      </c>
      <c r="EZ223" t="s">
        <v>175</v>
      </c>
      <c r="FA223" t="s">
        <v>175</v>
      </c>
      <c r="FB223" t="s">
        <v>175</v>
      </c>
      <c r="FC223" t="s">
        <v>175</v>
      </c>
      <c r="FD223" t="s">
        <v>57</v>
      </c>
      <c r="FE223" t="s">
        <v>57</v>
      </c>
      <c r="FF223" t="s">
        <v>57</v>
      </c>
      <c r="FG223" t="s">
        <v>57</v>
      </c>
      <c r="FH223" t="s">
        <v>57</v>
      </c>
      <c r="FI223" t="s">
        <v>57</v>
      </c>
      <c r="FJ223" t="s">
        <v>57</v>
      </c>
      <c r="FK223" t="s">
        <v>57</v>
      </c>
      <c r="FL223" t="s">
        <v>57</v>
      </c>
      <c r="FM223" t="s">
        <v>57</v>
      </c>
      <c r="FN223" t="s">
        <v>57</v>
      </c>
      <c r="FO223" t="s">
        <v>175</v>
      </c>
      <c r="FP223" t="s">
        <v>57</v>
      </c>
      <c r="FQ223" t="s">
        <v>57</v>
      </c>
      <c r="FR223" t="s">
        <v>57</v>
      </c>
      <c r="FS223" t="s">
        <v>57</v>
      </c>
      <c r="FT223" t="s">
        <v>57</v>
      </c>
      <c r="FU223" t="s">
        <v>57</v>
      </c>
      <c r="FV223" t="s">
        <v>57</v>
      </c>
      <c r="FW223" t="s">
        <v>57</v>
      </c>
      <c r="FX223" t="s">
        <v>57</v>
      </c>
      <c r="FY223" t="s">
        <v>57</v>
      </c>
      <c r="FZ223" t="s">
        <v>57</v>
      </c>
      <c r="GA223" t="s">
        <v>57</v>
      </c>
      <c r="GB223" t="s">
        <v>57</v>
      </c>
      <c r="GC223" t="s">
        <v>57</v>
      </c>
      <c r="GD223" t="s">
        <v>57</v>
      </c>
      <c r="GE223" t="s">
        <v>57</v>
      </c>
      <c r="GF223" t="s">
        <v>57</v>
      </c>
      <c r="GG223" t="s">
        <v>175</v>
      </c>
      <c r="GH223" t="s">
        <v>57</v>
      </c>
      <c r="GI223" t="s">
        <v>57</v>
      </c>
      <c r="GJ223" t="s">
        <v>57</v>
      </c>
      <c r="GK223" t="s">
        <v>57</v>
      </c>
      <c r="GL223" t="s">
        <v>57</v>
      </c>
      <c r="GM223" t="s">
        <v>57</v>
      </c>
      <c r="GN223" t="s">
        <v>57</v>
      </c>
      <c r="GO223" t="s">
        <v>57</v>
      </c>
      <c r="GP223" t="s">
        <v>175</v>
      </c>
      <c r="GQ223" t="s">
        <v>175</v>
      </c>
      <c r="GR223" t="s">
        <v>57</v>
      </c>
      <c r="GS223" t="s">
        <v>57</v>
      </c>
      <c r="GT223" t="s">
        <v>57</v>
      </c>
      <c r="GU223" t="s">
        <v>57</v>
      </c>
      <c r="GV223" t="s">
        <v>57</v>
      </c>
      <c r="GW223" t="s">
        <v>57</v>
      </c>
      <c r="GX223" t="s">
        <v>57</v>
      </c>
      <c r="GY223" t="s">
        <v>57</v>
      </c>
      <c r="GZ223" t="s">
        <v>57</v>
      </c>
      <c r="HA223" t="s">
        <v>57</v>
      </c>
      <c r="HB223" t="s">
        <v>57</v>
      </c>
      <c r="HC223" t="s">
        <v>57</v>
      </c>
      <c r="HD223" t="s">
        <v>57</v>
      </c>
      <c r="HE223" t="s">
        <v>57</v>
      </c>
      <c r="HF223" t="s">
        <v>57</v>
      </c>
      <c r="HG223" t="s">
        <v>57</v>
      </c>
      <c r="HH223" t="s">
        <v>57</v>
      </c>
      <c r="HI223" t="s">
        <v>57</v>
      </c>
      <c r="HJ223" t="s">
        <v>57</v>
      </c>
      <c r="HK223" t="s">
        <v>57</v>
      </c>
      <c r="HL223" t="s">
        <v>57</v>
      </c>
      <c r="HM223" t="s">
        <v>57</v>
      </c>
      <c r="HN223" t="s">
        <v>57</v>
      </c>
      <c r="HO223" t="s">
        <v>57</v>
      </c>
      <c r="HP223" t="s">
        <v>57</v>
      </c>
      <c r="HQ223" t="s">
        <v>57</v>
      </c>
      <c r="HR223" t="s">
        <v>57</v>
      </c>
      <c r="HS223" t="s">
        <v>57</v>
      </c>
      <c r="HT223" t="s">
        <v>57</v>
      </c>
      <c r="HU223" t="s">
        <v>57</v>
      </c>
      <c r="HV223" t="s">
        <v>57</v>
      </c>
      <c r="HW223" t="s">
        <v>57</v>
      </c>
      <c r="HX223" t="s">
        <v>57</v>
      </c>
      <c r="HY223" t="s">
        <v>57</v>
      </c>
      <c r="HZ223" t="s">
        <v>57</v>
      </c>
      <c r="IA223" t="s">
        <v>57</v>
      </c>
      <c r="IB223" t="s">
        <v>57</v>
      </c>
      <c r="IC223" t="s">
        <v>57</v>
      </c>
      <c r="ID223" t="s">
        <v>57</v>
      </c>
      <c r="IE223" t="s">
        <v>57</v>
      </c>
      <c r="IF223" t="s">
        <v>124</v>
      </c>
      <c r="IG223" t="s">
        <v>148</v>
      </c>
      <c r="IH223" t="s">
        <v>123</v>
      </c>
      <c r="II223" t="s">
        <v>156</v>
      </c>
    </row>
    <row r="224" spans="1:243" x14ac:dyDescent="0.25">
      <c r="A224" s="201" t="str">
        <f>HYPERLINK("http://www.ofsted.gov.uk/inspection-reports/find-inspection-report/provider/ELS/139734 ","Ofsted School Webpage")</f>
        <v>Ofsted School Webpage</v>
      </c>
      <c r="B224">
        <v>139734</v>
      </c>
      <c r="C224">
        <v>8556032</v>
      </c>
      <c r="D224" t="s">
        <v>335</v>
      </c>
      <c r="E224" t="s">
        <v>37</v>
      </c>
      <c r="F224" t="s">
        <v>138</v>
      </c>
      <c r="G224" t="s">
        <v>171</v>
      </c>
      <c r="H224" t="s">
        <v>171</v>
      </c>
      <c r="I224" t="s">
        <v>238</v>
      </c>
      <c r="J224" t="s">
        <v>336</v>
      </c>
      <c r="K224" t="s">
        <v>142</v>
      </c>
      <c r="L224" t="s">
        <v>142</v>
      </c>
      <c r="M224" t="s">
        <v>2596</v>
      </c>
      <c r="N224" t="s">
        <v>143</v>
      </c>
      <c r="O224">
        <v>10026054</v>
      </c>
      <c r="P224" s="108">
        <v>42990</v>
      </c>
      <c r="Q224" s="108">
        <v>42992</v>
      </c>
      <c r="R224" s="108">
        <v>43026</v>
      </c>
      <c r="S224" t="s">
        <v>153</v>
      </c>
      <c r="T224" t="s">
        <v>154</v>
      </c>
      <c r="U224">
        <v>1</v>
      </c>
      <c r="V224">
        <v>1</v>
      </c>
      <c r="W224">
        <v>1</v>
      </c>
      <c r="X224">
        <v>1</v>
      </c>
      <c r="Y224">
        <v>1</v>
      </c>
      <c r="Z224" t="s">
        <v>2596</v>
      </c>
      <c r="AA224" t="s">
        <v>2596</v>
      </c>
      <c r="AB224" t="s">
        <v>123</v>
      </c>
      <c r="AC224" t="s">
        <v>2596</v>
      </c>
      <c r="AD224" t="s">
        <v>2598</v>
      </c>
      <c r="AE224" t="s">
        <v>57</v>
      </c>
      <c r="AF224" t="s">
        <v>57</v>
      </c>
      <c r="AG224" t="s">
        <v>57</v>
      </c>
      <c r="AH224" t="s">
        <v>57</v>
      </c>
      <c r="AI224" t="s">
        <v>57</v>
      </c>
      <c r="AJ224" t="s">
        <v>57</v>
      </c>
      <c r="AK224" t="s">
        <v>57</v>
      </c>
      <c r="AL224" t="s">
        <v>57</v>
      </c>
      <c r="AM224" t="s">
        <v>57</v>
      </c>
      <c r="AN224" t="s">
        <v>57</v>
      </c>
      <c r="AO224" t="s">
        <v>57</v>
      </c>
      <c r="AP224" t="s">
        <v>57</v>
      </c>
      <c r="AQ224" t="s">
        <v>57</v>
      </c>
      <c r="AR224" t="s">
        <v>57</v>
      </c>
      <c r="AS224" t="s">
        <v>57</v>
      </c>
      <c r="AT224" t="s">
        <v>57</v>
      </c>
      <c r="AU224" t="s">
        <v>148</v>
      </c>
      <c r="AV224" t="s">
        <v>57</v>
      </c>
      <c r="AW224" t="s">
        <v>57</v>
      </c>
      <c r="AX224" t="s">
        <v>57</v>
      </c>
      <c r="AY224" t="s">
        <v>57</v>
      </c>
      <c r="AZ224" t="s">
        <v>57</v>
      </c>
      <c r="BA224" t="s">
        <v>57</v>
      </c>
      <c r="BB224" t="s">
        <v>57</v>
      </c>
      <c r="BC224" t="s">
        <v>148</v>
      </c>
      <c r="BD224" t="s">
        <v>57</v>
      </c>
      <c r="BE224" t="s">
        <v>57</v>
      </c>
      <c r="BF224" t="s">
        <v>57</v>
      </c>
      <c r="BG224" t="s">
        <v>57</v>
      </c>
      <c r="BH224" t="s">
        <v>57</v>
      </c>
      <c r="BI224" t="s">
        <v>57</v>
      </c>
      <c r="BJ224" t="s">
        <v>57</v>
      </c>
      <c r="BK224" t="s">
        <v>57</v>
      </c>
      <c r="BL224" t="s">
        <v>57</v>
      </c>
      <c r="BM224" t="s">
        <v>57</v>
      </c>
      <c r="BN224" t="s">
        <v>57</v>
      </c>
      <c r="BO224" t="s">
        <v>57</v>
      </c>
      <c r="BP224" t="s">
        <v>57</v>
      </c>
      <c r="BQ224" t="s">
        <v>57</v>
      </c>
      <c r="BR224" t="s">
        <v>57</v>
      </c>
      <c r="BS224" t="s">
        <v>57</v>
      </c>
      <c r="BT224" t="s">
        <v>57</v>
      </c>
      <c r="BU224" t="s">
        <v>57</v>
      </c>
      <c r="BV224" t="s">
        <v>57</v>
      </c>
      <c r="BW224" t="s">
        <v>57</v>
      </c>
      <c r="BX224" t="s">
        <v>57</v>
      </c>
      <c r="BY224" t="s">
        <v>57</v>
      </c>
      <c r="BZ224" t="s">
        <v>57</v>
      </c>
      <c r="CA224" t="s">
        <v>57</v>
      </c>
      <c r="CB224" t="s">
        <v>57</v>
      </c>
      <c r="CC224" t="s">
        <v>57</v>
      </c>
      <c r="CD224" t="s">
        <v>57</v>
      </c>
      <c r="CE224" t="s">
        <v>57</v>
      </c>
      <c r="CF224" t="s">
        <v>57</v>
      </c>
      <c r="CG224" t="s">
        <v>57</v>
      </c>
      <c r="CH224" t="s">
        <v>57</v>
      </c>
      <c r="CI224" t="s">
        <v>57</v>
      </c>
      <c r="CJ224" t="s">
        <v>57</v>
      </c>
      <c r="CK224" t="s">
        <v>148</v>
      </c>
      <c r="CL224" t="s">
        <v>148</v>
      </c>
      <c r="CM224" t="s">
        <v>148</v>
      </c>
      <c r="CN224" t="s">
        <v>57</v>
      </c>
      <c r="CO224" t="s">
        <v>57</v>
      </c>
      <c r="CP224" t="s">
        <v>57</v>
      </c>
      <c r="CQ224" t="s">
        <v>57</v>
      </c>
      <c r="CR224" t="s">
        <v>57</v>
      </c>
      <c r="CS224" t="s">
        <v>57</v>
      </c>
      <c r="CT224" t="s">
        <v>57</v>
      </c>
      <c r="CU224" t="s">
        <v>57</v>
      </c>
      <c r="CV224" t="s">
        <v>57</v>
      </c>
      <c r="CW224" t="s">
        <v>57</v>
      </c>
      <c r="CX224" t="s">
        <v>57</v>
      </c>
      <c r="CY224" t="s">
        <v>57</v>
      </c>
      <c r="CZ224" t="s">
        <v>57</v>
      </c>
      <c r="DA224" t="s">
        <v>57</v>
      </c>
      <c r="DB224" t="s">
        <v>57</v>
      </c>
      <c r="DC224" t="s">
        <v>57</v>
      </c>
      <c r="DD224" t="s">
        <v>57</v>
      </c>
      <c r="DE224" t="s">
        <v>57</v>
      </c>
      <c r="DF224" t="s">
        <v>57</v>
      </c>
      <c r="DG224" t="s">
        <v>57</v>
      </c>
      <c r="DH224" t="s">
        <v>57</v>
      </c>
      <c r="DI224" t="s">
        <v>57</v>
      </c>
      <c r="DJ224" t="s">
        <v>57</v>
      </c>
      <c r="DK224" t="s">
        <v>148</v>
      </c>
      <c r="DL224" t="s">
        <v>57</v>
      </c>
      <c r="DM224" t="s">
        <v>148</v>
      </c>
      <c r="DN224" t="s">
        <v>148</v>
      </c>
      <c r="DO224" t="s">
        <v>148</v>
      </c>
      <c r="DP224" t="s">
        <v>148</v>
      </c>
      <c r="DQ224" t="s">
        <v>148</v>
      </c>
      <c r="DR224" t="s">
        <v>148</v>
      </c>
      <c r="DS224" t="s">
        <v>148</v>
      </c>
      <c r="DT224" t="s">
        <v>148</v>
      </c>
      <c r="DU224" t="s">
        <v>148</v>
      </c>
      <c r="DV224" t="s">
        <v>148</v>
      </c>
      <c r="DW224" t="s">
        <v>148</v>
      </c>
      <c r="DX224" t="s">
        <v>148</v>
      </c>
      <c r="DY224" t="s">
        <v>148</v>
      </c>
      <c r="DZ224" t="s">
        <v>148</v>
      </c>
      <c r="EA224" t="s">
        <v>148</v>
      </c>
      <c r="EB224" t="s">
        <v>148</v>
      </c>
      <c r="EC224" t="s">
        <v>148</v>
      </c>
      <c r="ED224" t="s">
        <v>148</v>
      </c>
      <c r="EE224" t="s">
        <v>148</v>
      </c>
      <c r="EF224" t="s">
        <v>148</v>
      </c>
      <c r="EG224" t="s">
        <v>148</v>
      </c>
      <c r="EH224" t="s">
        <v>148</v>
      </c>
      <c r="EI224" t="s">
        <v>148</v>
      </c>
      <c r="EJ224" t="s">
        <v>57</v>
      </c>
      <c r="EK224" t="s">
        <v>57</v>
      </c>
      <c r="EL224" t="s">
        <v>57</v>
      </c>
      <c r="EM224" t="s">
        <v>57</v>
      </c>
      <c r="EN224" t="s">
        <v>57</v>
      </c>
      <c r="EO224" t="s">
        <v>57</v>
      </c>
      <c r="EP224" t="s">
        <v>57</v>
      </c>
      <c r="EQ224" t="s">
        <v>57</v>
      </c>
      <c r="ER224" t="s">
        <v>57</v>
      </c>
      <c r="ES224" t="s">
        <v>57</v>
      </c>
      <c r="ET224" t="s">
        <v>57</v>
      </c>
      <c r="EU224" t="s">
        <v>57</v>
      </c>
      <c r="EV224" t="s">
        <v>57</v>
      </c>
      <c r="EW224" t="s">
        <v>148</v>
      </c>
      <c r="EX224" t="s">
        <v>148</v>
      </c>
      <c r="EY224" t="s">
        <v>148</v>
      </c>
      <c r="EZ224" t="s">
        <v>148</v>
      </c>
      <c r="FA224" t="s">
        <v>148</v>
      </c>
      <c r="FB224" t="s">
        <v>148</v>
      </c>
      <c r="FC224" t="s">
        <v>148</v>
      </c>
      <c r="FD224" t="s">
        <v>148</v>
      </c>
      <c r="FE224" t="s">
        <v>148</v>
      </c>
      <c r="FF224" t="s">
        <v>148</v>
      </c>
      <c r="FG224" t="s">
        <v>148</v>
      </c>
      <c r="FH224" t="s">
        <v>57</v>
      </c>
      <c r="FI224" t="s">
        <v>57</v>
      </c>
      <c r="FJ224" t="s">
        <v>57</v>
      </c>
      <c r="FK224" t="s">
        <v>57</v>
      </c>
      <c r="FL224" t="s">
        <v>57</v>
      </c>
      <c r="FM224" t="s">
        <v>57</v>
      </c>
      <c r="FN224" t="s">
        <v>57</v>
      </c>
      <c r="FO224" t="s">
        <v>148</v>
      </c>
      <c r="FP224" t="s">
        <v>57</v>
      </c>
      <c r="FQ224" t="s">
        <v>57</v>
      </c>
      <c r="FR224" t="s">
        <v>57</v>
      </c>
      <c r="FS224" t="s">
        <v>57</v>
      </c>
      <c r="FT224" t="s">
        <v>57</v>
      </c>
      <c r="FU224" t="s">
        <v>57</v>
      </c>
      <c r="FV224" t="s">
        <v>57</v>
      </c>
      <c r="FW224" t="s">
        <v>57</v>
      </c>
      <c r="FX224" t="s">
        <v>57</v>
      </c>
      <c r="FY224" t="s">
        <v>57</v>
      </c>
      <c r="FZ224" t="s">
        <v>57</v>
      </c>
      <c r="GA224" t="s">
        <v>57</v>
      </c>
      <c r="GB224" t="s">
        <v>57</v>
      </c>
      <c r="GC224" t="s">
        <v>57</v>
      </c>
      <c r="GD224" t="s">
        <v>57</v>
      </c>
      <c r="GE224" t="s">
        <v>57</v>
      </c>
      <c r="GF224" t="s">
        <v>57</v>
      </c>
      <c r="GG224" t="s">
        <v>148</v>
      </c>
      <c r="GH224" t="s">
        <v>57</v>
      </c>
      <c r="GI224" t="s">
        <v>57</v>
      </c>
      <c r="GJ224" t="s">
        <v>57</v>
      </c>
      <c r="GK224" t="s">
        <v>57</v>
      </c>
      <c r="GL224" t="s">
        <v>57</v>
      </c>
      <c r="GM224" t="s">
        <v>148</v>
      </c>
      <c r="GN224" t="s">
        <v>57</v>
      </c>
      <c r="GO224" t="s">
        <v>57</v>
      </c>
      <c r="GP224" t="s">
        <v>148</v>
      </c>
      <c r="GQ224" t="s">
        <v>57</v>
      </c>
      <c r="GR224" t="s">
        <v>148</v>
      </c>
      <c r="GS224" t="s">
        <v>57</v>
      </c>
      <c r="GT224" t="s">
        <v>57</v>
      </c>
      <c r="GU224" t="s">
        <v>57</v>
      </c>
      <c r="GV224" t="s">
        <v>57</v>
      </c>
      <c r="GW224" t="s">
        <v>148</v>
      </c>
      <c r="GX224" t="s">
        <v>148</v>
      </c>
      <c r="GY224" t="s">
        <v>57</v>
      </c>
      <c r="GZ224" t="s">
        <v>57</v>
      </c>
      <c r="HA224" t="s">
        <v>57</v>
      </c>
      <c r="HB224" t="s">
        <v>57</v>
      </c>
      <c r="HC224" t="s">
        <v>57</v>
      </c>
      <c r="HD224" t="s">
        <v>57</v>
      </c>
      <c r="HE224" t="s">
        <v>57</v>
      </c>
      <c r="HF224" t="s">
        <v>57</v>
      </c>
      <c r="HG224" t="s">
        <v>57</v>
      </c>
      <c r="HH224" t="s">
        <v>148</v>
      </c>
      <c r="HI224" t="s">
        <v>148</v>
      </c>
      <c r="HJ224" t="s">
        <v>148</v>
      </c>
      <c r="HK224" t="s">
        <v>148</v>
      </c>
      <c r="HL224" t="s">
        <v>57</v>
      </c>
      <c r="HM224" t="s">
        <v>57</v>
      </c>
      <c r="HN224" t="s">
        <v>57</v>
      </c>
      <c r="HO224" t="s">
        <v>57</v>
      </c>
      <c r="HP224" t="s">
        <v>57</v>
      </c>
      <c r="HQ224" t="s">
        <v>57</v>
      </c>
      <c r="HR224" t="s">
        <v>57</v>
      </c>
      <c r="HS224" t="s">
        <v>57</v>
      </c>
      <c r="HT224" t="s">
        <v>57</v>
      </c>
      <c r="HU224" t="s">
        <v>57</v>
      </c>
      <c r="HV224" t="s">
        <v>57</v>
      </c>
      <c r="HW224" t="s">
        <v>57</v>
      </c>
      <c r="HX224" t="s">
        <v>57</v>
      </c>
      <c r="HY224" t="s">
        <v>57</v>
      </c>
      <c r="HZ224" t="s">
        <v>57</v>
      </c>
      <c r="IA224" t="s">
        <v>57</v>
      </c>
      <c r="IB224" t="s">
        <v>57</v>
      </c>
      <c r="IC224" t="s">
        <v>57</v>
      </c>
      <c r="ID224" t="s">
        <v>57</v>
      </c>
      <c r="IE224" t="s">
        <v>57</v>
      </c>
      <c r="IF224" t="s">
        <v>124</v>
      </c>
      <c r="IG224" t="s">
        <v>155</v>
      </c>
      <c r="IH224" t="s">
        <v>123</v>
      </c>
      <c r="II224" t="s">
        <v>156</v>
      </c>
    </row>
    <row r="225" spans="1:243" x14ac:dyDescent="0.25">
      <c r="A225" s="201" t="str">
        <f>HYPERLINK("http://www.ofsted.gov.uk/inspection-reports/find-inspection-report/provider/ELS/139771 ","Ofsted School Webpage")</f>
        <v>Ofsted School Webpage</v>
      </c>
      <c r="B225">
        <v>139771</v>
      </c>
      <c r="C225">
        <v>8926016</v>
      </c>
      <c r="D225" t="s">
        <v>2881</v>
      </c>
      <c r="E225" t="s">
        <v>36</v>
      </c>
      <c r="F225" t="s">
        <v>166</v>
      </c>
      <c r="G225" t="s">
        <v>171</v>
      </c>
      <c r="H225" t="s">
        <v>171</v>
      </c>
      <c r="I225" t="s">
        <v>244</v>
      </c>
      <c r="J225" t="s">
        <v>2064</v>
      </c>
      <c r="K225" t="s">
        <v>142</v>
      </c>
      <c r="L225" t="s">
        <v>169</v>
      </c>
      <c r="M225" t="s">
        <v>2596</v>
      </c>
      <c r="N225" t="s">
        <v>143</v>
      </c>
      <c r="O225">
        <v>10033531</v>
      </c>
      <c r="P225" s="108">
        <v>43137</v>
      </c>
      <c r="Q225" s="108">
        <v>43139</v>
      </c>
      <c r="R225" s="108">
        <v>43173</v>
      </c>
      <c r="S225" t="s">
        <v>153</v>
      </c>
      <c r="T225" t="s">
        <v>154</v>
      </c>
      <c r="U225">
        <v>2</v>
      </c>
      <c r="V225">
        <v>2</v>
      </c>
      <c r="W225">
        <v>2</v>
      </c>
      <c r="X225">
        <v>2</v>
      </c>
      <c r="Y225">
        <v>2</v>
      </c>
      <c r="Z225" t="s">
        <v>2596</v>
      </c>
      <c r="AA225" t="s">
        <v>2596</v>
      </c>
      <c r="AB225" t="s">
        <v>123</v>
      </c>
      <c r="AC225" t="s">
        <v>2596</v>
      </c>
      <c r="AD225" t="s">
        <v>2598</v>
      </c>
      <c r="AE225" t="s">
        <v>57</v>
      </c>
      <c r="AF225" t="s">
        <v>57</v>
      </c>
      <c r="AG225" t="s">
        <v>57</v>
      </c>
      <c r="AH225" t="s">
        <v>57</v>
      </c>
      <c r="AI225" t="s">
        <v>57</v>
      </c>
      <c r="AJ225" t="s">
        <v>57</v>
      </c>
      <c r="AK225" t="s">
        <v>57</v>
      </c>
      <c r="AL225" t="s">
        <v>57</v>
      </c>
      <c r="AM225" t="s">
        <v>57</v>
      </c>
      <c r="AN225" t="s">
        <v>57</v>
      </c>
      <c r="AO225" t="s">
        <v>57</v>
      </c>
      <c r="AP225" t="s">
        <v>57</v>
      </c>
      <c r="AQ225" t="s">
        <v>57</v>
      </c>
      <c r="AR225" t="s">
        <v>57</v>
      </c>
      <c r="AS225" t="s">
        <v>57</v>
      </c>
      <c r="AT225" t="s">
        <v>57</v>
      </c>
      <c r="AU225" t="s">
        <v>57</v>
      </c>
      <c r="AV225" t="s">
        <v>57</v>
      </c>
      <c r="AW225" t="s">
        <v>57</v>
      </c>
      <c r="AX225" t="s">
        <v>57</v>
      </c>
      <c r="AY225" t="s">
        <v>57</v>
      </c>
      <c r="AZ225" t="s">
        <v>57</v>
      </c>
      <c r="BA225" t="s">
        <v>57</v>
      </c>
      <c r="BB225" t="s">
        <v>57</v>
      </c>
      <c r="BC225" t="s">
        <v>175</v>
      </c>
      <c r="BD225" t="s">
        <v>175</v>
      </c>
      <c r="BE225" t="s">
        <v>57</v>
      </c>
      <c r="BF225" t="s">
        <v>57</v>
      </c>
      <c r="BG225" t="s">
        <v>57</v>
      </c>
      <c r="BH225" t="s">
        <v>57</v>
      </c>
      <c r="BI225" t="s">
        <v>57</v>
      </c>
      <c r="BJ225" t="s">
        <v>57</v>
      </c>
      <c r="BK225" t="s">
        <v>57</v>
      </c>
      <c r="BL225" t="s">
        <v>57</v>
      </c>
      <c r="BM225" t="s">
        <v>57</v>
      </c>
      <c r="BN225" t="s">
        <v>57</v>
      </c>
      <c r="BO225" t="s">
        <v>57</v>
      </c>
      <c r="BP225" t="s">
        <v>57</v>
      </c>
      <c r="BQ225" t="s">
        <v>57</v>
      </c>
      <c r="BR225" t="s">
        <v>57</v>
      </c>
      <c r="BS225" t="s">
        <v>57</v>
      </c>
      <c r="BT225" t="s">
        <v>57</v>
      </c>
      <c r="BU225" t="s">
        <v>57</v>
      </c>
      <c r="BV225" t="s">
        <v>57</v>
      </c>
      <c r="BW225" t="s">
        <v>57</v>
      </c>
      <c r="BX225" t="s">
        <v>57</v>
      </c>
      <c r="BY225" t="s">
        <v>57</v>
      </c>
      <c r="BZ225" t="s">
        <v>57</v>
      </c>
      <c r="CA225" t="s">
        <v>57</v>
      </c>
      <c r="CB225" t="s">
        <v>57</v>
      </c>
      <c r="CC225" t="s">
        <v>57</v>
      </c>
      <c r="CD225" t="s">
        <v>57</v>
      </c>
      <c r="CE225" t="s">
        <v>57</v>
      </c>
      <c r="CF225" t="s">
        <v>57</v>
      </c>
      <c r="CG225" t="s">
        <v>57</v>
      </c>
      <c r="CH225" t="s">
        <v>57</v>
      </c>
      <c r="CI225" t="s">
        <v>57</v>
      </c>
      <c r="CJ225" t="s">
        <v>57</v>
      </c>
      <c r="CK225" t="s">
        <v>175</v>
      </c>
      <c r="CL225" t="s">
        <v>175</v>
      </c>
      <c r="CM225" t="s">
        <v>175</v>
      </c>
      <c r="CN225" t="s">
        <v>57</v>
      </c>
      <c r="CO225" t="s">
        <v>57</v>
      </c>
      <c r="CP225" t="s">
        <v>57</v>
      </c>
      <c r="CQ225" t="s">
        <v>57</v>
      </c>
      <c r="CR225" t="s">
        <v>57</v>
      </c>
      <c r="CS225" t="s">
        <v>57</v>
      </c>
      <c r="CT225" t="s">
        <v>57</v>
      </c>
      <c r="CU225" t="s">
        <v>57</v>
      </c>
      <c r="CV225" t="s">
        <v>57</v>
      </c>
      <c r="CW225" t="s">
        <v>57</v>
      </c>
      <c r="CX225" t="s">
        <v>57</v>
      </c>
      <c r="CY225" t="s">
        <v>57</v>
      </c>
      <c r="CZ225" t="s">
        <v>57</v>
      </c>
      <c r="DA225" t="s">
        <v>57</v>
      </c>
      <c r="DB225" t="s">
        <v>57</v>
      </c>
      <c r="DC225" t="s">
        <v>57</v>
      </c>
      <c r="DD225" t="s">
        <v>57</v>
      </c>
      <c r="DE225" t="s">
        <v>57</v>
      </c>
      <c r="DF225" t="s">
        <v>57</v>
      </c>
      <c r="DG225" t="s">
        <v>57</v>
      </c>
      <c r="DH225" t="s">
        <v>57</v>
      </c>
      <c r="DI225" t="s">
        <v>57</v>
      </c>
      <c r="DJ225" t="s">
        <v>57</v>
      </c>
      <c r="DK225" t="s">
        <v>175</v>
      </c>
      <c r="DL225" t="s">
        <v>57</v>
      </c>
      <c r="DM225" t="s">
        <v>175</v>
      </c>
      <c r="DN225" t="s">
        <v>175</v>
      </c>
      <c r="DO225" t="s">
        <v>175</v>
      </c>
      <c r="DP225" t="s">
        <v>175</v>
      </c>
      <c r="DQ225" t="s">
        <v>175</v>
      </c>
      <c r="DR225" t="s">
        <v>175</v>
      </c>
      <c r="DS225" t="s">
        <v>175</v>
      </c>
      <c r="DT225" t="s">
        <v>175</v>
      </c>
      <c r="DU225" t="s">
        <v>175</v>
      </c>
      <c r="DV225" t="s">
        <v>175</v>
      </c>
      <c r="DW225" t="s">
        <v>175</v>
      </c>
      <c r="DX225" t="s">
        <v>175</v>
      </c>
      <c r="DY225" t="s">
        <v>175</v>
      </c>
      <c r="DZ225" t="s">
        <v>57</v>
      </c>
      <c r="EA225" t="s">
        <v>57</v>
      </c>
      <c r="EB225" t="s">
        <v>57</v>
      </c>
      <c r="EC225" t="s">
        <v>57</v>
      </c>
      <c r="ED225" t="s">
        <v>57</v>
      </c>
      <c r="EE225" t="s">
        <v>57</v>
      </c>
      <c r="EF225" t="s">
        <v>57</v>
      </c>
      <c r="EG225" t="s">
        <v>57</v>
      </c>
      <c r="EH225" t="s">
        <v>57</v>
      </c>
      <c r="EI225" t="s">
        <v>57</v>
      </c>
      <c r="EJ225" t="s">
        <v>57</v>
      </c>
      <c r="EK225" t="s">
        <v>57</v>
      </c>
      <c r="EL225" t="s">
        <v>57</v>
      </c>
      <c r="EM225" t="s">
        <v>57</v>
      </c>
      <c r="EN225" t="s">
        <v>57</v>
      </c>
      <c r="EO225" t="s">
        <v>57</v>
      </c>
      <c r="EP225" t="s">
        <v>57</v>
      </c>
      <c r="EQ225" t="s">
        <v>57</v>
      </c>
      <c r="ER225" t="s">
        <v>57</v>
      </c>
      <c r="ES225" t="s">
        <v>57</v>
      </c>
      <c r="ET225" t="s">
        <v>57</v>
      </c>
      <c r="EU225" t="s">
        <v>57</v>
      </c>
      <c r="EV225" t="s">
        <v>57</v>
      </c>
      <c r="EW225" t="s">
        <v>175</v>
      </c>
      <c r="EX225" t="s">
        <v>175</v>
      </c>
      <c r="EY225" t="s">
        <v>175</v>
      </c>
      <c r="EZ225" t="s">
        <v>175</v>
      </c>
      <c r="FA225" t="s">
        <v>175</v>
      </c>
      <c r="FB225" t="s">
        <v>175</v>
      </c>
      <c r="FC225" t="s">
        <v>175</v>
      </c>
      <c r="FD225" t="s">
        <v>57</v>
      </c>
      <c r="FE225" t="s">
        <v>175</v>
      </c>
      <c r="FF225" t="s">
        <v>148</v>
      </c>
      <c r="FG225" t="s">
        <v>175</v>
      </c>
      <c r="FH225" t="s">
        <v>57</v>
      </c>
      <c r="FI225" t="s">
        <v>57</v>
      </c>
      <c r="FJ225" t="s">
        <v>57</v>
      </c>
      <c r="FK225" t="s">
        <v>57</v>
      </c>
      <c r="FL225" t="s">
        <v>57</v>
      </c>
      <c r="FM225" t="s">
        <v>57</v>
      </c>
      <c r="FN225" t="s">
        <v>57</v>
      </c>
      <c r="FO225" t="s">
        <v>175</v>
      </c>
      <c r="FP225" t="s">
        <v>57</v>
      </c>
      <c r="FQ225" t="s">
        <v>57</v>
      </c>
      <c r="FR225" t="s">
        <v>57</v>
      </c>
      <c r="FS225" t="s">
        <v>57</v>
      </c>
      <c r="FT225" t="s">
        <v>57</v>
      </c>
      <c r="FU225" t="s">
        <v>57</v>
      </c>
      <c r="FV225" t="s">
        <v>57</v>
      </c>
      <c r="FW225" t="s">
        <v>57</v>
      </c>
      <c r="FX225" t="s">
        <v>57</v>
      </c>
      <c r="FY225" t="s">
        <v>57</v>
      </c>
      <c r="FZ225" t="s">
        <v>57</v>
      </c>
      <c r="GA225" t="s">
        <v>57</v>
      </c>
      <c r="GB225" t="s">
        <v>57</v>
      </c>
      <c r="GC225" t="s">
        <v>57</v>
      </c>
      <c r="GD225" t="s">
        <v>57</v>
      </c>
      <c r="GE225" t="s">
        <v>57</v>
      </c>
      <c r="GF225" t="s">
        <v>57</v>
      </c>
      <c r="GG225" t="s">
        <v>175</v>
      </c>
      <c r="GH225" t="s">
        <v>57</v>
      </c>
      <c r="GI225" t="s">
        <v>57</v>
      </c>
      <c r="GJ225" t="s">
        <v>57</v>
      </c>
      <c r="GK225" t="s">
        <v>57</v>
      </c>
      <c r="GL225" t="s">
        <v>57</v>
      </c>
      <c r="GM225" t="s">
        <v>175</v>
      </c>
      <c r="GN225" t="s">
        <v>57</v>
      </c>
      <c r="GO225" t="s">
        <v>57</v>
      </c>
      <c r="GP225" t="s">
        <v>57</v>
      </c>
      <c r="GQ225" t="s">
        <v>57</v>
      </c>
      <c r="GR225" t="s">
        <v>57</v>
      </c>
      <c r="GS225" t="s">
        <v>57</v>
      </c>
      <c r="GT225" t="s">
        <v>57</v>
      </c>
      <c r="GU225" t="s">
        <v>57</v>
      </c>
      <c r="GV225" t="s">
        <v>175</v>
      </c>
      <c r="GW225" t="s">
        <v>57</v>
      </c>
      <c r="GX225" t="s">
        <v>57</v>
      </c>
      <c r="GY225" t="s">
        <v>57</v>
      </c>
      <c r="GZ225" t="s">
        <v>57</v>
      </c>
      <c r="HA225" t="s">
        <v>57</v>
      </c>
      <c r="HB225" t="s">
        <v>57</v>
      </c>
      <c r="HC225" t="s">
        <v>57</v>
      </c>
      <c r="HD225" t="s">
        <v>57</v>
      </c>
      <c r="HE225" t="s">
        <v>57</v>
      </c>
      <c r="HF225" t="s">
        <v>57</v>
      </c>
      <c r="HG225" t="s">
        <v>57</v>
      </c>
      <c r="HH225" t="s">
        <v>175</v>
      </c>
      <c r="HI225" t="s">
        <v>175</v>
      </c>
      <c r="HJ225" t="s">
        <v>175</v>
      </c>
      <c r="HK225" t="s">
        <v>175</v>
      </c>
      <c r="HL225" t="s">
        <v>57</v>
      </c>
      <c r="HM225" t="s">
        <v>57</v>
      </c>
      <c r="HN225" t="s">
        <v>57</v>
      </c>
      <c r="HO225" t="s">
        <v>57</v>
      </c>
      <c r="HP225" t="s">
        <v>57</v>
      </c>
      <c r="HQ225" t="s">
        <v>57</v>
      </c>
      <c r="HR225" t="s">
        <v>57</v>
      </c>
      <c r="HS225" t="s">
        <v>57</v>
      </c>
      <c r="HT225" t="s">
        <v>57</v>
      </c>
      <c r="HU225" t="s">
        <v>57</v>
      </c>
      <c r="HV225" t="s">
        <v>57</v>
      </c>
      <c r="HW225" t="s">
        <v>57</v>
      </c>
      <c r="HX225" t="s">
        <v>57</v>
      </c>
      <c r="HY225" t="s">
        <v>57</v>
      </c>
      <c r="HZ225" t="s">
        <v>57</v>
      </c>
      <c r="IA225" t="s">
        <v>57</v>
      </c>
      <c r="IB225" t="s">
        <v>57</v>
      </c>
      <c r="IC225" t="s">
        <v>57</v>
      </c>
      <c r="ID225" t="s">
        <v>57</v>
      </c>
      <c r="IE225" t="s">
        <v>57</v>
      </c>
      <c r="IF225" t="s">
        <v>124</v>
      </c>
      <c r="IG225" t="s">
        <v>148</v>
      </c>
      <c r="IH225" t="s">
        <v>123</v>
      </c>
      <c r="II225" t="s">
        <v>156</v>
      </c>
    </row>
    <row r="226" spans="1:243" x14ac:dyDescent="0.25">
      <c r="A226" s="201" t="str">
        <f>HYPERLINK("http://www.ofsted.gov.uk/inspection-reports/find-inspection-report/provider/ELS/139779 ","Ofsted School Webpage")</f>
        <v>Ofsted School Webpage</v>
      </c>
      <c r="B226">
        <v>139779</v>
      </c>
      <c r="C226">
        <v>9316012</v>
      </c>
      <c r="D226" t="s">
        <v>330</v>
      </c>
      <c r="E226" t="s">
        <v>36</v>
      </c>
      <c r="F226" t="s">
        <v>166</v>
      </c>
      <c r="G226" t="s">
        <v>139</v>
      </c>
      <c r="H226" t="s">
        <v>139</v>
      </c>
      <c r="I226" t="s">
        <v>199</v>
      </c>
      <c r="J226" t="s">
        <v>331</v>
      </c>
      <c r="K226" t="s">
        <v>142</v>
      </c>
      <c r="L226" t="s">
        <v>142</v>
      </c>
      <c r="M226" t="s">
        <v>2596</v>
      </c>
      <c r="N226" t="s">
        <v>143</v>
      </c>
      <c r="O226">
        <v>10039166</v>
      </c>
      <c r="P226" s="108">
        <v>42990</v>
      </c>
      <c r="Q226" s="108">
        <v>42992</v>
      </c>
      <c r="R226" s="108">
        <v>43018</v>
      </c>
      <c r="S226" t="s">
        <v>153</v>
      </c>
      <c r="T226" t="s">
        <v>154</v>
      </c>
      <c r="U226">
        <v>2</v>
      </c>
      <c r="V226">
        <v>2</v>
      </c>
      <c r="W226">
        <v>2</v>
      </c>
      <c r="X226">
        <v>2</v>
      </c>
      <c r="Y226">
        <v>2</v>
      </c>
      <c r="Z226" t="s">
        <v>2596</v>
      </c>
      <c r="AA226" t="s">
        <v>2596</v>
      </c>
      <c r="AB226" t="s">
        <v>123</v>
      </c>
      <c r="AC226" t="s">
        <v>2596</v>
      </c>
      <c r="AD226" t="s">
        <v>2598</v>
      </c>
      <c r="AE226" t="s">
        <v>57</v>
      </c>
      <c r="AF226" t="s">
        <v>57</v>
      </c>
      <c r="AG226" t="s">
        <v>57</v>
      </c>
      <c r="AH226" t="s">
        <v>57</v>
      </c>
      <c r="AI226" t="s">
        <v>57</v>
      </c>
      <c r="AJ226" t="s">
        <v>57</v>
      </c>
      <c r="AK226" t="s">
        <v>57</v>
      </c>
      <c r="AL226" t="s">
        <v>57</v>
      </c>
      <c r="AM226" t="s">
        <v>57</v>
      </c>
      <c r="AN226" t="s">
        <v>57</v>
      </c>
      <c r="AO226" t="s">
        <v>57</v>
      </c>
      <c r="AP226" t="s">
        <v>57</v>
      </c>
      <c r="AQ226" t="s">
        <v>57</v>
      </c>
      <c r="AR226" t="s">
        <v>57</v>
      </c>
      <c r="AS226" t="s">
        <v>57</v>
      </c>
      <c r="AT226" t="s">
        <v>57</v>
      </c>
      <c r="AU226" t="s">
        <v>148</v>
      </c>
      <c r="AV226" t="s">
        <v>57</v>
      </c>
      <c r="AW226" t="s">
        <v>57</v>
      </c>
      <c r="AX226" t="s">
        <v>57</v>
      </c>
      <c r="AY226" t="s">
        <v>57</v>
      </c>
      <c r="AZ226" t="s">
        <v>57</v>
      </c>
      <c r="BA226" t="s">
        <v>57</v>
      </c>
      <c r="BB226" t="s">
        <v>57</v>
      </c>
      <c r="BC226" t="s">
        <v>57</v>
      </c>
      <c r="BD226" t="s">
        <v>148</v>
      </c>
      <c r="BE226" t="s">
        <v>57</v>
      </c>
      <c r="BF226" t="s">
        <v>57</v>
      </c>
      <c r="BG226" t="s">
        <v>57</v>
      </c>
      <c r="BH226" t="s">
        <v>57</v>
      </c>
      <c r="BI226" t="s">
        <v>57</v>
      </c>
      <c r="BJ226" t="s">
        <v>57</v>
      </c>
      <c r="BK226" t="s">
        <v>57</v>
      </c>
      <c r="BL226" t="s">
        <v>57</v>
      </c>
      <c r="BM226" t="s">
        <v>57</v>
      </c>
      <c r="BN226" t="s">
        <v>57</v>
      </c>
      <c r="BO226" t="s">
        <v>57</v>
      </c>
      <c r="BP226" t="s">
        <v>57</v>
      </c>
      <c r="BQ226" t="s">
        <v>57</v>
      </c>
      <c r="BR226" t="s">
        <v>57</v>
      </c>
      <c r="BS226" t="s">
        <v>57</v>
      </c>
      <c r="BT226" t="s">
        <v>57</v>
      </c>
      <c r="BU226" t="s">
        <v>57</v>
      </c>
      <c r="BV226" t="s">
        <v>57</v>
      </c>
      <c r="BW226" t="s">
        <v>57</v>
      </c>
      <c r="BX226" t="s">
        <v>57</v>
      </c>
      <c r="BY226" t="s">
        <v>57</v>
      </c>
      <c r="BZ226" t="s">
        <v>57</v>
      </c>
      <c r="CA226" t="s">
        <v>57</v>
      </c>
      <c r="CB226" t="s">
        <v>57</v>
      </c>
      <c r="CC226" t="s">
        <v>57</v>
      </c>
      <c r="CD226" t="s">
        <v>57</v>
      </c>
      <c r="CE226" t="s">
        <v>57</v>
      </c>
      <c r="CF226" t="s">
        <v>57</v>
      </c>
      <c r="CG226" t="s">
        <v>57</v>
      </c>
      <c r="CH226" t="s">
        <v>57</v>
      </c>
      <c r="CI226" t="s">
        <v>57</v>
      </c>
      <c r="CJ226" t="s">
        <v>57</v>
      </c>
      <c r="CK226" t="s">
        <v>148</v>
      </c>
      <c r="CL226" t="s">
        <v>148</v>
      </c>
      <c r="CM226" t="s">
        <v>148</v>
      </c>
      <c r="CN226" t="s">
        <v>57</v>
      </c>
      <c r="CO226" t="s">
        <v>57</v>
      </c>
      <c r="CP226" t="s">
        <v>57</v>
      </c>
      <c r="CQ226" t="s">
        <v>57</v>
      </c>
      <c r="CR226" t="s">
        <v>57</v>
      </c>
      <c r="CS226" t="s">
        <v>57</v>
      </c>
      <c r="CT226" t="s">
        <v>57</v>
      </c>
      <c r="CU226" t="s">
        <v>57</v>
      </c>
      <c r="CV226" t="s">
        <v>57</v>
      </c>
      <c r="CW226" t="s">
        <v>57</v>
      </c>
      <c r="CX226" t="s">
        <v>57</v>
      </c>
      <c r="CY226" t="s">
        <v>57</v>
      </c>
      <c r="CZ226" t="s">
        <v>57</v>
      </c>
      <c r="DA226" t="s">
        <v>57</v>
      </c>
      <c r="DB226" t="s">
        <v>57</v>
      </c>
      <c r="DC226" t="s">
        <v>57</v>
      </c>
      <c r="DD226" t="s">
        <v>57</v>
      </c>
      <c r="DE226" t="s">
        <v>57</v>
      </c>
      <c r="DF226" t="s">
        <v>57</v>
      </c>
      <c r="DG226" t="s">
        <v>57</v>
      </c>
      <c r="DH226" t="s">
        <v>57</v>
      </c>
      <c r="DI226" t="s">
        <v>57</v>
      </c>
      <c r="DJ226" t="s">
        <v>57</v>
      </c>
      <c r="DK226" t="s">
        <v>148</v>
      </c>
      <c r="DL226" t="s">
        <v>57</v>
      </c>
      <c r="DM226" t="s">
        <v>148</v>
      </c>
      <c r="DN226" t="s">
        <v>148</v>
      </c>
      <c r="DO226" t="s">
        <v>148</v>
      </c>
      <c r="DP226" t="s">
        <v>148</v>
      </c>
      <c r="DQ226" t="s">
        <v>148</v>
      </c>
      <c r="DR226" t="s">
        <v>148</v>
      </c>
      <c r="DS226" t="s">
        <v>148</v>
      </c>
      <c r="DT226" t="s">
        <v>148</v>
      </c>
      <c r="DU226" t="s">
        <v>148</v>
      </c>
      <c r="DV226" t="s">
        <v>148</v>
      </c>
      <c r="DW226" t="s">
        <v>148</v>
      </c>
      <c r="DX226" t="s">
        <v>148</v>
      </c>
      <c r="DY226" t="s">
        <v>148</v>
      </c>
      <c r="DZ226" t="s">
        <v>148</v>
      </c>
      <c r="EA226" t="s">
        <v>57</v>
      </c>
      <c r="EB226" t="s">
        <v>57</v>
      </c>
      <c r="EC226" t="s">
        <v>57</v>
      </c>
      <c r="ED226" t="s">
        <v>57</v>
      </c>
      <c r="EE226" t="s">
        <v>57</v>
      </c>
      <c r="EF226" t="s">
        <v>57</v>
      </c>
      <c r="EG226" t="s">
        <v>57</v>
      </c>
      <c r="EH226" t="s">
        <v>148</v>
      </c>
      <c r="EI226" t="s">
        <v>57</v>
      </c>
      <c r="EJ226" t="s">
        <v>57</v>
      </c>
      <c r="EK226" t="s">
        <v>57</v>
      </c>
      <c r="EL226" t="s">
        <v>57</v>
      </c>
      <c r="EM226" t="s">
        <v>57</v>
      </c>
      <c r="EN226" t="s">
        <v>57</v>
      </c>
      <c r="EO226" t="s">
        <v>57</v>
      </c>
      <c r="EP226" t="s">
        <v>57</v>
      </c>
      <c r="EQ226" t="s">
        <v>57</v>
      </c>
      <c r="ER226" t="s">
        <v>57</v>
      </c>
      <c r="ES226" t="s">
        <v>57</v>
      </c>
      <c r="ET226" t="s">
        <v>57</v>
      </c>
      <c r="EU226" t="s">
        <v>57</v>
      </c>
      <c r="EV226" t="s">
        <v>57</v>
      </c>
      <c r="EW226" t="s">
        <v>148</v>
      </c>
      <c r="EX226" t="s">
        <v>148</v>
      </c>
      <c r="EY226" t="s">
        <v>57</v>
      </c>
      <c r="EZ226" t="s">
        <v>57</v>
      </c>
      <c r="FA226" t="s">
        <v>57</v>
      </c>
      <c r="FB226" t="s">
        <v>57</v>
      </c>
      <c r="FC226" t="s">
        <v>57</v>
      </c>
      <c r="FD226" t="s">
        <v>57</v>
      </c>
      <c r="FE226" t="s">
        <v>148</v>
      </c>
      <c r="FF226" t="s">
        <v>148</v>
      </c>
      <c r="FG226" t="s">
        <v>148</v>
      </c>
      <c r="FH226" t="s">
        <v>57</v>
      </c>
      <c r="FI226" t="s">
        <v>57</v>
      </c>
      <c r="FJ226" t="s">
        <v>57</v>
      </c>
      <c r="FK226" t="s">
        <v>57</v>
      </c>
      <c r="FL226" t="s">
        <v>57</v>
      </c>
      <c r="FM226" t="s">
        <v>57</v>
      </c>
      <c r="FN226" t="s">
        <v>57</v>
      </c>
      <c r="FO226" t="s">
        <v>148</v>
      </c>
      <c r="FP226" t="s">
        <v>57</v>
      </c>
      <c r="FQ226" t="s">
        <v>57</v>
      </c>
      <c r="FR226" t="s">
        <v>57</v>
      </c>
      <c r="FS226" t="s">
        <v>57</v>
      </c>
      <c r="FT226" t="s">
        <v>57</v>
      </c>
      <c r="FU226" t="s">
        <v>57</v>
      </c>
      <c r="FV226" t="s">
        <v>57</v>
      </c>
      <c r="FW226" t="s">
        <v>57</v>
      </c>
      <c r="FX226" t="s">
        <v>57</v>
      </c>
      <c r="FY226" t="s">
        <v>57</v>
      </c>
      <c r="FZ226" t="s">
        <v>57</v>
      </c>
      <c r="GA226" t="s">
        <v>57</v>
      </c>
      <c r="GB226" t="s">
        <v>57</v>
      </c>
      <c r="GC226" t="s">
        <v>57</v>
      </c>
      <c r="GD226" t="s">
        <v>57</v>
      </c>
      <c r="GE226" t="s">
        <v>57</v>
      </c>
      <c r="GF226" t="s">
        <v>57</v>
      </c>
      <c r="GG226" t="s">
        <v>148</v>
      </c>
      <c r="GH226" t="s">
        <v>57</v>
      </c>
      <c r="GI226" t="s">
        <v>57</v>
      </c>
      <c r="GJ226" t="s">
        <v>57</v>
      </c>
      <c r="GK226" t="s">
        <v>57</v>
      </c>
      <c r="GL226" t="s">
        <v>57</v>
      </c>
      <c r="GM226" t="s">
        <v>57</v>
      </c>
      <c r="GN226" t="s">
        <v>57</v>
      </c>
      <c r="GO226" t="s">
        <v>57</v>
      </c>
      <c r="GP226" t="s">
        <v>57</v>
      </c>
      <c r="GQ226" t="s">
        <v>148</v>
      </c>
      <c r="GR226" t="s">
        <v>57</v>
      </c>
      <c r="GS226" t="s">
        <v>57</v>
      </c>
      <c r="GT226" t="s">
        <v>57</v>
      </c>
      <c r="GU226" t="s">
        <v>57</v>
      </c>
      <c r="GV226" t="s">
        <v>57</v>
      </c>
      <c r="GW226" t="s">
        <v>57</v>
      </c>
      <c r="GX226" t="s">
        <v>57</v>
      </c>
      <c r="GY226" t="s">
        <v>57</v>
      </c>
      <c r="GZ226" t="s">
        <v>57</v>
      </c>
      <c r="HA226" t="s">
        <v>57</v>
      </c>
      <c r="HB226" t="s">
        <v>57</v>
      </c>
      <c r="HC226" t="s">
        <v>57</v>
      </c>
      <c r="HD226" t="s">
        <v>57</v>
      </c>
      <c r="HE226" t="s">
        <v>57</v>
      </c>
      <c r="HF226" t="s">
        <v>57</v>
      </c>
      <c r="HG226" t="s">
        <v>57</v>
      </c>
      <c r="HH226" t="s">
        <v>57</v>
      </c>
      <c r="HI226" t="s">
        <v>148</v>
      </c>
      <c r="HJ226" t="s">
        <v>148</v>
      </c>
      <c r="HK226" t="s">
        <v>148</v>
      </c>
      <c r="HL226" t="s">
        <v>57</v>
      </c>
      <c r="HM226" t="s">
        <v>57</v>
      </c>
      <c r="HN226" t="s">
        <v>57</v>
      </c>
      <c r="HO226" t="s">
        <v>57</v>
      </c>
      <c r="HP226" t="s">
        <v>57</v>
      </c>
      <c r="HQ226" t="s">
        <v>57</v>
      </c>
      <c r="HR226" t="s">
        <v>57</v>
      </c>
      <c r="HS226" t="s">
        <v>57</v>
      </c>
      <c r="HT226" t="s">
        <v>57</v>
      </c>
      <c r="HU226" t="s">
        <v>57</v>
      </c>
      <c r="HV226" t="s">
        <v>57</v>
      </c>
      <c r="HW226" t="s">
        <v>57</v>
      </c>
      <c r="HX226" t="s">
        <v>57</v>
      </c>
      <c r="HY226" t="s">
        <v>57</v>
      </c>
      <c r="HZ226" t="s">
        <v>57</v>
      </c>
      <c r="IA226" t="s">
        <v>57</v>
      </c>
      <c r="IB226" t="s">
        <v>57</v>
      </c>
      <c r="IC226" t="s">
        <v>57</v>
      </c>
      <c r="ID226" t="s">
        <v>57</v>
      </c>
      <c r="IE226" t="s">
        <v>57</v>
      </c>
      <c r="IF226" t="s">
        <v>124</v>
      </c>
      <c r="IG226" t="s">
        <v>155</v>
      </c>
      <c r="IH226" t="s">
        <v>123</v>
      </c>
      <c r="II226" t="s">
        <v>156</v>
      </c>
    </row>
    <row r="227" spans="1:243" x14ac:dyDescent="0.25">
      <c r="A227" s="201" t="str">
        <f>HYPERLINK("http://www.ofsted.gov.uk/inspection-reports/find-inspection-report/provider/ELS/139784 ","Ofsted School Webpage")</f>
        <v>Ofsted School Webpage</v>
      </c>
      <c r="B227">
        <v>139784</v>
      </c>
      <c r="C227">
        <v>8616010</v>
      </c>
      <c r="D227" t="s">
        <v>462</v>
      </c>
      <c r="E227" t="s">
        <v>36</v>
      </c>
      <c r="F227" t="s">
        <v>166</v>
      </c>
      <c r="G227" t="s">
        <v>150</v>
      </c>
      <c r="H227" t="s">
        <v>150</v>
      </c>
      <c r="I227" t="s">
        <v>447</v>
      </c>
      <c r="J227" t="s">
        <v>463</v>
      </c>
      <c r="K227" t="s">
        <v>142</v>
      </c>
      <c r="L227" t="s">
        <v>180</v>
      </c>
      <c r="M227" t="s">
        <v>2596</v>
      </c>
      <c r="N227" t="s">
        <v>143</v>
      </c>
      <c r="O227">
        <v>10033576</v>
      </c>
      <c r="P227" s="108">
        <v>43018</v>
      </c>
      <c r="Q227" s="108">
        <v>43020</v>
      </c>
      <c r="R227" s="108">
        <v>43115</v>
      </c>
      <c r="S227" t="s">
        <v>153</v>
      </c>
      <c r="T227" t="s">
        <v>154</v>
      </c>
      <c r="U227">
        <v>4</v>
      </c>
      <c r="V227">
        <v>4</v>
      </c>
      <c r="W227">
        <v>4</v>
      </c>
      <c r="X227">
        <v>3</v>
      </c>
      <c r="Y227">
        <v>3</v>
      </c>
      <c r="Z227" t="s">
        <v>2596</v>
      </c>
      <c r="AA227" t="s">
        <v>2596</v>
      </c>
      <c r="AB227" t="s">
        <v>124</v>
      </c>
      <c r="AC227" t="s">
        <v>2596</v>
      </c>
      <c r="AD227" t="s">
        <v>2599</v>
      </c>
      <c r="AE227" t="s">
        <v>58</v>
      </c>
      <c r="AF227" t="s">
        <v>57</v>
      </c>
      <c r="AG227" t="s">
        <v>58</v>
      </c>
      <c r="AH227" t="s">
        <v>58</v>
      </c>
      <c r="AI227" t="s">
        <v>58</v>
      </c>
      <c r="AJ227" t="s">
        <v>58</v>
      </c>
      <c r="AK227" t="s">
        <v>57</v>
      </c>
      <c r="AL227" t="s">
        <v>58</v>
      </c>
      <c r="AM227" t="s">
        <v>58</v>
      </c>
      <c r="AN227" t="s">
        <v>58</v>
      </c>
      <c r="AO227" t="s">
        <v>58</v>
      </c>
      <c r="AP227" t="s">
        <v>57</v>
      </c>
      <c r="AQ227" t="s">
        <v>57</v>
      </c>
      <c r="AR227" t="s">
        <v>57</v>
      </c>
      <c r="AS227" t="s">
        <v>57</v>
      </c>
      <c r="AT227" t="s">
        <v>57</v>
      </c>
      <c r="AU227" t="s">
        <v>175</v>
      </c>
      <c r="AV227" t="s">
        <v>57</v>
      </c>
      <c r="AW227" t="s">
        <v>57</v>
      </c>
      <c r="AX227" t="s">
        <v>57</v>
      </c>
      <c r="AY227" t="s">
        <v>57</v>
      </c>
      <c r="AZ227" t="s">
        <v>57</v>
      </c>
      <c r="BA227" t="s">
        <v>57</v>
      </c>
      <c r="BB227" t="s">
        <v>57</v>
      </c>
      <c r="BC227" t="s">
        <v>175</v>
      </c>
      <c r="BD227" t="s">
        <v>175</v>
      </c>
      <c r="BE227" t="s">
        <v>57</v>
      </c>
      <c r="BF227" t="s">
        <v>57</v>
      </c>
      <c r="BG227" t="s">
        <v>58</v>
      </c>
      <c r="BH227" t="s">
        <v>58</v>
      </c>
      <c r="BI227" t="s">
        <v>58</v>
      </c>
      <c r="BJ227" t="s">
        <v>58</v>
      </c>
      <c r="BK227" t="s">
        <v>58</v>
      </c>
      <c r="BL227" t="s">
        <v>57</v>
      </c>
      <c r="BM227" t="s">
        <v>58</v>
      </c>
      <c r="BN227" t="s">
        <v>58</v>
      </c>
      <c r="BO227" t="s">
        <v>57</v>
      </c>
      <c r="BP227" t="s">
        <v>57</v>
      </c>
      <c r="BQ227" t="s">
        <v>57</v>
      </c>
      <c r="BR227" t="s">
        <v>57</v>
      </c>
      <c r="BS227" t="s">
        <v>57</v>
      </c>
      <c r="BT227" t="s">
        <v>57</v>
      </c>
      <c r="BU227" t="s">
        <v>57</v>
      </c>
      <c r="BV227" t="s">
        <v>57</v>
      </c>
      <c r="BW227" t="s">
        <v>57</v>
      </c>
      <c r="BX227" t="s">
        <v>57</v>
      </c>
      <c r="BY227" t="s">
        <v>57</v>
      </c>
      <c r="BZ227" t="s">
        <v>57</v>
      </c>
      <c r="CA227" t="s">
        <v>57</v>
      </c>
      <c r="CB227" t="s">
        <v>57</v>
      </c>
      <c r="CC227" t="s">
        <v>57</v>
      </c>
      <c r="CD227" t="s">
        <v>57</v>
      </c>
      <c r="CE227" t="s">
        <v>57</v>
      </c>
      <c r="CF227" t="s">
        <v>57</v>
      </c>
      <c r="CG227" t="s">
        <v>57</v>
      </c>
      <c r="CH227" t="s">
        <v>58</v>
      </c>
      <c r="CI227" t="s">
        <v>58</v>
      </c>
      <c r="CJ227" t="s">
        <v>58</v>
      </c>
      <c r="CK227" t="s">
        <v>175</v>
      </c>
      <c r="CL227" t="s">
        <v>175</v>
      </c>
      <c r="CM227" t="s">
        <v>175</v>
      </c>
      <c r="CN227" t="s">
        <v>57</v>
      </c>
      <c r="CO227" t="s">
        <v>57</v>
      </c>
      <c r="CP227" t="s">
        <v>57</v>
      </c>
      <c r="CQ227" t="s">
        <v>57</v>
      </c>
      <c r="CR227" t="s">
        <v>57</v>
      </c>
      <c r="CS227" t="s">
        <v>58</v>
      </c>
      <c r="CT227" t="s">
        <v>58</v>
      </c>
      <c r="CU227" t="s">
        <v>57</v>
      </c>
      <c r="CV227" t="s">
        <v>57</v>
      </c>
      <c r="CW227" t="s">
        <v>58</v>
      </c>
      <c r="CX227" t="s">
        <v>58</v>
      </c>
      <c r="CY227" t="s">
        <v>58</v>
      </c>
      <c r="CZ227" t="s">
        <v>58</v>
      </c>
      <c r="DA227" t="s">
        <v>58</v>
      </c>
      <c r="DB227" t="s">
        <v>57</v>
      </c>
      <c r="DC227" t="s">
        <v>57</v>
      </c>
      <c r="DD227" t="s">
        <v>57</v>
      </c>
      <c r="DE227" t="s">
        <v>57</v>
      </c>
      <c r="DF227" t="s">
        <v>57</v>
      </c>
      <c r="DG227" t="s">
        <v>57</v>
      </c>
      <c r="DH227" t="s">
        <v>464</v>
      </c>
      <c r="DI227" t="s">
        <v>57</v>
      </c>
      <c r="DJ227" t="s">
        <v>58</v>
      </c>
      <c r="DK227" t="s">
        <v>175</v>
      </c>
      <c r="DL227" t="s">
        <v>58</v>
      </c>
      <c r="DM227" t="s">
        <v>175</v>
      </c>
      <c r="DN227" t="s">
        <v>175</v>
      </c>
      <c r="DO227" t="s">
        <v>175</v>
      </c>
      <c r="DP227" t="s">
        <v>175</v>
      </c>
      <c r="DQ227" t="s">
        <v>175</v>
      </c>
      <c r="DR227" t="s">
        <v>175</v>
      </c>
      <c r="DS227" t="s">
        <v>175</v>
      </c>
      <c r="DT227" t="s">
        <v>175</v>
      </c>
      <c r="DU227" t="s">
        <v>175</v>
      </c>
      <c r="DV227" t="s">
        <v>175</v>
      </c>
      <c r="DW227" t="s">
        <v>175</v>
      </c>
      <c r="DX227" t="s">
        <v>175</v>
      </c>
      <c r="DY227" t="s">
        <v>175</v>
      </c>
      <c r="DZ227" t="s">
        <v>57</v>
      </c>
      <c r="EA227" t="s">
        <v>58</v>
      </c>
      <c r="EB227" t="s">
        <v>58</v>
      </c>
      <c r="EC227" t="s">
        <v>58</v>
      </c>
      <c r="ED227" t="s">
        <v>58</v>
      </c>
      <c r="EE227" t="s">
        <v>57</v>
      </c>
      <c r="EF227" t="s">
        <v>57</v>
      </c>
      <c r="EG227" t="s">
        <v>57</v>
      </c>
      <c r="EH227" t="s">
        <v>175</v>
      </c>
      <c r="EI227" t="s">
        <v>57</v>
      </c>
      <c r="EJ227" t="s">
        <v>58</v>
      </c>
      <c r="EK227" t="s">
        <v>57</v>
      </c>
      <c r="EL227" t="s">
        <v>58</v>
      </c>
      <c r="EM227" t="s">
        <v>58</v>
      </c>
      <c r="EN227" t="s">
        <v>57</v>
      </c>
      <c r="EO227" t="s">
        <v>57</v>
      </c>
      <c r="EP227" t="s">
        <v>57</v>
      </c>
      <c r="EQ227" t="s">
        <v>57</v>
      </c>
      <c r="ER227" t="s">
        <v>57</v>
      </c>
      <c r="ES227" t="s">
        <v>57</v>
      </c>
      <c r="ET227" t="s">
        <v>57</v>
      </c>
      <c r="EU227" t="s">
        <v>58</v>
      </c>
      <c r="EV227" t="s">
        <v>57</v>
      </c>
      <c r="EW227" t="s">
        <v>175</v>
      </c>
      <c r="EX227" t="s">
        <v>175</v>
      </c>
      <c r="EY227" t="s">
        <v>175</v>
      </c>
      <c r="EZ227" t="s">
        <v>175</v>
      </c>
      <c r="FA227" t="s">
        <v>175</v>
      </c>
      <c r="FB227" t="s">
        <v>175</v>
      </c>
      <c r="FC227" t="s">
        <v>175</v>
      </c>
      <c r="FD227" t="s">
        <v>58</v>
      </c>
      <c r="FE227" t="s">
        <v>175</v>
      </c>
      <c r="FF227" t="s">
        <v>148</v>
      </c>
      <c r="FG227" t="s">
        <v>175</v>
      </c>
      <c r="FH227" t="s">
        <v>58</v>
      </c>
      <c r="FI227" t="s">
        <v>58</v>
      </c>
      <c r="FJ227" t="s">
        <v>175</v>
      </c>
      <c r="FK227" t="s">
        <v>58</v>
      </c>
      <c r="FL227" t="s">
        <v>58</v>
      </c>
      <c r="FM227" t="s">
        <v>58</v>
      </c>
      <c r="FN227" t="s">
        <v>58</v>
      </c>
      <c r="FO227" t="s">
        <v>175</v>
      </c>
      <c r="FP227" t="s">
        <v>57</v>
      </c>
      <c r="FQ227" t="s">
        <v>58</v>
      </c>
      <c r="FR227" t="s">
        <v>57</v>
      </c>
      <c r="FS227" t="s">
        <v>58</v>
      </c>
      <c r="FT227" t="s">
        <v>58</v>
      </c>
      <c r="FU227" t="s">
        <v>58</v>
      </c>
      <c r="FV227" t="s">
        <v>58</v>
      </c>
      <c r="FW227" t="s">
        <v>58</v>
      </c>
      <c r="FX227" t="s">
        <v>57</v>
      </c>
      <c r="FY227" t="s">
        <v>57</v>
      </c>
      <c r="FZ227" t="s">
        <v>57</v>
      </c>
      <c r="GA227" t="s">
        <v>58</v>
      </c>
      <c r="GB227" t="s">
        <v>58</v>
      </c>
      <c r="GC227" t="s">
        <v>58</v>
      </c>
      <c r="GD227" t="s">
        <v>57</v>
      </c>
      <c r="GE227" t="s">
        <v>57</v>
      </c>
      <c r="GF227" t="s">
        <v>57</v>
      </c>
      <c r="GG227" t="s">
        <v>175</v>
      </c>
      <c r="GH227" t="s">
        <v>58</v>
      </c>
      <c r="GI227" t="s">
        <v>58</v>
      </c>
      <c r="GJ227" t="s">
        <v>57</v>
      </c>
      <c r="GK227" t="s">
        <v>57</v>
      </c>
      <c r="GL227" t="s">
        <v>57</v>
      </c>
      <c r="GM227" t="s">
        <v>175</v>
      </c>
      <c r="GN227" t="s">
        <v>57</v>
      </c>
      <c r="GO227" t="s">
        <v>57</v>
      </c>
      <c r="GP227" t="s">
        <v>175</v>
      </c>
      <c r="GQ227" t="s">
        <v>175</v>
      </c>
      <c r="GR227" t="s">
        <v>57</v>
      </c>
      <c r="GS227" t="s">
        <v>57</v>
      </c>
      <c r="GT227" t="s">
        <v>57</v>
      </c>
      <c r="GU227" t="s">
        <v>175</v>
      </c>
      <c r="GV227" t="s">
        <v>175</v>
      </c>
      <c r="GW227" t="s">
        <v>57</v>
      </c>
      <c r="GX227" t="s">
        <v>57</v>
      </c>
      <c r="GY227" t="s">
        <v>57</v>
      </c>
      <c r="GZ227" t="s">
        <v>58</v>
      </c>
      <c r="HA227" t="s">
        <v>58</v>
      </c>
      <c r="HB227" t="s">
        <v>175</v>
      </c>
      <c r="HC227" t="s">
        <v>58</v>
      </c>
      <c r="HD227" t="s">
        <v>57</v>
      </c>
      <c r="HE227" t="s">
        <v>58</v>
      </c>
      <c r="HF227" t="s">
        <v>58</v>
      </c>
      <c r="HG227" t="s">
        <v>57</v>
      </c>
      <c r="HH227" t="s">
        <v>175</v>
      </c>
      <c r="HI227" t="s">
        <v>175</v>
      </c>
      <c r="HJ227" t="s">
        <v>175</v>
      </c>
      <c r="HK227" t="s">
        <v>175</v>
      </c>
      <c r="HL227" t="s">
        <v>57</v>
      </c>
      <c r="HM227" t="s">
        <v>57</v>
      </c>
      <c r="HN227" t="s">
        <v>57</v>
      </c>
      <c r="HO227" t="s">
        <v>57</v>
      </c>
      <c r="HP227" t="s">
        <v>57</v>
      </c>
      <c r="HQ227" t="s">
        <v>57</v>
      </c>
      <c r="HR227" t="s">
        <v>57</v>
      </c>
      <c r="HS227" t="s">
        <v>57</v>
      </c>
      <c r="HT227" t="s">
        <v>57</v>
      </c>
      <c r="HU227" t="s">
        <v>57</v>
      </c>
      <c r="HV227" t="s">
        <v>57</v>
      </c>
      <c r="HW227" t="s">
        <v>57</v>
      </c>
      <c r="HX227" t="s">
        <v>57</v>
      </c>
      <c r="HY227" t="s">
        <v>57</v>
      </c>
      <c r="HZ227" t="s">
        <v>57</v>
      </c>
      <c r="IA227" t="s">
        <v>57</v>
      </c>
      <c r="IB227" t="s">
        <v>58</v>
      </c>
      <c r="IC227" t="s">
        <v>58</v>
      </c>
      <c r="ID227" t="s">
        <v>58</v>
      </c>
      <c r="IE227" t="s">
        <v>58</v>
      </c>
      <c r="IF227" t="s">
        <v>124</v>
      </c>
      <c r="IG227" t="s">
        <v>148</v>
      </c>
      <c r="IH227" t="s">
        <v>123</v>
      </c>
      <c r="II227" t="s">
        <v>363</v>
      </c>
    </row>
    <row r="228" spans="1:243" x14ac:dyDescent="0.25">
      <c r="A228" s="201" t="str">
        <f>HYPERLINK("http://www.ofsted.gov.uk/inspection-reports/find-inspection-report/provider/ELS/139807 ","Ofsted School Webpage")</f>
        <v>Ofsted School Webpage</v>
      </c>
      <c r="B228">
        <v>139807</v>
      </c>
      <c r="C228">
        <v>3906001</v>
      </c>
      <c r="D228" t="s">
        <v>900</v>
      </c>
      <c r="E228" t="s">
        <v>37</v>
      </c>
      <c r="F228" t="s">
        <v>138</v>
      </c>
      <c r="G228" t="s">
        <v>202</v>
      </c>
      <c r="H228" t="s">
        <v>234</v>
      </c>
      <c r="I228" t="s">
        <v>604</v>
      </c>
      <c r="J228" t="s">
        <v>901</v>
      </c>
      <c r="K228" t="s">
        <v>142</v>
      </c>
      <c r="L228" t="s">
        <v>275</v>
      </c>
      <c r="M228" t="s">
        <v>2596</v>
      </c>
      <c r="N228" t="s">
        <v>143</v>
      </c>
      <c r="O228">
        <v>10040143</v>
      </c>
      <c r="P228" s="108">
        <v>43074</v>
      </c>
      <c r="Q228" s="108">
        <v>43076</v>
      </c>
      <c r="R228" s="108">
        <v>43102</v>
      </c>
      <c r="S228" t="s">
        <v>153</v>
      </c>
      <c r="T228" t="s">
        <v>154</v>
      </c>
      <c r="U228">
        <v>1</v>
      </c>
      <c r="V228">
        <v>1</v>
      </c>
      <c r="W228">
        <v>1</v>
      </c>
      <c r="X228">
        <v>1</v>
      </c>
      <c r="Y228">
        <v>1</v>
      </c>
      <c r="Z228" t="s">
        <v>2596</v>
      </c>
      <c r="AA228">
        <v>1</v>
      </c>
      <c r="AB228" t="s">
        <v>123</v>
      </c>
      <c r="AC228" t="s">
        <v>2596</v>
      </c>
      <c r="AD228" t="s">
        <v>2598</v>
      </c>
      <c r="AE228" t="s">
        <v>57</v>
      </c>
      <c r="AF228" t="s">
        <v>57</v>
      </c>
      <c r="AG228" t="s">
        <v>57</v>
      </c>
      <c r="AH228" t="s">
        <v>57</v>
      </c>
      <c r="AI228" t="s">
        <v>57</v>
      </c>
      <c r="AJ228" t="s">
        <v>57</v>
      </c>
      <c r="AK228" t="s">
        <v>57</v>
      </c>
      <c r="AL228" t="s">
        <v>57</v>
      </c>
      <c r="AM228" t="s">
        <v>57</v>
      </c>
      <c r="AN228" t="s">
        <v>57</v>
      </c>
      <c r="AO228" t="s">
        <v>57</v>
      </c>
      <c r="AP228" t="s">
        <v>57</v>
      </c>
      <c r="AQ228" t="s">
        <v>57</v>
      </c>
      <c r="AR228" t="s">
        <v>57</v>
      </c>
      <c r="AS228" t="s">
        <v>57</v>
      </c>
      <c r="AT228" t="s">
        <v>57</v>
      </c>
      <c r="AU228" t="s">
        <v>175</v>
      </c>
      <c r="AV228" t="s">
        <v>57</v>
      </c>
      <c r="AW228" t="s">
        <v>57</v>
      </c>
      <c r="AX228" t="s">
        <v>57</v>
      </c>
      <c r="AY228" t="s">
        <v>57</v>
      </c>
      <c r="AZ228" t="s">
        <v>57</v>
      </c>
      <c r="BA228" t="s">
        <v>57</v>
      </c>
      <c r="BB228" t="s">
        <v>57</v>
      </c>
      <c r="BC228" t="s">
        <v>175</v>
      </c>
      <c r="BD228" t="s">
        <v>57</v>
      </c>
      <c r="BE228" t="s">
        <v>57</v>
      </c>
      <c r="BF228" t="s">
        <v>57</v>
      </c>
      <c r="BG228" t="s">
        <v>57</v>
      </c>
      <c r="BH228" t="s">
        <v>57</v>
      </c>
      <c r="BI228" t="s">
        <v>57</v>
      </c>
      <c r="BJ228" t="s">
        <v>57</v>
      </c>
      <c r="BK228" t="s">
        <v>57</v>
      </c>
      <c r="BL228" t="s">
        <v>57</v>
      </c>
      <c r="BM228" t="s">
        <v>57</v>
      </c>
      <c r="BN228" t="s">
        <v>57</v>
      </c>
      <c r="BO228" t="s">
        <v>57</v>
      </c>
      <c r="BP228" t="s">
        <v>57</v>
      </c>
      <c r="BQ228" t="s">
        <v>57</v>
      </c>
      <c r="BR228" t="s">
        <v>57</v>
      </c>
      <c r="BS228" t="s">
        <v>57</v>
      </c>
      <c r="BT228" t="s">
        <v>57</v>
      </c>
      <c r="BU228" t="s">
        <v>57</v>
      </c>
      <c r="BV228" t="s">
        <v>57</v>
      </c>
      <c r="BW228" t="s">
        <v>57</v>
      </c>
      <c r="BX228" t="s">
        <v>57</v>
      </c>
      <c r="BY228" t="s">
        <v>57</v>
      </c>
      <c r="BZ228" t="s">
        <v>57</v>
      </c>
      <c r="CA228" t="s">
        <v>57</v>
      </c>
      <c r="CB228" t="s">
        <v>57</v>
      </c>
      <c r="CC228" t="s">
        <v>57</v>
      </c>
      <c r="CD228" t="s">
        <v>57</v>
      </c>
      <c r="CE228" t="s">
        <v>57</v>
      </c>
      <c r="CF228" t="s">
        <v>57</v>
      </c>
      <c r="CG228" t="s">
        <v>57</v>
      </c>
      <c r="CH228" t="s">
        <v>57</v>
      </c>
      <c r="CI228" t="s">
        <v>57</v>
      </c>
      <c r="CJ228" t="s">
        <v>57</v>
      </c>
      <c r="CK228" t="s">
        <v>175</v>
      </c>
      <c r="CL228" t="s">
        <v>175</v>
      </c>
      <c r="CM228" t="s">
        <v>175</v>
      </c>
      <c r="CN228" t="s">
        <v>57</v>
      </c>
      <c r="CO228" t="s">
        <v>57</v>
      </c>
      <c r="CP228" t="s">
        <v>57</v>
      </c>
      <c r="CQ228" t="s">
        <v>57</v>
      </c>
      <c r="CR228" t="s">
        <v>57</v>
      </c>
      <c r="CS228" t="s">
        <v>57</v>
      </c>
      <c r="CT228" t="s">
        <v>57</v>
      </c>
      <c r="CU228" t="s">
        <v>57</v>
      </c>
      <c r="CV228" t="s">
        <v>57</v>
      </c>
      <c r="CW228" t="s">
        <v>57</v>
      </c>
      <c r="CX228" t="s">
        <v>57</v>
      </c>
      <c r="CY228" t="s">
        <v>57</v>
      </c>
      <c r="CZ228" t="s">
        <v>57</v>
      </c>
      <c r="DA228" t="s">
        <v>57</v>
      </c>
      <c r="DB228" t="s">
        <v>57</v>
      </c>
      <c r="DC228" t="s">
        <v>57</v>
      </c>
      <c r="DD228" t="s">
        <v>57</v>
      </c>
      <c r="DE228" t="s">
        <v>57</v>
      </c>
      <c r="DF228" t="s">
        <v>57</v>
      </c>
      <c r="DG228" t="s">
        <v>57</v>
      </c>
      <c r="DH228" t="s">
        <v>57</v>
      </c>
      <c r="DI228" t="s">
        <v>57</v>
      </c>
      <c r="DJ228" t="s">
        <v>57</v>
      </c>
      <c r="DK228" t="s">
        <v>175</v>
      </c>
      <c r="DL228" t="s">
        <v>57</v>
      </c>
      <c r="DM228" t="s">
        <v>175</v>
      </c>
      <c r="DN228" t="s">
        <v>175</v>
      </c>
      <c r="DO228" t="s">
        <v>175</v>
      </c>
      <c r="DP228" t="s">
        <v>175</v>
      </c>
      <c r="DQ228" t="s">
        <v>175</v>
      </c>
      <c r="DR228" t="s">
        <v>175</v>
      </c>
      <c r="DS228" t="s">
        <v>175</v>
      </c>
      <c r="DT228" t="s">
        <v>175</v>
      </c>
      <c r="DU228" t="s">
        <v>175</v>
      </c>
      <c r="DV228" t="s">
        <v>175</v>
      </c>
      <c r="DW228" t="s">
        <v>175</v>
      </c>
      <c r="DX228" t="s">
        <v>175</v>
      </c>
      <c r="DY228" t="s">
        <v>175</v>
      </c>
      <c r="DZ228" t="s">
        <v>57</v>
      </c>
      <c r="EA228" t="s">
        <v>57</v>
      </c>
      <c r="EB228" t="s">
        <v>57</v>
      </c>
      <c r="EC228" t="s">
        <v>57</v>
      </c>
      <c r="ED228" t="s">
        <v>57</v>
      </c>
      <c r="EE228" t="s">
        <v>57</v>
      </c>
      <c r="EF228" t="s">
        <v>57</v>
      </c>
      <c r="EG228" t="s">
        <v>57</v>
      </c>
      <c r="EH228" t="s">
        <v>57</v>
      </c>
      <c r="EI228" t="s">
        <v>57</v>
      </c>
      <c r="EJ228" t="s">
        <v>57</v>
      </c>
      <c r="EK228" t="s">
        <v>57</v>
      </c>
      <c r="EL228" t="s">
        <v>57</v>
      </c>
      <c r="EM228" t="s">
        <v>57</v>
      </c>
      <c r="EN228" t="s">
        <v>57</v>
      </c>
      <c r="EO228" t="s">
        <v>57</v>
      </c>
      <c r="EP228" t="s">
        <v>57</v>
      </c>
      <c r="EQ228" t="s">
        <v>57</v>
      </c>
      <c r="ER228" t="s">
        <v>57</v>
      </c>
      <c r="ES228" t="s">
        <v>57</v>
      </c>
      <c r="ET228" t="s">
        <v>57</v>
      </c>
      <c r="EU228" t="s">
        <v>57</v>
      </c>
      <c r="EV228" t="s">
        <v>57</v>
      </c>
      <c r="EW228" t="s">
        <v>57</v>
      </c>
      <c r="EX228" t="s">
        <v>57</v>
      </c>
      <c r="EY228" t="s">
        <v>57</v>
      </c>
      <c r="EZ228" t="s">
        <v>57</v>
      </c>
      <c r="FA228" t="s">
        <v>57</v>
      </c>
      <c r="FB228" t="s">
        <v>57</v>
      </c>
      <c r="FC228" t="s">
        <v>57</v>
      </c>
      <c r="FD228" t="s">
        <v>57</v>
      </c>
      <c r="FE228" t="s">
        <v>57</v>
      </c>
      <c r="FF228" t="s">
        <v>57</v>
      </c>
      <c r="FG228" t="s">
        <v>57</v>
      </c>
      <c r="FH228" t="s">
        <v>57</v>
      </c>
      <c r="FI228" t="s">
        <v>57</v>
      </c>
      <c r="FJ228" t="s">
        <v>57</v>
      </c>
      <c r="FK228" t="s">
        <v>57</v>
      </c>
      <c r="FL228" t="s">
        <v>57</v>
      </c>
      <c r="FM228" t="s">
        <v>57</v>
      </c>
      <c r="FN228" t="s">
        <v>57</v>
      </c>
      <c r="FO228" t="s">
        <v>175</v>
      </c>
      <c r="FP228" t="s">
        <v>57</v>
      </c>
      <c r="FQ228" t="s">
        <v>57</v>
      </c>
      <c r="FR228" t="s">
        <v>57</v>
      </c>
      <c r="FS228" t="s">
        <v>57</v>
      </c>
      <c r="FT228" t="s">
        <v>57</v>
      </c>
      <c r="FU228" t="s">
        <v>57</v>
      </c>
      <c r="FV228" t="s">
        <v>57</v>
      </c>
      <c r="FW228" t="s">
        <v>57</v>
      </c>
      <c r="FX228" t="s">
        <v>57</v>
      </c>
      <c r="FY228" t="s">
        <v>57</v>
      </c>
      <c r="FZ228" t="s">
        <v>57</v>
      </c>
      <c r="GA228" t="s">
        <v>57</v>
      </c>
      <c r="GB228" t="s">
        <v>57</v>
      </c>
      <c r="GC228" t="s">
        <v>57</v>
      </c>
      <c r="GD228" t="s">
        <v>57</v>
      </c>
      <c r="GE228" t="s">
        <v>57</v>
      </c>
      <c r="GF228" t="s">
        <v>57</v>
      </c>
      <c r="GG228" t="s">
        <v>175</v>
      </c>
      <c r="GH228" t="s">
        <v>57</v>
      </c>
      <c r="GI228" t="s">
        <v>57</v>
      </c>
      <c r="GJ228" t="s">
        <v>57</v>
      </c>
      <c r="GK228" t="s">
        <v>57</v>
      </c>
      <c r="GL228" t="s">
        <v>57</v>
      </c>
      <c r="GM228" t="s">
        <v>175</v>
      </c>
      <c r="GN228" t="s">
        <v>57</v>
      </c>
      <c r="GO228" t="s">
        <v>57</v>
      </c>
      <c r="GP228" t="s">
        <v>57</v>
      </c>
      <c r="GQ228" t="s">
        <v>57</v>
      </c>
      <c r="GR228" t="s">
        <v>57</v>
      </c>
      <c r="GS228" t="s">
        <v>57</v>
      </c>
      <c r="GT228" t="s">
        <v>57</v>
      </c>
      <c r="GU228" t="s">
        <v>57</v>
      </c>
      <c r="GV228" t="s">
        <v>57</v>
      </c>
      <c r="GW228" t="s">
        <v>175</v>
      </c>
      <c r="GX228" t="s">
        <v>57</v>
      </c>
      <c r="GY228" t="s">
        <v>57</v>
      </c>
      <c r="GZ228" t="s">
        <v>57</v>
      </c>
      <c r="HA228" t="s">
        <v>57</v>
      </c>
      <c r="HB228" t="s">
        <v>57</v>
      </c>
      <c r="HC228" t="s">
        <v>57</v>
      </c>
      <c r="HD228" t="s">
        <v>57</v>
      </c>
      <c r="HE228" t="s">
        <v>57</v>
      </c>
      <c r="HF228" t="s">
        <v>57</v>
      </c>
      <c r="HG228" t="s">
        <v>57</v>
      </c>
      <c r="HH228" t="s">
        <v>175</v>
      </c>
      <c r="HI228" t="s">
        <v>175</v>
      </c>
      <c r="HJ228" t="s">
        <v>175</v>
      </c>
      <c r="HK228" t="s">
        <v>175</v>
      </c>
      <c r="HL228" t="s">
        <v>57</v>
      </c>
      <c r="HM228" t="s">
        <v>57</v>
      </c>
      <c r="HN228" t="s">
        <v>57</v>
      </c>
      <c r="HO228" t="s">
        <v>57</v>
      </c>
      <c r="HP228" t="s">
        <v>57</v>
      </c>
      <c r="HQ228" t="s">
        <v>57</v>
      </c>
      <c r="HR228" t="s">
        <v>57</v>
      </c>
      <c r="HS228" t="s">
        <v>57</v>
      </c>
      <c r="HT228" t="s">
        <v>57</v>
      </c>
      <c r="HU228" t="s">
        <v>57</v>
      </c>
      <c r="HV228" t="s">
        <v>57</v>
      </c>
      <c r="HW228" t="s">
        <v>57</v>
      </c>
      <c r="HX228" t="s">
        <v>57</v>
      </c>
      <c r="HY228" t="s">
        <v>57</v>
      </c>
      <c r="HZ228" t="s">
        <v>57</v>
      </c>
      <c r="IA228" t="s">
        <v>57</v>
      </c>
      <c r="IB228" t="s">
        <v>57</v>
      </c>
      <c r="IC228" t="s">
        <v>57</v>
      </c>
      <c r="ID228" t="s">
        <v>57</v>
      </c>
      <c r="IE228" t="s">
        <v>57</v>
      </c>
      <c r="IF228" t="s">
        <v>124</v>
      </c>
      <c r="IG228" t="s">
        <v>148</v>
      </c>
      <c r="IH228" t="s">
        <v>123</v>
      </c>
      <c r="II228" t="s">
        <v>156</v>
      </c>
    </row>
    <row r="229" spans="1:243" x14ac:dyDescent="0.25">
      <c r="A229" s="201" t="str">
        <f>HYPERLINK("http://www.ofsted.gov.uk/inspection-reports/find-inspection-report/provider/ELS/139831 ","Ofsted School Webpage")</f>
        <v>Ofsted School Webpage</v>
      </c>
      <c r="B229">
        <v>139831</v>
      </c>
      <c r="C229">
        <v>3526008</v>
      </c>
      <c r="D229" t="s">
        <v>2428</v>
      </c>
      <c r="E229" t="s">
        <v>36</v>
      </c>
      <c r="F229" t="s">
        <v>166</v>
      </c>
      <c r="G229" t="s">
        <v>162</v>
      </c>
      <c r="H229" t="s">
        <v>162</v>
      </c>
      <c r="I229" t="s">
        <v>263</v>
      </c>
      <c r="J229" t="s">
        <v>2429</v>
      </c>
      <c r="K229" t="s">
        <v>142</v>
      </c>
      <c r="L229" t="s">
        <v>169</v>
      </c>
      <c r="M229" t="s">
        <v>2596</v>
      </c>
      <c r="N229" t="s">
        <v>143</v>
      </c>
      <c r="O229">
        <v>10038934</v>
      </c>
      <c r="P229" s="108">
        <v>43116</v>
      </c>
      <c r="Q229" s="108">
        <v>43118</v>
      </c>
      <c r="R229" s="108">
        <v>43174</v>
      </c>
      <c r="S229" t="s">
        <v>153</v>
      </c>
      <c r="T229" t="s">
        <v>154</v>
      </c>
      <c r="U229">
        <v>3</v>
      </c>
      <c r="V229">
        <v>3</v>
      </c>
      <c r="W229">
        <v>2</v>
      </c>
      <c r="X229">
        <v>3</v>
      </c>
      <c r="Y229">
        <v>3</v>
      </c>
      <c r="Z229">
        <v>2</v>
      </c>
      <c r="AA229" t="s">
        <v>2596</v>
      </c>
      <c r="AB229" t="s">
        <v>123</v>
      </c>
      <c r="AC229" t="s">
        <v>2596</v>
      </c>
      <c r="AD229" t="s">
        <v>2598</v>
      </c>
      <c r="AE229" t="s">
        <v>57</v>
      </c>
      <c r="AF229" t="s">
        <v>57</v>
      </c>
      <c r="AG229" t="s">
        <v>57</v>
      </c>
      <c r="AH229" t="s">
        <v>57</v>
      </c>
      <c r="AI229" t="s">
        <v>57</v>
      </c>
      <c r="AJ229" t="s">
        <v>57</v>
      </c>
      <c r="AK229" t="s">
        <v>57</v>
      </c>
      <c r="AL229" t="s">
        <v>57</v>
      </c>
      <c r="AM229" t="s">
        <v>57</v>
      </c>
      <c r="AN229" t="s">
        <v>57</v>
      </c>
      <c r="AO229" t="s">
        <v>57</v>
      </c>
      <c r="AP229" t="s">
        <v>57</v>
      </c>
      <c r="AQ229" t="s">
        <v>57</v>
      </c>
      <c r="AR229" t="s">
        <v>57</v>
      </c>
      <c r="AS229" t="s">
        <v>57</v>
      </c>
      <c r="AT229" t="s">
        <v>57</v>
      </c>
      <c r="AU229" t="s">
        <v>175</v>
      </c>
      <c r="AV229" t="s">
        <v>57</v>
      </c>
      <c r="AW229" t="s">
        <v>57</v>
      </c>
      <c r="AX229" t="s">
        <v>57</v>
      </c>
      <c r="AY229" t="s">
        <v>57</v>
      </c>
      <c r="AZ229" t="s">
        <v>57</v>
      </c>
      <c r="BA229" t="s">
        <v>57</v>
      </c>
      <c r="BB229" t="s">
        <v>57</v>
      </c>
      <c r="BC229" t="s">
        <v>57</v>
      </c>
      <c r="BD229" t="s">
        <v>175</v>
      </c>
      <c r="BE229" t="s">
        <v>57</v>
      </c>
      <c r="BF229" t="s">
        <v>57</v>
      </c>
      <c r="BG229" t="s">
        <v>57</v>
      </c>
      <c r="BH229" t="s">
        <v>57</v>
      </c>
      <c r="BI229" t="s">
        <v>57</v>
      </c>
      <c r="BJ229" t="s">
        <v>57</v>
      </c>
      <c r="BK229" t="s">
        <v>57</v>
      </c>
      <c r="BL229" t="s">
        <v>57</v>
      </c>
      <c r="BM229" t="s">
        <v>57</v>
      </c>
      <c r="BN229" t="s">
        <v>57</v>
      </c>
      <c r="BO229" t="s">
        <v>57</v>
      </c>
      <c r="BP229" t="s">
        <v>57</v>
      </c>
      <c r="BQ229" t="s">
        <v>57</v>
      </c>
      <c r="BR229" t="s">
        <v>57</v>
      </c>
      <c r="BS229" t="s">
        <v>57</v>
      </c>
      <c r="BT229" t="s">
        <v>57</v>
      </c>
      <c r="BU229" t="s">
        <v>57</v>
      </c>
      <c r="BV229" t="s">
        <v>57</v>
      </c>
      <c r="BW229" t="s">
        <v>57</v>
      </c>
      <c r="BX229" t="s">
        <v>57</v>
      </c>
      <c r="BY229" t="s">
        <v>57</v>
      </c>
      <c r="BZ229" t="s">
        <v>57</v>
      </c>
      <c r="CA229" t="s">
        <v>57</v>
      </c>
      <c r="CB229" t="s">
        <v>57</v>
      </c>
      <c r="CC229" t="s">
        <v>57</v>
      </c>
      <c r="CD229" t="s">
        <v>57</v>
      </c>
      <c r="CE229" t="s">
        <v>57</v>
      </c>
      <c r="CF229" t="s">
        <v>57</v>
      </c>
      <c r="CG229" t="s">
        <v>57</v>
      </c>
      <c r="CH229" t="s">
        <v>57</v>
      </c>
      <c r="CI229" t="s">
        <v>57</v>
      </c>
      <c r="CJ229" t="s">
        <v>57</v>
      </c>
      <c r="CK229" t="s">
        <v>175</v>
      </c>
      <c r="CL229" t="s">
        <v>175</v>
      </c>
      <c r="CM229" t="s">
        <v>175</v>
      </c>
      <c r="CN229" t="s">
        <v>57</v>
      </c>
      <c r="CO229" t="s">
        <v>57</v>
      </c>
      <c r="CP229" t="s">
        <v>57</v>
      </c>
      <c r="CQ229" t="s">
        <v>57</v>
      </c>
      <c r="CR229" t="s">
        <v>57</v>
      </c>
      <c r="CS229" t="s">
        <v>57</v>
      </c>
      <c r="CT229" t="s">
        <v>57</v>
      </c>
      <c r="CU229" t="s">
        <v>57</v>
      </c>
      <c r="CV229" t="s">
        <v>57</v>
      </c>
      <c r="CW229" t="s">
        <v>57</v>
      </c>
      <c r="CX229" t="s">
        <v>57</v>
      </c>
      <c r="CY229" t="s">
        <v>57</v>
      </c>
      <c r="CZ229" t="s">
        <v>57</v>
      </c>
      <c r="DA229" t="s">
        <v>57</v>
      </c>
      <c r="DB229" t="s">
        <v>57</v>
      </c>
      <c r="DC229" t="s">
        <v>57</v>
      </c>
      <c r="DD229" t="s">
        <v>57</v>
      </c>
      <c r="DE229" t="s">
        <v>57</v>
      </c>
      <c r="DF229" t="s">
        <v>57</v>
      </c>
      <c r="DG229" t="s">
        <v>57</v>
      </c>
      <c r="DH229" t="s">
        <v>57</v>
      </c>
      <c r="DI229" t="s">
        <v>57</v>
      </c>
      <c r="DJ229" t="s">
        <v>57</v>
      </c>
      <c r="DK229" t="s">
        <v>175</v>
      </c>
      <c r="DL229" t="s">
        <v>57</v>
      </c>
      <c r="DM229" t="s">
        <v>175</v>
      </c>
      <c r="DN229" t="s">
        <v>175</v>
      </c>
      <c r="DO229" t="s">
        <v>175</v>
      </c>
      <c r="DP229" t="s">
        <v>175</v>
      </c>
      <c r="DQ229" t="s">
        <v>175</v>
      </c>
      <c r="DR229" t="s">
        <v>175</v>
      </c>
      <c r="DS229" t="s">
        <v>175</v>
      </c>
      <c r="DT229" t="s">
        <v>175</v>
      </c>
      <c r="DU229" t="s">
        <v>175</v>
      </c>
      <c r="DV229" t="s">
        <v>175</v>
      </c>
      <c r="DW229" t="s">
        <v>175</v>
      </c>
      <c r="DX229" t="s">
        <v>175</v>
      </c>
      <c r="DY229" t="s">
        <v>175</v>
      </c>
      <c r="DZ229" t="s">
        <v>57</v>
      </c>
      <c r="EA229" t="s">
        <v>57</v>
      </c>
      <c r="EB229" t="s">
        <v>57</v>
      </c>
      <c r="EC229" t="s">
        <v>57</v>
      </c>
      <c r="ED229" t="s">
        <v>57</v>
      </c>
      <c r="EE229" t="s">
        <v>57</v>
      </c>
      <c r="EF229" t="s">
        <v>57</v>
      </c>
      <c r="EG229" t="s">
        <v>57</v>
      </c>
      <c r="EH229" t="s">
        <v>57</v>
      </c>
      <c r="EI229" t="s">
        <v>57</v>
      </c>
      <c r="EJ229" t="s">
        <v>57</v>
      </c>
      <c r="EK229" t="s">
        <v>57</v>
      </c>
      <c r="EL229" t="s">
        <v>57</v>
      </c>
      <c r="EM229" t="s">
        <v>57</v>
      </c>
      <c r="EN229" t="s">
        <v>57</v>
      </c>
      <c r="EO229" t="s">
        <v>57</v>
      </c>
      <c r="EP229" t="s">
        <v>57</v>
      </c>
      <c r="EQ229" t="s">
        <v>57</v>
      </c>
      <c r="ER229" t="s">
        <v>57</v>
      </c>
      <c r="ES229" t="s">
        <v>57</v>
      </c>
      <c r="ET229" t="s">
        <v>57</v>
      </c>
      <c r="EU229" t="s">
        <v>57</v>
      </c>
      <c r="EV229" t="s">
        <v>57</v>
      </c>
      <c r="EW229" t="s">
        <v>175</v>
      </c>
      <c r="EX229" t="s">
        <v>175</v>
      </c>
      <c r="EY229" t="s">
        <v>175</v>
      </c>
      <c r="EZ229" t="s">
        <v>175</v>
      </c>
      <c r="FA229" t="s">
        <v>175</v>
      </c>
      <c r="FB229" t="s">
        <v>175</v>
      </c>
      <c r="FC229" t="s">
        <v>175</v>
      </c>
      <c r="FD229" t="s">
        <v>57</v>
      </c>
      <c r="FE229" t="s">
        <v>175</v>
      </c>
      <c r="FF229" t="s">
        <v>148</v>
      </c>
      <c r="FG229" t="s">
        <v>175</v>
      </c>
      <c r="FH229" t="s">
        <v>57</v>
      </c>
      <c r="FI229" t="s">
        <v>57</v>
      </c>
      <c r="FJ229" t="s">
        <v>57</v>
      </c>
      <c r="FK229" t="s">
        <v>57</v>
      </c>
      <c r="FL229" t="s">
        <v>57</v>
      </c>
      <c r="FM229" t="s">
        <v>57</v>
      </c>
      <c r="FN229" t="s">
        <v>57</v>
      </c>
      <c r="FO229" t="s">
        <v>175</v>
      </c>
      <c r="FP229" t="s">
        <v>57</v>
      </c>
      <c r="FQ229" t="s">
        <v>57</v>
      </c>
      <c r="FR229" t="s">
        <v>57</v>
      </c>
      <c r="FS229" t="s">
        <v>57</v>
      </c>
      <c r="FT229" t="s">
        <v>57</v>
      </c>
      <c r="FU229" t="s">
        <v>57</v>
      </c>
      <c r="FV229" t="s">
        <v>57</v>
      </c>
      <c r="FW229" t="s">
        <v>57</v>
      </c>
      <c r="FX229" t="s">
        <v>57</v>
      </c>
      <c r="FY229" t="s">
        <v>57</v>
      </c>
      <c r="FZ229" t="s">
        <v>57</v>
      </c>
      <c r="GA229" t="s">
        <v>57</v>
      </c>
      <c r="GB229" t="s">
        <v>57</v>
      </c>
      <c r="GC229" t="s">
        <v>57</v>
      </c>
      <c r="GD229" t="s">
        <v>57</v>
      </c>
      <c r="GE229" t="s">
        <v>57</v>
      </c>
      <c r="GF229" t="s">
        <v>57</v>
      </c>
      <c r="GG229" t="s">
        <v>175</v>
      </c>
      <c r="GH229" t="s">
        <v>57</v>
      </c>
      <c r="GI229" t="s">
        <v>57</v>
      </c>
      <c r="GJ229" t="s">
        <v>57</v>
      </c>
      <c r="GK229" t="s">
        <v>57</v>
      </c>
      <c r="GL229" t="s">
        <v>57</v>
      </c>
      <c r="GM229" t="s">
        <v>175</v>
      </c>
      <c r="GN229" t="s">
        <v>57</v>
      </c>
      <c r="GO229" t="s">
        <v>57</v>
      </c>
      <c r="GP229" t="s">
        <v>175</v>
      </c>
      <c r="GQ229" t="s">
        <v>175</v>
      </c>
      <c r="GR229" t="s">
        <v>57</v>
      </c>
      <c r="GS229" t="s">
        <v>57</v>
      </c>
      <c r="GT229" t="s">
        <v>57</v>
      </c>
      <c r="GU229" t="s">
        <v>57</v>
      </c>
      <c r="GV229" t="s">
        <v>175</v>
      </c>
      <c r="GW229" t="s">
        <v>57</v>
      </c>
      <c r="GX229" t="s">
        <v>57</v>
      </c>
      <c r="GY229" t="s">
        <v>57</v>
      </c>
      <c r="GZ229" t="s">
        <v>57</v>
      </c>
      <c r="HA229" t="s">
        <v>57</v>
      </c>
      <c r="HB229" t="s">
        <v>57</v>
      </c>
      <c r="HC229" t="s">
        <v>57</v>
      </c>
      <c r="HD229" t="s">
        <v>57</v>
      </c>
      <c r="HE229" t="s">
        <v>57</v>
      </c>
      <c r="HF229" t="s">
        <v>57</v>
      </c>
      <c r="HG229" t="s">
        <v>57</v>
      </c>
      <c r="HH229" t="s">
        <v>57</v>
      </c>
      <c r="HI229" t="s">
        <v>175</v>
      </c>
      <c r="HJ229" t="s">
        <v>175</v>
      </c>
      <c r="HK229" t="s">
        <v>175</v>
      </c>
      <c r="HL229" t="s">
        <v>57</v>
      </c>
      <c r="HM229" t="s">
        <v>57</v>
      </c>
      <c r="HN229" t="s">
        <v>57</v>
      </c>
      <c r="HO229" t="s">
        <v>57</v>
      </c>
      <c r="HP229" t="s">
        <v>57</v>
      </c>
      <c r="HQ229" t="s">
        <v>57</v>
      </c>
      <c r="HR229" t="s">
        <v>57</v>
      </c>
      <c r="HS229" t="s">
        <v>57</v>
      </c>
      <c r="HT229" t="s">
        <v>57</v>
      </c>
      <c r="HU229" t="s">
        <v>57</v>
      </c>
      <c r="HV229" t="s">
        <v>57</v>
      </c>
      <c r="HW229" t="s">
        <v>57</v>
      </c>
      <c r="HX229" t="s">
        <v>57</v>
      </c>
      <c r="HY229" t="s">
        <v>57</v>
      </c>
      <c r="HZ229" t="s">
        <v>57</v>
      </c>
      <c r="IA229" t="s">
        <v>57</v>
      </c>
      <c r="IB229" t="s">
        <v>57</v>
      </c>
      <c r="IC229" t="s">
        <v>57</v>
      </c>
      <c r="ID229" t="s">
        <v>57</v>
      </c>
      <c r="IE229" t="s">
        <v>57</v>
      </c>
      <c r="IF229" t="s">
        <v>124</v>
      </c>
      <c r="IG229" t="s">
        <v>148</v>
      </c>
      <c r="IH229" t="s">
        <v>123</v>
      </c>
      <c r="II229" t="s">
        <v>156</v>
      </c>
    </row>
    <row r="230" spans="1:243" x14ac:dyDescent="0.25">
      <c r="A230" s="201" t="str">
        <f>HYPERLINK("http://www.ofsted.gov.uk/inspection-reports/find-inspection-report/provider/ELS/139962 ","Ofsted School Webpage")</f>
        <v>Ofsted School Webpage</v>
      </c>
      <c r="B230">
        <v>139962</v>
      </c>
      <c r="C230">
        <v>3306015</v>
      </c>
      <c r="D230" t="s">
        <v>2065</v>
      </c>
      <c r="E230" t="s">
        <v>36</v>
      </c>
      <c r="F230" t="s">
        <v>166</v>
      </c>
      <c r="G230" t="s">
        <v>150</v>
      </c>
      <c r="H230" t="s">
        <v>150</v>
      </c>
      <c r="I230" t="s">
        <v>167</v>
      </c>
      <c r="J230" t="s">
        <v>2066</v>
      </c>
      <c r="K230" t="s">
        <v>142</v>
      </c>
      <c r="L230" t="s">
        <v>512</v>
      </c>
      <c r="M230" t="s">
        <v>2596</v>
      </c>
      <c r="N230" t="s">
        <v>143</v>
      </c>
      <c r="O230">
        <v>10033583</v>
      </c>
      <c r="P230" s="108">
        <v>43144</v>
      </c>
      <c r="Q230" s="108">
        <v>43146</v>
      </c>
      <c r="R230" s="108">
        <v>43174</v>
      </c>
      <c r="S230" t="s">
        <v>153</v>
      </c>
      <c r="T230" t="s">
        <v>154</v>
      </c>
      <c r="U230">
        <v>2</v>
      </c>
      <c r="V230">
        <v>2</v>
      </c>
      <c r="W230">
        <v>2</v>
      </c>
      <c r="X230">
        <v>2</v>
      </c>
      <c r="Y230">
        <v>2</v>
      </c>
      <c r="Z230" t="s">
        <v>2596</v>
      </c>
      <c r="AA230" t="s">
        <v>2596</v>
      </c>
      <c r="AB230" t="s">
        <v>123</v>
      </c>
      <c r="AC230" t="s">
        <v>2596</v>
      </c>
      <c r="AD230" t="s">
        <v>2598</v>
      </c>
      <c r="AE230" t="s">
        <v>57</v>
      </c>
      <c r="AF230" t="s">
        <v>57</v>
      </c>
      <c r="AG230" t="s">
        <v>57</v>
      </c>
      <c r="AH230" t="s">
        <v>57</v>
      </c>
      <c r="AI230" t="s">
        <v>57</v>
      </c>
      <c r="AJ230" t="s">
        <v>57</v>
      </c>
      <c r="AK230" t="s">
        <v>57</v>
      </c>
      <c r="AL230" t="s">
        <v>57</v>
      </c>
      <c r="AM230" t="s">
        <v>57</v>
      </c>
      <c r="AN230" t="s">
        <v>57</v>
      </c>
      <c r="AO230" t="s">
        <v>57</v>
      </c>
      <c r="AP230" t="s">
        <v>57</v>
      </c>
      <c r="AQ230" t="s">
        <v>57</v>
      </c>
      <c r="AR230" t="s">
        <v>57</v>
      </c>
      <c r="AS230" t="s">
        <v>57</v>
      </c>
      <c r="AT230" t="s">
        <v>57</v>
      </c>
      <c r="AU230" t="s">
        <v>57</v>
      </c>
      <c r="AV230" t="s">
        <v>57</v>
      </c>
      <c r="AW230" t="s">
        <v>57</v>
      </c>
      <c r="AX230" t="s">
        <v>57</v>
      </c>
      <c r="AY230" t="s">
        <v>57</v>
      </c>
      <c r="AZ230" t="s">
        <v>57</v>
      </c>
      <c r="BA230" t="s">
        <v>57</v>
      </c>
      <c r="BB230" t="s">
        <v>57</v>
      </c>
      <c r="BC230" t="s">
        <v>175</v>
      </c>
      <c r="BD230" t="s">
        <v>175</v>
      </c>
      <c r="BE230" t="s">
        <v>57</v>
      </c>
      <c r="BF230" t="s">
        <v>57</v>
      </c>
      <c r="BG230" t="s">
        <v>57</v>
      </c>
      <c r="BH230" t="s">
        <v>57</v>
      </c>
      <c r="BI230" t="s">
        <v>57</v>
      </c>
      <c r="BJ230" t="s">
        <v>57</v>
      </c>
      <c r="BK230" t="s">
        <v>57</v>
      </c>
      <c r="BL230" t="s">
        <v>57</v>
      </c>
      <c r="BM230" t="s">
        <v>57</v>
      </c>
      <c r="BN230" t="s">
        <v>57</v>
      </c>
      <c r="BO230" t="s">
        <v>57</v>
      </c>
      <c r="BP230" t="s">
        <v>57</v>
      </c>
      <c r="BQ230" t="s">
        <v>57</v>
      </c>
      <c r="BR230" t="s">
        <v>57</v>
      </c>
      <c r="BS230" t="s">
        <v>57</v>
      </c>
      <c r="BT230" t="s">
        <v>57</v>
      </c>
      <c r="BU230" t="s">
        <v>57</v>
      </c>
      <c r="BV230" t="s">
        <v>57</v>
      </c>
      <c r="BW230" t="s">
        <v>57</v>
      </c>
      <c r="BX230" t="s">
        <v>57</v>
      </c>
      <c r="BY230" t="s">
        <v>57</v>
      </c>
      <c r="BZ230" t="s">
        <v>57</v>
      </c>
      <c r="CA230" t="s">
        <v>57</v>
      </c>
      <c r="CB230" t="s">
        <v>57</v>
      </c>
      <c r="CC230" t="s">
        <v>57</v>
      </c>
      <c r="CD230" t="s">
        <v>57</v>
      </c>
      <c r="CE230" t="s">
        <v>57</v>
      </c>
      <c r="CF230" t="s">
        <v>57</v>
      </c>
      <c r="CG230" t="s">
        <v>57</v>
      </c>
      <c r="CH230" t="s">
        <v>57</v>
      </c>
      <c r="CI230" t="s">
        <v>57</v>
      </c>
      <c r="CJ230" t="s">
        <v>57</v>
      </c>
      <c r="CK230" t="s">
        <v>57</v>
      </c>
      <c r="CL230" t="s">
        <v>175</v>
      </c>
      <c r="CM230" t="s">
        <v>175</v>
      </c>
      <c r="CN230" t="s">
        <v>57</v>
      </c>
      <c r="CO230" t="s">
        <v>57</v>
      </c>
      <c r="CP230" t="s">
        <v>57</v>
      </c>
      <c r="CQ230" t="s">
        <v>57</v>
      </c>
      <c r="CR230" t="s">
        <v>57</v>
      </c>
      <c r="CS230" t="s">
        <v>57</v>
      </c>
      <c r="CT230" t="s">
        <v>57</v>
      </c>
      <c r="CU230" t="s">
        <v>57</v>
      </c>
      <c r="CV230" t="s">
        <v>57</v>
      </c>
      <c r="CW230" t="s">
        <v>57</v>
      </c>
      <c r="CX230" t="s">
        <v>57</v>
      </c>
      <c r="CY230" t="s">
        <v>57</v>
      </c>
      <c r="CZ230" t="s">
        <v>57</v>
      </c>
      <c r="DA230" t="s">
        <v>57</v>
      </c>
      <c r="DB230" t="s">
        <v>57</v>
      </c>
      <c r="DC230" t="s">
        <v>57</v>
      </c>
      <c r="DD230" t="s">
        <v>57</v>
      </c>
      <c r="DE230" t="s">
        <v>57</v>
      </c>
      <c r="DF230" t="s">
        <v>57</v>
      </c>
      <c r="DG230" t="s">
        <v>57</v>
      </c>
      <c r="DH230" t="s">
        <v>57</v>
      </c>
      <c r="DI230" t="s">
        <v>57</v>
      </c>
      <c r="DJ230" t="s">
        <v>57</v>
      </c>
      <c r="DK230" t="s">
        <v>57</v>
      </c>
      <c r="DL230" t="s">
        <v>57</v>
      </c>
      <c r="DM230" t="s">
        <v>57</v>
      </c>
      <c r="DN230" t="s">
        <v>57</v>
      </c>
      <c r="DO230" t="s">
        <v>57</v>
      </c>
      <c r="DP230" t="s">
        <v>57</v>
      </c>
      <c r="DQ230" t="s">
        <v>57</v>
      </c>
      <c r="DR230" t="s">
        <v>57</v>
      </c>
      <c r="DS230" t="s">
        <v>57</v>
      </c>
      <c r="DT230" t="s">
        <v>57</v>
      </c>
      <c r="DU230" t="s">
        <v>57</v>
      </c>
      <c r="DV230" t="s">
        <v>57</v>
      </c>
      <c r="DW230" t="s">
        <v>57</v>
      </c>
      <c r="DX230" t="s">
        <v>57</v>
      </c>
      <c r="DY230" t="s">
        <v>175</v>
      </c>
      <c r="DZ230" t="s">
        <v>175</v>
      </c>
      <c r="EA230" t="s">
        <v>57</v>
      </c>
      <c r="EB230" t="s">
        <v>57</v>
      </c>
      <c r="EC230" t="s">
        <v>57</v>
      </c>
      <c r="ED230" t="s">
        <v>57</v>
      </c>
      <c r="EE230" t="s">
        <v>57</v>
      </c>
      <c r="EF230" t="s">
        <v>57</v>
      </c>
      <c r="EG230" t="s">
        <v>57</v>
      </c>
      <c r="EH230" t="s">
        <v>57</v>
      </c>
      <c r="EI230" t="s">
        <v>57</v>
      </c>
      <c r="EJ230" t="s">
        <v>57</v>
      </c>
      <c r="EK230" t="s">
        <v>57</v>
      </c>
      <c r="EL230" t="s">
        <v>57</v>
      </c>
      <c r="EM230" t="s">
        <v>57</v>
      </c>
      <c r="EN230" t="s">
        <v>57</v>
      </c>
      <c r="EO230" t="s">
        <v>57</v>
      </c>
      <c r="EP230" t="s">
        <v>57</v>
      </c>
      <c r="EQ230" t="s">
        <v>57</v>
      </c>
      <c r="ER230" t="s">
        <v>57</v>
      </c>
      <c r="ES230" t="s">
        <v>57</v>
      </c>
      <c r="ET230" t="s">
        <v>57</v>
      </c>
      <c r="EU230" t="s">
        <v>57</v>
      </c>
      <c r="EV230" t="s">
        <v>57</v>
      </c>
      <c r="EW230" t="s">
        <v>57</v>
      </c>
      <c r="EX230" t="s">
        <v>57</v>
      </c>
      <c r="EY230" t="s">
        <v>57</v>
      </c>
      <c r="EZ230" t="s">
        <v>57</v>
      </c>
      <c r="FA230" t="s">
        <v>57</v>
      </c>
      <c r="FB230" t="s">
        <v>57</v>
      </c>
      <c r="FC230" t="s">
        <v>57</v>
      </c>
      <c r="FD230" t="s">
        <v>57</v>
      </c>
      <c r="FE230" t="s">
        <v>57</v>
      </c>
      <c r="FF230" t="s">
        <v>57</v>
      </c>
      <c r="FG230" t="s">
        <v>57</v>
      </c>
      <c r="FH230" t="s">
        <v>57</v>
      </c>
      <c r="FI230" t="s">
        <v>57</v>
      </c>
      <c r="FJ230" t="s">
        <v>57</v>
      </c>
      <c r="FK230" t="s">
        <v>57</v>
      </c>
      <c r="FL230" t="s">
        <v>57</v>
      </c>
      <c r="FM230" t="s">
        <v>57</v>
      </c>
      <c r="FN230" t="s">
        <v>57</v>
      </c>
      <c r="FO230" t="s">
        <v>175</v>
      </c>
      <c r="FP230" t="s">
        <v>57</v>
      </c>
      <c r="FQ230" t="s">
        <v>57</v>
      </c>
      <c r="FR230" t="s">
        <v>57</v>
      </c>
      <c r="FS230" t="s">
        <v>57</v>
      </c>
      <c r="FT230" t="s">
        <v>57</v>
      </c>
      <c r="FU230" t="s">
        <v>57</v>
      </c>
      <c r="FV230" t="s">
        <v>57</v>
      </c>
      <c r="FW230" t="s">
        <v>57</v>
      </c>
      <c r="FX230" t="s">
        <v>57</v>
      </c>
      <c r="FY230" t="s">
        <v>57</v>
      </c>
      <c r="FZ230" t="s">
        <v>57</v>
      </c>
      <c r="GA230" t="s">
        <v>57</v>
      </c>
      <c r="GB230" t="s">
        <v>57</v>
      </c>
      <c r="GC230" t="s">
        <v>57</v>
      </c>
      <c r="GD230" t="s">
        <v>57</v>
      </c>
      <c r="GE230" t="s">
        <v>57</v>
      </c>
      <c r="GF230" t="s">
        <v>57</v>
      </c>
      <c r="GG230" t="s">
        <v>175</v>
      </c>
      <c r="GH230" t="s">
        <v>57</v>
      </c>
      <c r="GI230" t="s">
        <v>57</v>
      </c>
      <c r="GJ230" t="s">
        <v>57</v>
      </c>
      <c r="GK230" t="s">
        <v>57</v>
      </c>
      <c r="GL230" t="s">
        <v>57</v>
      </c>
      <c r="GM230" t="s">
        <v>57</v>
      </c>
      <c r="GN230" t="s">
        <v>57</v>
      </c>
      <c r="GO230" t="s">
        <v>57</v>
      </c>
      <c r="GP230" t="s">
        <v>175</v>
      </c>
      <c r="GQ230" t="s">
        <v>57</v>
      </c>
      <c r="GR230" t="s">
        <v>57</v>
      </c>
      <c r="GS230" t="s">
        <v>57</v>
      </c>
      <c r="GT230" t="s">
        <v>57</v>
      </c>
      <c r="GU230" t="s">
        <v>57</v>
      </c>
      <c r="GV230" t="s">
        <v>57</v>
      </c>
      <c r="GW230" t="s">
        <v>57</v>
      </c>
      <c r="GX230" t="s">
        <v>57</v>
      </c>
      <c r="GY230" t="s">
        <v>57</v>
      </c>
      <c r="GZ230" t="s">
        <v>57</v>
      </c>
      <c r="HA230" t="s">
        <v>57</v>
      </c>
      <c r="HB230" t="s">
        <v>57</v>
      </c>
      <c r="HC230" t="s">
        <v>57</v>
      </c>
      <c r="HD230" t="s">
        <v>57</v>
      </c>
      <c r="HE230" t="s">
        <v>175</v>
      </c>
      <c r="HF230" t="s">
        <v>57</v>
      </c>
      <c r="HG230" t="s">
        <v>57</v>
      </c>
      <c r="HH230" t="s">
        <v>175</v>
      </c>
      <c r="HI230" t="s">
        <v>175</v>
      </c>
      <c r="HJ230" t="s">
        <v>175</v>
      </c>
      <c r="HK230" t="s">
        <v>175</v>
      </c>
      <c r="HL230" t="s">
        <v>57</v>
      </c>
      <c r="HM230" t="s">
        <v>57</v>
      </c>
      <c r="HN230" t="s">
        <v>57</v>
      </c>
      <c r="HO230" t="s">
        <v>57</v>
      </c>
      <c r="HP230" t="s">
        <v>57</v>
      </c>
      <c r="HQ230" t="s">
        <v>57</v>
      </c>
      <c r="HR230" t="s">
        <v>57</v>
      </c>
      <c r="HS230" t="s">
        <v>57</v>
      </c>
      <c r="HT230" t="s">
        <v>57</v>
      </c>
      <c r="HU230" t="s">
        <v>57</v>
      </c>
      <c r="HV230" t="s">
        <v>57</v>
      </c>
      <c r="HW230" t="s">
        <v>57</v>
      </c>
      <c r="HX230" t="s">
        <v>57</v>
      </c>
      <c r="HY230" t="s">
        <v>57</v>
      </c>
      <c r="HZ230" t="s">
        <v>57</v>
      </c>
      <c r="IA230" t="s">
        <v>57</v>
      </c>
      <c r="IB230" t="s">
        <v>57</v>
      </c>
      <c r="IC230" t="s">
        <v>57</v>
      </c>
      <c r="ID230" t="s">
        <v>57</v>
      </c>
      <c r="IE230" t="s">
        <v>57</v>
      </c>
      <c r="IF230" t="s">
        <v>124</v>
      </c>
      <c r="IG230" t="s">
        <v>148</v>
      </c>
      <c r="IH230" t="s">
        <v>123</v>
      </c>
      <c r="II230" t="s">
        <v>156</v>
      </c>
    </row>
    <row r="231" spans="1:243" x14ac:dyDescent="0.25">
      <c r="A231" s="201" t="str">
        <f>HYPERLINK("http://www.ofsted.gov.uk/inspection-reports/find-inspection-report/provider/ELS/140046 ","Ofsted School Webpage")</f>
        <v>Ofsted School Webpage</v>
      </c>
      <c r="B231">
        <v>140046</v>
      </c>
      <c r="C231">
        <v>8506090</v>
      </c>
      <c r="D231" t="s">
        <v>820</v>
      </c>
      <c r="E231" t="s">
        <v>37</v>
      </c>
      <c r="F231" t="s">
        <v>138</v>
      </c>
      <c r="G231" t="s">
        <v>139</v>
      </c>
      <c r="H231" t="s">
        <v>139</v>
      </c>
      <c r="I231" t="s">
        <v>158</v>
      </c>
      <c r="J231" t="s">
        <v>821</v>
      </c>
      <c r="K231" t="s">
        <v>142</v>
      </c>
      <c r="L231" t="s">
        <v>142</v>
      </c>
      <c r="M231" t="s">
        <v>2596</v>
      </c>
      <c r="N231" t="s">
        <v>143</v>
      </c>
      <c r="O231">
        <v>10033963</v>
      </c>
      <c r="P231" s="108">
        <v>43060</v>
      </c>
      <c r="Q231" s="108">
        <v>43062</v>
      </c>
      <c r="R231" s="108">
        <v>43108</v>
      </c>
      <c r="S231" t="s">
        <v>153</v>
      </c>
      <c r="T231" t="s">
        <v>154</v>
      </c>
      <c r="U231">
        <v>2</v>
      </c>
      <c r="V231">
        <v>2</v>
      </c>
      <c r="W231">
        <v>2</v>
      </c>
      <c r="X231">
        <v>2</v>
      </c>
      <c r="Y231">
        <v>2</v>
      </c>
      <c r="Z231" t="s">
        <v>2596</v>
      </c>
      <c r="AA231">
        <v>2</v>
      </c>
      <c r="AB231" t="s">
        <v>123</v>
      </c>
      <c r="AC231" t="s">
        <v>2596</v>
      </c>
      <c r="AD231" t="s">
        <v>2598</v>
      </c>
      <c r="AE231" t="s">
        <v>57</v>
      </c>
      <c r="AF231" t="s">
        <v>57</v>
      </c>
      <c r="AG231" t="s">
        <v>57</v>
      </c>
      <c r="AH231" t="s">
        <v>57</v>
      </c>
      <c r="AI231" t="s">
        <v>57</v>
      </c>
      <c r="AJ231" t="s">
        <v>57</v>
      </c>
      <c r="AK231" t="s">
        <v>57</v>
      </c>
      <c r="AL231" t="s">
        <v>57</v>
      </c>
      <c r="AM231" t="s">
        <v>57</v>
      </c>
      <c r="AN231" t="s">
        <v>57</v>
      </c>
      <c r="AO231" t="s">
        <v>57</v>
      </c>
      <c r="AP231" t="s">
        <v>57</v>
      </c>
      <c r="AQ231" t="s">
        <v>57</v>
      </c>
      <c r="AR231" t="s">
        <v>57</v>
      </c>
      <c r="AS231" t="s">
        <v>57</v>
      </c>
      <c r="AT231" t="s">
        <v>57</v>
      </c>
      <c r="AU231" t="s">
        <v>175</v>
      </c>
      <c r="AV231" t="s">
        <v>57</v>
      </c>
      <c r="AW231" t="s">
        <v>57</v>
      </c>
      <c r="AX231" t="s">
        <v>57</v>
      </c>
      <c r="AY231" t="s">
        <v>57</v>
      </c>
      <c r="AZ231" t="s">
        <v>57</v>
      </c>
      <c r="BA231" t="s">
        <v>57</v>
      </c>
      <c r="BB231" t="s">
        <v>57</v>
      </c>
      <c r="BC231" t="s">
        <v>175</v>
      </c>
      <c r="BD231" t="s">
        <v>57</v>
      </c>
      <c r="BE231" t="s">
        <v>57</v>
      </c>
      <c r="BF231" t="s">
        <v>57</v>
      </c>
      <c r="BG231" t="s">
        <v>57</v>
      </c>
      <c r="BH231" t="s">
        <v>57</v>
      </c>
      <c r="BI231" t="s">
        <v>57</v>
      </c>
      <c r="BJ231" t="s">
        <v>57</v>
      </c>
      <c r="BK231" t="s">
        <v>57</v>
      </c>
      <c r="BL231" t="s">
        <v>57</v>
      </c>
      <c r="BM231" t="s">
        <v>57</v>
      </c>
      <c r="BN231" t="s">
        <v>57</v>
      </c>
      <c r="BO231" t="s">
        <v>57</v>
      </c>
      <c r="BP231" t="s">
        <v>57</v>
      </c>
      <c r="BQ231" t="s">
        <v>57</v>
      </c>
      <c r="BR231" t="s">
        <v>57</v>
      </c>
      <c r="BS231" t="s">
        <v>57</v>
      </c>
      <c r="BT231" t="s">
        <v>57</v>
      </c>
      <c r="BU231" t="s">
        <v>57</v>
      </c>
      <c r="BV231" t="s">
        <v>57</v>
      </c>
      <c r="BW231" t="s">
        <v>57</v>
      </c>
      <c r="BX231" t="s">
        <v>57</v>
      </c>
      <c r="BY231" t="s">
        <v>57</v>
      </c>
      <c r="BZ231" t="s">
        <v>57</v>
      </c>
      <c r="CA231" t="s">
        <v>57</v>
      </c>
      <c r="CB231" t="s">
        <v>57</v>
      </c>
      <c r="CC231" t="s">
        <v>57</v>
      </c>
      <c r="CD231" t="s">
        <v>57</v>
      </c>
      <c r="CE231" t="s">
        <v>57</v>
      </c>
      <c r="CF231" t="s">
        <v>57</v>
      </c>
      <c r="CG231" t="s">
        <v>57</v>
      </c>
      <c r="CH231" t="s">
        <v>57</v>
      </c>
      <c r="CI231" t="s">
        <v>57</v>
      </c>
      <c r="CJ231" t="s">
        <v>57</v>
      </c>
      <c r="CK231" t="s">
        <v>57</v>
      </c>
      <c r="CL231" t="s">
        <v>175</v>
      </c>
      <c r="CM231" t="s">
        <v>175</v>
      </c>
      <c r="CN231" t="s">
        <v>57</v>
      </c>
      <c r="CO231" t="s">
        <v>57</v>
      </c>
      <c r="CP231" t="s">
        <v>57</v>
      </c>
      <c r="CQ231" t="s">
        <v>57</v>
      </c>
      <c r="CR231" t="s">
        <v>57</v>
      </c>
      <c r="CS231" t="s">
        <v>57</v>
      </c>
      <c r="CT231" t="s">
        <v>57</v>
      </c>
      <c r="CU231" t="s">
        <v>57</v>
      </c>
      <c r="CV231" t="s">
        <v>57</v>
      </c>
      <c r="CW231" t="s">
        <v>57</v>
      </c>
      <c r="CX231" t="s">
        <v>57</v>
      </c>
      <c r="CY231" t="s">
        <v>57</v>
      </c>
      <c r="CZ231" t="s">
        <v>57</v>
      </c>
      <c r="DA231" t="s">
        <v>57</v>
      </c>
      <c r="DB231" t="s">
        <v>57</v>
      </c>
      <c r="DC231" t="s">
        <v>57</v>
      </c>
      <c r="DD231" t="s">
        <v>57</v>
      </c>
      <c r="DE231" t="s">
        <v>57</v>
      </c>
      <c r="DF231" t="s">
        <v>57</v>
      </c>
      <c r="DG231" t="s">
        <v>57</v>
      </c>
      <c r="DH231" t="s">
        <v>57</v>
      </c>
      <c r="DI231" t="s">
        <v>57</v>
      </c>
      <c r="DJ231" t="s">
        <v>57</v>
      </c>
      <c r="DK231" t="s">
        <v>175</v>
      </c>
      <c r="DL231" t="s">
        <v>57</v>
      </c>
      <c r="DM231" t="s">
        <v>175</v>
      </c>
      <c r="DN231" t="s">
        <v>175</v>
      </c>
      <c r="DO231" t="s">
        <v>175</v>
      </c>
      <c r="DP231" t="s">
        <v>175</v>
      </c>
      <c r="DQ231" t="s">
        <v>175</v>
      </c>
      <c r="DR231" t="s">
        <v>175</v>
      </c>
      <c r="DS231" t="s">
        <v>175</v>
      </c>
      <c r="DT231" t="s">
        <v>175</v>
      </c>
      <c r="DU231" t="s">
        <v>175</v>
      </c>
      <c r="DV231" t="s">
        <v>175</v>
      </c>
      <c r="DW231" t="s">
        <v>175</v>
      </c>
      <c r="DX231" t="s">
        <v>175</v>
      </c>
      <c r="DY231" t="s">
        <v>175</v>
      </c>
      <c r="DZ231" t="s">
        <v>57</v>
      </c>
      <c r="EA231" t="s">
        <v>57</v>
      </c>
      <c r="EB231" t="s">
        <v>57</v>
      </c>
      <c r="EC231" t="s">
        <v>57</v>
      </c>
      <c r="ED231" t="s">
        <v>57</v>
      </c>
      <c r="EE231" t="s">
        <v>57</v>
      </c>
      <c r="EF231" t="s">
        <v>57</v>
      </c>
      <c r="EG231" t="s">
        <v>57</v>
      </c>
      <c r="EH231" t="s">
        <v>57</v>
      </c>
      <c r="EI231" t="s">
        <v>57</v>
      </c>
      <c r="EJ231" t="s">
        <v>57</v>
      </c>
      <c r="EK231" t="s">
        <v>57</v>
      </c>
      <c r="EL231" t="s">
        <v>57</v>
      </c>
      <c r="EM231" t="s">
        <v>57</v>
      </c>
      <c r="EN231" t="s">
        <v>57</v>
      </c>
      <c r="EO231" t="s">
        <v>57</v>
      </c>
      <c r="EP231" t="s">
        <v>57</v>
      </c>
      <c r="EQ231" t="s">
        <v>57</v>
      </c>
      <c r="ER231" t="s">
        <v>57</v>
      </c>
      <c r="ES231" t="s">
        <v>57</v>
      </c>
      <c r="ET231" t="s">
        <v>57</v>
      </c>
      <c r="EU231" t="s">
        <v>57</v>
      </c>
      <c r="EV231" t="s">
        <v>57</v>
      </c>
      <c r="EW231" t="s">
        <v>57</v>
      </c>
      <c r="EX231" t="s">
        <v>175</v>
      </c>
      <c r="EY231" t="s">
        <v>175</v>
      </c>
      <c r="EZ231" t="s">
        <v>175</v>
      </c>
      <c r="FA231" t="s">
        <v>175</v>
      </c>
      <c r="FB231" t="s">
        <v>175</v>
      </c>
      <c r="FC231" t="s">
        <v>175</v>
      </c>
      <c r="FD231" t="s">
        <v>57</v>
      </c>
      <c r="FE231" t="s">
        <v>57</v>
      </c>
      <c r="FF231" t="s">
        <v>57</v>
      </c>
      <c r="FG231" t="s">
        <v>57</v>
      </c>
      <c r="FH231" t="s">
        <v>57</v>
      </c>
      <c r="FI231" t="s">
        <v>57</v>
      </c>
      <c r="FJ231" t="s">
        <v>57</v>
      </c>
      <c r="FK231" t="s">
        <v>175</v>
      </c>
      <c r="FL231" t="s">
        <v>57</v>
      </c>
      <c r="FM231" t="s">
        <v>57</v>
      </c>
      <c r="FN231" t="s">
        <v>57</v>
      </c>
      <c r="FO231" t="s">
        <v>57</v>
      </c>
      <c r="FP231" t="s">
        <v>57</v>
      </c>
      <c r="FQ231" t="s">
        <v>57</v>
      </c>
      <c r="FR231" t="s">
        <v>57</v>
      </c>
      <c r="FS231" t="s">
        <v>57</v>
      </c>
      <c r="FT231" t="s">
        <v>57</v>
      </c>
      <c r="FU231" t="s">
        <v>57</v>
      </c>
      <c r="FV231" t="s">
        <v>57</v>
      </c>
      <c r="FW231" t="s">
        <v>57</v>
      </c>
      <c r="FX231" t="s">
        <v>57</v>
      </c>
      <c r="FY231" t="s">
        <v>57</v>
      </c>
      <c r="FZ231" t="s">
        <v>57</v>
      </c>
      <c r="GA231" t="s">
        <v>57</v>
      </c>
      <c r="GB231" t="s">
        <v>57</v>
      </c>
      <c r="GC231" t="s">
        <v>57</v>
      </c>
      <c r="GD231" t="s">
        <v>57</v>
      </c>
      <c r="GE231" t="s">
        <v>175</v>
      </c>
      <c r="GF231" t="s">
        <v>57</v>
      </c>
      <c r="GG231" t="s">
        <v>175</v>
      </c>
      <c r="GH231" t="s">
        <v>57</v>
      </c>
      <c r="GI231" t="s">
        <v>57</v>
      </c>
      <c r="GJ231" t="s">
        <v>57</v>
      </c>
      <c r="GK231" t="s">
        <v>57</v>
      </c>
      <c r="GL231" t="s">
        <v>57</v>
      </c>
      <c r="GM231" t="s">
        <v>175</v>
      </c>
      <c r="GN231" t="s">
        <v>57</v>
      </c>
      <c r="GO231" t="s">
        <v>57</v>
      </c>
      <c r="GP231" t="s">
        <v>57</v>
      </c>
      <c r="GQ231" t="s">
        <v>57</v>
      </c>
      <c r="GR231" t="s">
        <v>57</v>
      </c>
      <c r="GS231" t="s">
        <v>57</v>
      </c>
      <c r="GT231" t="s">
        <v>57</v>
      </c>
      <c r="GU231" t="s">
        <v>57</v>
      </c>
      <c r="GV231" t="s">
        <v>175</v>
      </c>
      <c r="GW231" t="s">
        <v>57</v>
      </c>
      <c r="GX231" t="s">
        <v>175</v>
      </c>
      <c r="GY231" t="s">
        <v>57</v>
      </c>
      <c r="GZ231" t="s">
        <v>57</v>
      </c>
      <c r="HA231" t="s">
        <v>57</v>
      </c>
      <c r="HB231" t="s">
        <v>57</v>
      </c>
      <c r="HC231" t="s">
        <v>57</v>
      </c>
      <c r="HD231" t="s">
        <v>57</v>
      </c>
      <c r="HE231" t="s">
        <v>57</v>
      </c>
      <c r="HF231" t="s">
        <v>57</v>
      </c>
      <c r="HG231" t="s">
        <v>57</v>
      </c>
      <c r="HH231" t="s">
        <v>57</v>
      </c>
      <c r="HI231" t="s">
        <v>175</v>
      </c>
      <c r="HJ231" t="s">
        <v>175</v>
      </c>
      <c r="HK231" t="s">
        <v>175</v>
      </c>
      <c r="HL231" t="s">
        <v>57</v>
      </c>
      <c r="HM231" t="s">
        <v>57</v>
      </c>
      <c r="HN231" t="s">
        <v>57</v>
      </c>
      <c r="HO231" t="s">
        <v>57</v>
      </c>
      <c r="HP231" t="s">
        <v>57</v>
      </c>
      <c r="HQ231" t="s">
        <v>57</v>
      </c>
      <c r="HR231" t="s">
        <v>57</v>
      </c>
      <c r="HS231" t="s">
        <v>57</v>
      </c>
      <c r="HT231" t="s">
        <v>57</v>
      </c>
      <c r="HU231" t="s">
        <v>57</v>
      </c>
      <c r="HV231" t="s">
        <v>57</v>
      </c>
      <c r="HW231" t="s">
        <v>57</v>
      </c>
      <c r="HX231" t="s">
        <v>57</v>
      </c>
      <c r="HY231" t="s">
        <v>57</v>
      </c>
      <c r="HZ231" t="s">
        <v>57</v>
      </c>
      <c r="IA231" t="s">
        <v>57</v>
      </c>
      <c r="IB231" t="s">
        <v>57</v>
      </c>
      <c r="IC231" t="s">
        <v>57</v>
      </c>
      <c r="ID231" t="s">
        <v>57</v>
      </c>
      <c r="IE231" t="s">
        <v>57</v>
      </c>
      <c r="IF231" t="s">
        <v>124</v>
      </c>
      <c r="IG231" t="s">
        <v>148</v>
      </c>
      <c r="IH231" t="s">
        <v>123</v>
      </c>
      <c r="II231" t="s">
        <v>156</v>
      </c>
    </row>
    <row r="232" spans="1:243" x14ac:dyDescent="0.25">
      <c r="A232" s="201" t="str">
        <f>HYPERLINK("http://www.ofsted.gov.uk/inspection-reports/find-inspection-report/provider/ELS/140205 ","Ofsted School Webpage")</f>
        <v>Ofsted School Webpage</v>
      </c>
      <c r="B232">
        <v>140205</v>
      </c>
      <c r="C232">
        <v>3516002</v>
      </c>
      <c r="D232" t="s">
        <v>408</v>
      </c>
      <c r="E232" t="s">
        <v>37</v>
      </c>
      <c r="F232" t="s">
        <v>138</v>
      </c>
      <c r="G232" t="s">
        <v>162</v>
      </c>
      <c r="H232" t="s">
        <v>162</v>
      </c>
      <c r="I232" t="s">
        <v>409</v>
      </c>
      <c r="J232" t="s">
        <v>410</v>
      </c>
      <c r="K232" t="s">
        <v>142</v>
      </c>
      <c r="L232" t="s">
        <v>142</v>
      </c>
      <c r="M232" t="s">
        <v>2596</v>
      </c>
      <c r="N232" t="s">
        <v>143</v>
      </c>
      <c r="O232">
        <v>10034033</v>
      </c>
      <c r="P232" s="108">
        <v>43025</v>
      </c>
      <c r="Q232" s="108">
        <v>43027</v>
      </c>
      <c r="R232" s="108">
        <v>43052</v>
      </c>
      <c r="S232" t="s">
        <v>153</v>
      </c>
      <c r="T232" t="s">
        <v>154</v>
      </c>
      <c r="U232">
        <v>2</v>
      </c>
      <c r="V232">
        <v>2</v>
      </c>
      <c r="W232">
        <v>2</v>
      </c>
      <c r="X232">
        <v>2</v>
      </c>
      <c r="Y232">
        <v>2</v>
      </c>
      <c r="Z232" t="s">
        <v>2596</v>
      </c>
      <c r="AA232" t="s">
        <v>2596</v>
      </c>
      <c r="AB232" t="s">
        <v>123</v>
      </c>
      <c r="AC232" t="s">
        <v>2596</v>
      </c>
      <c r="AD232" t="s">
        <v>2598</v>
      </c>
      <c r="AE232" t="s">
        <v>57</v>
      </c>
      <c r="AF232" t="s">
        <v>57</v>
      </c>
      <c r="AG232" t="s">
        <v>57</v>
      </c>
      <c r="AH232" t="s">
        <v>57</v>
      </c>
      <c r="AI232" t="s">
        <v>57</v>
      </c>
      <c r="AJ232" t="s">
        <v>57</v>
      </c>
      <c r="AK232" t="s">
        <v>57</v>
      </c>
      <c r="AL232" t="s">
        <v>57</v>
      </c>
      <c r="AM232" t="s">
        <v>57</v>
      </c>
      <c r="AN232" t="s">
        <v>57</v>
      </c>
      <c r="AO232" t="s">
        <v>57</v>
      </c>
      <c r="AP232" t="s">
        <v>57</v>
      </c>
      <c r="AQ232" t="s">
        <v>57</v>
      </c>
      <c r="AR232" t="s">
        <v>57</v>
      </c>
      <c r="AS232" t="s">
        <v>57</v>
      </c>
      <c r="AT232" t="s">
        <v>57</v>
      </c>
      <c r="AU232" t="s">
        <v>175</v>
      </c>
      <c r="AV232" t="s">
        <v>57</v>
      </c>
      <c r="AW232" t="s">
        <v>57</v>
      </c>
      <c r="AX232" t="s">
        <v>57</v>
      </c>
      <c r="AY232" t="s">
        <v>57</v>
      </c>
      <c r="AZ232" t="s">
        <v>57</v>
      </c>
      <c r="BA232" t="s">
        <v>57</v>
      </c>
      <c r="BB232" t="s">
        <v>57</v>
      </c>
      <c r="BC232" t="s">
        <v>175</v>
      </c>
      <c r="BD232" t="s">
        <v>175</v>
      </c>
      <c r="BE232" t="s">
        <v>57</v>
      </c>
      <c r="BF232" t="s">
        <v>57</v>
      </c>
      <c r="BG232" t="s">
        <v>57</v>
      </c>
      <c r="BH232" t="s">
        <v>57</v>
      </c>
      <c r="BI232" t="s">
        <v>57</v>
      </c>
      <c r="BJ232" t="s">
        <v>57</v>
      </c>
      <c r="BK232" t="s">
        <v>57</v>
      </c>
      <c r="BL232" t="s">
        <v>57</v>
      </c>
      <c r="BM232" t="s">
        <v>57</v>
      </c>
      <c r="BN232" t="s">
        <v>57</v>
      </c>
      <c r="BO232" t="s">
        <v>57</v>
      </c>
      <c r="BP232" t="s">
        <v>57</v>
      </c>
      <c r="BQ232" t="s">
        <v>57</v>
      </c>
      <c r="BR232" t="s">
        <v>57</v>
      </c>
      <c r="BS232" t="s">
        <v>57</v>
      </c>
      <c r="BT232" t="s">
        <v>57</v>
      </c>
      <c r="BU232" t="s">
        <v>57</v>
      </c>
      <c r="BV232" t="s">
        <v>57</v>
      </c>
      <c r="BW232" t="s">
        <v>57</v>
      </c>
      <c r="BX232" t="s">
        <v>57</v>
      </c>
      <c r="BY232" t="s">
        <v>57</v>
      </c>
      <c r="BZ232" t="s">
        <v>57</v>
      </c>
      <c r="CA232" t="s">
        <v>57</v>
      </c>
      <c r="CB232" t="s">
        <v>57</v>
      </c>
      <c r="CC232" t="s">
        <v>57</v>
      </c>
      <c r="CD232" t="s">
        <v>57</v>
      </c>
      <c r="CE232" t="s">
        <v>57</v>
      </c>
      <c r="CF232" t="s">
        <v>57</v>
      </c>
      <c r="CG232" t="s">
        <v>57</v>
      </c>
      <c r="CH232" t="s">
        <v>57</v>
      </c>
      <c r="CI232" t="s">
        <v>57</v>
      </c>
      <c r="CJ232" t="s">
        <v>57</v>
      </c>
      <c r="CK232" t="s">
        <v>175</v>
      </c>
      <c r="CL232" t="s">
        <v>175</v>
      </c>
      <c r="CM232" t="s">
        <v>175</v>
      </c>
      <c r="CN232" t="s">
        <v>57</v>
      </c>
      <c r="CO232" t="s">
        <v>57</v>
      </c>
      <c r="CP232" t="s">
        <v>57</v>
      </c>
      <c r="CQ232" t="s">
        <v>57</v>
      </c>
      <c r="CR232" t="s">
        <v>57</v>
      </c>
      <c r="CS232" t="s">
        <v>57</v>
      </c>
      <c r="CT232" t="s">
        <v>57</v>
      </c>
      <c r="CU232" t="s">
        <v>57</v>
      </c>
      <c r="CV232" t="s">
        <v>57</v>
      </c>
      <c r="CW232" t="s">
        <v>57</v>
      </c>
      <c r="CX232" t="s">
        <v>57</v>
      </c>
      <c r="CY232" t="s">
        <v>57</v>
      </c>
      <c r="CZ232" t="s">
        <v>57</v>
      </c>
      <c r="DA232" t="s">
        <v>57</v>
      </c>
      <c r="DB232" t="s">
        <v>57</v>
      </c>
      <c r="DC232" t="s">
        <v>57</v>
      </c>
      <c r="DD232" t="s">
        <v>57</v>
      </c>
      <c r="DE232" t="s">
        <v>57</v>
      </c>
      <c r="DF232" t="s">
        <v>57</v>
      </c>
      <c r="DG232" t="s">
        <v>57</v>
      </c>
      <c r="DH232" t="s">
        <v>57</v>
      </c>
      <c r="DI232" t="s">
        <v>57</v>
      </c>
      <c r="DJ232" t="s">
        <v>57</v>
      </c>
      <c r="DK232" t="s">
        <v>175</v>
      </c>
      <c r="DL232" t="s">
        <v>57</v>
      </c>
      <c r="DM232" t="s">
        <v>57</v>
      </c>
      <c r="DN232" t="s">
        <v>57</v>
      </c>
      <c r="DO232" t="s">
        <v>57</v>
      </c>
      <c r="DP232" t="s">
        <v>57</v>
      </c>
      <c r="DQ232" t="s">
        <v>57</v>
      </c>
      <c r="DR232" t="s">
        <v>57</v>
      </c>
      <c r="DS232" t="s">
        <v>57</v>
      </c>
      <c r="DT232" t="s">
        <v>57</v>
      </c>
      <c r="DU232" t="s">
        <v>57</v>
      </c>
      <c r="DV232" t="s">
        <v>57</v>
      </c>
      <c r="DW232" t="s">
        <v>57</v>
      </c>
      <c r="DX232" t="s">
        <v>57</v>
      </c>
      <c r="DY232" t="s">
        <v>175</v>
      </c>
      <c r="DZ232" t="s">
        <v>57</v>
      </c>
      <c r="EA232" t="s">
        <v>57</v>
      </c>
      <c r="EB232" t="s">
        <v>57</v>
      </c>
      <c r="EC232" t="s">
        <v>57</v>
      </c>
      <c r="ED232" t="s">
        <v>57</v>
      </c>
      <c r="EE232" t="s">
        <v>57</v>
      </c>
      <c r="EF232" t="s">
        <v>57</v>
      </c>
      <c r="EG232" t="s">
        <v>57</v>
      </c>
      <c r="EH232" t="s">
        <v>175</v>
      </c>
      <c r="EI232" t="s">
        <v>175</v>
      </c>
      <c r="EJ232" t="s">
        <v>57</v>
      </c>
      <c r="EK232" t="s">
        <v>57</v>
      </c>
      <c r="EL232" t="s">
        <v>57</v>
      </c>
      <c r="EM232" t="s">
        <v>57</v>
      </c>
      <c r="EN232" t="s">
        <v>57</v>
      </c>
      <c r="EO232" t="s">
        <v>57</v>
      </c>
      <c r="EP232" t="s">
        <v>57</v>
      </c>
      <c r="EQ232" t="s">
        <v>57</v>
      </c>
      <c r="ER232" t="s">
        <v>57</v>
      </c>
      <c r="ES232" t="s">
        <v>57</v>
      </c>
      <c r="ET232" t="s">
        <v>57</v>
      </c>
      <c r="EU232" t="s">
        <v>57</v>
      </c>
      <c r="EV232" t="s">
        <v>57</v>
      </c>
      <c r="EW232" t="s">
        <v>57</v>
      </c>
      <c r="EX232" t="s">
        <v>57</v>
      </c>
      <c r="EY232" t="s">
        <v>57</v>
      </c>
      <c r="EZ232" t="s">
        <v>57</v>
      </c>
      <c r="FA232" t="s">
        <v>57</v>
      </c>
      <c r="FB232" t="s">
        <v>57</v>
      </c>
      <c r="FC232" t="s">
        <v>57</v>
      </c>
      <c r="FD232" t="s">
        <v>57</v>
      </c>
      <c r="FE232" t="s">
        <v>57</v>
      </c>
      <c r="FF232" t="s">
        <v>57</v>
      </c>
      <c r="FG232" t="s">
        <v>57</v>
      </c>
      <c r="FH232" t="s">
        <v>57</v>
      </c>
      <c r="FI232" t="s">
        <v>57</v>
      </c>
      <c r="FJ232" t="s">
        <v>57</v>
      </c>
      <c r="FK232" t="s">
        <v>57</v>
      </c>
      <c r="FL232" t="s">
        <v>57</v>
      </c>
      <c r="FM232" t="s">
        <v>57</v>
      </c>
      <c r="FN232" t="s">
        <v>57</v>
      </c>
      <c r="FO232" t="s">
        <v>57</v>
      </c>
      <c r="FP232" t="s">
        <v>57</v>
      </c>
      <c r="FQ232" t="s">
        <v>57</v>
      </c>
      <c r="FR232" t="s">
        <v>57</v>
      </c>
      <c r="FS232" t="s">
        <v>57</v>
      </c>
      <c r="FT232" t="s">
        <v>57</v>
      </c>
      <c r="FU232" t="s">
        <v>57</v>
      </c>
      <c r="FV232" t="s">
        <v>57</v>
      </c>
      <c r="FW232" t="s">
        <v>57</v>
      </c>
      <c r="FX232" t="s">
        <v>57</v>
      </c>
      <c r="FY232" t="s">
        <v>57</v>
      </c>
      <c r="FZ232" t="s">
        <v>57</v>
      </c>
      <c r="GA232" t="s">
        <v>57</v>
      </c>
      <c r="GB232" t="s">
        <v>57</v>
      </c>
      <c r="GC232" t="s">
        <v>57</v>
      </c>
      <c r="GD232" t="s">
        <v>57</v>
      </c>
      <c r="GE232" t="s">
        <v>57</v>
      </c>
      <c r="GF232" t="s">
        <v>57</v>
      </c>
      <c r="GG232" t="s">
        <v>175</v>
      </c>
      <c r="GH232" t="s">
        <v>57</v>
      </c>
      <c r="GI232" t="s">
        <v>57</v>
      </c>
      <c r="GJ232" t="s">
        <v>57</v>
      </c>
      <c r="GK232" t="s">
        <v>57</v>
      </c>
      <c r="GL232" t="s">
        <v>57</v>
      </c>
      <c r="GM232" t="s">
        <v>57</v>
      </c>
      <c r="GN232" t="s">
        <v>57</v>
      </c>
      <c r="GO232" t="s">
        <v>57</v>
      </c>
      <c r="GP232" t="s">
        <v>57</v>
      </c>
      <c r="GQ232" t="s">
        <v>57</v>
      </c>
      <c r="GR232" t="s">
        <v>57</v>
      </c>
      <c r="GS232" t="s">
        <v>57</v>
      </c>
      <c r="GT232" t="s">
        <v>57</v>
      </c>
      <c r="GU232" t="s">
        <v>57</v>
      </c>
      <c r="GV232" t="s">
        <v>57</v>
      </c>
      <c r="GW232" t="s">
        <v>57</v>
      </c>
      <c r="GX232" t="s">
        <v>57</v>
      </c>
      <c r="GY232" t="s">
        <v>57</v>
      </c>
      <c r="GZ232" t="s">
        <v>57</v>
      </c>
      <c r="HA232" t="s">
        <v>57</v>
      </c>
      <c r="HB232" t="s">
        <v>57</v>
      </c>
      <c r="HC232" t="s">
        <v>57</v>
      </c>
      <c r="HD232" t="s">
        <v>57</v>
      </c>
      <c r="HE232" t="s">
        <v>57</v>
      </c>
      <c r="HF232" t="s">
        <v>57</v>
      </c>
      <c r="HG232" t="s">
        <v>57</v>
      </c>
      <c r="HH232" t="s">
        <v>175</v>
      </c>
      <c r="HI232" t="s">
        <v>175</v>
      </c>
      <c r="HJ232" t="s">
        <v>175</v>
      </c>
      <c r="HK232" t="s">
        <v>175</v>
      </c>
      <c r="HL232" t="s">
        <v>57</v>
      </c>
      <c r="HM232" t="s">
        <v>57</v>
      </c>
      <c r="HN232" t="s">
        <v>57</v>
      </c>
      <c r="HO232" t="s">
        <v>57</v>
      </c>
      <c r="HP232" t="s">
        <v>57</v>
      </c>
      <c r="HQ232" t="s">
        <v>57</v>
      </c>
      <c r="HR232" t="s">
        <v>57</v>
      </c>
      <c r="HS232" t="s">
        <v>57</v>
      </c>
      <c r="HT232" t="s">
        <v>57</v>
      </c>
      <c r="HU232" t="s">
        <v>57</v>
      </c>
      <c r="HV232" t="s">
        <v>57</v>
      </c>
      <c r="HW232" t="s">
        <v>57</v>
      </c>
      <c r="HX232" t="s">
        <v>57</v>
      </c>
      <c r="HY232" t="s">
        <v>57</v>
      </c>
      <c r="HZ232" t="s">
        <v>57</v>
      </c>
      <c r="IA232" t="s">
        <v>57</v>
      </c>
      <c r="IB232" t="s">
        <v>57</v>
      </c>
      <c r="IC232" t="s">
        <v>57</v>
      </c>
      <c r="ID232" t="s">
        <v>57</v>
      </c>
      <c r="IE232" t="s">
        <v>57</v>
      </c>
      <c r="IF232" t="s">
        <v>124</v>
      </c>
      <c r="IG232" t="s">
        <v>148</v>
      </c>
      <c r="IH232" t="s">
        <v>123</v>
      </c>
      <c r="II232" t="s">
        <v>156</v>
      </c>
    </row>
    <row r="233" spans="1:243" x14ac:dyDescent="0.25">
      <c r="A233" s="201" t="str">
        <f>HYPERLINK("http://www.ofsted.gov.uk/inspection-reports/find-inspection-report/provider/ELS/140225 ","Ofsted School Webpage")</f>
        <v>Ofsted School Webpage</v>
      </c>
      <c r="B233">
        <v>140225</v>
      </c>
      <c r="C233">
        <v>2076007</v>
      </c>
      <c r="D233" t="s">
        <v>2169</v>
      </c>
      <c r="E233" t="s">
        <v>36</v>
      </c>
      <c r="F233" t="s">
        <v>166</v>
      </c>
      <c r="G233" t="s">
        <v>189</v>
      </c>
      <c r="H233" t="s">
        <v>189</v>
      </c>
      <c r="I233" t="s">
        <v>251</v>
      </c>
      <c r="J233" t="s">
        <v>2882</v>
      </c>
      <c r="K233" t="s">
        <v>142</v>
      </c>
      <c r="L233" t="s">
        <v>142</v>
      </c>
      <c r="M233" t="s">
        <v>2596</v>
      </c>
      <c r="N233" t="s">
        <v>143</v>
      </c>
      <c r="O233">
        <v>10035812</v>
      </c>
      <c r="P233" s="108">
        <v>43151</v>
      </c>
      <c r="Q233" s="108">
        <v>43153</v>
      </c>
      <c r="R233" s="108">
        <v>43175</v>
      </c>
      <c r="S233" t="s">
        <v>153</v>
      </c>
      <c r="T233" t="s">
        <v>154</v>
      </c>
      <c r="U233">
        <v>2</v>
      </c>
      <c r="V233">
        <v>2</v>
      </c>
      <c r="W233">
        <v>2</v>
      </c>
      <c r="X233">
        <v>2</v>
      </c>
      <c r="Y233">
        <v>2</v>
      </c>
      <c r="Z233" t="s">
        <v>2596</v>
      </c>
      <c r="AA233" t="s">
        <v>2596</v>
      </c>
      <c r="AB233" t="s">
        <v>123</v>
      </c>
      <c r="AC233" t="s">
        <v>2596</v>
      </c>
      <c r="AD233" t="s">
        <v>2598</v>
      </c>
      <c r="AE233" t="s">
        <v>57</v>
      </c>
      <c r="AF233" t="s">
        <v>57</v>
      </c>
      <c r="AG233" t="s">
        <v>57</v>
      </c>
      <c r="AH233" t="s">
        <v>57</v>
      </c>
      <c r="AI233" t="s">
        <v>57</v>
      </c>
      <c r="AJ233" t="s">
        <v>57</v>
      </c>
      <c r="AK233" t="s">
        <v>57</v>
      </c>
      <c r="AL233" t="s">
        <v>57</v>
      </c>
      <c r="AM233" t="s">
        <v>57</v>
      </c>
      <c r="AN233" t="s">
        <v>57</v>
      </c>
      <c r="AO233" t="s">
        <v>57</v>
      </c>
      <c r="AP233" t="s">
        <v>57</v>
      </c>
      <c r="AQ233" t="s">
        <v>57</v>
      </c>
      <c r="AR233" t="s">
        <v>57</v>
      </c>
      <c r="AS233" t="s">
        <v>57</v>
      </c>
      <c r="AT233" t="s">
        <v>57</v>
      </c>
      <c r="AU233" t="s">
        <v>175</v>
      </c>
      <c r="AV233" t="s">
        <v>57</v>
      </c>
      <c r="AW233" t="s">
        <v>57</v>
      </c>
      <c r="AX233" t="s">
        <v>57</v>
      </c>
      <c r="AY233" t="s">
        <v>57</v>
      </c>
      <c r="AZ233" t="s">
        <v>57</v>
      </c>
      <c r="BA233" t="s">
        <v>57</v>
      </c>
      <c r="BB233" t="s">
        <v>57</v>
      </c>
      <c r="BC233" t="s">
        <v>175</v>
      </c>
      <c r="BD233" t="s">
        <v>57</v>
      </c>
      <c r="BE233" t="s">
        <v>57</v>
      </c>
      <c r="BF233" t="s">
        <v>57</v>
      </c>
      <c r="BG233" t="s">
        <v>57</v>
      </c>
      <c r="BH233" t="s">
        <v>57</v>
      </c>
      <c r="BI233" t="s">
        <v>57</v>
      </c>
      <c r="BJ233" t="s">
        <v>57</v>
      </c>
      <c r="BK233" t="s">
        <v>57</v>
      </c>
      <c r="BL233" t="s">
        <v>57</v>
      </c>
      <c r="BM233" t="s">
        <v>57</v>
      </c>
      <c r="BN233" t="s">
        <v>57</v>
      </c>
      <c r="BO233" t="s">
        <v>57</v>
      </c>
      <c r="BP233" t="s">
        <v>57</v>
      </c>
      <c r="BQ233" t="s">
        <v>57</v>
      </c>
      <c r="BR233" t="s">
        <v>57</v>
      </c>
      <c r="BS233" t="s">
        <v>57</v>
      </c>
      <c r="BT233" t="s">
        <v>57</v>
      </c>
      <c r="BU233" t="s">
        <v>57</v>
      </c>
      <c r="BV233" t="s">
        <v>57</v>
      </c>
      <c r="BW233" t="s">
        <v>57</v>
      </c>
      <c r="BX233" t="s">
        <v>57</v>
      </c>
      <c r="BY233" t="s">
        <v>57</v>
      </c>
      <c r="BZ233" t="s">
        <v>57</v>
      </c>
      <c r="CA233" t="s">
        <v>57</v>
      </c>
      <c r="CB233" t="s">
        <v>57</v>
      </c>
      <c r="CC233" t="s">
        <v>57</v>
      </c>
      <c r="CD233" t="s">
        <v>57</v>
      </c>
      <c r="CE233" t="s">
        <v>57</v>
      </c>
      <c r="CF233" t="s">
        <v>57</v>
      </c>
      <c r="CG233" t="s">
        <v>57</v>
      </c>
      <c r="CH233" t="s">
        <v>57</v>
      </c>
      <c r="CI233" t="s">
        <v>57</v>
      </c>
      <c r="CJ233" t="s">
        <v>57</v>
      </c>
      <c r="CK233" t="s">
        <v>175</v>
      </c>
      <c r="CL233" t="s">
        <v>175</v>
      </c>
      <c r="CM233" t="s">
        <v>175</v>
      </c>
      <c r="CN233" t="s">
        <v>57</v>
      </c>
      <c r="CO233" t="s">
        <v>57</v>
      </c>
      <c r="CP233" t="s">
        <v>57</v>
      </c>
      <c r="CQ233" t="s">
        <v>57</v>
      </c>
      <c r="CR233" t="s">
        <v>57</v>
      </c>
      <c r="CS233" t="s">
        <v>57</v>
      </c>
      <c r="CT233" t="s">
        <v>57</v>
      </c>
      <c r="CU233" t="s">
        <v>57</v>
      </c>
      <c r="CV233" t="s">
        <v>57</v>
      </c>
      <c r="CW233" t="s">
        <v>57</v>
      </c>
      <c r="CX233" t="s">
        <v>57</v>
      </c>
      <c r="CY233" t="s">
        <v>57</v>
      </c>
      <c r="CZ233" t="s">
        <v>57</v>
      </c>
      <c r="DA233" t="s">
        <v>57</v>
      </c>
      <c r="DB233" t="s">
        <v>57</v>
      </c>
      <c r="DC233" t="s">
        <v>57</v>
      </c>
      <c r="DD233" t="s">
        <v>57</v>
      </c>
      <c r="DE233" t="s">
        <v>57</v>
      </c>
      <c r="DF233" t="s">
        <v>57</v>
      </c>
      <c r="DG233" t="s">
        <v>57</v>
      </c>
      <c r="DH233" t="s">
        <v>57</v>
      </c>
      <c r="DI233" t="s">
        <v>57</v>
      </c>
      <c r="DJ233" t="s">
        <v>175</v>
      </c>
      <c r="DK233" t="s">
        <v>175</v>
      </c>
      <c r="DL233" t="s">
        <v>57</v>
      </c>
      <c r="DM233" t="s">
        <v>57</v>
      </c>
      <c r="DN233" t="s">
        <v>57</v>
      </c>
      <c r="DO233" t="s">
        <v>57</v>
      </c>
      <c r="DP233" t="s">
        <v>57</v>
      </c>
      <c r="DQ233" t="s">
        <v>57</v>
      </c>
      <c r="DR233" t="s">
        <v>57</v>
      </c>
      <c r="DS233" t="s">
        <v>57</v>
      </c>
      <c r="DT233" t="s">
        <v>57</v>
      </c>
      <c r="DU233" t="s">
        <v>57</v>
      </c>
      <c r="DV233" t="s">
        <v>57</v>
      </c>
      <c r="DW233" t="s">
        <v>57</v>
      </c>
      <c r="DX233" t="s">
        <v>57</v>
      </c>
      <c r="DY233" t="s">
        <v>175</v>
      </c>
      <c r="DZ233" t="s">
        <v>57</v>
      </c>
      <c r="EA233" t="s">
        <v>57</v>
      </c>
      <c r="EB233" t="s">
        <v>57</v>
      </c>
      <c r="EC233" t="s">
        <v>57</v>
      </c>
      <c r="ED233" t="s">
        <v>57</v>
      </c>
      <c r="EE233" t="s">
        <v>57</v>
      </c>
      <c r="EF233" t="s">
        <v>57</v>
      </c>
      <c r="EG233" t="s">
        <v>57</v>
      </c>
      <c r="EH233" t="s">
        <v>175</v>
      </c>
      <c r="EI233" t="s">
        <v>57</v>
      </c>
      <c r="EJ233" t="s">
        <v>57</v>
      </c>
      <c r="EK233" t="s">
        <v>57</v>
      </c>
      <c r="EL233" t="s">
        <v>57</v>
      </c>
      <c r="EM233" t="s">
        <v>57</v>
      </c>
      <c r="EN233" t="s">
        <v>57</v>
      </c>
      <c r="EO233" t="s">
        <v>57</v>
      </c>
      <c r="EP233" t="s">
        <v>57</v>
      </c>
      <c r="EQ233" t="s">
        <v>57</v>
      </c>
      <c r="ER233" t="s">
        <v>57</v>
      </c>
      <c r="ES233" t="s">
        <v>57</v>
      </c>
      <c r="ET233" t="s">
        <v>57</v>
      </c>
      <c r="EU233" t="s">
        <v>57</v>
      </c>
      <c r="EV233" t="s">
        <v>57</v>
      </c>
      <c r="EW233" t="s">
        <v>175</v>
      </c>
      <c r="EX233" t="s">
        <v>57</v>
      </c>
      <c r="EY233" t="s">
        <v>57</v>
      </c>
      <c r="EZ233" t="s">
        <v>57</v>
      </c>
      <c r="FA233" t="s">
        <v>57</v>
      </c>
      <c r="FB233" t="s">
        <v>57</v>
      </c>
      <c r="FC233" t="s">
        <v>57</v>
      </c>
      <c r="FD233" t="s">
        <v>175</v>
      </c>
      <c r="FE233" t="s">
        <v>175</v>
      </c>
      <c r="FF233" t="s">
        <v>148</v>
      </c>
      <c r="FG233" t="s">
        <v>175</v>
      </c>
      <c r="FH233" t="s">
        <v>57</v>
      </c>
      <c r="FI233" t="s">
        <v>57</v>
      </c>
      <c r="FJ233" t="s">
        <v>57</v>
      </c>
      <c r="FK233" t="s">
        <v>57</v>
      </c>
      <c r="FL233" t="s">
        <v>57</v>
      </c>
      <c r="FM233" t="s">
        <v>57</v>
      </c>
      <c r="FN233" t="s">
        <v>57</v>
      </c>
      <c r="FO233" t="s">
        <v>175</v>
      </c>
      <c r="FP233" t="s">
        <v>175</v>
      </c>
      <c r="FQ233" t="s">
        <v>57</v>
      </c>
      <c r="FR233" t="s">
        <v>57</v>
      </c>
      <c r="FS233" t="s">
        <v>57</v>
      </c>
      <c r="FT233" t="s">
        <v>57</v>
      </c>
      <c r="FU233" t="s">
        <v>57</v>
      </c>
      <c r="FV233" t="s">
        <v>57</v>
      </c>
      <c r="FW233" t="s">
        <v>57</v>
      </c>
      <c r="FX233" t="s">
        <v>57</v>
      </c>
      <c r="FY233" t="s">
        <v>57</v>
      </c>
      <c r="FZ233" t="s">
        <v>57</v>
      </c>
      <c r="GA233" t="s">
        <v>57</v>
      </c>
      <c r="GB233" t="s">
        <v>57</v>
      </c>
      <c r="GC233" t="s">
        <v>57</v>
      </c>
      <c r="GD233" t="s">
        <v>57</v>
      </c>
      <c r="GE233" t="s">
        <v>57</v>
      </c>
      <c r="GF233" t="s">
        <v>57</v>
      </c>
      <c r="GG233" t="s">
        <v>175</v>
      </c>
      <c r="GH233" t="s">
        <v>57</v>
      </c>
      <c r="GI233" t="s">
        <v>57</v>
      </c>
      <c r="GJ233" t="s">
        <v>57</v>
      </c>
      <c r="GK233" t="s">
        <v>57</v>
      </c>
      <c r="GL233" t="s">
        <v>57</v>
      </c>
      <c r="GM233" t="s">
        <v>175</v>
      </c>
      <c r="GN233" t="s">
        <v>57</v>
      </c>
      <c r="GO233" t="s">
        <v>57</v>
      </c>
      <c r="GP233" t="s">
        <v>175</v>
      </c>
      <c r="GQ233" t="s">
        <v>57</v>
      </c>
      <c r="GR233" t="s">
        <v>57</v>
      </c>
      <c r="GS233" t="s">
        <v>57</v>
      </c>
      <c r="GT233" t="s">
        <v>57</v>
      </c>
      <c r="GU233" t="s">
        <v>57</v>
      </c>
      <c r="GV233" t="s">
        <v>57</v>
      </c>
      <c r="GW233" t="s">
        <v>175</v>
      </c>
      <c r="GX233" t="s">
        <v>57</v>
      </c>
      <c r="GY233" t="s">
        <v>57</v>
      </c>
      <c r="GZ233" t="s">
        <v>57</v>
      </c>
      <c r="HA233" t="s">
        <v>57</v>
      </c>
      <c r="HB233" t="s">
        <v>57</v>
      </c>
      <c r="HC233" t="s">
        <v>57</v>
      </c>
      <c r="HD233" t="s">
        <v>57</v>
      </c>
      <c r="HE233" t="s">
        <v>57</v>
      </c>
      <c r="HF233" t="s">
        <v>57</v>
      </c>
      <c r="HG233" t="s">
        <v>57</v>
      </c>
      <c r="HH233" t="s">
        <v>175</v>
      </c>
      <c r="HI233" t="s">
        <v>175</v>
      </c>
      <c r="HJ233" t="s">
        <v>175</v>
      </c>
      <c r="HK233" t="s">
        <v>175</v>
      </c>
      <c r="HL233" t="s">
        <v>57</v>
      </c>
      <c r="HM233" t="s">
        <v>57</v>
      </c>
      <c r="HN233" t="s">
        <v>57</v>
      </c>
      <c r="HO233" t="s">
        <v>57</v>
      </c>
      <c r="HP233" t="s">
        <v>57</v>
      </c>
      <c r="HQ233" t="s">
        <v>57</v>
      </c>
      <c r="HR233" t="s">
        <v>57</v>
      </c>
      <c r="HS233" t="s">
        <v>57</v>
      </c>
      <c r="HT233" t="s">
        <v>57</v>
      </c>
      <c r="HU233" t="s">
        <v>57</v>
      </c>
      <c r="HV233" t="s">
        <v>57</v>
      </c>
      <c r="HW233" t="s">
        <v>57</v>
      </c>
      <c r="HX233" t="s">
        <v>57</v>
      </c>
      <c r="HY233" t="s">
        <v>57</v>
      </c>
      <c r="HZ233" t="s">
        <v>57</v>
      </c>
      <c r="IA233" t="s">
        <v>57</v>
      </c>
      <c r="IB233" t="s">
        <v>57</v>
      </c>
      <c r="IC233" t="s">
        <v>57</v>
      </c>
      <c r="ID233" t="s">
        <v>57</v>
      </c>
      <c r="IE233" t="s">
        <v>57</v>
      </c>
      <c r="IF233" t="s">
        <v>124</v>
      </c>
      <c r="IG233" t="s">
        <v>148</v>
      </c>
      <c r="IH233" t="s">
        <v>123</v>
      </c>
      <c r="II233" t="s">
        <v>156</v>
      </c>
    </row>
    <row r="234" spans="1:243" x14ac:dyDescent="0.25">
      <c r="A234" s="201" t="str">
        <f>HYPERLINK("http://www.ofsted.gov.uk/inspection-reports/find-inspection-report/provider/ELS/140272 ","Ofsted School Webpage")</f>
        <v>Ofsted School Webpage</v>
      </c>
      <c r="B234">
        <v>140272</v>
      </c>
      <c r="C234">
        <v>8086004</v>
      </c>
      <c r="D234" t="s">
        <v>233</v>
      </c>
      <c r="E234" t="s">
        <v>37</v>
      </c>
      <c r="F234" t="s">
        <v>138</v>
      </c>
      <c r="G234" t="s">
        <v>202</v>
      </c>
      <c r="H234" t="s">
        <v>234</v>
      </c>
      <c r="I234" t="s">
        <v>235</v>
      </c>
      <c r="J234" t="s">
        <v>236</v>
      </c>
      <c r="K234" t="s">
        <v>142</v>
      </c>
      <c r="L234" t="s">
        <v>142</v>
      </c>
      <c r="M234" t="s">
        <v>2596</v>
      </c>
      <c r="N234" t="s">
        <v>143</v>
      </c>
      <c r="O234">
        <v>10040144</v>
      </c>
      <c r="P234" s="108">
        <v>42997</v>
      </c>
      <c r="Q234" s="108">
        <v>42999</v>
      </c>
      <c r="R234" s="108">
        <v>43025</v>
      </c>
      <c r="S234" t="s">
        <v>153</v>
      </c>
      <c r="T234" t="s">
        <v>154</v>
      </c>
      <c r="U234">
        <v>3</v>
      </c>
      <c r="V234">
        <v>3</v>
      </c>
      <c r="W234">
        <v>2</v>
      </c>
      <c r="X234">
        <v>3</v>
      </c>
      <c r="Y234">
        <v>3</v>
      </c>
      <c r="Z234" t="s">
        <v>2596</v>
      </c>
      <c r="AA234" t="s">
        <v>2596</v>
      </c>
      <c r="AB234" t="s">
        <v>123</v>
      </c>
      <c r="AC234" t="s">
        <v>2596</v>
      </c>
      <c r="AD234" t="s">
        <v>2599</v>
      </c>
      <c r="AE234" t="s">
        <v>57</v>
      </c>
      <c r="AF234" t="s">
        <v>57</v>
      </c>
      <c r="AG234" t="s">
        <v>57</v>
      </c>
      <c r="AH234" t="s">
        <v>57</v>
      </c>
      <c r="AI234" t="s">
        <v>57</v>
      </c>
      <c r="AJ234" t="s">
        <v>57</v>
      </c>
      <c r="AK234" t="s">
        <v>57</v>
      </c>
      <c r="AL234" t="s">
        <v>58</v>
      </c>
      <c r="AM234" t="s">
        <v>57</v>
      </c>
      <c r="AN234" t="s">
        <v>57</v>
      </c>
      <c r="AO234" t="s">
        <v>57</v>
      </c>
      <c r="AP234" t="s">
        <v>57</v>
      </c>
      <c r="AQ234" t="s">
        <v>57</v>
      </c>
      <c r="AR234" t="s">
        <v>57</v>
      </c>
      <c r="AS234" t="s">
        <v>57</v>
      </c>
      <c r="AT234" t="s">
        <v>57</v>
      </c>
      <c r="AU234" t="s">
        <v>175</v>
      </c>
      <c r="AV234" t="s">
        <v>57</v>
      </c>
      <c r="AW234" t="s">
        <v>57</v>
      </c>
      <c r="AX234" t="s">
        <v>57</v>
      </c>
      <c r="AY234" t="s">
        <v>57</v>
      </c>
      <c r="AZ234" t="s">
        <v>57</v>
      </c>
      <c r="BA234" t="s">
        <v>57</v>
      </c>
      <c r="BB234" t="s">
        <v>57</v>
      </c>
      <c r="BC234" t="s">
        <v>175</v>
      </c>
      <c r="BD234" t="s">
        <v>175</v>
      </c>
      <c r="BE234" t="s">
        <v>57</v>
      </c>
      <c r="BF234" t="s">
        <v>57</v>
      </c>
      <c r="BG234" t="s">
        <v>58</v>
      </c>
      <c r="BH234" t="s">
        <v>58</v>
      </c>
      <c r="BI234" t="s">
        <v>57</v>
      </c>
      <c r="BJ234" t="s">
        <v>58</v>
      </c>
      <c r="BK234" t="s">
        <v>58</v>
      </c>
      <c r="BL234" t="s">
        <v>57</v>
      </c>
      <c r="BM234" t="s">
        <v>57</v>
      </c>
      <c r="BN234" t="s">
        <v>58</v>
      </c>
      <c r="BO234" t="s">
        <v>57</v>
      </c>
      <c r="BP234" t="s">
        <v>57</v>
      </c>
      <c r="BQ234" t="s">
        <v>57</v>
      </c>
      <c r="BR234" t="s">
        <v>57</v>
      </c>
      <c r="BS234" t="s">
        <v>57</v>
      </c>
      <c r="BT234" t="s">
        <v>57</v>
      </c>
      <c r="BU234" t="s">
        <v>57</v>
      </c>
      <c r="BV234" t="s">
        <v>57</v>
      </c>
      <c r="BW234" t="s">
        <v>57</v>
      </c>
      <c r="BX234" t="s">
        <v>57</v>
      </c>
      <c r="BY234" t="s">
        <v>57</v>
      </c>
      <c r="BZ234" t="s">
        <v>57</v>
      </c>
      <c r="CA234" t="s">
        <v>57</v>
      </c>
      <c r="CB234" t="s">
        <v>57</v>
      </c>
      <c r="CC234" t="s">
        <v>57</v>
      </c>
      <c r="CD234" t="s">
        <v>57</v>
      </c>
      <c r="CE234" t="s">
        <v>57</v>
      </c>
      <c r="CF234" t="s">
        <v>57</v>
      </c>
      <c r="CG234" t="s">
        <v>57</v>
      </c>
      <c r="CH234" t="s">
        <v>57</v>
      </c>
      <c r="CI234" t="s">
        <v>57</v>
      </c>
      <c r="CJ234" t="s">
        <v>57</v>
      </c>
      <c r="CK234" t="s">
        <v>175</v>
      </c>
      <c r="CL234" t="s">
        <v>175</v>
      </c>
      <c r="CM234" t="s">
        <v>175</v>
      </c>
      <c r="CN234" t="s">
        <v>57</v>
      </c>
      <c r="CO234" t="s">
        <v>57</v>
      </c>
      <c r="CP234" t="s">
        <v>57</v>
      </c>
      <c r="CQ234" t="s">
        <v>57</v>
      </c>
      <c r="CR234" t="s">
        <v>57</v>
      </c>
      <c r="CS234" t="s">
        <v>57</v>
      </c>
      <c r="CT234" t="s">
        <v>57</v>
      </c>
      <c r="CU234" t="s">
        <v>57</v>
      </c>
      <c r="CV234" t="s">
        <v>57</v>
      </c>
      <c r="CW234" t="s">
        <v>57</v>
      </c>
      <c r="CX234" t="s">
        <v>57</v>
      </c>
      <c r="CY234" t="s">
        <v>57</v>
      </c>
      <c r="CZ234" t="s">
        <v>57</v>
      </c>
      <c r="DA234" t="s">
        <v>57</v>
      </c>
      <c r="DB234" t="s">
        <v>57</v>
      </c>
      <c r="DC234" t="s">
        <v>57</v>
      </c>
      <c r="DD234" t="s">
        <v>57</v>
      </c>
      <c r="DE234" t="s">
        <v>57</v>
      </c>
      <c r="DF234" t="s">
        <v>57</v>
      </c>
      <c r="DG234" t="s">
        <v>57</v>
      </c>
      <c r="DH234" t="s">
        <v>57</v>
      </c>
      <c r="DI234" t="s">
        <v>57</v>
      </c>
      <c r="DJ234" t="s">
        <v>57</v>
      </c>
      <c r="DK234" t="s">
        <v>175</v>
      </c>
      <c r="DL234" t="s">
        <v>57</v>
      </c>
      <c r="DM234" t="s">
        <v>57</v>
      </c>
      <c r="DN234" t="s">
        <v>57</v>
      </c>
      <c r="DO234" t="s">
        <v>57</v>
      </c>
      <c r="DP234" t="s">
        <v>57</v>
      </c>
      <c r="DQ234" t="s">
        <v>57</v>
      </c>
      <c r="DR234" t="s">
        <v>57</v>
      </c>
      <c r="DS234" t="s">
        <v>57</v>
      </c>
      <c r="DT234" t="s">
        <v>57</v>
      </c>
      <c r="DU234" t="s">
        <v>57</v>
      </c>
      <c r="DV234" t="s">
        <v>57</v>
      </c>
      <c r="DW234" t="s">
        <v>57</v>
      </c>
      <c r="DX234" t="s">
        <v>57</v>
      </c>
      <c r="DY234" t="s">
        <v>175</v>
      </c>
      <c r="DZ234" t="s">
        <v>57</v>
      </c>
      <c r="EA234" t="s">
        <v>57</v>
      </c>
      <c r="EB234" t="s">
        <v>57</v>
      </c>
      <c r="EC234" t="s">
        <v>57</v>
      </c>
      <c r="ED234" t="s">
        <v>57</v>
      </c>
      <c r="EE234" t="s">
        <v>57</v>
      </c>
      <c r="EF234" t="s">
        <v>57</v>
      </c>
      <c r="EG234" t="s">
        <v>57</v>
      </c>
      <c r="EH234" t="s">
        <v>57</v>
      </c>
      <c r="EI234" t="s">
        <v>57</v>
      </c>
      <c r="EJ234" t="s">
        <v>57</v>
      </c>
      <c r="EK234" t="s">
        <v>57</v>
      </c>
      <c r="EL234" t="s">
        <v>57</v>
      </c>
      <c r="EM234" t="s">
        <v>57</v>
      </c>
      <c r="EN234" t="s">
        <v>57</v>
      </c>
      <c r="EO234" t="s">
        <v>57</v>
      </c>
      <c r="EP234" t="s">
        <v>57</v>
      </c>
      <c r="EQ234" t="s">
        <v>57</v>
      </c>
      <c r="ER234" t="s">
        <v>57</v>
      </c>
      <c r="ES234" t="s">
        <v>57</v>
      </c>
      <c r="ET234" t="s">
        <v>57</v>
      </c>
      <c r="EU234" t="s">
        <v>57</v>
      </c>
      <c r="EV234" t="s">
        <v>57</v>
      </c>
      <c r="EW234" t="s">
        <v>57</v>
      </c>
      <c r="EX234" t="s">
        <v>57</v>
      </c>
      <c r="EY234" t="s">
        <v>57</v>
      </c>
      <c r="EZ234" t="s">
        <v>57</v>
      </c>
      <c r="FA234" t="s">
        <v>57</v>
      </c>
      <c r="FB234" t="s">
        <v>57</v>
      </c>
      <c r="FC234" t="s">
        <v>57</v>
      </c>
      <c r="FD234" t="s">
        <v>57</v>
      </c>
      <c r="FE234" t="s">
        <v>57</v>
      </c>
      <c r="FF234" t="s">
        <v>57</v>
      </c>
      <c r="FG234" t="s">
        <v>57</v>
      </c>
      <c r="FH234" t="s">
        <v>57</v>
      </c>
      <c r="FI234" t="s">
        <v>57</v>
      </c>
      <c r="FJ234" t="s">
        <v>57</v>
      </c>
      <c r="FK234" t="s">
        <v>57</v>
      </c>
      <c r="FL234" t="s">
        <v>57</v>
      </c>
      <c r="FM234" t="s">
        <v>57</v>
      </c>
      <c r="FN234" t="s">
        <v>57</v>
      </c>
      <c r="FO234" t="s">
        <v>175</v>
      </c>
      <c r="FP234" t="s">
        <v>57</v>
      </c>
      <c r="FQ234" t="s">
        <v>57</v>
      </c>
      <c r="FR234" t="s">
        <v>57</v>
      </c>
      <c r="FS234" t="s">
        <v>57</v>
      </c>
      <c r="FT234" t="s">
        <v>57</v>
      </c>
      <c r="FU234" t="s">
        <v>57</v>
      </c>
      <c r="FV234" t="s">
        <v>57</v>
      </c>
      <c r="FW234" t="s">
        <v>57</v>
      </c>
      <c r="FX234" t="s">
        <v>57</v>
      </c>
      <c r="FY234" t="s">
        <v>57</v>
      </c>
      <c r="FZ234" t="s">
        <v>57</v>
      </c>
      <c r="GA234" t="s">
        <v>57</v>
      </c>
      <c r="GB234" t="s">
        <v>57</v>
      </c>
      <c r="GC234" t="s">
        <v>57</v>
      </c>
      <c r="GD234" t="s">
        <v>57</v>
      </c>
      <c r="GE234" t="s">
        <v>57</v>
      </c>
      <c r="GF234" t="s">
        <v>57</v>
      </c>
      <c r="GG234" t="s">
        <v>175</v>
      </c>
      <c r="GH234" t="s">
        <v>57</v>
      </c>
      <c r="GI234" t="s">
        <v>57</v>
      </c>
      <c r="GJ234" t="s">
        <v>57</v>
      </c>
      <c r="GK234" t="s">
        <v>57</v>
      </c>
      <c r="GL234" t="s">
        <v>57</v>
      </c>
      <c r="GM234" t="s">
        <v>175</v>
      </c>
      <c r="GN234" t="s">
        <v>57</v>
      </c>
      <c r="GO234" t="s">
        <v>57</v>
      </c>
      <c r="GP234" t="s">
        <v>57</v>
      </c>
      <c r="GQ234" t="s">
        <v>57</v>
      </c>
      <c r="GR234" t="s">
        <v>57</v>
      </c>
      <c r="GS234" t="s">
        <v>57</v>
      </c>
      <c r="GT234" t="s">
        <v>57</v>
      </c>
      <c r="GU234" t="s">
        <v>57</v>
      </c>
      <c r="GV234" t="s">
        <v>57</v>
      </c>
      <c r="GW234" t="s">
        <v>175</v>
      </c>
      <c r="GX234" t="s">
        <v>175</v>
      </c>
      <c r="GY234" t="s">
        <v>57</v>
      </c>
      <c r="GZ234" t="s">
        <v>57</v>
      </c>
      <c r="HA234" t="s">
        <v>57</v>
      </c>
      <c r="HB234" t="s">
        <v>57</v>
      </c>
      <c r="HC234" t="s">
        <v>57</v>
      </c>
      <c r="HD234" t="s">
        <v>57</v>
      </c>
      <c r="HE234" t="s">
        <v>57</v>
      </c>
      <c r="HF234" t="s">
        <v>57</v>
      </c>
      <c r="HG234" t="s">
        <v>57</v>
      </c>
      <c r="HH234" t="s">
        <v>175</v>
      </c>
      <c r="HI234" t="s">
        <v>175</v>
      </c>
      <c r="HJ234" t="s">
        <v>175</v>
      </c>
      <c r="HK234" t="s">
        <v>175</v>
      </c>
      <c r="HL234" t="s">
        <v>57</v>
      </c>
      <c r="HM234" t="s">
        <v>57</v>
      </c>
      <c r="HN234" t="s">
        <v>57</v>
      </c>
      <c r="HO234" t="s">
        <v>57</v>
      </c>
      <c r="HP234" t="s">
        <v>57</v>
      </c>
      <c r="HQ234" t="s">
        <v>57</v>
      </c>
      <c r="HR234" t="s">
        <v>57</v>
      </c>
      <c r="HS234" t="s">
        <v>57</v>
      </c>
      <c r="HT234" t="s">
        <v>57</v>
      </c>
      <c r="HU234" t="s">
        <v>57</v>
      </c>
      <c r="HV234" t="s">
        <v>57</v>
      </c>
      <c r="HW234" t="s">
        <v>57</v>
      </c>
      <c r="HX234" t="s">
        <v>57</v>
      </c>
      <c r="HY234" t="s">
        <v>57</v>
      </c>
      <c r="HZ234" t="s">
        <v>57</v>
      </c>
      <c r="IA234" t="s">
        <v>57</v>
      </c>
      <c r="IB234" t="s">
        <v>58</v>
      </c>
      <c r="IC234" t="s">
        <v>58</v>
      </c>
      <c r="ID234" t="s">
        <v>58</v>
      </c>
      <c r="IE234" t="s">
        <v>57</v>
      </c>
      <c r="IF234" t="s">
        <v>124</v>
      </c>
      <c r="IG234" t="s">
        <v>148</v>
      </c>
      <c r="IH234" t="s">
        <v>123</v>
      </c>
      <c r="II234" t="s">
        <v>156</v>
      </c>
    </row>
    <row r="235" spans="1:243" x14ac:dyDescent="0.25">
      <c r="A235" s="201" t="str">
        <f>HYPERLINK("http://www.ofsted.gov.uk/inspection-reports/find-inspection-report/provider/ELS/140273 ","Ofsted School Webpage")</f>
        <v>Ofsted School Webpage</v>
      </c>
      <c r="B235">
        <v>140273</v>
      </c>
      <c r="C235">
        <v>3356002</v>
      </c>
      <c r="D235" t="s">
        <v>1543</v>
      </c>
      <c r="E235" t="s">
        <v>37</v>
      </c>
      <c r="F235" t="s">
        <v>138</v>
      </c>
      <c r="G235" t="s">
        <v>150</v>
      </c>
      <c r="H235" t="s">
        <v>150</v>
      </c>
      <c r="I235" t="s">
        <v>1452</v>
      </c>
      <c r="J235" t="s">
        <v>960</v>
      </c>
      <c r="K235" t="s">
        <v>142</v>
      </c>
      <c r="L235" t="s">
        <v>142</v>
      </c>
      <c r="M235" t="s">
        <v>2596</v>
      </c>
      <c r="N235" t="s">
        <v>143</v>
      </c>
      <c r="O235">
        <v>10026238</v>
      </c>
      <c r="P235" s="108">
        <v>43046</v>
      </c>
      <c r="Q235" s="108">
        <v>43048</v>
      </c>
      <c r="R235" s="108">
        <v>43090</v>
      </c>
      <c r="S235" t="s">
        <v>3005</v>
      </c>
      <c r="T235" t="s">
        <v>154</v>
      </c>
      <c r="U235">
        <v>2</v>
      </c>
      <c r="V235">
        <v>2</v>
      </c>
      <c r="W235">
        <v>2</v>
      </c>
      <c r="X235">
        <v>2</v>
      </c>
      <c r="Y235">
        <v>2</v>
      </c>
      <c r="Z235" t="s">
        <v>2596</v>
      </c>
      <c r="AA235" t="s">
        <v>2596</v>
      </c>
      <c r="AB235" t="s">
        <v>123</v>
      </c>
      <c r="AC235" t="s">
        <v>2596</v>
      </c>
      <c r="AD235" t="s">
        <v>2598</v>
      </c>
      <c r="AE235" t="s">
        <v>57</v>
      </c>
      <c r="AF235" t="s">
        <v>57</v>
      </c>
      <c r="AG235" t="s">
        <v>57</v>
      </c>
      <c r="AH235" t="s">
        <v>57</v>
      </c>
      <c r="AI235" t="s">
        <v>57</v>
      </c>
      <c r="AJ235" t="s">
        <v>57</v>
      </c>
      <c r="AK235" t="s">
        <v>57</v>
      </c>
      <c r="AL235" t="s">
        <v>57</v>
      </c>
      <c r="AM235" t="s">
        <v>57</v>
      </c>
      <c r="AN235" t="s">
        <v>57</v>
      </c>
      <c r="AO235" t="s">
        <v>57</v>
      </c>
      <c r="AP235" t="s">
        <v>57</v>
      </c>
      <c r="AQ235" t="s">
        <v>57</v>
      </c>
      <c r="AR235" t="s">
        <v>57</v>
      </c>
      <c r="AS235" t="s">
        <v>57</v>
      </c>
      <c r="AT235" t="s">
        <v>57</v>
      </c>
      <c r="AU235" t="s">
        <v>175</v>
      </c>
      <c r="AV235" t="s">
        <v>57</v>
      </c>
      <c r="AW235" t="s">
        <v>57</v>
      </c>
      <c r="AX235" t="s">
        <v>57</v>
      </c>
      <c r="AY235" t="s">
        <v>57</v>
      </c>
      <c r="AZ235" t="s">
        <v>57</v>
      </c>
      <c r="BA235" t="s">
        <v>57</v>
      </c>
      <c r="BB235" t="s">
        <v>57</v>
      </c>
      <c r="BC235" t="s">
        <v>175</v>
      </c>
      <c r="BD235" t="s">
        <v>175</v>
      </c>
      <c r="BE235" t="s">
        <v>57</v>
      </c>
      <c r="BF235" t="s">
        <v>57</v>
      </c>
      <c r="BG235" t="s">
        <v>57</v>
      </c>
      <c r="BH235" t="s">
        <v>57</v>
      </c>
      <c r="BI235" t="s">
        <v>57</v>
      </c>
      <c r="BJ235" t="s">
        <v>57</v>
      </c>
      <c r="BK235" t="s">
        <v>57</v>
      </c>
      <c r="BL235" t="s">
        <v>57</v>
      </c>
      <c r="BM235" t="s">
        <v>57</v>
      </c>
      <c r="BN235" t="s">
        <v>57</v>
      </c>
      <c r="BO235" t="s">
        <v>57</v>
      </c>
      <c r="BP235" t="s">
        <v>57</v>
      </c>
      <c r="BQ235" t="s">
        <v>57</v>
      </c>
      <c r="BR235" t="s">
        <v>57</v>
      </c>
      <c r="BS235" t="s">
        <v>57</v>
      </c>
      <c r="BT235" t="s">
        <v>57</v>
      </c>
      <c r="BU235" t="s">
        <v>57</v>
      </c>
      <c r="BV235" t="s">
        <v>57</v>
      </c>
      <c r="BW235" t="s">
        <v>57</v>
      </c>
      <c r="BX235" t="s">
        <v>57</v>
      </c>
      <c r="BY235" t="s">
        <v>57</v>
      </c>
      <c r="BZ235" t="s">
        <v>57</v>
      </c>
      <c r="CA235" t="s">
        <v>57</v>
      </c>
      <c r="CB235" t="s">
        <v>57</v>
      </c>
      <c r="CC235" t="s">
        <v>57</v>
      </c>
      <c r="CD235" t="s">
        <v>57</v>
      </c>
      <c r="CE235" t="s">
        <v>57</v>
      </c>
      <c r="CF235" t="s">
        <v>57</v>
      </c>
      <c r="CG235" t="s">
        <v>57</v>
      </c>
      <c r="CH235" t="s">
        <v>57</v>
      </c>
      <c r="CI235" t="s">
        <v>57</v>
      </c>
      <c r="CJ235" t="s">
        <v>57</v>
      </c>
      <c r="CK235" t="s">
        <v>175</v>
      </c>
      <c r="CL235" t="s">
        <v>175</v>
      </c>
      <c r="CM235" t="s">
        <v>175</v>
      </c>
      <c r="CN235" t="s">
        <v>57</v>
      </c>
      <c r="CO235" t="s">
        <v>57</v>
      </c>
      <c r="CP235" t="s">
        <v>57</v>
      </c>
      <c r="CQ235" t="s">
        <v>57</v>
      </c>
      <c r="CR235" t="s">
        <v>57</v>
      </c>
      <c r="CS235" t="s">
        <v>57</v>
      </c>
      <c r="CT235" t="s">
        <v>57</v>
      </c>
      <c r="CU235" t="s">
        <v>57</v>
      </c>
      <c r="CV235" t="s">
        <v>57</v>
      </c>
      <c r="CW235" t="s">
        <v>57</v>
      </c>
      <c r="CX235" t="s">
        <v>57</v>
      </c>
      <c r="CY235" t="s">
        <v>57</v>
      </c>
      <c r="CZ235" t="s">
        <v>57</v>
      </c>
      <c r="DA235" t="s">
        <v>57</v>
      </c>
      <c r="DB235" t="s">
        <v>57</v>
      </c>
      <c r="DC235" t="s">
        <v>57</v>
      </c>
      <c r="DD235" t="s">
        <v>57</v>
      </c>
      <c r="DE235" t="s">
        <v>57</v>
      </c>
      <c r="DF235" t="s">
        <v>57</v>
      </c>
      <c r="DG235" t="s">
        <v>57</v>
      </c>
      <c r="DH235" t="s">
        <v>57</v>
      </c>
      <c r="DI235" t="s">
        <v>57</v>
      </c>
      <c r="DJ235" t="s">
        <v>57</v>
      </c>
      <c r="DK235" t="s">
        <v>175</v>
      </c>
      <c r="DL235" t="s">
        <v>57</v>
      </c>
      <c r="DM235" t="s">
        <v>57</v>
      </c>
      <c r="DN235" t="s">
        <v>57</v>
      </c>
      <c r="DO235" t="s">
        <v>57</v>
      </c>
      <c r="DP235" t="s">
        <v>57</v>
      </c>
      <c r="DQ235" t="s">
        <v>57</v>
      </c>
      <c r="DR235" t="s">
        <v>57</v>
      </c>
      <c r="DS235" t="s">
        <v>57</v>
      </c>
      <c r="DT235" t="s">
        <v>57</v>
      </c>
      <c r="DU235" t="s">
        <v>57</v>
      </c>
      <c r="DV235" t="s">
        <v>57</v>
      </c>
      <c r="DW235" t="s">
        <v>57</v>
      </c>
      <c r="DX235" t="s">
        <v>57</v>
      </c>
      <c r="DY235" t="s">
        <v>175</v>
      </c>
      <c r="DZ235" t="s">
        <v>57</v>
      </c>
      <c r="EA235" t="s">
        <v>57</v>
      </c>
      <c r="EB235" t="s">
        <v>57</v>
      </c>
      <c r="EC235" t="s">
        <v>57</v>
      </c>
      <c r="ED235" t="s">
        <v>57</v>
      </c>
      <c r="EE235" t="s">
        <v>57</v>
      </c>
      <c r="EF235" t="s">
        <v>57</v>
      </c>
      <c r="EG235" t="s">
        <v>57</v>
      </c>
      <c r="EH235" t="s">
        <v>57</v>
      </c>
      <c r="EI235" t="s">
        <v>57</v>
      </c>
      <c r="EJ235" t="s">
        <v>57</v>
      </c>
      <c r="EK235" t="s">
        <v>57</v>
      </c>
      <c r="EL235" t="s">
        <v>57</v>
      </c>
      <c r="EM235" t="s">
        <v>57</v>
      </c>
      <c r="EN235" t="s">
        <v>57</v>
      </c>
      <c r="EO235" t="s">
        <v>57</v>
      </c>
      <c r="EP235" t="s">
        <v>57</v>
      </c>
      <c r="EQ235" t="s">
        <v>57</v>
      </c>
      <c r="ER235" t="s">
        <v>57</v>
      </c>
      <c r="ES235" t="s">
        <v>57</v>
      </c>
      <c r="ET235" t="s">
        <v>57</v>
      </c>
      <c r="EU235" t="s">
        <v>57</v>
      </c>
      <c r="EV235" t="s">
        <v>57</v>
      </c>
      <c r="EW235" t="s">
        <v>57</v>
      </c>
      <c r="EX235" t="s">
        <v>57</v>
      </c>
      <c r="EY235" t="s">
        <v>57</v>
      </c>
      <c r="EZ235" t="s">
        <v>57</v>
      </c>
      <c r="FA235" t="s">
        <v>57</v>
      </c>
      <c r="FB235" t="s">
        <v>57</v>
      </c>
      <c r="FC235" t="s">
        <v>57</v>
      </c>
      <c r="FD235" t="s">
        <v>57</v>
      </c>
      <c r="FE235" t="s">
        <v>57</v>
      </c>
      <c r="FF235" t="s">
        <v>57</v>
      </c>
      <c r="FG235" t="s">
        <v>57</v>
      </c>
      <c r="FH235" t="s">
        <v>57</v>
      </c>
      <c r="FI235" t="s">
        <v>57</v>
      </c>
      <c r="FJ235" t="s">
        <v>57</v>
      </c>
      <c r="FK235" t="s">
        <v>57</v>
      </c>
      <c r="FL235" t="s">
        <v>57</v>
      </c>
      <c r="FM235" t="s">
        <v>57</v>
      </c>
      <c r="FN235" t="s">
        <v>57</v>
      </c>
      <c r="FO235" t="s">
        <v>175</v>
      </c>
      <c r="FP235" t="s">
        <v>57</v>
      </c>
      <c r="FQ235" t="s">
        <v>57</v>
      </c>
      <c r="FR235" t="s">
        <v>57</v>
      </c>
      <c r="FS235" t="s">
        <v>57</v>
      </c>
      <c r="FT235" t="s">
        <v>57</v>
      </c>
      <c r="FU235" t="s">
        <v>57</v>
      </c>
      <c r="FV235" t="s">
        <v>57</v>
      </c>
      <c r="FW235" t="s">
        <v>57</v>
      </c>
      <c r="FX235" t="s">
        <v>57</v>
      </c>
      <c r="FY235" t="s">
        <v>57</v>
      </c>
      <c r="FZ235" t="s">
        <v>57</v>
      </c>
      <c r="GA235" t="s">
        <v>57</v>
      </c>
      <c r="GB235" t="s">
        <v>57</v>
      </c>
      <c r="GC235" t="s">
        <v>57</v>
      </c>
      <c r="GD235" t="s">
        <v>57</v>
      </c>
      <c r="GE235" t="s">
        <v>57</v>
      </c>
      <c r="GF235" t="s">
        <v>57</v>
      </c>
      <c r="GG235" t="s">
        <v>175</v>
      </c>
      <c r="GH235" t="s">
        <v>57</v>
      </c>
      <c r="GI235" t="s">
        <v>57</v>
      </c>
      <c r="GJ235" t="s">
        <v>57</v>
      </c>
      <c r="GK235" t="s">
        <v>57</v>
      </c>
      <c r="GL235" t="s">
        <v>57</v>
      </c>
      <c r="GM235" t="s">
        <v>175</v>
      </c>
      <c r="GN235" t="s">
        <v>57</v>
      </c>
      <c r="GO235" t="s">
        <v>57</v>
      </c>
      <c r="GP235" t="s">
        <v>57</v>
      </c>
      <c r="GQ235" t="s">
        <v>57</v>
      </c>
      <c r="GR235" t="s">
        <v>57</v>
      </c>
      <c r="GS235" t="s">
        <v>57</v>
      </c>
      <c r="GT235" t="s">
        <v>57</v>
      </c>
      <c r="GU235" t="s">
        <v>57</v>
      </c>
      <c r="GV235" t="s">
        <v>57</v>
      </c>
      <c r="GW235" t="s">
        <v>175</v>
      </c>
      <c r="GX235" t="s">
        <v>175</v>
      </c>
      <c r="GY235" t="s">
        <v>57</v>
      </c>
      <c r="GZ235" t="s">
        <v>57</v>
      </c>
      <c r="HA235" t="s">
        <v>57</v>
      </c>
      <c r="HB235" t="s">
        <v>57</v>
      </c>
      <c r="HC235" t="s">
        <v>57</v>
      </c>
      <c r="HD235" t="s">
        <v>57</v>
      </c>
      <c r="HE235" t="s">
        <v>57</v>
      </c>
      <c r="HF235" t="s">
        <v>57</v>
      </c>
      <c r="HG235" t="s">
        <v>57</v>
      </c>
      <c r="HH235" t="s">
        <v>175</v>
      </c>
      <c r="HI235" t="s">
        <v>175</v>
      </c>
      <c r="HJ235" t="s">
        <v>175</v>
      </c>
      <c r="HK235" t="s">
        <v>175</v>
      </c>
      <c r="HL235" t="s">
        <v>57</v>
      </c>
      <c r="HM235" t="s">
        <v>57</v>
      </c>
      <c r="HN235" t="s">
        <v>57</v>
      </c>
      <c r="HO235" t="s">
        <v>57</v>
      </c>
      <c r="HP235" t="s">
        <v>57</v>
      </c>
      <c r="HQ235" t="s">
        <v>57</v>
      </c>
      <c r="HR235" t="s">
        <v>57</v>
      </c>
      <c r="HS235" t="s">
        <v>57</v>
      </c>
      <c r="HT235" t="s">
        <v>57</v>
      </c>
      <c r="HU235" t="s">
        <v>57</v>
      </c>
      <c r="HV235" t="s">
        <v>57</v>
      </c>
      <c r="HW235" t="s">
        <v>57</v>
      </c>
      <c r="HX235" t="s">
        <v>57</v>
      </c>
      <c r="HY235" t="s">
        <v>57</v>
      </c>
      <c r="HZ235" t="s">
        <v>57</v>
      </c>
      <c r="IA235" t="s">
        <v>57</v>
      </c>
      <c r="IB235" t="s">
        <v>57</v>
      </c>
      <c r="IC235" t="s">
        <v>57</v>
      </c>
      <c r="ID235" t="s">
        <v>57</v>
      </c>
      <c r="IE235" t="s">
        <v>57</v>
      </c>
      <c r="IF235" t="s">
        <v>123</v>
      </c>
      <c r="IG235" t="s">
        <v>148</v>
      </c>
      <c r="IH235" t="s">
        <v>123</v>
      </c>
      <c r="II235" t="s">
        <v>156</v>
      </c>
    </row>
    <row r="236" spans="1:243" x14ac:dyDescent="0.25">
      <c r="A236" s="201" t="str">
        <f>HYPERLINK("http://www.ofsted.gov.uk/inspection-reports/find-inspection-report/provider/ELS/140330 ","Ofsted School Webpage")</f>
        <v>Ofsted School Webpage</v>
      </c>
      <c r="B236">
        <v>140330</v>
      </c>
      <c r="C236">
        <v>8616011</v>
      </c>
      <c r="D236" t="s">
        <v>446</v>
      </c>
      <c r="E236" t="s">
        <v>36</v>
      </c>
      <c r="F236" t="s">
        <v>166</v>
      </c>
      <c r="G236" t="s">
        <v>150</v>
      </c>
      <c r="H236" t="s">
        <v>150</v>
      </c>
      <c r="I236" t="s">
        <v>447</v>
      </c>
      <c r="J236" t="s">
        <v>448</v>
      </c>
      <c r="K236" t="s">
        <v>142</v>
      </c>
      <c r="L236" t="s">
        <v>142</v>
      </c>
      <c r="M236" t="s">
        <v>2596</v>
      </c>
      <c r="N236" t="s">
        <v>143</v>
      </c>
      <c r="O236">
        <v>10038847</v>
      </c>
      <c r="P236" s="108">
        <v>43039</v>
      </c>
      <c r="Q236" s="108">
        <v>43041</v>
      </c>
      <c r="R236" s="108">
        <v>43059</v>
      </c>
      <c r="S236" t="s">
        <v>153</v>
      </c>
      <c r="T236" t="s">
        <v>154</v>
      </c>
      <c r="U236">
        <v>2</v>
      </c>
      <c r="V236">
        <v>1</v>
      </c>
      <c r="W236">
        <v>2</v>
      </c>
      <c r="X236">
        <v>2</v>
      </c>
      <c r="Y236">
        <v>2</v>
      </c>
      <c r="Z236" t="s">
        <v>2596</v>
      </c>
      <c r="AA236" t="s">
        <v>2596</v>
      </c>
      <c r="AB236" t="s">
        <v>123</v>
      </c>
      <c r="AC236" t="s">
        <v>2596</v>
      </c>
      <c r="AD236" t="s">
        <v>2598</v>
      </c>
      <c r="AE236" t="s">
        <v>57</v>
      </c>
      <c r="AF236" t="s">
        <v>57</v>
      </c>
      <c r="AG236" t="s">
        <v>57</v>
      </c>
      <c r="AH236" t="s">
        <v>57</v>
      </c>
      <c r="AI236" t="s">
        <v>57</v>
      </c>
      <c r="AJ236" t="s">
        <v>57</v>
      </c>
      <c r="AK236" t="s">
        <v>57</v>
      </c>
      <c r="AL236" t="s">
        <v>57</v>
      </c>
      <c r="AM236" t="s">
        <v>57</v>
      </c>
      <c r="AN236" t="s">
        <v>57</v>
      </c>
      <c r="AO236" t="s">
        <v>57</v>
      </c>
      <c r="AP236" t="s">
        <v>57</v>
      </c>
      <c r="AQ236" t="s">
        <v>57</v>
      </c>
      <c r="AR236" t="s">
        <v>57</v>
      </c>
      <c r="AS236" t="s">
        <v>57</v>
      </c>
      <c r="AT236" t="s">
        <v>57</v>
      </c>
      <c r="AU236" t="s">
        <v>175</v>
      </c>
      <c r="AV236" t="s">
        <v>57</v>
      </c>
      <c r="AW236" t="s">
        <v>57</v>
      </c>
      <c r="AX236" t="s">
        <v>57</v>
      </c>
      <c r="AY236" t="s">
        <v>57</v>
      </c>
      <c r="AZ236" t="s">
        <v>57</v>
      </c>
      <c r="BA236" t="s">
        <v>57</v>
      </c>
      <c r="BB236" t="s">
        <v>57</v>
      </c>
      <c r="BC236" t="s">
        <v>175</v>
      </c>
      <c r="BD236" t="s">
        <v>175</v>
      </c>
      <c r="BE236" t="s">
        <v>57</v>
      </c>
      <c r="BF236" t="s">
        <v>57</v>
      </c>
      <c r="BG236" t="s">
        <v>57</v>
      </c>
      <c r="BH236" t="s">
        <v>57</v>
      </c>
      <c r="BI236" t="s">
        <v>57</v>
      </c>
      <c r="BJ236" t="s">
        <v>57</v>
      </c>
      <c r="BK236" t="s">
        <v>57</v>
      </c>
      <c r="BL236" t="s">
        <v>57</v>
      </c>
      <c r="BM236" t="s">
        <v>57</v>
      </c>
      <c r="BN236" t="s">
        <v>57</v>
      </c>
      <c r="BO236" t="s">
        <v>57</v>
      </c>
      <c r="BP236" t="s">
        <v>57</v>
      </c>
      <c r="BQ236" t="s">
        <v>57</v>
      </c>
      <c r="BR236" t="s">
        <v>57</v>
      </c>
      <c r="BS236" t="s">
        <v>57</v>
      </c>
      <c r="BT236" t="s">
        <v>57</v>
      </c>
      <c r="BU236" t="s">
        <v>57</v>
      </c>
      <c r="BV236" t="s">
        <v>57</v>
      </c>
      <c r="BW236" t="s">
        <v>57</v>
      </c>
      <c r="BX236" t="s">
        <v>57</v>
      </c>
      <c r="BY236" t="s">
        <v>57</v>
      </c>
      <c r="BZ236" t="s">
        <v>57</v>
      </c>
      <c r="CA236" t="s">
        <v>57</v>
      </c>
      <c r="CB236" t="s">
        <v>57</v>
      </c>
      <c r="CC236" t="s">
        <v>57</v>
      </c>
      <c r="CD236" t="s">
        <v>57</v>
      </c>
      <c r="CE236" t="s">
        <v>57</v>
      </c>
      <c r="CF236" t="s">
        <v>57</v>
      </c>
      <c r="CG236" t="s">
        <v>57</v>
      </c>
      <c r="CH236" t="s">
        <v>57</v>
      </c>
      <c r="CI236" t="s">
        <v>57</v>
      </c>
      <c r="CJ236" t="s">
        <v>57</v>
      </c>
      <c r="CK236" t="s">
        <v>57</v>
      </c>
      <c r="CL236" t="s">
        <v>175</v>
      </c>
      <c r="CM236" t="s">
        <v>175</v>
      </c>
      <c r="CN236" t="s">
        <v>57</v>
      </c>
      <c r="CO236" t="s">
        <v>57</v>
      </c>
      <c r="CP236" t="s">
        <v>57</v>
      </c>
      <c r="CQ236" t="s">
        <v>57</v>
      </c>
      <c r="CR236" t="s">
        <v>57</v>
      </c>
      <c r="CS236" t="s">
        <v>57</v>
      </c>
      <c r="CT236" t="s">
        <v>57</v>
      </c>
      <c r="CU236" t="s">
        <v>57</v>
      </c>
      <c r="CV236" t="s">
        <v>57</v>
      </c>
      <c r="CW236" t="s">
        <v>57</v>
      </c>
      <c r="CX236" t="s">
        <v>57</v>
      </c>
      <c r="CY236" t="s">
        <v>57</v>
      </c>
      <c r="CZ236" t="s">
        <v>57</v>
      </c>
      <c r="DA236" t="s">
        <v>57</v>
      </c>
      <c r="DB236" t="s">
        <v>57</v>
      </c>
      <c r="DC236" t="s">
        <v>57</v>
      </c>
      <c r="DD236" t="s">
        <v>57</v>
      </c>
      <c r="DE236" t="s">
        <v>57</v>
      </c>
      <c r="DF236" t="s">
        <v>57</v>
      </c>
      <c r="DG236" t="s">
        <v>57</v>
      </c>
      <c r="DH236" t="s">
        <v>57</v>
      </c>
      <c r="DI236" t="s">
        <v>57</v>
      </c>
      <c r="DJ236" t="s">
        <v>57</v>
      </c>
      <c r="DK236" t="s">
        <v>175</v>
      </c>
      <c r="DL236" t="s">
        <v>57</v>
      </c>
      <c r="DM236" t="s">
        <v>57</v>
      </c>
      <c r="DN236" t="s">
        <v>57</v>
      </c>
      <c r="DO236" t="s">
        <v>57</v>
      </c>
      <c r="DP236" t="s">
        <v>57</v>
      </c>
      <c r="DQ236" t="s">
        <v>57</v>
      </c>
      <c r="DR236" t="s">
        <v>57</v>
      </c>
      <c r="DS236" t="s">
        <v>57</v>
      </c>
      <c r="DT236" t="s">
        <v>57</v>
      </c>
      <c r="DU236" t="s">
        <v>57</v>
      </c>
      <c r="DV236" t="s">
        <v>57</v>
      </c>
      <c r="DW236" t="s">
        <v>57</v>
      </c>
      <c r="DX236" t="s">
        <v>57</v>
      </c>
      <c r="DY236" t="s">
        <v>57</v>
      </c>
      <c r="DZ236" t="s">
        <v>57</v>
      </c>
      <c r="EA236" t="s">
        <v>57</v>
      </c>
      <c r="EB236" t="s">
        <v>57</v>
      </c>
      <c r="EC236" t="s">
        <v>57</v>
      </c>
      <c r="ED236" t="s">
        <v>57</v>
      </c>
      <c r="EE236" t="s">
        <v>57</v>
      </c>
      <c r="EF236" t="s">
        <v>57</v>
      </c>
      <c r="EG236" t="s">
        <v>57</v>
      </c>
      <c r="EH236" t="s">
        <v>57</v>
      </c>
      <c r="EI236" t="s">
        <v>57</v>
      </c>
      <c r="EJ236" t="s">
        <v>57</v>
      </c>
      <c r="EK236" t="s">
        <v>57</v>
      </c>
      <c r="EL236" t="s">
        <v>57</v>
      </c>
      <c r="EM236" t="s">
        <v>57</v>
      </c>
      <c r="EN236" t="s">
        <v>57</v>
      </c>
      <c r="EO236" t="s">
        <v>57</v>
      </c>
      <c r="EP236" t="s">
        <v>57</v>
      </c>
      <c r="EQ236" t="s">
        <v>57</v>
      </c>
      <c r="ER236" t="s">
        <v>57</v>
      </c>
      <c r="ES236" t="s">
        <v>57</v>
      </c>
      <c r="ET236" t="s">
        <v>57</v>
      </c>
      <c r="EU236" t="s">
        <v>57</v>
      </c>
      <c r="EV236" t="s">
        <v>57</v>
      </c>
      <c r="EW236" t="s">
        <v>57</v>
      </c>
      <c r="EX236" t="s">
        <v>57</v>
      </c>
      <c r="EY236" t="s">
        <v>57</v>
      </c>
      <c r="EZ236" t="s">
        <v>57</v>
      </c>
      <c r="FA236" t="s">
        <v>57</v>
      </c>
      <c r="FB236" t="s">
        <v>57</v>
      </c>
      <c r="FC236" t="s">
        <v>57</v>
      </c>
      <c r="FD236" t="s">
        <v>57</v>
      </c>
      <c r="FE236" t="s">
        <v>57</v>
      </c>
      <c r="FF236" t="s">
        <v>57</v>
      </c>
      <c r="FG236" t="s">
        <v>57</v>
      </c>
      <c r="FH236" t="s">
        <v>57</v>
      </c>
      <c r="FI236" t="s">
        <v>57</v>
      </c>
      <c r="FJ236" t="s">
        <v>57</v>
      </c>
      <c r="FK236" t="s">
        <v>57</v>
      </c>
      <c r="FL236" t="s">
        <v>57</v>
      </c>
      <c r="FM236" t="s">
        <v>57</v>
      </c>
      <c r="FN236" t="s">
        <v>57</v>
      </c>
      <c r="FO236" t="s">
        <v>175</v>
      </c>
      <c r="FP236" t="s">
        <v>57</v>
      </c>
      <c r="FQ236" t="s">
        <v>57</v>
      </c>
      <c r="FR236" t="s">
        <v>57</v>
      </c>
      <c r="FS236" t="s">
        <v>57</v>
      </c>
      <c r="FT236" t="s">
        <v>57</v>
      </c>
      <c r="FU236" t="s">
        <v>57</v>
      </c>
      <c r="FV236" t="s">
        <v>57</v>
      </c>
      <c r="FW236" t="s">
        <v>57</v>
      </c>
      <c r="FX236" t="s">
        <v>57</v>
      </c>
      <c r="FY236" t="s">
        <v>57</v>
      </c>
      <c r="FZ236" t="s">
        <v>57</v>
      </c>
      <c r="GA236" t="s">
        <v>57</v>
      </c>
      <c r="GB236" t="s">
        <v>57</v>
      </c>
      <c r="GC236" t="s">
        <v>57</v>
      </c>
      <c r="GD236" t="s">
        <v>57</v>
      </c>
      <c r="GE236" t="s">
        <v>57</v>
      </c>
      <c r="GF236" t="s">
        <v>57</v>
      </c>
      <c r="GG236" t="s">
        <v>175</v>
      </c>
      <c r="GH236" t="s">
        <v>57</v>
      </c>
      <c r="GI236" t="s">
        <v>57</v>
      </c>
      <c r="GJ236" t="s">
        <v>57</v>
      </c>
      <c r="GK236" t="s">
        <v>57</v>
      </c>
      <c r="GL236" t="s">
        <v>57</v>
      </c>
      <c r="GM236" t="s">
        <v>57</v>
      </c>
      <c r="GN236" t="s">
        <v>57</v>
      </c>
      <c r="GO236" t="s">
        <v>57</v>
      </c>
      <c r="GP236" t="s">
        <v>57</v>
      </c>
      <c r="GQ236" t="s">
        <v>57</v>
      </c>
      <c r="GR236" t="s">
        <v>57</v>
      </c>
      <c r="GS236" t="s">
        <v>57</v>
      </c>
      <c r="GT236" t="s">
        <v>57</v>
      </c>
      <c r="GU236" t="s">
        <v>57</v>
      </c>
      <c r="GV236" t="s">
        <v>57</v>
      </c>
      <c r="GW236" t="s">
        <v>175</v>
      </c>
      <c r="GX236" t="s">
        <v>175</v>
      </c>
      <c r="GY236" t="s">
        <v>57</v>
      </c>
      <c r="GZ236" t="s">
        <v>57</v>
      </c>
      <c r="HA236" t="s">
        <v>57</v>
      </c>
      <c r="HB236" t="s">
        <v>57</v>
      </c>
      <c r="HC236" t="s">
        <v>57</v>
      </c>
      <c r="HD236" t="s">
        <v>57</v>
      </c>
      <c r="HE236" t="s">
        <v>57</v>
      </c>
      <c r="HF236" t="s">
        <v>57</v>
      </c>
      <c r="HG236" t="s">
        <v>57</v>
      </c>
      <c r="HH236" t="s">
        <v>57</v>
      </c>
      <c r="HI236" t="s">
        <v>175</v>
      </c>
      <c r="HJ236" t="s">
        <v>175</v>
      </c>
      <c r="HK236" t="s">
        <v>175</v>
      </c>
      <c r="HL236" t="s">
        <v>57</v>
      </c>
      <c r="HM236" t="s">
        <v>57</v>
      </c>
      <c r="HN236" t="s">
        <v>57</v>
      </c>
      <c r="HO236" t="s">
        <v>57</v>
      </c>
      <c r="HP236" t="s">
        <v>57</v>
      </c>
      <c r="HQ236" t="s">
        <v>57</v>
      </c>
      <c r="HR236" t="s">
        <v>57</v>
      </c>
      <c r="HS236" t="s">
        <v>57</v>
      </c>
      <c r="HT236" t="s">
        <v>57</v>
      </c>
      <c r="HU236" t="s">
        <v>57</v>
      </c>
      <c r="HV236" t="s">
        <v>57</v>
      </c>
      <c r="HW236" t="s">
        <v>57</v>
      </c>
      <c r="HX236" t="s">
        <v>57</v>
      </c>
      <c r="HY236" t="s">
        <v>57</v>
      </c>
      <c r="HZ236" t="s">
        <v>57</v>
      </c>
      <c r="IA236" t="s">
        <v>57</v>
      </c>
      <c r="IB236" t="s">
        <v>57</v>
      </c>
      <c r="IC236" t="s">
        <v>57</v>
      </c>
      <c r="ID236" t="s">
        <v>57</v>
      </c>
      <c r="IE236" t="s">
        <v>57</v>
      </c>
      <c r="IF236" t="s">
        <v>124</v>
      </c>
      <c r="IG236" t="s">
        <v>148</v>
      </c>
      <c r="IH236" t="s">
        <v>123</v>
      </c>
      <c r="II236" t="s">
        <v>156</v>
      </c>
    </row>
    <row r="237" spans="1:243" x14ac:dyDescent="0.25">
      <c r="A237" s="201" t="str">
        <f>HYPERLINK("http://www.ofsted.gov.uk/inspection-reports/find-inspection-report/provider/ELS/140354 ","Ofsted School Webpage")</f>
        <v>Ofsted School Webpage</v>
      </c>
      <c r="B237">
        <v>140354</v>
      </c>
      <c r="C237">
        <v>9376008</v>
      </c>
      <c r="D237" t="s">
        <v>1350</v>
      </c>
      <c r="E237" t="s">
        <v>37</v>
      </c>
      <c r="F237" t="s">
        <v>138</v>
      </c>
      <c r="G237" t="s">
        <v>150</v>
      </c>
      <c r="H237" t="s">
        <v>150</v>
      </c>
      <c r="I237" t="s">
        <v>333</v>
      </c>
      <c r="J237" t="s">
        <v>1351</v>
      </c>
      <c r="K237" t="s">
        <v>142</v>
      </c>
      <c r="L237" t="s">
        <v>142</v>
      </c>
      <c r="M237" t="s">
        <v>2596</v>
      </c>
      <c r="N237" t="s">
        <v>143</v>
      </c>
      <c r="O237">
        <v>10038848</v>
      </c>
      <c r="P237" s="108">
        <v>43131</v>
      </c>
      <c r="Q237" s="108">
        <v>43133</v>
      </c>
      <c r="R237" s="108">
        <v>43188</v>
      </c>
      <c r="S237" t="s">
        <v>153</v>
      </c>
      <c r="T237" t="s">
        <v>154</v>
      </c>
      <c r="U237">
        <v>4</v>
      </c>
      <c r="V237">
        <v>4</v>
      </c>
      <c r="W237">
        <v>4</v>
      </c>
      <c r="X237">
        <v>2</v>
      </c>
      <c r="Y237">
        <v>2</v>
      </c>
      <c r="Z237" t="s">
        <v>2596</v>
      </c>
      <c r="AA237" t="s">
        <v>2596</v>
      </c>
      <c r="AB237" t="s">
        <v>124</v>
      </c>
      <c r="AC237" t="s">
        <v>2596</v>
      </c>
      <c r="AD237" t="s">
        <v>2599</v>
      </c>
      <c r="AE237" t="s">
        <v>57</v>
      </c>
      <c r="AF237" t="s">
        <v>57</v>
      </c>
      <c r="AG237" t="s">
        <v>58</v>
      </c>
      <c r="AH237" t="s">
        <v>57</v>
      </c>
      <c r="AI237" t="s">
        <v>57</v>
      </c>
      <c r="AJ237" t="s">
        <v>57</v>
      </c>
      <c r="AK237" t="s">
        <v>57</v>
      </c>
      <c r="AL237" t="s">
        <v>58</v>
      </c>
      <c r="AM237" t="s">
        <v>57</v>
      </c>
      <c r="AN237" t="s">
        <v>57</v>
      </c>
      <c r="AO237" t="s">
        <v>57</v>
      </c>
      <c r="AP237" t="s">
        <v>57</v>
      </c>
      <c r="AQ237" t="s">
        <v>57</v>
      </c>
      <c r="AR237" t="s">
        <v>57</v>
      </c>
      <c r="AS237" t="s">
        <v>57</v>
      </c>
      <c r="AT237" t="s">
        <v>57</v>
      </c>
      <c r="AU237" t="s">
        <v>175</v>
      </c>
      <c r="AV237" t="s">
        <v>57</v>
      </c>
      <c r="AW237" t="s">
        <v>57</v>
      </c>
      <c r="AX237" t="s">
        <v>57</v>
      </c>
      <c r="AY237" t="s">
        <v>57</v>
      </c>
      <c r="AZ237" t="s">
        <v>57</v>
      </c>
      <c r="BA237" t="s">
        <v>57</v>
      </c>
      <c r="BB237" t="s">
        <v>57</v>
      </c>
      <c r="BC237" t="s">
        <v>175</v>
      </c>
      <c r="BD237" t="s">
        <v>175</v>
      </c>
      <c r="BE237" t="s">
        <v>57</v>
      </c>
      <c r="BF237" t="s">
        <v>57</v>
      </c>
      <c r="BG237" t="s">
        <v>57</v>
      </c>
      <c r="BH237" t="s">
        <v>57</v>
      </c>
      <c r="BI237" t="s">
        <v>57</v>
      </c>
      <c r="BJ237" t="s">
        <v>57</v>
      </c>
      <c r="BK237" t="s">
        <v>57</v>
      </c>
      <c r="BL237" t="s">
        <v>57</v>
      </c>
      <c r="BM237" t="s">
        <v>57</v>
      </c>
      <c r="BN237" t="s">
        <v>57</v>
      </c>
      <c r="BO237" t="s">
        <v>57</v>
      </c>
      <c r="BP237" t="s">
        <v>57</v>
      </c>
      <c r="BQ237" t="s">
        <v>57</v>
      </c>
      <c r="BR237" t="s">
        <v>57</v>
      </c>
      <c r="BS237" t="s">
        <v>57</v>
      </c>
      <c r="BT237" t="s">
        <v>57</v>
      </c>
      <c r="BU237" t="s">
        <v>57</v>
      </c>
      <c r="BV237" t="s">
        <v>57</v>
      </c>
      <c r="BW237" t="s">
        <v>57</v>
      </c>
      <c r="BX237" t="s">
        <v>57</v>
      </c>
      <c r="BY237" t="s">
        <v>57</v>
      </c>
      <c r="BZ237" t="s">
        <v>57</v>
      </c>
      <c r="CA237" t="s">
        <v>57</v>
      </c>
      <c r="CB237" t="s">
        <v>57</v>
      </c>
      <c r="CC237" t="s">
        <v>57</v>
      </c>
      <c r="CD237" t="s">
        <v>57</v>
      </c>
      <c r="CE237" t="s">
        <v>57</v>
      </c>
      <c r="CF237" t="s">
        <v>57</v>
      </c>
      <c r="CG237" t="s">
        <v>57</v>
      </c>
      <c r="CH237" t="s">
        <v>58</v>
      </c>
      <c r="CI237" t="s">
        <v>58</v>
      </c>
      <c r="CJ237" t="s">
        <v>58</v>
      </c>
      <c r="CK237" t="s">
        <v>175</v>
      </c>
      <c r="CL237" t="s">
        <v>175</v>
      </c>
      <c r="CM237" t="s">
        <v>175</v>
      </c>
      <c r="CN237" t="s">
        <v>58</v>
      </c>
      <c r="CO237" t="s">
        <v>57</v>
      </c>
      <c r="CP237" t="s">
        <v>58</v>
      </c>
      <c r="CQ237" t="s">
        <v>57</v>
      </c>
      <c r="CR237" t="s">
        <v>58</v>
      </c>
      <c r="CS237" t="s">
        <v>57</v>
      </c>
      <c r="CT237" t="s">
        <v>57</v>
      </c>
      <c r="CU237" t="s">
        <v>57</v>
      </c>
      <c r="CV237" t="s">
        <v>57</v>
      </c>
      <c r="CW237" t="s">
        <v>57</v>
      </c>
      <c r="CX237" t="s">
        <v>57</v>
      </c>
      <c r="CY237" t="s">
        <v>57</v>
      </c>
      <c r="CZ237" t="s">
        <v>57</v>
      </c>
      <c r="DA237" t="s">
        <v>57</v>
      </c>
      <c r="DB237" t="s">
        <v>57</v>
      </c>
      <c r="DC237" t="s">
        <v>57</v>
      </c>
      <c r="DD237" t="s">
        <v>57</v>
      </c>
      <c r="DE237" t="s">
        <v>57</v>
      </c>
      <c r="DF237" t="s">
        <v>57</v>
      </c>
      <c r="DG237" t="s">
        <v>57</v>
      </c>
      <c r="DH237" t="s">
        <v>57</v>
      </c>
      <c r="DI237" t="s">
        <v>57</v>
      </c>
      <c r="DJ237" t="s">
        <v>57</v>
      </c>
      <c r="DK237" t="s">
        <v>175</v>
      </c>
      <c r="DL237" t="s">
        <v>175</v>
      </c>
      <c r="DM237" t="s">
        <v>57</v>
      </c>
      <c r="DN237" t="s">
        <v>57</v>
      </c>
      <c r="DO237" t="s">
        <v>57</v>
      </c>
      <c r="DP237" t="s">
        <v>57</v>
      </c>
      <c r="DQ237" t="s">
        <v>57</v>
      </c>
      <c r="DR237" t="s">
        <v>57</v>
      </c>
      <c r="DS237" t="s">
        <v>57</v>
      </c>
      <c r="DT237" t="s">
        <v>57</v>
      </c>
      <c r="DU237" t="s">
        <v>57</v>
      </c>
      <c r="DV237" t="s">
        <v>57</v>
      </c>
      <c r="DW237" t="s">
        <v>57</v>
      </c>
      <c r="DX237" t="s">
        <v>57</v>
      </c>
      <c r="DY237" t="s">
        <v>175</v>
      </c>
      <c r="DZ237" t="s">
        <v>57</v>
      </c>
      <c r="EA237" t="s">
        <v>57</v>
      </c>
      <c r="EB237" t="s">
        <v>57</v>
      </c>
      <c r="EC237" t="s">
        <v>57</v>
      </c>
      <c r="ED237" t="s">
        <v>57</v>
      </c>
      <c r="EE237" t="s">
        <v>57</v>
      </c>
      <c r="EF237" t="s">
        <v>57</v>
      </c>
      <c r="EG237" t="s">
        <v>57</v>
      </c>
      <c r="EH237" t="s">
        <v>57</v>
      </c>
      <c r="EI237" t="s">
        <v>57</v>
      </c>
      <c r="EJ237" t="s">
        <v>57</v>
      </c>
      <c r="EK237" t="s">
        <v>57</v>
      </c>
      <c r="EL237" t="s">
        <v>57</v>
      </c>
      <c r="EM237" t="s">
        <v>57</v>
      </c>
      <c r="EN237" t="s">
        <v>57</v>
      </c>
      <c r="EO237" t="s">
        <v>57</v>
      </c>
      <c r="EP237" t="s">
        <v>57</v>
      </c>
      <c r="EQ237" t="s">
        <v>57</v>
      </c>
      <c r="ER237" t="s">
        <v>57</v>
      </c>
      <c r="ES237" t="s">
        <v>57</v>
      </c>
      <c r="ET237" t="s">
        <v>57</v>
      </c>
      <c r="EU237" t="s">
        <v>57</v>
      </c>
      <c r="EV237" t="s">
        <v>57</v>
      </c>
      <c r="EW237" t="s">
        <v>57</v>
      </c>
      <c r="EX237" t="s">
        <v>57</v>
      </c>
      <c r="EY237" t="s">
        <v>57</v>
      </c>
      <c r="EZ237" t="s">
        <v>57</v>
      </c>
      <c r="FA237" t="s">
        <v>57</v>
      </c>
      <c r="FB237" t="s">
        <v>57</v>
      </c>
      <c r="FC237" t="s">
        <v>57</v>
      </c>
      <c r="FD237" t="s">
        <v>57</v>
      </c>
      <c r="FE237" t="s">
        <v>57</v>
      </c>
      <c r="FF237" t="s">
        <v>57</v>
      </c>
      <c r="FG237" t="s">
        <v>57</v>
      </c>
      <c r="FH237" t="s">
        <v>57</v>
      </c>
      <c r="FI237" t="s">
        <v>57</v>
      </c>
      <c r="FJ237" t="s">
        <v>57</v>
      </c>
      <c r="FK237" t="s">
        <v>57</v>
      </c>
      <c r="FL237" t="s">
        <v>57</v>
      </c>
      <c r="FM237" t="s">
        <v>57</v>
      </c>
      <c r="FN237" t="s">
        <v>57</v>
      </c>
      <c r="FO237" t="s">
        <v>57</v>
      </c>
      <c r="FP237" t="s">
        <v>57</v>
      </c>
      <c r="FQ237" t="s">
        <v>57</v>
      </c>
      <c r="FR237" t="s">
        <v>57</v>
      </c>
      <c r="FS237" t="s">
        <v>57</v>
      </c>
      <c r="FT237" t="s">
        <v>57</v>
      </c>
      <c r="FU237" t="s">
        <v>57</v>
      </c>
      <c r="FV237" t="s">
        <v>57</v>
      </c>
      <c r="FW237" t="s">
        <v>57</v>
      </c>
      <c r="FX237" t="s">
        <v>57</v>
      </c>
      <c r="FY237" t="s">
        <v>57</v>
      </c>
      <c r="FZ237" t="s">
        <v>57</v>
      </c>
      <c r="GA237" t="s">
        <v>57</v>
      </c>
      <c r="GB237" t="s">
        <v>57</v>
      </c>
      <c r="GC237" t="s">
        <v>57</v>
      </c>
      <c r="GD237" t="s">
        <v>57</v>
      </c>
      <c r="GE237" t="s">
        <v>57</v>
      </c>
      <c r="GF237" t="s">
        <v>57</v>
      </c>
      <c r="GG237" t="s">
        <v>175</v>
      </c>
      <c r="GH237" t="s">
        <v>57</v>
      </c>
      <c r="GI237" t="s">
        <v>57</v>
      </c>
      <c r="GJ237" t="s">
        <v>57</v>
      </c>
      <c r="GK237" t="s">
        <v>57</v>
      </c>
      <c r="GL237" t="s">
        <v>57</v>
      </c>
      <c r="GM237" t="s">
        <v>57</v>
      </c>
      <c r="GN237" t="s">
        <v>57</v>
      </c>
      <c r="GO237" t="s">
        <v>57</v>
      </c>
      <c r="GP237" t="s">
        <v>57</v>
      </c>
      <c r="GQ237" t="s">
        <v>57</v>
      </c>
      <c r="GR237" t="s">
        <v>57</v>
      </c>
      <c r="GS237" t="s">
        <v>57</v>
      </c>
      <c r="GT237" t="s">
        <v>57</v>
      </c>
      <c r="GU237" t="s">
        <v>57</v>
      </c>
      <c r="GV237" t="s">
        <v>175</v>
      </c>
      <c r="GW237" t="s">
        <v>57</v>
      </c>
      <c r="GX237" t="s">
        <v>57</v>
      </c>
      <c r="GY237" t="s">
        <v>57</v>
      </c>
      <c r="GZ237" t="s">
        <v>57</v>
      </c>
      <c r="HA237" t="s">
        <v>57</v>
      </c>
      <c r="HB237" t="s">
        <v>57</v>
      </c>
      <c r="HC237" t="s">
        <v>57</v>
      </c>
      <c r="HD237" t="s">
        <v>57</v>
      </c>
      <c r="HE237" t="s">
        <v>57</v>
      </c>
      <c r="HF237" t="s">
        <v>57</v>
      </c>
      <c r="HG237" t="s">
        <v>57</v>
      </c>
      <c r="HH237" t="s">
        <v>57</v>
      </c>
      <c r="HI237" t="s">
        <v>57</v>
      </c>
      <c r="HJ237" t="s">
        <v>57</v>
      </c>
      <c r="HK237" t="s">
        <v>57</v>
      </c>
      <c r="HL237" t="s">
        <v>57</v>
      </c>
      <c r="HM237" t="s">
        <v>57</v>
      </c>
      <c r="HN237" t="s">
        <v>57</v>
      </c>
      <c r="HO237" t="s">
        <v>57</v>
      </c>
      <c r="HP237" t="s">
        <v>57</v>
      </c>
      <c r="HQ237" t="s">
        <v>57</v>
      </c>
      <c r="HR237" t="s">
        <v>57</v>
      </c>
      <c r="HS237" t="s">
        <v>57</v>
      </c>
      <c r="HT237" t="s">
        <v>57</v>
      </c>
      <c r="HU237" t="s">
        <v>57</v>
      </c>
      <c r="HV237" t="s">
        <v>57</v>
      </c>
      <c r="HW237" t="s">
        <v>57</v>
      </c>
      <c r="HX237" t="s">
        <v>57</v>
      </c>
      <c r="HY237" t="s">
        <v>57</v>
      </c>
      <c r="HZ237" t="s">
        <v>57</v>
      </c>
      <c r="IA237" t="s">
        <v>57</v>
      </c>
      <c r="IB237" t="s">
        <v>58</v>
      </c>
      <c r="IC237" t="s">
        <v>58</v>
      </c>
      <c r="ID237" t="s">
        <v>58</v>
      </c>
      <c r="IE237" t="s">
        <v>58</v>
      </c>
      <c r="IF237" t="s">
        <v>123</v>
      </c>
      <c r="IG237" t="s">
        <v>148</v>
      </c>
      <c r="IH237" t="s">
        <v>123</v>
      </c>
      <c r="II237" t="s">
        <v>156</v>
      </c>
    </row>
    <row r="238" spans="1:243" x14ac:dyDescent="0.25">
      <c r="A238" s="201" t="str">
        <f>HYPERLINK("http://www.ofsted.gov.uk/inspection-reports/find-inspection-report/provider/ELS/140421 ","Ofsted School Webpage")</f>
        <v>Ofsted School Webpage</v>
      </c>
      <c r="B238">
        <v>140421</v>
      </c>
      <c r="C238">
        <v>3156005</v>
      </c>
      <c r="D238" t="s">
        <v>1316</v>
      </c>
      <c r="E238" t="s">
        <v>37</v>
      </c>
      <c r="F238" t="s">
        <v>138</v>
      </c>
      <c r="G238" t="s">
        <v>189</v>
      </c>
      <c r="H238" t="s">
        <v>189</v>
      </c>
      <c r="I238" t="s">
        <v>193</v>
      </c>
      <c r="J238" t="s">
        <v>1317</v>
      </c>
      <c r="K238" t="s">
        <v>142</v>
      </c>
      <c r="L238" t="s">
        <v>142</v>
      </c>
      <c r="M238" t="s">
        <v>2596</v>
      </c>
      <c r="N238" t="s">
        <v>143</v>
      </c>
      <c r="O238">
        <v>10038177</v>
      </c>
      <c r="P238" s="108">
        <v>43060</v>
      </c>
      <c r="Q238" s="108">
        <v>43062</v>
      </c>
      <c r="R238" s="108">
        <v>43110</v>
      </c>
      <c r="S238" t="s">
        <v>153</v>
      </c>
      <c r="T238" t="s">
        <v>154</v>
      </c>
      <c r="U238">
        <v>3</v>
      </c>
      <c r="V238">
        <v>3</v>
      </c>
      <c r="W238">
        <v>3</v>
      </c>
      <c r="X238">
        <v>3</v>
      </c>
      <c r="Y238">
        <v>3</v>
      </c>
      <c r="Z238" t="s">
        <v>2596</v>
      </c>
      <c r="AA238" t="s">
        <v>2596</v>
      </c>
      <c r="AB238" t="s">
        <v>123</v>
      </c>
      <c r="AC238" t="s">
        <v>2596</v>
      </c>
      <c r="AD238" t="s">
        <v>2598</v>
      </c>
      <c r="AE238" t="s">
        <v>57</v>
      </c>
      <c r="AF238" t="s">
        <v>57</v>
      </c>
      <c r="AG238" t="s">
        <v>57</v>
      </c>
      <c r="AH238" t="s">
        <v>57</v>
      </c>
      <c r="AI238" t="s">
        <v>57</v>
      </c>
      <c r="AJ238" t="s">
        <v>57</v>
      </c>
      <c r="AK238" t="s">
        <v>57</v>
      </c>
      <c r="AL238" t="s">
        <v>57</v>
      </c>
      <c r="AM238" t="s">
        <v>57</v>
      </c>
      <c r="AN238" t="s">
        <v>57</v>
      </c>
      <c r="AO238" t="s">
        <v>57</v>
      </c>
      <c r="AP238" t="s">
        <v>57</v>
      </c>
      <c r="AQ238" t="s">
        <v>57</v>
      </c>
      <c r="AR238" t="s">
        <v>57</v>
      </c>
      <c r="AS238" t="s">
        <v>57</v>
      </c>
      <c r="AT238" t="s">
        <v>57</v>
      </c>
      <c r="AU238" t="s">
        <v>175</v>
      </c>
      <c r="AV238" t="s">
        <v>57</v>
      </c>
      <c r="AW238" t="s">
        <v>57</v>
      </c>
      <c r="AX238" t="s">
        <v>57</v>
      </c>
      <c r="AY238" t="s">
        <v>57</v>
      </c>
      <c r="AZ238" t="s">
        <v>57</v>
      </c>
      <c r="BA238" t="s">
        <v>57</v>
      </c>
      <c r="BB238" t="s">
        <v>57</v>
      </c>
      <c r="BC238" t="s">
        <v>175</v>
      </c>
      <c r="BD238" t="s">
        <v>175</v>
      </c>
      <c r="BE238" t="s">
        <v>57</v>
      </c>
      <c r="BF238" t="s">
        <v>57</v>
      </c>
      <c r="BG238" t="s">
        <v>57</v>
      </c>
      <c r="BH238" t="s">
        <v>57</v>
      </c>
      <c r="BI238" t="s">
        <v>57</v>
      </c>
      <c r="BJ238" t="s">
        <v>57</v>
      </c>
      <c r="BK238" t="s">
        <v>57</v>
      </c>
      <c r="BL238" t="s">
        <v>57</v>
      </c>
      <c r="BM238" t="s">
        <v>57</v>
      </c>
      <c r="BN238" t="s">
        <v>57</v>
      </c>
      <c r="BO238" t="s">
        <v>57</v>
      </c>
      <c r="BP238" t="s">
        <v>57</v>
      </c>
      <c r="BQ238" t="s">
        <v>57</v>
      </c>
      <c r="BR238" t="s">
        <v>57</v>
      </c>
      <c r="BS238" t="s">
        <v>57</v>
      </c>
      <c r="BT238" t="s">
        <v>57</v>
      </c>
      <c r="BU238" t="s">
        <v>57</v>
      </c>
      <c r="BV238" t="s">
        <v>57</v>
      </c>
      <c r="BW238" t="s">
        <v>57</v>
      </c>
      <c r="BX238" t="s">
        <v>57</v>
      </c>
      <c r="BY238" t="s">
        <v>57</v>
      </c>
      <c r="BZ238" t="s">
        <v>57</v>
      </c>
      <c r="CA238" t="s">
        <v>57</v>
      </c>
      <c r="CB238" t="s">
        <v>57</v>
      </c>
      <c r="CC238" t="s">
        <v>57</v>
      </c>
      <c r="CD238" t="s">
        <v>57</v>
      </c>
      <c r="CE238" t="s">
        <v>57</v>
      </c>
      <c r="CF238" t="s">
        <v>57</v>
      </c>
      <c r="CG238" t="s">
        <v>57</v>
      </c>
      <c r="CH238" t="s">
        <v>57</v>
      </c>
      <c r="CI238" t="s">
        <v>57</v>
      </c>
      <c r="CJ238" t="s">
        <v>57</v>
      </c>
      <c r="CK238" t="s">
        <v>175</v>
      </c>
      <c r="CL238" t="s">
        <v>175</v>
      </c>
      <c r="CM238" t="s">
        <v>175</v>
      </c>
      <c r="CN238" t="s">
        <v>57</v>
      </c>
      <c r="CO238" t="s">
        <v>57</v>
      </c>
      <c r="CP238" t="s">
        <v>57</v>
      </c>
      <c r="CQ238" t="s">
        <v>57</v>
      </c>
      <c r="CR238" t="s">
        <v>57</v>
      </c>
      <c r="CS238" t="s">
        <v>57</v>
      </c>
      <c r="CT238" t="s">
        <v>57</v>
      </c>
      <c r="CU238" t="s">
        <v>57</v>
      </c>
      <c r="CV238" t="s">
        <v>57</v>
      </c>
      <c r="CW238" t="s">
        <v>57</v>
      </c>
      <c r="CX238" t="s">
        <v>57</v>
      </c>
      <c r="CY238" t="s">
        <v>57</v>
      </c>
      <c r="CZ238" t="s">
        <v>57</v>
      </c>
      <c r="DA238" t="s">
        <v>57</v>
      </c>
      <c r="DB238" t="s">
        <v>57</v>
      </c>
      <c r="DC238" t="s">
        <v>57</v>
      </c>
      <c r="DD238" t="s">
        <v>57</v>
      </c>
      <c r="DE238" t="s">
        <v>57</v>
      </c>
      <c r="DF238" t="s">
        <v>57</v>
      </c>
      <c r="DG238" t="s">
        <v>57</v>
      </c>
      <c r="DH238" t="s">
        <v>57</v>
      </c>
      <c r="DI238" t="s">
        <v>57</v>
      </c>
      <c r="DJ238" t="s">
        <v>57</v>
      </c>
      <c r="DK238" t="s">
        <v>175</v>
      </c>
      <c r="DL238" t="s">
        <v>57</v>
      </c>
      <c r="DM238" t="s">
        <v>175</v>
      </c>
      <c r="DN238" t="s">
        <v>175</v>
      </c>
      <c r="DO238" t="s">
        <v>175</v>
      </c>
      <c r="DP238" t="s">
        <v>175</v>
      </c>
      <c r="DQ238" t="s">
        <v>175</v>
      </c>
      <c r="DR238" t="s">
        <v>175</v>
      </c>
      <c r="DS238" t="s">
        <v>175</v>
      </c>
      <c r="DT238" t="s">
        <v>175</v>
      </c>
      <c r="DU238" t="s">
        <v>175</v>
      </c>
      <c r="DV238" t="s">
        <v>175</v>
      </c>
      <c r="DW238" t="s">
        <v>175</v>
      </c>
      <c r="DX238" t="s">
        <v>175</v>
      </c>
      <c r="DY238" t="s">
        <v>175</v>
      </c>
      <c r="DZ238" t="s">
        <v>175</v>
      </c>
      <c r="EA238" t="s">
        <v>175</v>
      </c>
      <c r="EB238" t="s">
        <v>175</v>
      </c>
      <c r="EC238" t="s">
        <v>175</v>
      </c>
      <c r="ED238" t="s">
        <v>175</v>
      </c>
      <c r="EE238" t="s">
        <v>175</v>
      </c>
      <c r="EF238" t="s">
        <v>175</v>
      </c>
      <c r="EG238" t="s">
        <v>175</v>
      </c>
      <c r="EH238" t="s">
        <v>175</v>
      </c>
      <c r="EI238" t="s">
        <v>175</v>
      </c>
      <c r="EJ238" t="s">
        <v>57</v>
      </c>
      <c r="EK238" t="s">
        <v>57</v>
      </c>
      <c r="EL238" t="s">
        <v>57</v>
      </c>
      <c r="EM238" t="s">
        <v>57</v>
      </c>
      <c r="EN238" t="s">
        <v>57</v>
      </c>
      <c r="EO238" t="s">
        <v>57</v>
      </c>
      <c r="EP238" t="s">
        <v>57</v>
      </c>
      <c r="EQ238" t="s">
        <v>57</v>
      </c>
      <c r="ER238" t="s">
        <v>57</v>
      </c>
      <c r="ES238" t="s">
        <v>57</v>
      </c>
      <c r="ET238" t="s">
        <v>57</v>
      </c>
      <c r="EU238" t="s">
        <v>57</v>
      </c>
      <c r="EV238" t="s">
        <v>57</v>
      </c>
      <c r="EW238" t="s">
        <v>57</v>
      </c>
      <c r="EX238" t="s">
        <v>175</v>
      </c>
      <c r="EY238" t="s">
        <v>175</v>
      </c>
      <c r="EZ238" t="s">
        <v>175</v>
      </c>
      <c r="FA238" t="s">
        <v>175</v>
      </c>
      <c r="FB238" t="s">
        <v>175</v>
      </c>
      <c r="FC238" t="s">
        <v>175</v>
      </c>
      <c r="FD238" t="s">
        <v>175</v>
      </c>
      <c r="FE238" t="s">
        <v>175</v>
      </c>
      <c r="FF238" t="s">
        <v>148</v>
      </c>
      <c r="FG238" t="s">
        <v>175</v>
      </c>
      <c r="FH238" t="s">
        <v>57</v>
      </c>
      <c r="FI238" t="s">
        <v>57</v>
      </c>
      <c r="FJ238" t="s">
        <v>57</v>
      </c>
      <c r="FK238" t="s">
        <v>57</v>
      </c>
      <c r="FL238" t="s">
        <v>57</v>
      </c>
      <c r="FM238" t="s">
        <v>57</v>
      </c>
      <c r="FN238" t="s">
        <v>57</v>
      </c>
      <c r="FO238" t="s">
        <v>175</v>
      </c>
      <c r="FP238" t="s">
        <v>57</v>
      </c>
      <c r="FQ238" t="s">
        <v>57</v>
      </c>
      <c r="FR238" t="s">
        <v>57</v>
      </c>
      <c r="FS238" t="s">
        <v>57</v>
      </c>
      <c r="FT238" t="s">
        <v>57</v>
      </c>
      <c r="FU238" t="s">
        <v>57</v>
      </c>
      <c r="FV238" t="s">
        <v>57</v>
      </c>
      <c r="FW238" t="s">
        <v>57</v>
      </c>
      <c r="FX238" t="s">
        <v>57</v>
      </c>
      <c r="FY238" t="s">
        <v>57</v>
      </c>
      <c r="FZ238" t="s">
        <v>57</v>
      </c>
      <c r="GA238" t="s">
        <v>57</v>
      </c>
      <c r="GB238" t="s">
        <v>57</v>
      </c>
      <c r="GC238" t="s">
        <v>57</v>
      </c>
      <c r="GD238" t="s">
        <v>57</v>
      </c>
      <c r="GE238" t="s">
        <v>57</v>
      </c>
      <c r="GF238" t="s">
        <v>57</v>
      </c>
      <c r="GG238" t="s">
        <v>175</v>
      </c>
      <c r="GH238" t="s">
        <v>57</v>
      </c>
      <c r="GI238" t="s">
        <v>57</v>
      </c>
      <c r="GJ238" t="s">
        <v>57</v>
      </c>
      <c r="GK238" t="s">
        <v>57</v>
      </c>
      <c r="GL238" t="s">
        <v>57</v>
      </c>
      <c r="GM238" t="s">
        <v>175</v>
      </c>
      <c r="GN238" t="s">
        <v>57</v>
      </c>
      <c r="GO238" t="s">
        <v>57</v>
      </c>
      <c r="GP238" t="s">
        <v>57</v>
      </c>
      <c r="GQ238" t="s">
        <v>57</v>
      </c>
      <c r="GR238" t="s">
        <v>57</v>
      </c>
      <c r="GS238" t="s">
        <v>57</v>
      </c>
      <c r="GT238" t="s">
        <v>57</v>
      </c>
      <c r="GU238" t="s">
        <v>57</v>
      </c>
      <c r="GV238" t="s">
        <v>57</v>
      </c>
      <c r="GW238" t="s">
        <v>175</v>
      </c>
      <c r="GX238" t="s">
        <v>57</v>
      </c>
      <c r="GY238" t="s">
        <v>57</v>
      </c>
      <c r="GZ238" t="s">
        <v>57</v>
      </c>
      <c r="HA238" t="s">
        <v>57</v>
      </c>
      <c r="HB238" t="s">
        <v>57</v>
      </c>
      <c r="HC238" t="s">
        <v>57</v>
      </c>
      <c r="HD238" t="s">
        <v>57</v>
      </c>
      <c r="HE238" t="s">
        <v>57</v>
      </c>
      <c r="HF238" t="s">
        <v>57</v>
      </c>
      <c r="HG238" t="s">
        <v>57</v>
      </c>
      <c r="HH238" t="s">
        <v>175</v>
      </c>
      <c r="HI238" t="s">
        <v>175</v>
      </c>
      <c r="HJ238" t="s">
        <v>175</v>
      </c>
      <c r="HK238" t="s">
        <v>175</v>
      </c>
      <c r="HL238" t="s">
        <v>57</v>
      </c>
      <c r="HM238" t="s">
        <v>57</v>
      </c>
      <c r="HN238" t="s">
        <v>57</v>
      </c>
      <c r="HO238" t="s">
        <v>57</v>
      </c>
      <c r="HP238" t="s">
        <v>57</v>
      </c>
      <c r="HQ238" t="s">
        <v>57</v>
      </c>
      <c r="HR238" t="s">
        <v>57</v>
      </c>
      <c r="HS238" t="s">
        <v>57</v>
      </c>
      <c r="HT238" t="s">
        <v>57</v>
      </c>
      <c r="HU238" t="s">
        <v>57</v>
      </c>
      <c r="HV238" t="s">
        <v>57</v>
      </c>
      <c r="HW238" t="s">
        <v>57</v>
      </c>
      <c r="HX238" t="s">
        <v>57</v>
      </c>
      <c r="HY238" t="s">
        <v>57</v>
      </c>
      <c r="HZ238" t="s">
        <v>57</v>
      </c>
      <c r="IA238" t="s">
        <v>57</v>
      </c>
      <c r="IB238" t="s">
        <v>57</v>
      </c>
      <c r="IC238" t="s">
        <v>57</v>
      </c>
      <c r="ID238" t="s">
        <v>57</v>
      </c>
      <c r="IE238" t="s">
        <v>57</v>
      </c>
      <c r="IF238" t="s">
        <v>124</v>
      </c>
      <c r="IG238" t="s">
        <v>148</v>
      </c>
      <c r="IH238" t="s">
        <v>123</v>
      </c>
      <c r="II238" t="s">
        <v>156</v>
      </c>
    </row>
    <row r="239" spans="1:243" x14ac:dyDescent="0.25">
      <c r="A239" s="201" t="str">
        <f>HYPERLINK("http://www.ofsted.gov.uk/inspection-reports/find-inspection-report/provider/ELS/140486 ","Ofsted School Webpage")</f>
        <v>Ofsted School Webpage</v>
      </c>
      <c r="B239">
        <v>140486</v>
      </c>
      <c r="C239">
        <v>3516003</v>
      </c>
      <c r="D239" t="s">
        <v>1822</v>
      </c>
      <c r="E239" t="s">
        <v>37</v>
      </c>
      <c r="F239" t="s">
        <v>138</v>
      </c>
      <c r="G239" t="s">
        <v>162</v>
      </c>
      <c r="H239" t="s">
        <v>162</v>
      </c>
      <c r="I239" t="s">
        <v>409</v>
      </c>
      <c r="J239" t="s">
        <v>1823</v>
      </c>
      <c r="K239" t="s">
        <v>142</v>
      </c>
      <c r="L239" t="s">
        <v>142</v>
      </c>
      <c r="M239" t="s">
        <v>2596</v>
      </c>
      <c r="N239" t="s">
        <v>143</v>
      </c>
      <c r="O239">
        <v>10038936</v>
      </c>
      <c r="P239" s="108">
        <v>43053</v>
      </c>
      <c r="Q239" s="108">
        <v>43055</v>
      </c>
      <c r="R239" s="108">
        <v>43077</v>
      </c>
      <c r="S239" t="s">
        <v>153</v>
      </c>
      <c r="T239" t="s">
        <v>154</v>
      </c>
      <c r="U239">
        <v>2</v>
      </c>
      <c r="V239">
        <v>2</v>
      </c>
      <c r="W239">
        <v>2</v>
      </c>
      <c r="X239">
        <v>2</v>
      </c>
      <c r="Y239">
        <v>2</v>
      </c>
      <c r="Z239" t="s">
        <v>2596</v>
      </c>
      <c r="AA239" t="s">
        <v>2596</v>
      </c>
      <c r="AB239" t="s">
        <v>123</v>
      </c>
      <c r="AC239" t="s">
        <v>2596</v>
      </c>
      <c r="AD239" t="s">
        <v>2598</v>
      </c>
      <c r="AE239" t="s">
        <v>57</v>
      </c>
      <c r="AF239" t="s">
        <v>57</v>
      </c>
      <c r="AG239" t="s">
        <v>57</v>
      </c>
      <c r="AH239" t="s">
        <v>57</v>
      </c>
      <c r="AI239" t="s">
        <v>57</v>
      </c>
      <c r="AJ239" t="s">
        <v>57</v>
      </c>
      <c r="AK239" t="s">
        <v>57</v>
      </c>
      <c r="AL239" t="s">
        <v>57</v>
      </c>
      <c r="AM239" t="s">
        <v>57</v>
      </c>
      <c r="AN239" t="s">
        <v>57</v>
      </c>
      <c r="AO239" t="s">
        <v>57</v>
      </c>
      <c r="AP239" t="s">
        <v>57</v>
      </c>
      <c r="AQ239" t="s">
        <v>57</v>
      </c>
      <c r="AR239" t="s">
        <v>57</v>
      </c>
      <c r="AS239" t="s">
        <v>57</v>
      </c>
      <c r="AT239" t="s">
        <v>57</v>
      </c>
      <c r="AU239" t="s">
        <v>175</v>
      </c>
      <c r="AV239" t="s">
        <v>57</v>
      </c>
      <c r="AW239" t="s">
        <v>57</v>
      </c>
      <c r="AX239" t="s">
        <v>57</v>
      </c>
      <c r="AY239" t="s">
        <v>57</v>
      </c>
      <c r="AZ239" t="s">
        <v>57</v>
      </c>
      <c r="BA239" t="s">
        <v>57</v>
      </c>
      <c r="BB239" t="s">
        <v>57</v>
      </c>
      <c r="BC239" t="s">
        <v>175</v>
      </c>
      <c r="BD239" t="s">
        <v>175</v>
      </c>
      <c r="BE239" t="s">
        <v>57</v>
      </c>
      <c r="BF239" t="s">
        <v>57</v>
      </c>
      <c r="BG239" t="s">
        <v>57</v>
      </c>
      <c r="BH239" t="s">
        <v>57</v>
      </c>
      <c r="BI239" t="s">
        <v>57</v>
      </c>
      <c r="BJ239" t="s">
        <v>57</v>
      </c>
      <c r="BK239" t="s">
        <v>57</v>
      </c>
      <c r="BL239" t="s">
        <v>57</v>
      </c>
      <c r="BM239" t="s">
        <v>57</v>
      </c>
      <c r="BN239" t="s">
        <v>57</v>
      </c>
      <c r="BO239" t="s">
        <v>57</v>
      </c>
      <c r="BP239" t="s">
        <v>57</v>
      </c>
      <c r="BQ239" t="s">
        <v>57</v>
      </c>
      <c r="BR239" t="s">
        <v>57</v>
      </c>
      <c r="BS239" t="s">
        <v>57</v>
      </c>
      <c r="BT239" t="s">
        <v>57</v>
      </c>
      <c r="BU239" t="s">
        <v>57</v>
      </c>
      <c r="BV239" t="s">
        <v>57</v>
      </c>
      <c r="BW239" t="s">
        <v>57</v>
      </c>
      <c r="BX239" t="s">
        <v>57</v>
      </c>
      <c r="BY239" t="s">
        <v>57</v>
      </c>
      <c r="BZ239" t="s">
        <v>57</v>
      </c>
      <c r="CA239" t="s">
        <v>57</v>
      </c>
      <c r="CB239" t="s">
        <v>57</v>
      </c>
      <c r="CC239" t="s">
        <v>57</v>
      </c>
      <c r="CD239" t="s">
        <v>57</v>
      </c>
      <c r="CE239" t="s">
        <v>57</v>
      </c>
      <c r="CF239" t="s">
        <v>57</v>
      </c>
      <c r="CG239" t="s">
        <v>57</v>
      </c>
      <c r="CH239" t="s">
        <v>57</v>
      </c>
      <c r="CI239" t="s">
        <v>57</v>
      </c>
      <c r="CJ239" t="s">
        <v>57</v>
      </c>
      <c r="CK239" t="s">
        <v>175</v>
      </c>
      <c r="CL239" t="s">
        <v>175</v>
      </c>
      <c r="CM239" t="s">
        <v>175</v>
      </c>
      <c r="CN239" t="s">
        <v>57</v>
      </c>
      <c r="CO239" t="s">
        <v>57</v>
      </c>
      <c r="CP239" t="s">
        <v>57</v>
      </c>
      <c r="CQ239" t="s">
        <v>57</v>
      </c>
      <c r="CR239" t="s">
        <v>57</v>
      </c>
      <c r="CS239" t="s">
        <v>57</v>
      </c>
      <c r="CT239" t="s">
        <v>57</v>
      </c>
      <c r="CU239" t="s">
        <v>57</v>
      </c>
      <c r="CV239" t="s">
        <v>57</v>
      </c>
      <c r="CW239" t="s">
        <v>57</v>
      </c>
      <c r="CX239" t="s">
        <v>57</v>
      </c>
      <c r="CY239" t="s">
        <v>57</v>
      </c>
      <c r="CZ239" t="s">
        <v>57</v>
      </c>
      <c r="DA239" t="s">
        <v>57</v>
      </c>
      <c r="DB239" t="s">
        <v>57</v>
      </c>
      <c r="DC239" t="s">
        <v>57</v>
      </c>
      <c r="DD239" t="s">
        <v>57</v>
      </c>
      <c r="DE239" t="s">
        <v>57</v>
      </c>
      <c r="DF239" t="s">
        <v>57</v>
      </c>
      <c r="DG239" t="s">
        <v>57</v>
      </c>
      <c r="DH239" t="s">
        <v>57</v>
      </c>
      <c r="DI239" t="s">
        <v>57</v>
      </c>
      <c r="DJ239" t="s">
        <v>57</v>
      </c>
      <c r="DK239" t="s">
        <v>175</v>
      </c>
      <c r="DL239" t="s">
        <v>57</v>
      </c>
      <c r="DM239" t="s">
        <v>57</v>
      </c>
      <c r="DN239" t="s">
        <v>57</v>
      </c>
      <c r="DO239" t="s">
        <v>57</v>
      </c>
      <c r="DP239" t="s">
        <v>57</v>
      </c>
      <c r="DQ239" t="s">
        <v>57</v>
      </c>
      <c r="DR239" t="s">
        <v>57</v>
      </c>
      <c r="DS239" t="s">
        <v>57</v>
      </c>
      <c r="DT239" t="s">
        <v>57</v>
      </c>
      <c r="DU239" t="s">
        <v>57</v>
      </c>
      <c r="DV239" t="s">
        <v>57</v>
      </c>
      <c r="DW239" t="s">
        <v>57</v>
      </c>
      <c r="DX239" t="s">
        <v>57</v>
      </c>
      <c r="DY239" t="s">
        <v>175</v>
      </c>
      <c r="DZ239" t="s">
        <v>57</v>
      </c>
      <c r="EA239" t="s">
        <v>57</v>
      </c>
      <c r="EB239" t="s">
        <v>57</v>
      </c>
      <c r="EC239" t="s">
        <v>57</v>
      </c>
      <c r="ED239" t="s">
        <v>57</v>
      </c>
      <c r="EE239" t="s">
        <v>57</v>
      </c>
      <c r="EF239" t="s">
        <v>57</v>
      </c>
      <c r="EG239" t="s">
        <v>57</v>
      </c>
      <c r="EH239" t="s">
        <v>57</v>
      </c>
      <c r="EI239" t="s">
        <v>57</v>
      </c>
      <c r="EJ239" t="s">
        <v>57</v>
      </c>
      <c r="EK239" t="s">
        <v>57</v>
      </c>
      <c r="EL239" t="s">
        <v>57</v>
      </c>
      <c r="EM239" t="s">
        <v>57</v>
      </c>
      <c r="EN239" t="s">
        <v>57</v>
      </c>
      <c r="EO239" t="s">
        <v>175</v>
      </c>
      <c r="EP239" t="s">
        <v>57</v>
      </c>
      <c r="EQ239" t="s">
        <v>57</v>
      </c>
      <c r="ER239" t="s">
        <v>57</v>
      </c>
      <c r="ES239" t="s">
        <v>57</v>
      </c>
      <c r="ET239" t="s">
        <v>57</v>
      </c>
      <c r="EU239" t="s">
        <v>57</v>
      </c>
      <c r="EV239" t="s">
        <v>57</v>
      </c>
      <c r="EW239" t="s">
        <v>175</v>
      </c>
      <c r="EX239" t="s">
        <v>57</v>
      </c>
      <c r="EY239" t="s">
        <v>57</v>
      </c>
      <c r="EZ239" t="s">
        <v>57</v>
      </c>
      <c r="FA239" t="s">
        <v>57</v>
      </c>
      <c r="FB239" t="s">
        <v>57</v>
      </c>
      <c r="FC239" t="s">
        <v>57</v>
      </c>
      <c r="FD239" t="s">
        <v>57</v>
      </c>
      <c r="FE239" t="s">
        <v>57</v>
      </c>
      <c r="FF239" t="s">
        <v>57</v>
      </c>
      <c r="FG239" t="s">
        <v>57</v>
      </c>
      <c r="FH239" t="s">
        <v>57</v>
      </c>
      <c r="FI239" t="s">
        <v>57</v>
      </c>
      <c r="FJ239" t="s">
        <v>57</v>
      </c>
      <c r="FK239" t="s">
        <v>57</v>
      </c>
      <c r="FL239" t="s">
        <v>57</v>
      </c>
      <c r="FM239" t="s">
        <v>57</v>
      </c>
      <c r="FN239" t="s">
        <v>57</v>
      </c>
      <c r="FO239" t="s">
        <v>175</v>
      </c>
      <c r="FP239" t="s">
        <v>57</v>
      </c>
      <c r="FQ239" t="s">
        <v>57</v>
      </c>
      <c r="FR239" t="s">
        <v>57</v>
      </c>
      <c r="FS239" t="s">
        <v>57</v>
      </c>
      <c r="FT239" t="s">
        <v>57</v>
      </c>
      <c r="FU239" t="s">
        <v>57</v>
      </c>
      <c r="FV239" t="s">
        <v>57</v>
      </c>
      <c r="FW239" t="s">
        <v>57</v>
      </c>
      <c r="FX239" t="s">
        <v>57</v>
      </c>
      <c r="FY239" t="s">
        <v>57</v>
      </c>
      <c r="FZ239" t="s">
        <v>57</v>
      </c>
      <c r="GA239" t="s">
        <v>57</v>
      </c>
      <c r="GB239" t="s">
        <v>57</v>
      </c>
      <c r="GC239" t="s">
        <v>57</v>
      </c>
      <c r="GD239" t="s">
        <v>57</v>
      </c>
      <c r="GE239" t="s">
        <v>57</v>
      </c>
      <c r="GF239" t="s">
        <v>57</v>
      </c>
      <c r="GG239" t="s">
        <v>175</v>
      </c>
      <c r="GH239" t="s">
        <v>57</v>
      </c>
      <c r="GI239" t="s">
        <v>57</v>
      </c>
      <c r="GJ239" t="s">
        <v>57</v>
      </c>
      <c r="GK239" t="s">
        <v>57</v>
      </c>
      <c r="GL239" t="s">
        <v>57</v>
      </c>
      <c r="GM239" t="s">
        <v>175</v>
      </c>
      <c r="GN239" t="s">
        <v>57</v>
      </c>
      <c r="GO239" t="s">
        <v>57</v>
      </c>
      <c r="GP239" t="s">
        <v>57</v>
      </c>
      <c r="GQ239" t="s">
        <v>57</v>
      </c>
      <c r="GR239" t="s">
        <v>175</v>
      </c>
      <c r="GS239" t="s">
        <v>57</v>
      </c>
      <c r="GT239" t="s">
        <v>57</v>
      </c>
      <c r="GU239" t="s">
        <v>57</v>
      </c>
      <c r="GV239" t="s">
        <v>175</v>
      </c>
      <c r="GW239" t="s">
        <v>57</v>
      </c>
      <c r="GX239" t="s">
        <v>175</v>
      </c>
      <c r="GY239" t="s">
        <v>57</v>
      </c>
      <c r="GZ239" t="s">
        <v>57</v>
      </c>
      <c r="HA239" t="s">
        <v>57</v>
      </c>
      <c r="HB239" t="s">
        <v>57</v>
      </c>
      <c r="HC239" t="s">
        <v>57</v>
      </c>
      <c r="HD239" t="s">
        <v>57</v>
      </c>
      <c r="HE239" t="s">
        <v>57</v>
      </c>
      <c r="HF239" t="s">
        <v>57</v>
      </c>
      <c r="HG239" t="s">
        <v>57</v>
      </c>
      <c r="HH239" t="s">
        <v>175</v>
      </c>
      <c r="HI239" t="s">
        <v>175</v>
      </c>
      <c r="HJ239" t="s">
        <v>175</v>
      </c>
      <c r="HK239" t="s">
        <v>175</v>
      </c>
      <c r="HL239" t="s">
        <v>57</v>
      </c>
      <c r="HM239" t="s">
        <v>57</v>
      </c>
      <c r="HN239" t="s">
        <v>57</v>
      </c>
      <c r="HO239" t="s">
        <v>57</v>
      </c>
      <c r="HP239" t="s">
        <v>57</v>
      </c>
      <c r="HQ239" t="s">
        <v>57</v>
      </c>
      <c r="HR239" t="s">
        <v>57</v>
      </c>
      <c r="HS239" t="s">
        <v>57</v>
      </c>
      <c r="HT239" t="s">
        <v>57</v>
      </c>
      <c r="HU239" t="s">
        <v>57</v>
      </c>
      <c r="HV239" t="s">
        <v>57</v>
      </c>
      <c r="HW239" t="s">
        <v>57</v>
      </c>
      <c r="HX239" t="s">
        <v>57</v>
      </c>
      <c r="HY239" t="s">
        <v>57</v>
      </c>
      <c r="HZ239" t="s">
        <v>57</v>
      </c>
      <c r="IA239" t="s">
        <v>57</v>
      </c>
      <c r="IB239" t="s">
        <v>57</v>
      </c>
      <c r="IC239" t="s">
        <v>57</v>
      </c>
      <c r="ID239" t="s">
        <v>57</v>
      </c>
      <c r="IE239" t="s">
        <v>57</v>
      </c>
      <c r="IF239" t="s">
        <v>124</v>
      </c>
      <c r="IG239" t="s">
        <v>148</v>
      </c>
      <c r="IH239" t="s">
        <v>123</v>
      </c>
      <c r="II239" t="s">
        <v>156</v>
      </c>
    </row>
    <row r="240" spans="1:243" x14ac:dyDescent="0.25">
      <c r="A240" s="201" t="str">
        <f>HYPERLINK("http://www.ofsted.gov.uk/inspection-reports/find-inspection-report/provider/ELS/140566 ","Ofsted School Webpage")</f>
        <v>Ofsted School Webpage</v>
      </c>
      <c r="B240">
        <v>140566</v>
      </c>
      <c r="C240">
        <v>3806009</v>
      </c>
      <c r="D240" t="s">
        <v>918</v>
      </c>
      <c r="E240" t="s">
        <v>37</v>
      </c>
      <c r="F240" t="s">
        <v>138</v>
      </c>
      <c r="G240" t="s">
        <v>202</v>
      </c>
      <c r="H240" t="s">
        <v>203</v>
      </c>
      <c r="I240" t="s">
        <v>295</v>
      </c>
      <c r="J240" t="s">
        <v>919</v>
      </c>
      <c r="K240" t="s">
        <v>142</v>
      </c>
      <c r="L240" t="s">
        <v>142</v>
      </c>
      <c r="M240" t="s">
        <v>2596</v>
      </c>
      <c r="N240" t="s">
        <v>143</v>
      </c>
      <c r="O240">
        <v>10043658</v>
      </c>
      <c r="P240" s="108">
        <v>43130</v>
      </c>
      <c r="Q240" s="108">
        <v>43132</v>
      </c>
      <c r="R240" s="108">
        <v>43161</v>
      </c>
      <c r="S240" t="s">
        <v>153</v>
      </c>
      <c r="T240" t="s">
        <v>154</v>
      </c>
      <c r="U240">
        <v>3</v>
      </c>
      <c r="V240">
        <v>3</v>
      </c>
      <c r="W240">
        <v>2</v>
      </c>
      <c r="X240">
        <v>3</v>
      </c>
      <c r="Y240">
        <v>3</v>
      </c>
      <c r="Z240" t="s">
        <v>2596</v>
      </c>
      <c r="AA240" t="s">
        <v>2596</v>
      </c>
      <c r="AB240" t="s">
        <v>123</v>
      </c>
      <c r="AC240" t="s">
        <v>2596</v>
      </c>
      <c r="AD240" t="s">
        <v>2599</v>
      </c>
      <c r="AE240" t="s">
        <v>58</v>
      </c>
      <c r="AF240" t="s">
        <v>57</v>
      </c>
      <c r="AG240" t="s">
        <v>57</v>
      </c>
      <c r="AH240" t="s">
        <v>57</v>
      </c>
      <c r="AI240" t="s">
        <v>57</v>
      </c>
      <c r="AJ240" t="s">
        <v>57</v>
      </c>
      <c r="AK240" t="s">
        <v>57</v>
      </c>
      <c r="AL240" t="s">
        <v>58</v>
      </c>
      <c r="AM240" t="s">
        <v>58</v>
      </c>
      <c r="AN240" t="s">
        <v>57</v>
      </c>
      <c r="AO240" t="s">
        <v>58</v>
      </c>
      <c r="AP240" t="s">
        <v>57</v>
      </c>
      <c r="AQ240" t="s">
        <v>57</v>
      </c>
      <c r="AR240" t="s">
        <v>57</v>
      </c>
      <c r="AS240" t="s">
        <v>57</v>
      </c>
      <c r="AT240" t="s">
        <v>57</v>
      </c>
      <c r="AU240" t="s">
        <v>175</v>
      </c>
      <c r="AV240" t="s">
        <v>57</v>
      </c>
      <c r="AW240" t="s">
        <v>57</v>
      </c>
      <c r="AX240" t="s">
        <v>57</v>
      </c>
      <c r="AY240" t="s">
        <v>57</v>
      </c>
      <c r="AZ240" t="s">
        <v>57</v>
      </c>
      <c r="BA240" t="s">
        <v>57</v>
      </c>
      <c r="BB240" t="s">
        <v>57</v>
      </c>
      <c r="BC240" t="s">
        <v>57</v>
      </c>
      <c r="BD240" t="s">
        <v>57</v>
      </c>
      <c r="BE240" t="s">
        <v>57</v>
      </c>
      <c r="BF240" t="s">
        <v>57</v>
      </c>
      <c r="BG240" t="s">
        <v>58</v>
      </c>
      <c r="BH240" t="s">
        <v>58</v>
      </c>
      <c r="BI240" t="s">
        <v>57</v>
      </c>
      <c r="BJ240" t="s">
        <v>58</v>
      </c>
      <c r="BK240" t="s">
        <v>58</v>
      </c>
      <c r="BL240" t="s">
        <v>58</v>
      </c>
      <c r="BM240" t="s">
        <v>57</v>
      </c>
      <c r="BN240" t="s">
        <v>57</v>
      </c>
      <c r="BO240" t="s">
        <v>57</v>
      </c>
      <c r="BP240" t="s">
        <v>57</v>
      </c>
      <c r="BQ240" t="s">
        <v>57</v>
      </c>
      <c r="BR240" t="s">
        <v>57</v>
      </c>
      <c r="BS240" t="s">
        <v>57</v>
      </c>
      <c r="BT240" t="s">
        <v>57</v>
      </c>
      <c r="BU240" t="s">
        <v>57</v>
      </c>
      <c r="BV240" t="s">
        <v>57</v>
      </c>
      <c r="BW240" t="s">
        <v>57</v>
      </c>
      <c r="BX240" t="s">
        <v>57</v>
      </c>
      <c r="BY240" t="s">
        <v>57</v>
      </c>
      <c r="BZ240" t="s">
        <v>57</v>
      </c>
      <c r="CA240" t="s">
        <v>57</v>
      </c>
      <c r="CB240" t="s">
        <v>57</v>
      </c>
      <c r="CC240" t="s">
        <v>57</v>
      </c>
      <c r="CD240" t="s">
        <v>57</v>
      </c>
      <c r="CE240" t="s">
        <v>57</v>
      </c>
      <c r="CF240" t="s">
        <v>57</v>
      </c>
      <c r="CG240" t="s">
        <v>57</v>
      </c>
      <c r="CH240" t="s">
        <v>57</v>
      </c>
      <c r="CI240" t="s">
        <v>57</v>
      </c>
      <c r="CJ240" t="s">
        <v>57</v>
      </c>
      <c r="CK240" t="s">
        <v>175</v>
      </c>
      <c r="CL240" t="s">
        <v>175</v>
      </c>
      <c r="CM240" t="s">
        <v>175</v>
      </c>
      <c r="CN240" t="s">
        <v>57</v>
      </c>
      <c r="CO240" t="s">
        <v>57</v>
      </c>
      <c r="CP240" t="s">
        <v>57</v>
      </c>
      <c r="CQ240" t="s">
        <v>57</v>
      </c>
      <c r="CR240" t="s">
        <v>57</v>
      </c>
      <c r="CS240" t="s">
        <v>57</v>
      </c>
      <c r="CT240" t="s">
        <v>57</v>
      </c>
      <c r="CU240" t="s">
        <v>57</v>
      </c>
      <c r="CV240" t="s">
        <v>57</v>
      </c>
      <c r="CW240" t="s">
        <v>57</v>
      </c>
      <c r="CX240" t="s">
        <v>57</v>
      </c>
      <c r="CY240" t="s">
        <v>57</v>
      </c>
      <c r="CZ240" t="s">
        <v>57</v>
      </c>
      <c r="DA240" t="s">
        <v>57</v>
      </c>
      <c r="DB240" t="s">
        <v>57</v>
      </c>
      <c r="DC240" t="s">
        <v>57</v>
      </c>
      <c r="DD240" t="s">
        <v>57</v>
      </c>
      <c r="DE240" t="s">
        <v>57</v>
      </c>
      <c r="DF240" t="s">
        <v>57</v>
      </c>
      <c r="DG240" t="s">
        <v>57</v>
      </c>
      <c r="DH240" t="s">
        <v>57</v>
      </c>
      <c r="DI240" t="s">
        <v>57</v>
      </c>
      <c r="DJ240" t="s">
        <v>57</v>
      </c>
      <c r="DK240" t="s">
        <v>175</v>
      </c>
      <c r="DL240" t="s">
        <v>57</v>
      </c>
      <c r="DM240" t="s">
        <v>57</v>
      </c>
      <c r="DN240" t="s">
        <v>57</v>
      </c>
      <c r="DO240" t="s">
        <v>57</v>
      </c>
      <c r="DP240" t="s">
        <v>57</v>
      </c>
      <c r="DQ240" t="s">
        <v>57</v>
      </c>
      <c r="DR240" t="s">
        <v>57</v>
      </c>
      <c r="DS240" t="s">
        <v>57</v>
      </c>
      <c r="DT240" t="s">
        <v>57</v>
      </c>
      <c r="DU240" t="s">
        <v>57</v>
      </c>
      <c r="DV240" t="s">
        <v>57</v>
      </c>
      <c r="DW240" t="s">
        <v>57</v>
      </c>
      <c r="DX240" t="s">
        <v>57</v>
      </c>
      <c r="DY240" t="s">
        <v>175</v>
      </c>
      <c r="DZ240" t="s">
        <v>57</v>
      </c>
      <c r="EA240" t="s">
        <v>57</v>
      </c>
      <c r="EB240" t="s">
        <v>57</v>
      </c>
      <c r="EC240" t="s">
        <v>57</v>
      </c>
      <c r="ED240" t="s">
        <v>57</v>
      </c>
      <c r="EE240" t="s">
        <v>57</v>
      </c>
      <c r="EF240" t="s">
        <v>57</v>
      </c>
      <c r="EG240" t="s">
        <v>57</v>
      </c>
      <c r="EH240" t="s">
        <v>57</v>
      </c>
      <c r="EI240" t="s">
        <v>57</v>
      </c>
      <c r="EJ240" t="s">
        <v>57</v>
      </c>
      <c r="EK240" t="s">
        <v>57</v>
      </c>
      <c r="EL240" t="s">
        <v>57</v>
      </c>
      <c r="EM240" t="s">
        <v>57</v>
      </c>
      <c r="EN240" t="s">
        <v>57</v>
      </c>
      <c r="EO240" t="s">
        <v>57</v>
      </c>
      <c r="EP240" t="s">
        <v>57</v>
      </c>
      <c r="EQ240" t="s">
        <v>57</v>
      </c>
      <c r="ER240" t="s">
        <v>57</v>
      </c>
      <c r="ES240" t="s">
        <v>57</v>
      </c>
      <c r="ET240" t="s">
        <v>57</v>
      </c>
      <c r="EU240" t="s">
        <v>57</v>
      </c>
      <c r="EV240" t="s">
        <v>57</v>
      </c>
      <c r="EW240" t="s">
        <v>57</v>
      </c>
      <c r="EX240" t="s">
        <v>57</v>
      </c>
      <c r="EY240" t="s">
        <v>57</v>
      </c>
      <c r="EZ240" t="s">
        <v>57</v>
      </c>
      <c r="FA240" t="s">
        <v>57</v>
      </c>
      <c r="FB240" t="s">
        <v>57</v>
      </c>
      <c r="FC240" t="s">
        <v>57</v>
      </c>
      <c r="FD240" t="s">
        <v>57</v>
      </c>
      <c r="FE240" t="s">
        <v>57</v>
      </c>
      <c r="FF240" t="s">
        <v>57</v>
      </c>
      <c r="FG240" t="s">
        <v>57</v>
      </c>
      <c r="FH240" t="s">
        <v>57</v>
      </c>
      <c r="FI240" t="s">
        <v>57</v>
      </c>
      <c r="FJ240" t="s">
        <v>57</v>
      </c>
      <c r="FK240" t="s">
        <v>57</v>
      </c>
      <c r="FL240" t="s">
        <v>57</v>
      </c>
      <c r="FM240" t="s">
        <v>57</v>
      </c>
      <c r="FN240" t="s">
        <v>57</v>
      </c>
      <c r="FO240" t="s">
        <v>57</v>
      </c>
      <c r="FP240" t="s">
        <v>57</v>
      </c>
      <c r="FQ240" t="s">
        <v>57</v>
      </c>
      <c r="FR240" t="s">
        <v>57</v>
      </c>
      <c r="FS240" t="s">
        <v>57</v>
      </c>
      <c r="FT240" t="s">
        <v>57</v>
      </c>
      <c r="FU240" t="s">
        <v>57</v>
      </c>
      <c r="FV240" t="s">
        <v>57</v>
      </c>
      <c r="FW240" t="s">
        <v>57</v>
      </c>
      <c r="FX240" t="s">
        <v>57</v>
      </c>
      <c r="FY240" t="s">
        <v>57</v>
      </c>
      <c r="FZ240" t="s">
        <v>57</v>
      </c>
      <c r="GA240" t="s">
        <v>57</v>
      </c>
      <c r="GB240" t="s">
        <v>57</v>
      </c>
      <c r="GC240" t="s">
        <v>57</v>
      </c>
      <c r="GD240" t="s">
        <v>57</v>
      </c>
      <c r="GE240" t="s">
        <v>57</v>
      </c>
      <c r="GF240" t="s">
        <v>57</v>
      </c>
      <c r="GG240" t="s">
        <v>57</v>
      </c>
      <c r="GH240" t="s">
        <v>57</v>
      </c>
      <c r="GI240" t="s">
        <v>57</v>
      </c>
      <c r="GJ240" t="s">
        <v>57</v>
      </c>
      <c r="GK240" t="s">
        <v>57</v>
      </c>
      <c r="GL240" t="s">
        <v>57</v>
      </c>
      <c r="GM240" t="s">
        <v>57</v>
      </c>
      <c r="GN240" t="s">
        <v>57</v>
      </c>
      <c r="GO240" t="s">
        <v>57</v>
      </c>
      <c r="GP240" t="s">
        <v>57</v>
      </c>
      <c r="GQ240" t="s">
        <v>57</v>
      </c>
      <c r="GR240" t="s">
        <v>57</v>
      </c>
      <c r="GS240" t="s">
        <v>57</v>
      </c>
      <c r="GT240" t="s">
        <v>57</v>
      </c>
      <c r="GU240" t="s">
        <v>57</v>
      </c>
      <c r="GV240" t="s">
        <v>57</v>
      </c>
      <c r="GW240" t="s">
        <v>57</v>
      </c>
      <c r="GX240" t="s">
        <v>175</v>
      </c>
      <c r="GY240" t="s">
        <v>57</v>
      </c>
      <c r="GZ240" t="s">
        <v>57</v>
      </c>
      <c r="HA240" t="s">
        <v>57</v>
      </c>
      <c r="HB240" t="s">
        <v>57</v>
      </c>
      <c r="HC240" t="s">
        <v>57</v>
      </c>
      <c r="HD240" t="s">
        <v>57</v>
      </c>
      <c r="HE240" t="s">
        <v>57</v>
      </c>
      <c r="HF240" t="s">
        <v>57</v>
      </c>
      <c r="HG240" t="s">
        <v>57</v>
      </c>
      <c r="HH240" t="s">
        <v>57</v>
      </c>
      <c r="HI240" t="s">
        <v>175</v>
      </c>
      <c r="HJ240" t="s">
        <v>175</v>
      </c>
      <c r="HK240" t="s">
        <v>175</v>
      </c>
      <c r="HL240" t="s">
        <v>57</v>
      </c>
      <c r="HM240" t="s">
        <v>57</v>
      </c>
      <c r="HN240" t="s">
        <v>57</v>
      </c>
      <c r="HO240" t="s">
        <v>57</v>
      </c>
      <c r="HP240" t="s">
        <v>57</v>
      </c>
      <c r="HQ240" t="s">
        <v>57</v>
      </c>
      <c r="HR240" t="s">
        <v>57</v>
      </c>
      <c r="HS240" t="s">
        <v>57</v>
      </c>
      <c r="HT240" t="s">
        <v>57</v>
      </c>
      <c r="HU240" t="s">
        <v>57</v>
      </c>
      <c r="HV240" t="s">
        <v>57</v>
      </c>
      <c r="HW240" t="s">
        <v>57</v>
      </c>
      <c r="HX240" t="s">
        <v>57</v>
      </c>
      <c r="HY240" t="s">
        <v>57</v>
      </c>
      <c r="HZ240" t="s">
        <v>57</v>
      </c>
      <c r="IA240" t="s">
        <v>57</v>
      </c>
      <c r="IB240" t="s">
        <v>58</v>
      </c>
      <c r="IC240" t="s">
        <v>58</v>
      </c>
      <c r="ID240" t="s">
        <v>58</v>
      </c>
      <c r="IE240" t="s">
        <v>57</v>
      </c>
      <c r="IF240" t="s">
        <v>124</v>
      </c>
      <c r="IG240" t="s">
        <v>148</v>
      </c>
      <c r="IH240" t="s">
        <v>123</v>
      </c>
      <c r="II240" t="s">
        <v>156</v>
      </c>
    </row>
    <row r="241" spans="1:243" x14ac:dyDescent="0.25">
      <c r="A241" s="201" t="str">
        <f>HYPERLINK("http://www.ofsted.gov.uk/inspection-reports/find-inspection-report/provider/ELS/140619 ","Ofsted School Webpage")</f>
        <v>Ofsted School Webpage</v>
      </c>
      <c r="B241">
        <v>140619</v>
      </c>
      <c r="C241">
        <v>8066003</v>
      </c>
      <c r="D241" t="s">
        <v>1032</v>
      </c>
      <c r="E241" t="s">
        <v>37</v>
      </c>
      <c r="F241" t="s">
        <v>138</v>
      </c>
      <c r="G241" t="s">
        <v>202</v>
      </c>
      <c r="H241" t="s">
        <v>234</v>
      </c>
      <c r="I241" t="s">
        <v>1033</v>
      </c>
      <c r="J241" t="s">
        <v>1034</v>
      </c>
      <c r="K241" t="s">
        <v>142</v>
      </c>
      <c r="L241" t="s">
        <v>142</v>
      </c>
      <c r="M241" t="s">
        <v>2596</v>
      </c>
      <c r="N241" t="s">
        <v>143</v>
      </c>
      <c r="O241">
        <v>10025963</v>
      </c>
      <c r="P241" s="108">
        <v>43046</v>
      </c>
      <c r="Q241" s="108">
        <v>43047</v>
      </c>
      <c r="R241" s="108">
        <v>43076</v>
      </c>
      <c r="S241" t="s">
        <v>153</v>
      </c>
      <c r="T241" t="s">
        <v>154</v>
      </c>
      <c r="U241">
        <v>0</v>
      </c>
      <c r="V241">
        <v>0</v>
      </c>
      <c r="W241">
        <v>0</v>
      </c>
      <c r="X241">
        <v>0</v>
      </c>
      <c r="Y241">
        <v>0</v>
      </c>
      <c r="Z241" t="s">
        <v>2596</v>
      </c>
      <c r="AA241" t="s">
        <v>2596</v>
      </c>
      <c r="AB241" t="s">
        <v>123</v>
      </c>
      <c r="AC241" t="s">
        <v>2596</v>
      </c>
      <c r="AD241" t="s">
        <v>2599</v>
      </c>
      <c r="AE241" t="s">
        <v>160</v>
      </c>
      <c r="AF241" t="s">
        <v>160</v>
      </c>
      <c r="AG241" t="s">
        <v>57</v>
      </c>
      <c r="AH241" t="s">
        <v>57</v>
      </c>
      <c r="AI241" t="s">
        <v>57</v>
      </c>
      <c r="AJ241" t="s">
        <v>58</v>
      </c>
      <c r="AK241" t="s">
        <v>57</v>
      </c>
      <c r="AL241" t="s">
        <v>58</v>
      </c>
      <c r="AM241" t="s">
        <v>160</v>
      </c>
      <c r="AN241" t="s">
        <v>160</v>
      </c>
      <c r="AO241" t="s">
        <v>57</v>
      </c>
      <c r="AP241" t="s">
        <v>57</v>
      </c>
      <c r="AQ241" t="s">
        <v>57</v>
      </c>
      <c r="AR241" t="s">
        <v>160</v>
      </c>
      <c r="AS241" t="s">
        <v>160</v>
      </c>
      <c r="AT241" t="s">
        <v>160</v>
      </c>
      <c r="AU241" t="s">
        <v>148</v>
      </c>
      <c r="AV241" t="s">
        <v>160</v>
      </c>
      <c r="AW241" t="s">
        <v>160</v>
      </c>
      <c r="AX241" t="s">
        <v>160</v>
      </c>
      <c r="AY241" t="s">
        <v>160</v>
      </c>
      <c r="AZ241" t="s">
        <v>160</v>
      </c>
      <c r="BA241" t="s">
        <v>160</v>
      </c>
      <c r="BB241" t="s">
        <v>160</v>
      </c>
      <c r="BC241" t="s">
        <v>148</v>
      </c>
      <c r="BD241" t="s">
        <v>160</v>
      </c>
      <c r="BE241" t="s">
        <v>160</v>
      </c>
      <c r="BF241" t="s">
        <v>160</v>
      </c>
      <c r="BG241" t="s">
        <v>160</v>
      </c>
      <c r="BH241" t="s">
        <v>160</v>
      </c>
      <c r="BI241" t="s">
        <v>160</v>
      </c>
      <c r="BJ241" t="s">
        <v>160</v>
      </c>
      <c r="BK241" t="s">
        <v>160</v>
      </c>
      <c r="BL241" t="s">
        <v>160</v>
      </c>
      <c r="BM241" t="s">
        <v>160</v>
      </c>
      <c r="BN241" t="s">
        <v>160</v>
      </c>
      <c r="BO241" t="s">
        <v>160</v>
      </c>
      <c r="BP241" t="s">
        <v>160</v>
      </c>
      <c r="BQ241" t="s">
        <v>160</v>
      </c>
      <c r="BR241" t="s">
        <v>57</v>
      </c>
      <c r="BS241" t="s">
        <v>160</v>
      </c>
      <c r="BT241" t="s">
        <v>160</v>
      </c>
      <c r="BU241" t="s">
        <v>160</v>
      </c>
      <c r="BV241" t="s">
        <v>160</v>
      </c>
      <c r="BW241" t="s">
        <v>160</v>
      </c>
      <c r="BX241" t="s">
        <v>160</v>
      </c>
      <c r="BY241" t="s">
        <v>160</v>
      </c>
      <c r="BZ241" t="s">
        <v>160</v>
      </c>
      <c r="CA241" t="s">
        <v>160</v>
      </c>
      <c r="CB241" t="s">
        <v>160</v>
      </c>
      <c r="CC241" t="s">
        <v>160</v>
      </c>
      <c r="CD241" t="s">
        <v>160</v>
      </c>
      <c r="CE241" t="s">
        <v>160</v>
      </c>
      <c r="CF241" t="s">
        <v>160</v>
      </c>
      <c r="CG241" t="s">
        <v>160</v>
      </c>
      <c r="CH241" t="s">
        <v>57</v>
      </c>
      <c r="CI241" t="s">
        <v>57</v>
      </c>
      <c r="CJ241" t="s">
        <v>57</v>
      </c>
      <c r="CK241" t="s">
        <v>148</v>
      </c>
      <c r="CL241" t="s">
        <v>148</v>
      </c>
      <c r="CM241" t="s">
        <v>148</v>
      </c>
      <c r="CN241" t="s">
        <v>160</v>
      </c>
      <c r="CO241" t="s">
        <v>57</v>
      </c>
      <c r="CP241" t="s">
        <v>160</v>
      </c>
      <c r="CQ241" t="s">
        <v>57</v>
      </c>
      <c r="CR241" t="s">
        <v>160</v>
      </c>
      <c r="CS241" t="s">
        <v>160</v>
      </c>
      <c r="CT241" t="s">
        <v>57</v>
      </c>
      <c r="CU241" t="s">
        <v>160</v>
      </c>
      <c r="CV241" t="s">
        <v>160</v>
      </c>
      <c r="CW241" t="s">
        <v>58</v>
      </c>
      <c r="CX241" t="s">
        <v>160</v>
      </c>
      <c r="CY241" t="s">
        <v>160</v>
      </c>
      <c r="CZ241" t="s">
        <v>160</v>
      </c>
      <c r="DA241" t="s">
        <v>57</v>
      </c>
      <c r="DB241" t="s">
        <v>57</v>
      </c>
      <c r="DC241" t="s">
        <v>57</v>
      </c>
      <c r="DD241" t="s">
        <v>57</v>
      </c>
      <c r="DE241" t="s">
        <v>160</v>
      </c>
      <c r="DF241" t="s">
        <v>57</v>
      </c>
      <c r="DG241" t="s">
        <v>57</v>
      </c>
      <c r="DH241" t="s">
        <v>57</v>
      </c>
      <c r="DI241" t="s">
        <v>57</v>
      </c>
      <c r="DJ241" t="s">
        <v>57</v>
      </c>
      <c r="DK241" t="s">
        <v>148</v>
      </c>
      <c r="DL241" t="s">
        <v>57</v>
      </c>
      <c r="DM241" t="s">
        <v>57</v>
      </c>
      <c r="DN241" t="s">
        <v>57</v>
      </c>
      <c r="DO241" t="s">
        <v>57</v>
      </c>
      <c r="DP241" t="s">
        <v>57</v>
      </c>
      <c r="DQ241" t="s">
        <v>57</v>
      </c>
      <c r="DR241" t="s">
        <v>57</v>
      </c>
      <c r="DS241" t="s">
        <v>57</v>
      </c>
      <c r="DT241" t="s">
        <v>57</v>
      </c>
      <c r="DU241" t="s">
        <v>57</v>
      </c>
      <c r="DV241" t="s">
        <v>57</v>
      </c>
      <c r="DW241" t="s">
        <v>57</v>
      </c>
      <c r="DX241" t="s">
        <v>57</v>
      </c>
      <c r="DY241" t="s">
        <v>148</v>
      </c>
      <c r="DZ241" t="s">
        <v>57</v>
      </c>
      <c r="EA241" t="s">
        <v>57</v>
      </c>
      <c r="EB241" t="s">
        <v>57</v>
      </c>
      <c r="EC241" t="s">
        <v>57</v>
      </c>
      <c r="ED241" t="s">
        <v>57</v>
      </c>
      <c r="EE241" t="s">
        <v>57</v>
      </c>
      <c r="EF241" t="s">
        <v>57</v>
      </c>
      <c r="EG241" t="s">
        <v>57</v>
      </c>
      <c r="EH241" t="s">
        <v>57</v>
      </c>
      <c r="EI241" t="s">
        <v>57</v>
      </c>
      <c r="EJ241" t="s">
        <v>57</v>
      </c>
      <c r="EK241" t="s">
        <v>57</v>
      </c>
      <c r="EL241" t="s">
        <v>57</v>
      </c>
      <c r="EM241" t="s">
        <v>57</v>
      </c>
      <c r="EN241" t="s">
        <v>57</v>
      </c>
      <c r="EO241" t="s">
        <v>57</v>
      </c>
      <c r="EP241" t="s">
        <v>57</v>
      </c>
      <c r="EQ241" t="s">
        <v>57</v>
      </c>
      <c r="ER241" t="s">
        <v>57</v>
      </c>
      <c r="ES241" t="s">
        <v>57</v>
      </c>
      <c r="ET241" t="s">
        <v>57</v>
      </c>
      <c r="EU241" t="s">
        <v>57</v>
      </c>
      <c r="EV241" t="s">
        <v>57</v>
      </c>
      <c r="EW241" t="s">
        <v>57</v>
      </c>
      <c r="EX241" t="s">
        <v>57</v>
      </c>
      <c r="EY241" t="s">
        <v>57</v>
      </c>
      <c r="EZ241" t="s">
        <v>57</v>
      </c>
      <c r="FA241" t="s">
        <v>57</v>
      </c>
      <c r="FB241" t="s">
        <v>57</v>
      </c>
      <c r="FC241" t="s">
        <v>57</v>
      </c>
      <c r="FD241" t="s">
        <v>57</v>
      </c>
      <c r="FE241" t="s">
        <v>57</v>
      </c>
      <c r="FF241" t="s">
        <v>57</v>
      </c>
      <c r="FG241" t="s">
        <v>57</v>
      </c>
      <c r="FH241" t="s">
        <v>57</v>
      </c>
      <c r="FI241" t="s">
        <v>57</v>
      </c>
      <c r="FJ241" t="s">
        <v>57</v>
      </c>
      <c r="FK241" t="s">
        <v>57</v>
      </c>
      <c r="FL241" t="s">
        <v>57</v>
      </c>
      <c r="FM241" t="s">
        <v>57</v>
      </c>
      <c r="FN241" t="s">
        <v>57</v>
      </c>
      <c r="FO241" t="s">
        <v>148</v>
      </c>
      <c r="FP241" t="s">
        <v>57</v>
      </c>
      <c r="FQ241" t="s">
        <v>57</v>
      </c>
      <c r="FR241" t="s">
        <v>57</v>
      </c>
      <c r="FS241" t="s">
        <v>57</v>
      </c>
      <c r="FT241" t="s">
        <v>57</v>
      </c>
      <c r="FU241" t="s">
        <v>57</v>
      </c>
      <c r="FV241" t="s">
        <v>57</v>
      </c>
      <c r="FW241" t="s">
        <v>57</v>
      </c>
      <c r="FX241" t="s">
        <v>57</v>
      </c>
      <c r="FY241" t="s">
        <v>57</v>
      </c>
      <c r="FZ241" t="s">
        <v>57</v>
      </c>
      <c r="GA241" t="s">
        <v>57</v>
      </c>
      <c r="GB241" t="s">
        <v>57</v>
      </c>
      <c r="GC241" t="s">
        <v>57</v>
      </c>
      <c r="GD241" t="s">
        <v>57</v>
      </c>
      <c r="GE241" t="s">
        <v>57</v>
      </c>
      <c r="GF241" t="s">
        <v>57</v>
      </c>
      <c r="GG241" t="s">
        <v>148</v>
      </c>
      <c r="GH241" t="s">
        <v>58</v>
      </c>
      <c r="GI241" t="s">
        <v>57</v>
      </c>
      <c r="GJ241" t="s">
        <v>58</v>
      </c>
      <c r="GK241" t="s">
        <v>57</v>
      </c>
      <c r="GL241" t="s">
        <v>57</v>
      </c>
      <c r="GM241" t="s">
        <v>148</v>
      </c>
      <c r="GN241" t="s">
        <v>57</v>
      </c>
      <c r="GO241" t="s">
        <v>57</v>
      </c>
      <c r="GP241" t="s">
        <v>58</v>
      </c>
      <c r="GQ241" t="s">
        <v>57</v>
      </c>
      <c r="GR241" t="s">
        <v>148</v>
      </c>
      <c r="GS241" t="s">
        <v>57</v>
      </c>
      <c r="GT241" t="s">
        <v>57</v>
      </c>
      <c r="GU241" t="s">
        <v>57</v>
      </c>
      <c r="GV241" t="s">
        <v>148</v>
      </c>
      <c r="GW241" t="s">
        <v>57</v>
      </c>
      <c r="GX241" t="s">
        <v>148</v>
      </c>
      <c r="GY241" t="s">
        <v>57</v>
      </c>
      <c r="GZ241" t="s">
        <v>58</v>
      </c>
      <c r="HA241" t="s">
        <v>57</v>
      </c>
      <c r="HB241" t="s">
        <v>58</v>
      </c>
      <c r="HC241" t="s">
        <v>57</v>
      </c>
      <c r="HD241" t="s">
        <v>57</v>
      </c>
      <c r="HE241" t="s">
        <v>58</v>
      </c>
      <c r="HF241" t="s">
        <v>58</v>
      </c>
      <c r="HG241" t="s">
        <v>57</v>
      </c>
      <c r="HH241" t="s">
        <v>148</v>
      </c>
      <c r="HI241" t="s">
        <v>148</v>
      </c>
      <c r="HJ241" t="s">
        <v>148</v>
      </c>
      <c r="HK241" t="s">
        <v>148</v>
      </c>
      <c r="HL241" t="s">
        <v>57</v>
      </c>
      <c r="HM241" t="s">
        <v>57</v>
      </c>
      <c r="HN241" t="s">
        <v>57</v>
      </c>
      <c r="HO241" t="s">
        <v>57</v>
      </c>
      <c r="HP241" t="s">
        <v>57</v>
      </c>
      <c r="HQ241" t="s">
        <v>57</v>
      </c>
      <c r="HR241" t="s">
        <v>57</v>
      </c>
      <c r="HS241" t="s">
        <v>57</v>
      </c>
      <c r="HT241" t="s">
        <v>57</v>
      </c>
      <c r="HU241" t="s">
        <v>57</v>
      </c>
      <c r="HV241" t="s">
        <v>57</v>
      </c>
      <c r="HW241" t="s">
        <v>57</v>
      </c>
      <c r="HX241" t="s">
        <v>57</v>
      </c>
      <c r="HY241" t="s">
        <v>57</v>
      </c>
      <c r="HZ241" t="s">
        <v>57</v>
      </c>
      <c r="IA241" t="s">
        <v>57</v>
      </c>
      <c r="IB241" t="s">
        <v>58</v>
      </c>
      <c r="IC241" t="s">
        <v>58</v>
      </c>
      <c r="ID241" t="s">
        <v>58</v>
      </c>
      <c r="IE241" t="s">
        <v>57</v>
      </c>
      <c r="IF241" t="s">
        <v>124</v>
      </c>
      <c r="IG241" t="s">
        <v>155</v>
      </c>
      <c r="IH241" t="s">
        <v>123</v>
      </c>
      <c r="II241" t="s">
        <v>363</v>
      </c>
    </row>
    <row r="242" spans="1:243" x14ac:dyDescent="0.25">
      <c r="A242" s="201" t="str">
        <f>HYPERLINK("http://www.ofsted.gov.uk/inspection-reports/find-inspection-report/provider/ELS/140814 ","Ofsted School Webpage")</f>
        <v>Ofsted School Webpage</v>
      </c>
      <c r="B242">
        <v>140814</v>
      </c>
      <c r="C242">
        <v>3576004</v>
      </c>
      <c r="D242" t="s">
        <v>807</v>
      </c>
      <c r="E242" t="s">
        <v>37</v>
      </c>
      <c r="F242" t="s">
        <v>138</v>
      </c>
      <c r="G242" t="s">
        <v>162</v>
      </c>
      <c r="H242" t="s">
        <v>162</v>
      </c>
      <c r="I242" t="s">
        <v>808</v>
      </c>
      <c r="J242" t="s">
        <v>809</v>
      </c>
      <c r="K242" t="s">
        <v>142</v>
      </c>
      <c r="L242" t="s">
        <v>142</v>
      </c>
      <c r="M242" t="s">
        <v>2596</v>
      </c>
      <c r="N242" t="s">
        <v>143</v>
      </c>
      <c r="O242">
        <v>10043785</v>
      </c>
      <c r="P242" s="108">
        <v>43081</v>
      </c>
      <c r="Q242" s="108">
        <v>43083</v>
      </c>
      <c r="R242" s="108">
        <v>43130</v>
      </c>
      <c r="S242" t="s">
        <v>153</v>
      </c>
      <c r="T242" t="s">
        <v>154</v>
      </c>
      <c r="U242">
        <v>2</v>
      </c>
      <c r="V242">
        <v>2</v>
      </c>
      <c r="W242">
        <v>2</v>
      </c>
      <c r="X242">
        <v>2</v>
      </c>
      <c r="Y242">
        <v>2</v>
      </c>
      <c r="Z242" t="s">
        <v>2596</v>
      </c>
      <c r="AA242" t="s">
        <v>2596</v>
      </c>
      <c r="AB242" t="s">
        <v>123</v>
      </c>
      <c r="AC242" t="s">
        <v>2596</v>
      </c>
      <c r="AD242" t="s">
        <v>2598</v>
      </c>
      <c r="AE242" t="s">
        <v>57</v>
      </c>
      <c r="AF242" t="s">
        <v>57</v>
      </c>
      <c r="AG242" t="s">
        <v>57</v>
      </c>
      <c r="AH242" t="s">
        <v>57</v>
      </c>
      <c r="AI242" t="s">
        <v>57</v>
      </c>
      <c r="AJ242" t="s">
        <v>57</v>
      </c>
      <c r="AK242" t="s">
        <v>57</v>
      </c>
      <c r="AL242" t="s">
        <v>57</v>
      </c>
      <c r="AM242" t="s">
        <v>57</v>
      </c>
      <c r="AN242" t="s">
        <v>57</v>
      </c>
      <c r="AO242" t="s">
        <v>57</v>
      </c>
      <c r="AP242" t="s">
        <v>57</v>
      </c>
      <c r="AQ242" t="s">
        <v>57</v>
      </c>
      <c r="AR242" t="s">
        <v>57</v>
      </c>
      <c r="AS242" t="s">
        <v>57</v>
      </c>
      <c r="AT242" t="s">
        <v>57</v>
      </c>
      <c r="AU242" t="s">
        <v>175</v>
      </c>
      <c r="AV242" t="s">
        <v>57</v>
      </c>
      <c r="AW242" t="s">
        <v>57</v>
      </c>
      <c r="AX242" t="s">
        <v>57</v>
      </c>
      <c r="AY242" t="s">
        <v>57</v>
      </c>
      <c r="AZ242" t="s">
        <v>57</v>
      </c>
      <c r="BA242" t="s">
        <v>57</v>
      </c>
      <c r="BB242" t="s">
        <v>57</v>
      </c>
      <c r="BC242" t="s">
        <v>175</v>
      </c>
      <c r="BD242" t="s">
        <v>175</v>
      </c>
      <c r="BE242" t="s">
        <v>57</v>
      </c>
      <c r="BF242" t="s">
        <v>57</v>
      </c>
      <c r="BG242" t="s">
        <v>57</v>
      </c>
      <c r="BH242" t="s">
        <v>57</v>
      </c>
      <c r="BI242" t="s">
        <v>57</v>
      </c>
      <c r="BJ242" t="s">
        <v>57</v>
      </c>
      <c r="BK242" t="s">
        <v>57</v>
      </c>
      <c r="BL242" t="s">
        <v>57</v>
      </c>
      <c r="BM242" t="s">
        <v>57</v>
      </c>
      <c r="BN242" t="s">
        <v>57</v>
      </c>
      <c r="BO242" t="s">
        <v>57</v>
      </c>
      <c r="BP242" t="s">
        <v>57</v>
      </c>
      <c r="BQ242" t="s">
        <v>57</v>
      </c>
      <c r="BR242" t="s">
        <v>57</v>
      </c>
      <c r="BS242" t="s">
        <v>57</v>
      </c>
      <c r="BT242" t="s">
        <v>57</v>
      </c>
      <c r="BU242" t="s">
        <v>57</v>
      </c>
      <c r="BV242" t="s">
        <v>57</v>
      </c>
      <c r="BW242" t="s">
        <v>57</v>
      </c>
      <c r="BX242" t="s">
        <v>57</v>
      </c>
      <c r="BY242" t="s">
        <v>57</v>
      </c>
      <c r="BZ242" t="s">
        <v>57</v>
      </c>
      <c r="CA242" t="s">
        <v>57</v>
      </c>
      <c r="CB242" t="s">
        <v>57</v>
      </c>
      <c r="CC242" t="s">
        <v>57</v>
      </c>
      <c r="CD242" t="s">
        <v>57</v>
      </c>
      <c r="CE242" t="s">
        <v>57</v>
      </c>
      <c r="CF242" t="s">
        <v>57</v>
      </c>
      <c r="CG242" t="s">
        <v>57</v>
      </c>
      <c r="CH242" t="s">
        <v>57</v>
      </c>
      <c r="CI242" t="s">
        <v>57</v>
      </c>
      <c r="CJ242" t="s">
        <v>57</v>
      </c>
      <c r="CK242" t="s">
        <v>175</v>
      </c>
      <c r="CL242" t="s">
        <v>175</v>
      </c>
      <c r="CM242" t="s">
        <v>175</v>
      </c>
      <c r="CN242" t="s">
        <v>57</v>
      </c>
      <c r="CO242" t="s">
        <v>57</v>
      </c>
      <c r="CP242" t="s">
        <v>57</v>
      </c>
      <c r="CQ242" t="s">
        <v>57</v>
      </c>
      <c r="CR242" t="s">
        <v>57</v>
      </c>
      <c r="CS242" t="s">
        <v>57</v>
      </c>
      <c r="CT242" t="s">
        <v>57</v>
      </c>
      <c r="CU242" t="s">
        <v>57</v>
      </c>
      <c r="CV242" t="s">
        <v>57</v>
      </c>
      <c r="CW242" t="s">
        <v>57</v>
      </c>
      <c r="CX242" t="s">
        <v>57</v>
      </c>
      <c r="CY242" t="s">
        <v>57</v>
      </c>
      <c r="CZ242" t="s">
        <v>57</v>
      </c>
      <c r="DA242" t="s">
        <v>57</v>
      </c>
      <c r="DB242" t="s">
        <v>57</v>
      </c>
      <c r="DC242" t="s">
        <v>57</v>
      </c>
      <c r="DD242" t="s">
        <v>57</v>
      </c>
      <c r="DE242" t="s">
        <v>57</v>
      </c>
      <c r="DF242" t="s">
        <v>57</v>
      </c>
      <c r="DG242" t="s">
        <v>57</v>
      </c>
      <c r="DH242" t="s">
        <v>57</v>
      </c>
      <c r="DI242" t="s">
        <v>57</v>
      </c>
      <c r="DJ242" t="s">
        <v>57</v>
      </c>
      <c r="DK242" t="s">
        <v>175</v>
      </c>
      <c r="DL242" t="s">
        <v>57</v>
      </c>
      <c r="DM242" t="s">
        <v>57</v>
      </c>
      <c r="DN242" t="s">
        <v>57</v>
      </c>
      <c r="DO242" t="s">
        <v>57</v>
      </c>
      <c r="DP242" t="s">
        <v>57</v>
      </c>
      <c r="DQ242" t="s">
        <v>57</v>
      </c>
      <c r="DR242" t="s">
        <v>57</v>
      </c>
      <c r="DS242" t="s">
        <v>57</v>
      </c>
      <c r="DT242" t="s">
        <v>57</v>
      </c>
      <c r="DU242" t="s">
        <v>57</v>
      </c>
      <c r="DV242" t="s">
        <v>57</v>
      </c>
      <c r="DW242" t="s">
        <v>57</v>
      </c>
      <c r="DX242" t="s">
        <v>57</v>
      </c>
      <c r="DY242" t="s">
        <v>175</v>
      </c>
      <c r="DZ242" t="s">
        <v>57</v>
      </c>
      <c r="EA242" t="s">
        <v>57</v>
      </c>
      <c r="EB242" t="s">
        <v>57</v>
      </c>
      <c r="EC242" t="s">
        <v>57</v>
      </c>
      <c r="ED242" t="s">
        <v>57</v>
      </c>
      <c r="EE242" t="s">
        <v>57</v>
      </c>
      <c r="EF242" t="s">
        <v>57</v>
      </c>
      <c r="EG242" t="s">
        <v>57</v>
      </c>
      <c r="EH242" t="s">
        <v>57</v>
      </c>
      <c r="EI242" t="s">
        <v>57</v>
      </c>
      <c r="EJ242" t="s">
        <v>57</v>
      </c>
      <c r="EK242" t="s">
        <v>57</v>
      </c>
      <c r="EL242" t="s">
        <v>57</v>
      </c>
      <c r="EM242" t="s">
        <v>57</v>
      </c>
      <c r="EN242" t="s">
        <v>57</v>
      </c>
      <c r="EO242" t="s">
        <v>175</v>
      </c>
      <c r="EP242" t="s">
        <v>57</v>
      </c>
      <c r="EQ242" t="s">
        <v>57</v>
      </c>
      <c r="ER242" t="s">
        <v>57</v>
      </c>
      <c r="ES242" t="s">
        <v>57</v>
      </c>
      <c r="ET242" t="s">
        <v>57</v>
      </c>
      <c r="EU242" t="s">
        <v>57</v>
      </c>
      <c r="EV242" t="s">
        <v>57</v>
      </c>
      <c r="EW242" t="s">
        <v>175</v>
      </c>
      <c r="EX242" t="s">
        <v>175</v>
      </c>
      <c r="EY242" t="s">
        <v>57</v>
      </c>
      <c r="EZ242" t="s">
        <v>57</v>
      </c>
      <c r="FA242" t="s">
        <v>57</v>
      </c>
      <c r="FB242" t="s">
        <v>57</v>
      </c>
      <c r="FC242" t="s">
        <v>57</v>
      </c>
      <c r="FD242" t="s">
        <v>57</v>
      </c>
      <c r="FE242" t="s">
        <v>57</v>
      </c>
      <c r="FF242" t="s">
        <v>57</v>
      </c>
      <c r="FG242" t="s">
        <v>57</v>
      </c>
      <c r="FH242" t="s">
        <v>57</v>
      </c>
      <c r="FI242" t="s">
        <v>57</v>
      </c>
      <c r="FJ242" t="s">
        <v>57</v>
      </c>
      <c r="FK242" t="s">
        <v>57</v>
      </c>
      <c r="FL242" t="s">
        <v>57</v>
      </c>
      <c r="FM242" t="s">
        <v>57</v>
      </c>
      <c r="FN242" t="s">
        <v>57</v>
      </c>
      <c r="FO242" t="s">
        <v>175</v>
      </c>
      <c r="FP242" t="s">
        <v>57</v>
      </c>
      <c r="FQ242" t="s">
        <v>57</v>
      </c>
      <c r="FR242" t="s">
        <v>57</v>
      </c>
      <c r="FS242" t="s">
        <v>57</v>
      </c>
      <c r="FT242" t="s">
        <v>57</v>
      </c>
      <c r="FU242" t="s">
        <v>57</v>
      </c>
      <c r="FV242" t="s">
        <v>57</v>
      </c>
      <c r="FW242" t="s">
        <v>57</v>
      </c>
      <c r="FX242" t="s">
        <v>57</v>
      </c>
      <c r="FY242" t="s">
        <v>57</v>
      </c>
      <c r="FZ242" t="s">
        <v>57</v>
      </c>
      <c r="GA242" t="s">
        <v>57</v>
      </c>
      <c r="GB242" t="s">
        <v>57</v>
      </c>
      <c r="GC242" t="s">
        <v>57</v>
      </c>
      <c r="GD242" t="s">
        <v>57</v>
      </c>
      <c r="GE242" t="s">
        <v>57</v>
      </c>
      <c r="GF242" t="s">
        <v>57</v>
      </c>
      <c r="GG242" t="s">
        <v>175</v>
      </c>
      <c r="GH242" t="s">
        <v>57</v>
      </c>
      <c r="GI242" t="s">
        <v>57</v>
      </c>
      <c r="GJ242" t="s">
        <v>57</v>
      </c>
      <c r="GK242" t="s">
        <v>57</v>
      </c>
      <c r="GL242" t="s">
        <v>57</v>
      </c>
      <c r="GM242" t="s">
        <v>175</v>
      </c>
      <c r="GN242" t="s">
        <v>57</v>
      </c>
      <c r="GO242" t="s">
        <v>57</v>
      </c>
      <c r="GP242" t="s">
        <v>57</v>
      </c>
      <c r="GQ242" t="s">
        <v>57</v>
      </c>
      <c r="GR242" t="s">
        <v>175</v>
      </c>
      <c r="GS242" t="s">
        <v>57</v>
      </c>
      <c r="GT242" t="s">
        <v>57</v>
      </c>
      <c r="GU242" t="s">
        <v>57</v>
      </c>
      <c r="GV242" t="s">
        <v>175</v>
      </c>
      <c r="GW242" t="s">
        <v>57</v>
      </c>
      <c r="GX242" t="s">
        <v>175</v>
      </c>
      <c r="GY242" t="s">
        <v>57</v>
      </c>
      <c r="GZ242" t="s">
        <v>57</v>
      </c>
      <c r="HA242" t="s">
        <v>57</v>
      </c>
      <c r="HB242" t="s">
        <v>57</v>
      </c>
      <c r="HC242" t="s">
        <v>57</v>
      </c>
      <c r="HD242" t="s">
        <v>57</v>
      </c>
      <c r="HE242" t="s">
        <v>57</v>
      </c>
      <c r="HF242" t="s">
        <v>57</v>
      </c>
      <c r="HG242" t="s">
        <v>57</v>
      </c>
      <c r="HH242" t="s">
        <v>175</v>
      </c>
      <c r="HI242" t="s">
        <v>175</v>
      </c>
      <c r="HJ242" t="s">
        <v>175</v>
      </c>
      <c r="HK242" t="s">
        <v>175</v>
      </c>
      <c r="HL242" t="s">
        <v>57</v>
      </c>
      <c r="HM242" t="s">
        <v>57</v>
      </c>
      <c r="HN242" t="s">
        <v>57</v>
      </c>
      <c r="HO242" t="s">
        <v>57</v>
      </c>
      <c r="HP242" t="s">
        <v>57</v>
      </c>
      <c r="HQ242" t="s">
        <v>57</v>
      </c>
      <c r="HR242" t="s">
        <v>57</v>
      </c>
      <c r="HS242" t="s">
        <v>57</v>
      </c>
      <c r="HT242" t="s">
        <v>57</v>
      </c>
      <c r="HU242" t="s">
        <v>57</v>
      </c>
      <c r="HV242" t="s">
        <v>57</v>
      </c>
      <c r="HW242" t="s">
        <v>57</v>
      </c>
      <c r="HX242" t="s">
        <v>57</v>
      </c>
      <c r="HY242" t="s">
        <v>57</v>
      </c>
      <c r="HZ242" t="s">
        <v>57</v>
      </c>
      <c r="IA242" t="s">
        <v>57</v>
      </c>
      <c r="IB242" t="s">
        <v>57</v>
      </c>
      <c r="IC242" t="s">
        <v>57</v>
      </c>
      <c r="ID242" t="s">
        <v>57</v>
      </c>
      <c r="IE242" t="s">
        <v>57</v>
      </c>
      <c r="IF242" t="s">
        <v>123</v>
      </c>
      <c r="IG242" t="s">
        <v>123</v>
      </c>
      <c r="IH242" t="s">
        <v>123</v>
      </c>
      <c r="II242" t="s">
        <v>156</v>
      </c>
    </row>
    <row r="243" spans="1:243" x14ac:dyDescent="0.25">
      <c r="A243" s="201" t="str">
        <f>HYPERLINK("http://www.ofsted.gov.uk/inspection-reports/find-inspection-report/provider/ELS/140816 ","Ofsted School Webpage")</f>
        <v>Ofsted School Webpage</v>
      </c>
      <c r="B243">
        <v>140816</v>
      </c>
      <c r="C243">
        <v>3716001</v>
      </c>
      <c r="D243" t="s">
        <v>1346</v>
      </c>
      <c r="E243" t="s">
        <v>37</v>
      </c>
      <c r="F243" t="s">
        <v>138</v>
      </c>
      <c r="G243" t="s">
        <v>202</v>
      </c>
      <c r="H243" t="s">
        <v>203</v>
      </c>
      <c r="I243" t="s">
        <v>1096</v>
      </c>
      <c r="J243" t="s">
        <v>1347</v>
      </c>
      <c r="K243" t="s">
        <v>142</v>
      </c>
      <c r="L243" t="s">
        <v>142</v>
      </c>
      <c r="M243" t="s">
        <v>2596</v>
      </c>
      <c r="N243" t="s">
        <v>143</v>
      </c>
      <c r="O243">
        <v>10040146</v>
      </c>
      <c r="P243" s="108">
        <v>43081</v>
      </c>
      <c r="Q243" s="108">
        <v>43083</v>
      </c>
      <c r="R243" s="108">
        <v>43115</v>
      </c>
      <c r="S243" t="s">
        <v>153</v>
      </c>
      <c r="T243" t="s">
        <v>154</v>
      </c>
      <c r="U243">
        <v>2</v>
      </c>
      <c r="V243">
        <v>2</v>
      </c>
      <c r="W243">
        <v>2</v>
      </c>
      <c r="X243">
        <v>2</v>
      </c>
      <c r="Y243">
        <v>2</v>
      </c>
      <c r="Z243" t="s">
        <v>2596</v>
      </c>
      <c r="AA243" t="s">
        <v>2596</v>
      </c>
      <c r="AB243" t="s">
        <v>123</v>
      </c>
      <c r="AC243" t="s">
        <v>2596</v>
      </c>
      <c r="AD243" t="s">
        <v>2598</v>
      </c>
      <c r="AE243" t="s">
        <v>57</v>
      </c>
      <c r="AF243" t="s">
        <v>57</v>
      </c>
      <c r="AG243" t="s">
        <v>57</v>
      </c>
      <c r="AH243" t="s">
        <v>57</v>
      </c>
      <c r="AI243" t="s">
        <v>57</v>
      </c>
      <c r="AJ243" t="s">
        <v>57</v>
      </c>
      <c r="AK243" t="s">
        <v>57</v>
      </c>
      <c r="AL243" t="s">
        <v>57</v>
      </c>
      <c r="AM243" t="s">
        <v>57</v>
      </c>
      <c r="AN243" t="s">
        <v>57</v>
      </c>
      <c r="AO243" t="s">
        <v>57</v>
      </c>
      <c r="AP243" t="s">
        <v>57</v>
      </c>
      <c r="AQ243" t="s">
        <v>57</v>
      </c>
      <c r="AR243" t="s">
        <v>57</v>
      </c>
      <c r="AS243" t="s">
        <v>57</v>
      </c>
      <c r="AT243" t="s">
        <v>57</v>
      </c>
      <c r="AU243" t="s">
        <v>175</v>
      </c>
      <c r="AV243" t="s">
        <v>57</v>
      </c>
      <c r="AW243" t="s">
        <v>57</v>
      </c>
      <c r="AX243" t="s">
        <v>57</v>
      </c>
      <c r="AY243" t="s">
        <v>57</v>
      </c>
      <c r="AZ243" t="s">
        <v>57</v>
      </c>
      <c r="BA243" t="s">
        <v>57</v>
      </c>
      <c r="BB243" t="s">
        <v>57</v>
      </c>
      <c r="BC243" t="s">
        <v>57</v>
      </c>
      <c r="BD243" t="s">
        <v>57</v>
      </c>
      <c r="BE243" t="s">
        <v>57</v>
      </c>
      <c r="BF243" t="s">
        <v>57</v>
      </c>
      <c r="BG243" t="s">
        <v>57</v>
      </c>
      <c r="BH243" t="s">
        <v>57</v>
      </c>
      <c r="BI243" t="s">
        <v>57</v>
      </c>
      <c r="BJ243" t="s">
        <v>57</v>
      </c>
      <c r="BK243" t="s">
        <v>57</v>
      </c>
      <c r="BL243" t="s">
        <v>57</v>
      </c>
      <c r="BM243" t="s">
        <v>57</v>
      </c>
      <c r="BN243" t="s">
        <v>57</v>
      </c>
      <c r="BO243" t="s">
        <v>57</v>
      </c>
      <c r="BP243" t="s">
        <v>57</v>
      </c>
      <c r="BQ243" t="s">
        <v>57</v>
      </c>
      <c r="BR243" t="s">
        <v>57</v>
      </c>
      <c r="BS243" t="s">
        <v>57</v>
      </c>
      <c r="BT243" t="s">
        <v>57</v>
      </c>
      <c r="BU243" t="s">
        <v>57</v>
      </c>
      <c r="BV243" t="s">
        <v>57</v>
      </c>
      <c r="BW243" t="s">
        <v>57</v>
      </c>
      <c r="BX243" t="s">
        <v>57</v>
      </c>
      <c r="BY243" t="s">
        <v>57</v>
      </c>
      <c r="BZ243" t="s">
        <v>57</v>
      </c>
      <c r="CA243" t="s">
        <v>57</v>
      </c>
      <c r="CB243" t="s">
        <v>57</v>
      </c>
      <c r="CC243" t="s">
        <v>57</v>
      </c>
      <c r="CD243" t="s">
        <v>57</v>
      </c>
      <c r="CE243" t="s">
        <v>57</v>
      </c>
      <c r="CF243" t="s">
        <v>57</v>
      </c>
      <c r="CG243" t="s">
        <v>57</v>
      </c>
      <c r="CH243" t="s">
        <v>57</v>
      </c>
      <c r="CI243" t="s">
        <v>57</v>
      </c>
      <c r="CJ243" t="s">
        <v>57</v>
      </c>
      <c r="CK243" t="s">
        <v>175</v>
      </c>
      <c r="CL243" t="s">
        <v>175</v>
      </c>
      <c r="CM243" t="s">
        <v>175</v>
      </c>
      <c r="CN243" t="s">
        <v>57</v>
      </c>
      <c r="CO243" t="s">
        <v>57</v>
      </c>
      <c r="CP243" t="s">
        <v>57</v>
      </c>
      <c r="CQ243" t="s">
        <v>57</v>
      </c>
      <c r="CR243" t="s">
        <v>57</v>
      </c>
      <c r="CS243" t="s">
        <v>57</v>
      </c>
      <c r="CT243" t="s">
        <v>57</v>
      </c>
      <c r="CU243" t="s">
        <v>57</v>
      </c>
      <c r="CV243" t="s">
        <v>57</v>
      </c>
      <c r="CW243" t="s">
        <v>57</v>
      </c>
      <c r="CX243" t="s">
        <v>57</v>
      </c>
      <c r="CY243" t="s">
        <v>57</v>
      </c>
      <c r="CZ243" t="s">
        <v>57</v>
      </c>
      <c r="DA243" t="s">
        <v>57</v>
      </c>
      <c r="DB243" t="s">
        <v>57</v>
      </c>
      <c r="DC243" t="s">
        <v>57</v>
      </c>
      <c r="DD243" t="s">
        <v>57</v>
      </c>
      <c r="DE243" t="s">
        <v>57</v>
      </c>
      <c r="DF243" t="s">
        <v>57</v>
      </c>
      <c r="DG243" t="s">
        <v>57</v>
      </c>
      <c r="DH243" t="s">
        <v>57</v>
      </c>
      <c r="DI243" t="s">
        <v>57</v>
      </c>
      <c r="DJ243" t="s">
        <v>57</v>
      </c>
      <c r="DK243" t="s">
        <v>175</v>
      </c>
      <c r="DL243" t="s">
        <v>57</v>
      </c>
      <c r="DM243" t="s">
        <v>57</v>
      </c>
      <c r="DN243" t="s">
        <v>57</v>
      </c>
      <c r="DO243" t="s">
        <v>57</v>
      </c>
      <c r="DP243" t="s">
        <v>57</v>
      </c>
      <c r="DQ243" t="s">
        <v>57</v>
      </c>
      <c r="DR243" t="s">
        <v>57</v>
      </c>
      <c r="DS243" t="s">
        <v>57</v>
      </c>
      <c r="DT243" t="s">
        <v>57</v>
      </c>
      <c r="DU243" t="s">
        <v>57</v>
      </c>
      <c r="DV243" t="s">
        <v>57</v>
      </c>
      <c r="DW243" t="s">
        <v>57</v>
      </c>
      <c r="DX243" t="s">
        <v>57</v>
      </c>
      <c r="DY243" t="s">
        <v>175</v>
      </c>
      <c r="DZ243" t="s">
        <v>57</v>
      </c>
      <c r="EA243" t="s">
        <v>57</v>
      </c>
      <c r="EB243" t="s">
        <v>57</v>
      </c>
      <c r="EC243" t="s">
        <v>57</v>
      </c>
      <c r="ED243" t="s">
        <v>57</v>
      </c>
      <c r="EE243" t="s">
        <v>57</v>
      </c>
      <c r="EF243" t="s">
        <v>57</v>
      </c>
      <c r="EG243" t="s">
        <v>57</v>
      </c>
      <c r="EH243" t="s">
        <v>57</v>
      </c>
      <c r="EI243" t="s">
        <v>57</v>
      </c>
      <c r="EJ243" t="s">
        <v>57</v>
      </c>
      <c r="EK243" t="s">
        <v>57</v>
      </c>
      <c r="EL243" t="s">
        <v>57</v>
      </c>
      <c r="EM243" t="s">
        <v>57</v>
      </c>
      <c r="EN243" t="s">
        <v>57</v>
      </c>
      <c r="EO243" t="s">
        <v>57</v>
      </c>
      <c r="EP243" t="s">
        <v>57</v>
      </c>
      <c r="EQ243" t="s">
        <v>57</v>
      </c>
      <c r="ER243" t="s">
        <v>57</v>
      </c>
      <c r="ES243" t="s">
        <v>57</v>
      </c>
      <c r="ET243" t="s">
        <v>57</v>
      </c>
      <c r="EU243" t="s">
        <v>57</v>
      </c>
      <c r="EV243" t="s">
        <v>57</v>
      </c>
      <c r="EW243" t="s">
        <v>57</v>
      </c>
      <c r="EX243" t="s">
        <v>57</v>
      </c>
      <c r="EY243" t="s">
        <v>57</v>
      </c>
      <c r="EZ243" t="s">
        <v>57</v>
      </c>
      <c r="FA243" t="s">
        <v>57</v>
      </c>
      <c r="FB243" t="s">
        <v>57</v>
      </c>
      <c r="FC243" t="s">
        <v>57</v>
      </c>
      <c r="FD243" t="s">
        <v>57</v>
      </c>
      <c r="FE243" t="s">
        <v>57</v>
      </c>
      <c r="FF243" t="s">
        <v>57</v>
      </c>
      <c r="FG243" t="s">
        <v>57</v>
      </c>
      <c r="FH243" t="s">
        <v>57</v>
      </c>
      <c r="FI243" t="s">
        <v>57</v>
      </c>
      <c r="FJ243" t="s">
        <v>57</v>
      </c>
      <c r="FK243" t="s">
        <v>57</v>
      </c>
      <c r="FL243" t="s">
        <v>57</v>
      </c>
      <c r="FM243" t="s">
        <v>57</v>
      </c>
      <c r="FN243" t="s">
        <v>57</v>
      </c>
      <c r="FO243" t="s">
        <v>57</v>
      </c>
      <c r="FP243" t="s">
        <v>57</v>
      </c>
      <c r="FQ243" t="s">
        <v>57</v>
      </c>
      <c r="FR243" t="s">
        <v>57</v>
      </c>
      <c r="FS243" t="s">
        <v>57</v>
      </c>
      <c r="FT243" t="s">
        <v>57</v>
      </c>
      <c r="FU243" t="s">
        <v>57</v>
      </c>
      <c r="FV243" t="s">
        <v>57</v>
      </c>
      <c r="FW243" t="s">
        <v>57</v>
      </c>
      <c r="FX243" t="s">
        <v>57</v>
      </c>
      <c r="FY243" t="s">
        <v>57</v>
      </c>
      <c r="FZ243" t="s">
        <v>57</v>
      </c>
      <c r="GA243" t="s">
        <v>57</v>
      </c>
      <c r="GB243" t="s">
        <v>57</v>
      </c>
      <c r="GC243" t="s">
        <v>57</v>
      </c>
      <c r="GD243" t="s">
        <v>57</v>
      </c>
      <c r="GE243" t="s">
        <v>57</v>
      </c>
      <c r="GF243" t="s">
        <v>57</v>
      </c>
      <c r="GG243" t="s">
        <v>57</v>
      </c>
      <c r="GH243" t="s">
        <v>57</v>
      </c>
      <c r="GI243" t="s">
        <v>57</v>
      </c>
      <c r="GJ243" t="s">
        <v>57</v>
      </c>
      <c r="GK243" t="s">
        <v>57</v>
      </c>
      <c r="GL243" t="s">
        <v>57</v>
      </c>
      <c r="GM243" t="s">
        <v>57</v>
      </c>
      <c r="GN243" t="s">
        <v>57</v>
      </c>
      <c r="GO243" t="s">
        <v>57</v>
      </c>
      <c r="GP243" t="s">
        <v>57</v>
      </c>
      <c r="GQ243" t="s">
        <v>57</v>
      </c>
      <c r="GR243" t="s">
        <v>57</v>
      </c>
      <c r="GS243" t="s">
        <v>57</v>
      </c>
      <c r="GT243" t="s">
        <v>57</v>
      </c>
      <c r="GU243" t="s">
        <v>57</v>
      </c>
      <c r="GV243" t="s">
        <v>57</v>
      </c>
      <c r="GW243" t="s">
        <v>57</v>
      </c>
      <c r="GX243" t="s">
        <v>57</v>
      </c>
      <c r="GY243" t="s">
        <v>57</v>
      </c>
      <c r="GZ243" t="s">
        <v>57</v>
      </c>
      <c r="HA243" t="s">
        <v>57</v>
      </c>
      <c r="HB243" t="s">
        <v>57</v>
      </c>
      <c r="HC243" t="s">
        <v>57</v>
      </c>
      <c r="HD243" t="s">
        <v>57</v>
      </c>
      <c r="HE243" t="s">
        <v>57</v>
      </c>
      <c r="HF243" t="s">
        <v>57</v>
      </c>
      <c r="HG243" t="s">
        <v>57</v>
      </c>
      <c r="HH243" t="s">
        <v>57</v>
      </c>
      <c r="HI243" t="s">
        <v>175</v>
      </c>
      <c r="HJ243" t="s">
        <v>175</v>
      </c>
      <c r="HK243" t="s">
        <v>175</v>
      </c>
      <c r="HL243" t="s">
        <v>57</v>
      </c>
      <c r="HM243" t="s">
        <v>57</v>
      </c>
      <c r="HN243" t="s">
        <v>57</v>
      </c>
      <c r="HO243" t="s">
        <v>57</v>
      </c>
      <c r="HP243" t="s">
        <v>57</v>
      </c>
      <c r="HQ243" t="s">
        <v>57</v>
      </c>
      <c r="HR243" t="s">
        <v>57</v>
      </c>
      <c r="HS243" t="s">
        <v>57</v>
      </c>
      <c r="HT243" t="s">
        <v>57</v>
      </c>
      <c r="HU243" t="s">
        <v>57</v>
      </c>
      <c r="HV243" t="s">
        <v>57</v>
      </c>
      <c r="HW243" t="s">
        <v>57</v>
      </c>
      <c r="HX243" t="s">
        <v>57</v>
      </c>
      <c r="HY243" t="s">
        <v>57</v>
      </c>
      <c r="HZ243" t="s">
        <v>57</v>
      </c>
      <c r="IA243" t="s">
        <v>57</v>
      </c>
      <c r="IB243" t="s">
        <v>57</v>
      </c>
      <c r="IC243" t="s">
        <v>57</v>
      </c>
      <c r="ID243" t="s">
        <v>57</v>
      </c>
      <c r="IE243" t="s">
        <v>57</v>
      </c>
      <c r="IF243" t="s">
        <v>124</v>
      </c>
      <c r="IG243" t="s">
        <v>148</v>
      </c>
      <c r="IH243" t="s">
        <v>123</v>
      </c>
      <c r="II243" t="s">
        <v>156</v>
      </c>
    </row>
    <row r="244" spans="1:243" x14ac:dyDescent="0.25">
      <c r="A244" s="201" t="str">
        <f>HYPERLINK("http://www.ofsted.gov.uk/inspection-reports/find-inspection-report/provider/ELS/141127 ","Ofsted School Webpage")</f>
        <v>Ofsted School Webpage</v>
      </c>
      <c r="B244">
        <v>141127</v>
      </c>
      <c r="C244">
        <v>8556033</v>
      </c>
      <c r="D244" t="s">
        <v>1321</v>
      </c>
      <c r="E244" t="s">
        <v>37</v>
      </c>
      <c r="F244" t="s">
        <v>138</v>
      </c>
      <c r="G244" t="s">
        <v>171</v>
      </c>
      <c r="H244" t="s">
        <v>171</v>
      </c>
      <c r="I244" t="s">
        <v>238</v>
      </c>
      <c r="J244" t="s">
        <v>1322</v>
      </c>
      <c r="K244" t="s">
        <v>142</v>
      </c>
      <c r="L244" t="s">
        <v>142</v>
      </c>
      <c r="M244" t="s">
        <v>2596</v>
      </c>
      <c r="N244" t="s">
        <v>143</v>
      </c>
      <c r="O244">
        <v>10043801</v>
      </c>
      <c r="P244" s="108">
        <v>43123</v>
      </c>
      <c r="Q244" s="108">
        <v>43125</v>
      </c>
      <c r="R244" s="108">
        <v>43164</v>
      </c>
      <c r="S244" t="s">
        <v>153</v>
      </c>
      <c r="T244" t="s">
        <v>154</v>
      </c>
      <c r="U244">
        <v>1</v>
      </c>
      <c r="V244">
        <v>1</v>
      </c>
      <c r="W244">
        <v>1</v>
      </c>
      <c r="X244">
        <v>1</v>
      </c>
      <c r="Y244">
        <v>1</v>
      </c>
      <c r="Z244" t="s">
        <v>2596</v>
      </c>
      <c r="AA244">
        <v>1</v>
      </c>
      <c r="AB244" t="s">
        <v>123</v>
      </c>
      <c r="AC244" t="s">
        <v>2596</v>
      </c>
      <c r="AD244" t="s">
        <v>2598</v>
      </c>
      <c r="AE244" t="s">
        <v>57</v>
      </c>
      <c r="AF244" t="s">
        <v>57</v>
      </c>
      <c r="AG244" t="s">
        <v>57</v>
      </c>
      <c r="AH244" t="s">
        <v>57</v>
      </c>
      <c r="AI244" t="s">
        <v>57</v>
      </c>
      <c r="AJ244" t="s">
        <v>57</v>
      </c>
      <c r="AK244" t="s">
        <v>57</v>
      </c>
      <c r="AL244" t="s">
        <v>57</v>
      </c>
      <c r="AM244" t="s">
        <v>57</v>
      </c>
      <c r="AN244" t="s">
        <v>57</v>
      </c>
      <c r="AO244" t="s">
        <v>57</v>
      </c>
      <c r="AP244" t="s">
        <v>57</v>
      </c>
      <c r="AQ244" t="s">
        <v>57</v>
      </c>
      <c r="AR244" t="s">
        <v>57</v>
      </c>
      <c r="AS244" t="s">
        <v>57</v>
      </c>
      <c r="AT244" t="s">
        <v>57</v>
      </c>
      <c r="AU244" t="s">
        <v>175</v>
      </c>
      <c r="AV244" t="s">
        <v>57</v>
      </c>
      <c r="AW244" t="s">
        <v>57</v>
      </c>
      <c r="AX244" t="s">
        <v>57</v>
      </c>
      <c r="AY244" t="s">
        <v>57</v>
      </c>
      <c r="AZ244" t="s">
        <v>57</v>
      </c>
      <c r="BA244" t="s">
        <v>57</v>
      </c>
      <c r="BB244" t="s">
        <v>57</v>
      </c>
      <c r="BC244" t="s">
        <v>175</v>
      </c>
      <c r="BD244" t="s">
        <v>57</v>
      </c>
      <c r="BE244" t="s">
        <v>57</v>
      </c>
      <c r="BF244" t="s">
        <v>57</v>
      </c>
      <c r="BG244" t="s">
        <v>57</v>
      </c>
      <c r="BH244" t="s">
        <v>57</v>
      </c>
      <c r="BI244" t="s">
        <v>57</v>
      </c>
      <c r="BJ244" t="s">
        <v>57</v>
      </c>
      <c r="BK244" t="s">
        <v>57</v>
      </c>
      <c r="BL244" t="s">
        <v>57</v>
      </c>
      <c r="BM244" t="s">
        <v>57</v>
      </c>
      <c r="BN244" t="s">
        <v>57</v>
      </c>
      <c r="BO244" t="s">
        <v>57</v>
      </c>
      <c r="BP244" t="s">
        <v>57</v>
      </c>
      <c r="BQ244" t="s">
        <v>57</v>
      </c>
      <c r="BR244" t="s">
        <v>57</v>
      </c>
      <c r="BS244" t="s">
        <v>57</v>
      </c>
      <c r="BT244" t="s">
        <v>57</v>
      </c>
      <c r="BU244" t="s">
        <v>57</v>
      </c>
      <c r="BV244" t="s">
        <v>57</v>
      </c>
      <c r="BW244" t="s">
        <v>57</v>
      </c>
      <c r="BX244" t="s">
        <v>57</v>
      </c>
      <c r="BY244" t="s">
        <v>57</v>
      </c>
      <c r="BZ244" t="s">
        <v>57</v>
      </c>
      <c r="CA244" t="s">
        <v>57</v>
      </c>
      <c r="CB244" t="s">
        <v>57</v>
      </c>
      <c r="CC244" t="s">
        <v>57</v>
      </c>
      <c r="CD244" t="s">
        <v>57</v>
      </c>
      <c r="CE244" t="s">
        <v>57</v>
      </c>
      <c r="CF244" t="s">
        <v>57</v>
      </c>
      <c r="CG244" t="s">
        <v>57</v>
      </c>
      <c r="CH244" t="s">
        <v>57</v>
      </c>
      <c r="CI244" t="s">
        <v>57</v>
      </c>
      <c r="CJ244" t="s">
        <v>57</v>
      </c>
      <c r="CK244" t="s">
        <v>175</v>
      </c>
      <c r="CL244" t="s">
        <v>175</v>
      </c>
      <c r="CM244" t="s">
        <v>175</v>
      </c>
      <c r="CN244" t="s">
        <v>57</v>
      </c>
      <c r="CO244" t="s">
        <v>57</v>
      </c>
      <c r="CP244" t="s">
        <v>57</v>
      </c>
      <c r="CQ244" t="s">
        <v>57</v>
      </c>
      <c r="CR244" t="s">
        <v>57</v>
      </c>
      <c r="CS244" t="s">
        <v>57</v>
      </c>
      <c r="CT244" t="s">
        <v>57</v>
      </c>
      <c r="CU244" t="s">
        <v>57</v>
      </c>
      <c r="CV244" t="s">
        <v>57</v>
      </c>
      <c r="CW244" t="s">
        <v>57</v>
      </c>
      <c r="CX244" t="s">
        <v>57</v>
      </c>
      <c r="CY244" t="s">
        <v>57</v>
      </c>
      <c r="CZ244" t="s">
        <v>57</v>
      </c>
      <c r="DA244" t="s">
        <v>57</v>
      </c>
      <c r="DB244" t="s">
        <v>57</v>
      </c>
      <c r="DC244" t="s">
        <v>57</v>
      </c>
      <c r="DD244" t="s">
        <v>57</v>
      </c>
      <c r="DE244" t="s">
        <v>57</v>
      </c>
      <c r="DF244" t="s">
        <v>57</v>
      </c>
      <c r="DG244" t="s">
        <v>57</v>
      </c>
      <c r="DH244" t="s">
        <v>57</v>
      </c>
      <c r="DI244" t="s">
        <v>57</v>
      </c>
      <c r="DJ244" t="s">
        <v>57</v>
      </c>
      <c r="DK244" t="s">
        <v>175</v>
      </c>
      <c r="DL244" t="s">
        <v>57</v>
      </c>
      <c r="DM244" t="s">
        <v>175</v>
      </c>
      <c r="DN244" t="s">
        <v>175</v>
      </c>
      <c r="DO244" t="s">
        <v>175</v>
      </c>
      <c r="DP244" t="s">
        <v>175</v>
      </c>
      <c r="DQ244" t="s">
        <v>175</v>
      </c>
      <c r="DR244" t="s">
        <v>175</v>
      </c>
      <c r="DS244" t="s">
        <v>175</v>
      </c>
      <c r="DT244" t="s">
        <v>175</v>
      </c>
      <c r="DU244" t="s">
        <v>175</v>
      </c>
      <c r="DV244" t="s">
        <v>175</v>
      </c>
      <c r="DW244" t="s">
        <v>175</v>
      </c>
      <c r="DX244" t="s">
        <v>175</v>
      </c>
      <c r="DY244" t="s">
        <v>175</v>
      </c>
      <c r="DZ244" t="s">
        <v>175</v>
      </c>
      <c r="EA244" t="s">
        <v>57</v>
      </c>
      <c r="EB244" t="s">
        <v>57</v>
      </c>
      <c r="EC244" t="s">
        <v>57</v>
      </c>
      <c r="ED244" t="s">
        <v>57</v>
      </c>
      <c r="EE244" t="s">
        <v>57</v>
      </c>
      <c r="EF244" t="s">
        <v>57</v>
      </c>
      <c r="EG244" t="s">
        <v>57</v>
      </c>
      <c r="EH244" t="s">
        <v>57</v>
      </c>
      <c r="EI244" t="s">
        <v>57</v>
      </c>
      <c r="EJ244" t="s">
        <v>57</v>
      </c>
      <c r="EK244" t="s">
        <v>57</v>
      </c>
      <c r="EL244" t="s">
        <v>57</v>
      </c>
      <c r="EM244" t="s">
        <v>57</v>
      </c>
      <c r="EN244" t="s">
        <v>57</v>
      </c>
      <c r="EO244" t="s">
        <v>57</v>
      </c>
      <c r="EP244" t="s">
        <v>57</v>
      </c>
      <c r="EQ244" t="s">
        <v>57</v>
      </c>
      <c r="ER244" t="s">
        <v>57</v>
      </c>
      <c r="ES244" t="s">
        <v>57</v>
      </c>
      <c r="ET244" t="s">
        <v>57</v>
      </c>
      <c r="EU244" t="s">
        <v>57</v>
      </c>
      <c r="EV244" t="s">
        <v>57</v>
      </c>
      <c r="EW244" t="s">
        <v>175</v>
      </c>
      <c r="EX244" t="s">
        <v>175</v>
      </c>
      <c r="EY244" t="s">
        <v>175</v>
      </c>
      <c r="EZ244" t="s">
        <v>175</v>
      </c>
      <c r="FA244" t="s">
        <v>175</v>
      </c>
      <c r="FB244" t="s">
        <v>175</v>
      </c>
      <c r="FC244" t="s">
        <v>175</v>
      </c>
      <c r="FD244" t="s">
        <v>57</v>
      </c>
      <c r="FE244" t="s">
        <v>175</v>
      </c>
      <c r="FF244" t="s">
        <v>148</v>
      </c>
      <c r="FG244" t="s">
        <v>175</v>
      </c>
      <c r="FH244" t="s">
        <v>57</v>
      </c>
      <c r="FI244" t="s">
        <v>57</v>
      </c>
      <c r="FJ244" t="s">
        <v>57</v>
      </c>
      <c r="FK244" t="s">
        <v>57</v>
      </c>
      <c r="FL244" t="s">
        <v>57</v>
      </c>
      <c r="FM244" t="s">
        <v>57</v>
      </c>
      <c r="FN244" t="s">
        <v>57</v>
      </c>
      <c r="FO244" t="s">
        <v>175</v>
      </c>
      <c r="FP244" t="s">
        <v>57</v>
      </c>
      <c r="FQ244" t="s">
        <v>57</v>
      </c>
      <c r="FR244" t="s">
        <v>57</v>
      </c>
      <c r="FS244" t="s">
        <v>57</v>
      </c>
      <c r="FT244" t="s">
        <v>57</v>
      </c>
      <c r="FU244" t="s">
        <v>57</v>
      </c>
      <c r="FV244" t="s">
        <v>57</v>
      </c>
      <c r="FW244" t="s">
        <v>57</v>
      </c>
      <c r="FX244" t="s">
        <v>57</v>
      </c>
      <c r="FY244" t="s">
        <v>57</v>
      </c>
      <c r="FZ244" t="s">
        <v>57</v>
      </c>
      <c r="GA244" t="s">
        <v>57</v>
      </c>
      <c r="GB244" t="s">
        <v>57</v>
      </c>
      <c r="GC244" t="s">
        <v>57</v>
      </c>
      <c r="GD244" t="s">
        <v>57</v>
      </c>
      <c r="GE244" t="s">
        <v>57</v>
      </c>
      <c r="GF244" t="s">
        <v>57</v>
      </c>
      <c r="GG244" t="s">
        <v>175</v>
      </c>
      <c r="GH244" t="s">
        <v>57</v>
      </c>
      <c r="GI244" t="s">
        <v>57</v>
      </c>
      <c r="GJ244" t="s">
        <v>57</v>
      </c>
      <c r="GK244" t="s">
        <v>57</v>
      </c>
      <c r="GL244" t="s">
        <v>57</v>
      </c>
      <c r="GM244" t="s">
        <v>175</v>
      </c>
      <c r="GN244" t="s">
        <v>57</v>
      </c>
      <c r="GO244" t="s">
        <v>57</v>
      </c>
      <c r="GP244" t="s">
        <v>57</v>
      </c>
      <c r="GQ244" t="s">
        <v>57</v>
      </c>
      <c r="GR244" t="s">
        <v>175</v>
      </c>
      <c r="GS244" t="s">
        <v>57</v>
      </c>
      <c r="GT244" t="s">
        <v>57</v>
      </c>
      <c r="GU244" t="s">
        <v>57</v>
      </c>
      <c r="GV244" t="s">
        <v>175</v>
      </c>
      <c r="GW244" t="s">
        <v>57</v>
      </c>
      <c r="GX244" t="s">
        <v>175</v>
      </c>
      <c r="GY244" t="s">
        <v>57</v>
      </c>
      <c r="GZ244" t="s">
        <v>57</v>
      </c>
      <c r="HA244" t="s">
        <v>57</v>
      </c>
      <c r="HB244" t="s">
        <v>57</v>
      </c>
      <c r="HC244" t="s">
        <v>57</v>
      </c>
      <c r="HD244" t="s">
        <v>57</v>
      </c>
      <c r="HE244" t="s">
        <v>57</v>
      </c>
      <c r="HF244" t="s">
        <v>57</v>
      </c>
      <c r="HG244" t="s">
        <v>57</v>
      </c>
      <c r="HH244" t="s">
        <v>175</v>
      </c>
      <c r="HI244" t="s">
        <v>175</v>
      </c>
      <c r="HJ244" t="s">
        <v>175</v>
      </c>
      <c r="HK244" t="s">
        <v>175</v>
      </c>
      <c r="HL244" t="s">
        <v>57</v>
      </c>
      <c r="HM244" t="s">
        <v>57</v>
      </c>
      <c r="HN244" t="s">
        <v>57</v>
      </c>
      <c r="HO244" t="s">
        <v>57</v>
      </c>
      <c r="HP244" t="s">
        <v>57</v>
      </c>
      <c r="HQ244" t="s">
        <v>57</v>
      </c>
      <c r="HR244" t="s">
        <v>57</v>
      </c>
      <c r="HS244" t="s">
        <v>57</v>
      </c>
      <c r="HT244" t="s">
        <v>57</v>
      </c>
      <c r="HU244" t="s">
        <v>57</v>
      </c>
      <c r="HV244" t="s">
        <v>57</v>
      </c>
      <c r="HW244" t="s">
        <v>57</v>
      </c>
      <c r="HX244" t="s">
        <v>57</v>
      </c>
      <c r="HY244" t="s">
        <v>57</v>
      </c>
      <c r="HZ244" t="s">
        <v>57</v>
      </c>
      <c r="IA244" t="s">
        <v>57</v>
      </c>
      <c r="IB244" t="s">
        <v>57</v>
      </c>
      <c r="IC244" t="s">
        <v>57</v>
      </c>
      <c r="ID244" t="s">
        <v>57</v>
      </c>
      <c r="IE244" t="s">
        <v>57</v>
      </c>
      <c r="IF244" t="s">
        <v>124</v>
      </c>
      <c r="IG244" t="s">
        <v>148</v>
      </c>
      <c r="IH244" t="s">
        <v>123</v>
      </c>
      <c r="II244" t="s">
        <v>156</v>
      </c>
    </row>
    <row r="245" spans="1:243" x14ac:dyDescent="0.25">
      <c r="A245" s="201" t="str">
        <f>HYPERLINK("http://www.ofsted.gov.uk/inspection-reports/find-inspection-report/provider/ELS/141247 ","Ofsted School Webpage")</f>
        <v>Ofsted School Webpage</v>
      </c>
      <c r="B245">
        <v>141247</v>
      </c>
      <c r="C245">
        <v>3086003</v>
      </c>
      <c r="D245" t="s">
        <v>419</v>
      </c>
      <c r="E245" t="s">
        <v>36</v>
      </c>
      <c r="F245" t="s">
        <v>166</v>
      </c>
      <c r="G245" t="s">
        <v>189</v>
      </c>
      <c r="H245" t="s">
        <v>189</v>
      </c>
      <c r="I245" t="s">
        <v>216</v>
      </c>
      <c r="J245" t="s">
        <v>420</v>
      </c>
      <c r="K245" t="s">
        <v>142</v>
      </c>
      <c r="L245" t="s">
        <v>142</v>
      </c>
      <c r="M245" t="s">
        <v>2596</v>
      </c>
      <c r="N245" t="s">
        <v>143</v>
      </c>
      <c r="O245">
        <v>10035814</v>
      </c>
      <c r="P245" s="108">
        <v>42990</v>
      </c>
      <c r="Q245" s="108">
        <v>42992</v>
      </c>
      <c r="R245" s="108">
        <v>43021</v>
      </c>
      <c r="S245" t="s">
        <v>153</v>
      </c>
      <c r="T245" t="s">
        <v>154</v>
      </c>
      <c r="U245">
        <v>2</v>
      </c>
      <c r="V245">
        <v>2</v>
      </c>
      <c r="W245">
        <v>2</v>
      </c>
      <c r="X245">
        <v>2</v>
      </c>
      <c r="Y245">
        <v>2</v>
      </c>
      <c r="Z245" t="s">
        <v>2596</v>
      </c>
      <c r="AA245" t="s">
        <v>2596</v>
      </c>
      <c r="AB245" t="s">
        <v>123</v>
      </c>
      <c r="AC245" t="s">
        <v>2596</v>
      </c>
      <c r="AD245" t="s">
        <v>2598</v>
      </c>
      <c r="AE245" t="s">
        <v>57</v>
      </c>
      <c r="AF245" t="s">
        <v>57</v>
      </c>
      <c r="AG245" t="s">
        <v>57</v>
      </c>
      <c r="AH245" t="s">
        <v>57</v>
      </c>
      <c r="AI245" t="s">
        <v>57</v>
      </c>
      <c r="AJ245" t="s">
        <v>57</v>
      </c>
      <c r="AK245" t="s">
        <v>57</v>
      </c>
      <c r="AL245" t="s">
        <v>57</v>
      </c>
      <c r="AM245" t="s">
        <v>57</v>
      </c>
      <c r="AN245" t="s">
        <v>57</v>
      </c>
      <c r="AO245" t="s">
        <v>57</v>
      </c>
      <c r="AP245" t="s">
        <v>57</v>
      </c>
      <c r="AQ245" t="s">
        <v>57</v>
      </c>
      <c r="AR245" t="s">
        <v>57</v>
      </c>
      <c r="AS245" t="s">
        <v>57</v>
      </c>
      <c r="AT245" t="s">
        <v>57</v>
      </c>
      <c r="AU245" t="s">
        <v>148</v>
      </c>
      <c r="AV245" t="s">
        <v>57</v>
      </c>
      <c r="AW245" t="s">
        <v>57</v>
      </c>
      <c r="AX245" t="s">
        <v>57</v>
      </c>
      <c r="AY245" t="s">
        <v>57</v>
      </c>
      <c r="AZ245" t="s">
        <v>57</v>
      </c>
      <c r="BA245" t="s">
        <v>57</v>
      </c>
      <c r="BB245" t="s">
        <v>57</v>
      </c>
      <c r="BC245" t="s">
        <v>148</v>
      </c>
      <c r="BD245" t="s">
        <v>148</v>
      </c>
      <c r="BE245" t="s">
        <v>57</v>
      </c>
      <c r="BF245" t="s">
        <v>57</v>
      </c>
      <c r="BG245" t="s">
        <v>57</v>
      </c>
      <c r="BH245" t="s">
        <v>57</v>
      </c>
      <c r="BI245" t="s">
        <v>57</v>
      </c>
      <c r="BJ245" t="s">
        <v>57</v>
      </c>
      <c r="BK245" t="s">
        <v>57</v>
      </c>
      <c r="BL245" t="s">
        <v>57</v>
      </c>
      <c r="BM245" t="s">
        <v>57</v>
      </c>
      <c r="BN245" t="s">
        <v>57</v>
      </c>
      <c r="BO245" t="s">
        <v>57</v>
      </c>
      <c r="BP245" t="s">
        <v>57</v>
      </c>
      <c r="BQ245" t="s">
        <v>57</v>
      </c>
      <c r="BR245" t="s">
        <v>57</v>
      </c>
      <c r="BS245" t="s">
        <v>57</v>
      </c>
      <c r="BT245" t="s">
        <v>57</v>
      </c>
      <c r="BU245" t="s">
        <v>57</v>
      </c>
      <c r="BV245" t="s">
        <v>57</v>
      </c>
      <c r="BW245" t="s">
        <v>57</v>
      </c>
      <c r="BX245" t="s">
        <v>57</v>
      </c>
      <c r="BY245" t="s">
        <v>57</v>
      </c>
      <c r="BZ245" t="s">
        <v>57</v>
      </c>
      <c r="CA245" t="s">
        <v>57</v>
      </c>
      <c r="CB245" t="s">
        <v>57</v>
      </c>
      <c r="CC245" t="s">
        <v>57</v>
      </c>
      <c r="CD245" t="s">
        <v>57</v>
      </c>
      <c r="CE245" t="s">
        <v>57</v>
      </c>
      <c r="CF245" t="s">
        <v>57</v>
      </c>
      <c r="CG245" t="s">
        <v>57</v>
      </c>
      <c r="CH245" t="s">
        <v>57</v>
      </c>
      <c r="CI245" t="s">
        <v>57</v>
      </c>
      <c r="CJ245" t="s">
        <v>57</v>
      </c>
      <c r="CK245" t="s">
        <v>148</v>
      </c>
      <c r="CL245" t="s">
        <v>148</v>
      </c>
      <c r="CM245" t="s">
        <v>148</v>
      </c>
      <c r="CN245" t="s">
        <v>57</v>
      </c>
      <c r="CO245" t="s">
        <v>57</v>
      </c>
      <c r="CP245" t="s">
        <v>57</v>
      </c>
      <c r="CQ245" t="s">
        <v>57</v>
      </c>
      <c r="CR245" t="s">
        <v>57</v>
      </c>
      <c r="CS245" t="s">
        <v>57</v>
      </c>
      <c r="CT245" t="s">
        <v>57</v>
      </c>
      <c r="CU245" t="s">
        <v>57</v>
      </c>
      <c r="CV245" t="s">
        <v>57</v>
      </c>
      <c r="CW245" t="s">
        <v>57</v>
      </c>
      <c r="CX245" t="s">
        <v>57</v>
      </c>
      <c r="CY245" t="s">
        <v>57</v>
      </c>
      <c r="CZ245" t="s">
        <v>57</v>
      </c>
      <c r="DA245" t="s">
        <v>57</v>
      </c>
      <c r="DB245" t="s">
        <v>57</v>
      </c>
      <c r="DC245" t="s">
        <v>57</v>
      </c>
      <c r="DD245" t="s">
        <v>57</v>
      </c>
      <c r="DE245" t="s">
        <v>57</v>
      </c>
      <c r="DF245" t="s">
        <v>57</v>
      </c>
      <c r="DG245" t="s">
        <v>57</v>
      </c>
      <c r="DH245" t="s">
        <v>57</v>
      </c>
      <c r="DI245" t="s">
        <v>57</v>
      </c>
      <c r="DJ245" t="s">
        <v>57</v>
      </c>
      <c r="DK245" t="s">
        <v>148</v>
      </c>
      <c r="DL245" t="s">
        <v>57</v>
      </c>
      <c r="DM245" t="s">
        <v>57</v>
      </c>
      <c r="DN245" t="s">
        <v>57</v>
      </c>
      <c r="DO245" t="s">
        <v>57</v>
      </c>
      <c r="DP245" t="s">
        <v>57</v>
      </c>
      <c r="DQ245" t="s">
        <v>57</v>
      </c>
      <c r="DR245" t="s">
        <v>57</v>
      </c>
      <c r="DS245" t="s">
        <v>57</v>
      </c>
      <c r="DT245" t="s">
        <v>57</v>
      </c>
      <c r="DU245" t="s">
        <v>57</v>
      </c>
      <c r="DV245" t="s">
        <v>57</v>
      </c>
      <c r="DW245" t="s">
        <v>57</v>
      </c>
      <c r="DX245" t="s">
        <v>57</v>
      </c>
      <c r="DY245" t="s">
        <v>148</v>
      </c>
      <c r="DZ245" t="s">
        <v>57</v>
      </c>
      <c r="EA245" t="s">
        <v>57</v>
      </c>
      <c r="EB245" t="s">
        <v>57</v>
      </c>
      <c r="EC245" t="s">
        <v>57</v>
      </c>
      <c r="ED245" t="s">
        <v>57</v>
      </c>
      <c r="EE245" t="s">
        <v>57</v>
      </c>
      <c r="EF245" t="s">
        <v>57</v>
      </c>
      <c r="EG245" t="s">
        <v>57</v>
      </c>
      <c r="EH245" t="s">
        <v>57</v>
      </c>
      <c r="EI245" t="s">
        <v>57</v>
      </c>
      <c r="EJ245" t="s">
        <v>57</v>
      </c>
      <c r="EK245" t="s">
        <v>57</v>
      </c>
      <c r="EL245" t="s">
        <v>57</v>
      </c>
      <c r="EM245" t="s">
        <v>57</v>
      </c>
      <c r="EN245" t="s">
        <v>57</v>
      </c>
      <c r="EO245" t="s">
        <v>57</v>
      </c>
      <c r="EP245" t="s">
        <v>57</v>
      </c>
      <c r="EQ245" t="s">
        <v>57</v>
      </c>
      <c r="ER245" t="s">
        <v>57</v>
      </c>
      <c r="ES245" t="s">
        <v>57</v>
      </c>
      <c r="ET245" t="s">
        <v>57</v>
      </c>
      <c r="EU245" t="s">
        <v>57</v>
      </c>
      <c r="EV245" t="s">
        <v>57</v>
      </c>
      <c r="EW245" t="s">
        <v>57</v>
      </c>
      <c r="EX245" t="s">
        <v>57</v>
      </c>
      <c r="EY245" t="s">
        <v>57</v>
      </c>
      <c r="EZ245" t="s">
        <v>57</v>
      </c>
      <c r="FA245" t="s">
        <v>57</v>
      </c>
      <c r="FB245" t="s">
        <v>57</v>
      </c>
      <c r="FC245" t="s">
        <v>57</v>
      </c>
      <c r="FD245" t="s">
        <v>57</v>
      </c>
      <c r="FE245" t="s">
        <v>57</v>
      </c>
      <c r="FF245" t="s">
        <v>57</v>
      </c>
      <c r="FG245" t="s">
        <v>57</v>
      </c>
      <c r="FH245" t="s">
        <v>57</v>
      </c>
      <c r="FI245" t="s">
        <v>57</v>
      </c>
      <c r="FJ245" t="s">
        <v>57</v>
      </c>
      <c r="FK245" t="s">
        <v>57</v>
      </c>
      <c r="FL245" t="s">
        <v>57</v>
      </c>
      <c r="FM245" t="s">
        <v>57</v>
      </c>
      <c r="FN245" t="s">
        <v>57</v>
      </c>
      <c r="FO245" t="s">
        <v>148</v>
      </c>
      <c r="FP245" t="s">
        <v>57</v>
      </c>
      <c r="FQ245" t="s">
        <v>57</v>
      </c>
      <c r="FR245" t="s">
        <v>57</v>
      </c>
      <c r="FS245" t="s">
        <v>57</v>
      </c>
      <c r="FT245" t="s">
        <v>57</v>
      </c>
      <c r="FU245" t="s">
        <v>57</v>
      </c>
      <c r="FV245" t="s">
        <v>57</v>
      </c>
      <c r="FW245" t="s">
        <v>57</v>
      </c>
      <c r="FX245" t="s">
        <v>57</v>
      </c>
      <c r="FY245" t="s">
        <v>57</v>
      </c>
      <c r="FZ245" t="s">
        <v>57</v>
      </c>
      <c r="GA245" t="s">
        <v>57</v>
      </c>
      <c r="GB245" t="s">
        <v>57</v>
      </c>
      <c r="GC245" t="s">
        <v>57</v>
      </c>
      <c r="GD245" t="s">
        <v>57</v>
      </c>
      <c r="GE245" t="s">
        <v>57</v>
      </c>
      <c r="GF245" t="s">
        <v>148</v>
      </c>
      <c r="GG245" t="s">
        <v>148</v>
      </c>
      <c r="GH245" t="s">
        <v>57</v>
      </c>
      <c r="GI245" t="s">
        <v>57</v>
      </c>
      <c r="GJ245" t="s">
        <v>57</v>
      </c>
      <c r="GK245" t="s">
        <v>57</v>
      </c>
      <c r="GL245" t="s">
        <v>57</v>
      </c>
      <c r="GM245" t="s">
        <v>57</v>
      </c>
      <c r="GN245" t="s">
        <v>57</v>
      </c>
      <c r="GO245" t="s">
        <v>57</v>
      </c>
      <c r="GP245" t="s">
        <v>57</v>
      </c>
      <c r="GQ245" t="s">
        <v>57</v>
      </c>
      <c r="GR245" t="s">
        <v>57</v>
      </c>
      <c r="GS245" t="s">
        <v>57</v>
      </c>
      <c r="GT245" t="s">
        <v>57</v>
      </c>
      <c r="GU245" t="s">
        <v>57</v>
      </c>
      <c r="GV245" t="s">
        <v>57</v>
      </c>
      <c r="GW245" t="s">
        <v>148</v>
      </c>
      <c r="GX245" t="s">
        <v>148</v>
      </c>
      <c r="GY245" t="s">
        <v>57</v>
      </c>
      <c r="GZ245" t="s">
        <v>57</v>
      </c>
      <c r="HA245" t="s">
        <v>57</v>
      </c>
      <c r="HB245" t="s">
        <v>57</v>
      </c>
      <c r="HC245" t="s">
        <v>57</v>
      </c>
      <c r="HD245" t="s">
        <v>57</v>
      </c>
      <c r="HE245" t="s">
        <v>57</v>
      </c>
      <c r="HF245" t="s">
        <v>57</v>
      </c>
      <c r="HG245" t="s">
        <v>57</v>
      </c>
      <c r="HH245" t="s">
        <v>57</v>
      </c>
      <c r="HI245" t="s">
        <v>57</v>
      </c>
      <c r="HJ245" t="s">
        <v>57</v>
      </c>
      <c r="HK245" t="s">
        <v>57</v>
      </c>
      <c r="HL245" t="s">
        <v>57</v>
      </c>
      <c r="HM245" t="s">
        <v>57</v>
      </c>
      <c r="HN245" t="s">
        <v>57</v>
      </c>
      <c r="HO245" t="s">
        <v>57</v>
      </c>
      <c r="HP245" t="s">
        <v>57</v>
      </c>
      <c r="HQ245" t="s">
        <v>57</v>
      </c>
      <c r="HR245" t="s">
        <v>57</v>
      </c>
      <c r="HS245" t="s">
        <v>57</v>
      </c>
      <c r="HT245" t="s">
        <v>57</v>
      </c>
      <c r="HU245" t="s">
        <v>57</v>
      </c>
      <c r="HV245" t="s">
        <v>57</v>
      </c>
      <c r="HW245" t="s">
        <v>57</v>
      </c>
      <c r="HX245" t="s">
        <v>57</v>
      </c>
      <c r="HY245" t="s">
        <v>57</v>
      </c>
      <c r="HZ245" t="s">
        <v>57</v>
      </c>
      <c r="IA245" t="s">
        <v>57</v>
      </c>
      <c r="IB245" t="s">
        <v>57</v>
      </c>
      <c r="IC245" t="s">
        <v>57</v>
      </c>
      <c r="ID245" t="s">
        <v>57</v>
      </c>
      <c r="IE245" t="s">
        <v>57</v>
      </c>
      <c r="IF245" t="s">
        <v>124</v>
      </c>
      <c r="IG245" t="s">
        <v>155</v>
      </c>
      <c r="IH245" t="s">
        <v>123</v>
      </c>
      <c r="II245" t="s">
        <v>156</v>
      </c>
    </row>
    <row r="246" spans="1:243" x14ac:dyDescent="0.25">
      <c r="A246" s="201" t="str">
        <f>HYPERLINK("http://www.ofsted.gov.uk/inspection-reports/find-inspection-report/provider/ELS/141315 ","Ofsted School Webpage")</f>
        <v>Ofsted School Webpage</v>
      </c>
      <c r="B246">
        <v>141315</v>
      </c>
      <c r="C246">
        <v>2036004</v>
      </c>
      <c r="D246" t="s">
        <v>465</v>
      </c>
      <c r="E246" t="s">
        <v>36</v>
      </c>
      <c r="F246" t="s">
        <v>166</v>
      </c>
      <c r="G246" t="s">
        <v>189</v>
      </c>
      <c r="H246" t="s">
        <v>189</v>
      </c>
      <c r="I246" t="s">
        <v>437</v>
      </c>
      <c r="J246" t="s">
        <v>466</v>
      </c>
      <c r="K246" t="s">
        <v>142</v>
      </c>
      <c r="L246" t="s">
        <v>142</v>
      </c>
      <c r="M246" t="s">
        <v>2596</v>
      </c>
      <c r="N246" t="s">
        <v>143</v>
      </c>
      <c r="O246">
        <v>10035815</v>
      </c>
      <c r="P246" s="108">
        <v>43011</v>
      </c>
      <c r="Q246" s="108">
        <v>43013</v>
      </c>
      <c r="R246" s="108">
        <v>43061</v>
      </c>
      <c r="S246" t="s">
        <v>153</v>
      </c>
      <c r="T246" t="s">
        <v>154</v>
      </c>
      <c r="U246">
        <v>3</v>
      </c>
      <c r="V246">
        <v>3</v>
      </c>
      <c r="W246">
        <v>2</v>
      </c>
      <c r="X246">
        <v>3</v>
      </c>
      <c r="Y246">
        <v>3</v>
      </c>
      <c r="Z246" t="s">
        <v>2596</v>
      </c>
      <c r="AA246" t="s">
        <v>2596</v>
      </c>
      <c r="AB246" t="s">
        <v>123</v>
      </c>
      <c r="AC246" t="s">
        <v>2596</v>
      </c>
      <c r="AD246" t="s">
        <v>2598</v>
      </c>
      <c r="AE246" t="s">
        <v>57</v>
      </c>
      <c r="AF246" t="s">
        <v>57</v>
      </c>
      <c r="AG246" t="s">
        <v>57</v>
      </c>
      <c r="AH246" t="s">
        <v>57</v>
      </c>
      <c r="AI246" t="s">
        <v>57</v>
      </c>
      <c r="AJ246" t="s">
        <v>57</v>
      </c>
      <c r="AK246" t="s">
        <v>57</v>
      </c>
      <c r="AL246" t="s">
        <v>57</v>
      </c>
      <c r="AM246" t="s">
        <v>57</v>
      </c>
      <c r="AN246" t="s">
        <v>57</v>
      </c>
      <c r="AO246" t="s">
        <v>57</v>
      </c>
      <c r="AP246" t="s">
        <v>57</v>
      </c>
      <c r="AQ246" t="s">
        <v>57</v>
      </c>
      <c r="AR246" t="s">
        <v>57</v>
      </c>
      <c r="AS246" t="s">
        <v>57</v>
      </c>
      <c r="AT246" t="s">
        <v>57</v>
      </c>
      <c r="AU246" t="s">
        <v>175</v>
      </c>
      <c r="AV246" t="s">
        <v>57</v>
      </c>
      <c r="AW246" t="s">
        <v>57</v>
      </c>
      <c r="AX246" t="s">
        <v>57</v>
      </c>
      <c r="AY246" t="s">
        <v>57</v>
      </c>
      <c r="AZ246" t="s">
        <v>57</v>
      </c>
      <c r="BA246" t="s">
        <v>57</v>
      </c>
      <c r="BB246" t="s">
        <v>57</v>
      </c>
      <c r="BC246" t="s">
        <v>175</v>
      </c>
      <c r="BD246" t="s">
        <v>175</v>
      </c>
      <c r="BE246" t="s">
        <v>57</v>
      </c>
      <c r="BF246" t="s">
        <v>57</v>
      </c>
      <c r="BG246" t="s">
        <v>57</v>
      </c>
      <c r="BH246" t="s">
        <v>57</v>
      </c>
      <c r="BI246" t="s">
        <v>57</v>
      </c>
      <c r="BJ246" t="s">
        <v>57</v>
      </c>
      <c r="BK246" t="s">
        <v>57</v>
      </c>
      <c r="BL246" t="s">
        <v>57</v>
      </c>
      <c r="BM246" t="s">
        <v>57</v>
      </c>
      <c r="BN246" t="s">
        <v>57</v>
      </c>
      <c r="BO246" t="s">
        <v>57</v>
      </c>
      <c r="BP246" t="s">
        <v>57</v>
      </c>
      <c r="BQ246" t="s">
        <v>57</v>
      </c>
      <c r="BR246" t="s">
        <v>57</v>
      </c>
      <c r="BS246" t="s">
        <v>57</v>
      </c>
      <c r="BT246" t="s">
        <v>57</v>
      </c>
      <c r="BU246" t="s">
        <v>57</v>
      </c>
      <c r="BV246" t="s">
        <v>57</v>
      </c>
      <c r="BW246" t="s">
        <v>57</v>
      </c>
      <c r="BX246" t="s">
        <v>57</v>
      </c>
      <c r="BY246" t="s">
        <v>57</v>
      </c>
      <c r="BZ246" t="s">
        <v>57</v>
      </c>
      <c r="CA246" t="s">
        <v>57</v>
      </c>
      <c r="CB246" t="s">
        <v>57</v>
      </c>
      <c r="CC246" t="s">
        <v>57</v>
      </c>
      <c r="CD246" t="s">
        <v>57</v>
      </c>
      <c r="CE246" t="s">
        <v>57</v>
      </c>
      <c r="CF246" t="s">
        <v>57</v>
      </c>
      <c r="CG246" t="s">
        <v>57</v>
      </c>
      <c r="CH246" t="s">
        <v>57</v>
      </c>
      <c r="CI246" t="s">
        <v>57</v>
      </c>
      <c r="CJ246" t="s">
        <v>57</v>
      </c>
      <c r="CK246" t="s">
        <v>57</v>
      </c>
      <c r="CL246" t="s">
        <v>57</v>
      </c>
      <c r="CM246" t="s">
        <v>57</v>
      </c>
      <c r="CN246" t="s">
        <v>57</v>
      </c>
      <c r="CO246" t="s">
        <v>57</v>
      </c>
      <c r="CP246" t="s">
        <v>57</v>
      </c>
      <c r="CQ246" t="s">
        <v>57</v>
      </c>
      <c r="CR246" t="s">
        <v>57</v>
      </c>
      <c r="CS246" t="s">
        <v>57</v>
      </c>
      <c r="CT246" t="s">
        <v>57</v>
      </c>
      <c r="CU246" t="s">
        <v>57</v>
      </c>
      <c r="CV246" t="s">
        <v>57</v>
      </c>
      <c r="CW246" t="s">
        <v>57</v>
      </c>
      <c r="CX246" t="s">
        <v>57</v>
      </c>
      <c r="CY246" t="s">
        <v>57</v>
      </c>
      <c r="CZ246" t="s">
        <v>57</v>
      </c>
      <c r="DA246" t="s">
        <v>57</v>
      </c>
      <c r="DB246" t="s">
        <v>57</v>
      </c>
      <c r="DC246" t="s">
        <v>57</v>
      </c>
      <c r="DD246" t="s">
        <v>57</v>
      </c>
      <c r="DE246" t="s">
        <v>57</v>
      </c>
      <c r="DF246" t="s">
        <v>57</v>
      </c>
      <c r="DG246" t="s">
        <v>57</v>
      </c>
      <c r="DH246" t="s">
        <v>57</v>
      </c>
      <c r="DI246" t="s">
        <v>57</v>
      </c>
      <c r="DJ246" t="s">
        <v>57</v>
      </c>
      <c r="DK246" t="s">
        <v>175</v>
      </c>
      <c r="DL246" t="s">
        <v>57</v>
      </c>
      <c r="DM246" t="s">
        <v>57</v>
      </c>
      <c r="DN246" t="s">
        <v>57</v>
      </c>
      <c r="DO246" t="s">
        <v>57</v>
      </c>
      <c r="DP246" t="s">
        <v>57</v>
      </c>
      <c r="DQ246" t="s">
        <v>57</v>
      </c>
      <c r="DR246" t="s">
        <v>57</v>
      </c>
      <c r="DS246" t="s">
        <v>57</v>
      </c>
      <c r="DT246" t="s">
        <v>57</v>
      </c>
      <c r="DU246" t="s">
        <v>57</v>
      </c>
      <c r="DV246" t="s">
        <v>57</v>
      </c>
      <c r="DW246" t="s">
        <v>57</v>
      </c>
      <c r="DX246" t="s">
        <v>57</v>
      </c>
      <c r="DY246" t="s">
        <v>57</v>
      </c>
      <c r="DZ246" t="s">
        <v>57</v>
      </c>
      <c r="EA246" t="s">
        <v>57</v>
      </c>
      <c r="EB246" t="s">
        <v>57</v>
      </c>
      <c r="EC246" t="s">
        <v>57</v>
      </c>
      <c r="ED246" t="s">
        <v>57</v>
      </c>
      <c r="EE246" t="s">
        <v>57</v>
      </c>
      <c r="EF246" t="s">
        <v>57</v>
      </c>
      <c r="EG246" t="s">
        <v>57</v>
      </c>
      <c r="EH246" t="s">
        <v>57</v>
      </c>
      <c r="EI246" t="s">
        <v>57</v>
      </c>
      <c r="EJ246" t="s">
        <v>57</v>
      </c>
      <c r="EK246" t="s">
        <v>57</v>
      </c>
      <c r="EL246" t="s">
        <v>57</v>
      </c>
      <c r="EM246" t="s">
        <v>57</v>
      </c>
      <c r="EN246" t="s">
        <v>57</v>
      </c>
      <c r="EO246" t="s">
        <v>57</v>
      </c>
      <c r="EP246" t="s">
        <v>57</v>
      </c>
      <c r="EQ246" t="s">
        <v>57</v>
      </c>
      <c r="ER246" t="s">
        <v>57</v>
      </c>
      <c r="ES246" t="s">
        <v>57</v>
      </c>
      <c r="ET246" t="s">
        <v>57</v>
      </c>
      <c r="EU246" t="s">
        <v>57</v>
      </c>
      <c r="EV246" t="s">
        <v>57</v>
      </c>
      <c r="EW246" t="s">
        <v>57</v>
      </c>
      <c r="EX246" t="s">
        <v>57</v>
      </c>
      <c r="EY246" t="s">
        <v>57</v>
      </c>
      <c r="EZ246" t="s">
        <v>57</v>
      </c>
      <c r="FA246" t="s">
        <v>57</v>
      </c>
      <c r="FB246" t="s">
        <v>57</v>
      </c>
      <c r="FC246" t="s">
        <v>57</v>
      </c>
      <c r="FD246" t="s">
        <v>57</v>
      </c>
      <c r="FE246" t="s">
        <v>57</v>
      </c>
      <c r="FF246" t="s">
        <v>57</v>
      </c>
      <c r="FG246" t="s">
        <v>57</v>
      </c>
      <c r="FH246" t="s">
        <v>57</v>
      </c>
      <c r="FI246" t="s">
        <v>57</v>
      </c>
      <c r="FJ246" t="s">
        <v>57</v>
      </c>
      <c r="FK246" t="s">
        <v>57</v>
      </c>
      <c r="FL246" t="s">
        <v>57</v>
      </c>
      <c r="FM246" t="s">
        <v>57</v>
      </c>
      <c r="FN246" t="s">
        <v>57</v>
      </c>
      <c r="FO246" t="s">
        <v>175</v>
      </c>
      <c r="FP246" t="s">
        <v>57</v>
      </c>
      <c r="FQ246" t="s">
        <v>57</v>
      </c>
      <c r="FR246" t="s">
        <v>57</v>
      </c>
      <c r="FS246" t="s">
        <v>57</v>
      </c>
      <c r="FT246" t="s">
        <v>57</v>
      </c>
      <c r="FU246" t="s">
        <v>57</v>
      </c>
      <c r="FV246" t="s">
        <v>57</v>
      </c>
      <c r="FW246" t="s">
        <v>57</v>
      </c>
      <c r="FX246" t="s">
        <v>57</v>
      </c>
      <c r="FY246" t="s">
        <v>57</v>
      </c>
      <c r="FZ246" t="s">
        <v>57</v>
      </c>
      <c r="GA246" t="s">
        <v>57</v>
      </c>
      <c r="GB246" t="s">
        <v>57</v>
      </c>
      <c r="GC246" t="s">
        <v>57</v>
      </c>
      <c r="GD246" t="s">
        <v>57</v>
      </c>
      <c r="GE246" t="s">
        <v>57</v>
      </c>
      <c r="GF246" t="s">
        <v>57</v>
      </c>
      <c r="GG246" t="s">
        <v>57</v>
      </c>
      <c r="GH246" t="s">
        <v>57</v>
      </c>
      <c r="GI246" t="s">
        <v>57</v>
      </c>
      <c r="GJ246" t="s">
        <v>57</v>
      </c>
      <c r="GK246" t="s">
        <v>57</v>
      </c>
      <c r="GL246" t="s">
        <v>57</v>
      </c>
      <c r="GM246" t="s">
        <v>175</v>
      </c>
      <c r="GN246" t="s">
        <v>57</v>
      </c>
      <c r="GO246" t="s">
        <v>57</v>
      </c>
      <c r="GP246" t="s">
        <v>57</v>
      </c>
      <c r="GQ246" t="s">
        <v>57</v>
      </c>
      <c r="GR246" t="s">
        <v>57</v>
      </c>
      <c r="GS246" t="s">
        <v>57</v>
      </c>
      <c r="GT246" t="s">
        <v>57</v>
      </c>
      <c r="GU246" t="s">
        <v>57</v>
      </c>
      <c r="GV246" t="s">
        <v>57</v>
      </c>
      <c r="GW246" t="s">
        <v>175</v>
      </c>
      <c r="GX246" t="s">
        <v>175</v>
      </c>
      <c r="GY246" t="s">
        <v>57</v>
      </c>
      <c r="GZ246" t="s">
        <v>57</v>
      </c>
      <c r="HA246" t="s">
        <v>57</v>
      </c>
      <c r="HB246" t="s">
        <v>57</v>
      </c>
      <c r="HC246" t="s">
        <v>57</v>
      </c>
      <c r="HD246" t="s">
        <v>57</v>
      </c>
      <c r="HE246" t="s">
        <v>57</v>
      </c>
      <c r="HF246" t="s">
        <v>57</v>
      </c>
      <c r="HG246" t="s">
        <v>57</v>
      </c>
      <c r="HH246" t="s">
        <v>57</v>
      </c>
      <c r="HI246" t="s">
        <v>175</v>
      </c>
      <c r="HJ246" t="s">
        <v>175</v>
      </c>
      <c r="HK246" t="s">
        <v>175</v>
      </c>
      <c r="HL246" t="s">
        <v>57</v>
      </c>
      <c r="HM246" t="s">
        <v>57</v>
      </c>
      <c r="HN246" t="s">
        <v>57</v>
      </c>
      <c r="HO246" t="s">
        <v>57</v>
      </c>
      <c r="HP246" t="s">
        <v>57</v>
      </c>
      <c r="HQ246" t="s">
        <v>57</v>
      </c>
      <c r="HR246" t="s">
        <v>57</v>
      </c>
      <c r="HS246" t="s">
        <v>57</v>
      </c>
      <c r="HT246" t="s">
        <v>57</v>
      </c>
      <c r="HU246" t="s">
        <v>57</v>
      </c>
      <c r="HV246" t="s">
        <v>57</v>
      </c>
      <c r="HW246" t="s">
        <v>57</v>
      </c>
      <c r="HX246" t="s">
        <v>57</v>
      </c>
      <c r="HY246" t="s">
        <v>57</v>
      </c>
      <c r="HZ246" t="s">
        <v>57</v>
      </c>
      <c r="IA246" t="s">
        <v>57</v>
      </c>
      <c r="IB246" t="s">
        <v>57</v>
      </c>
      <c r="IC246" t="s">
        <v>57</v>
      </c>
      <c r="ID246" t="s">
        <v>57</v>
      </c>
      <c r="IE246" t="s">
        <v>57</v>
      </c>
      <c r="IF246" t="s">
        <v>124</v>
      </c>
      <c r="IG246" t="s">
        <v>148</v>
      </c>
      <c r="IH246" t="s">
        <v>123</v>
      </c>
      <c r="II246" t="s">
        <v>156</v>
      </c>
    </row>
    <row r="247" spans="1:243" x14ac:dyDescent="0.25">
      <c r="A247" s="201" t="str">
        <f>HYPERLINK("http://www.ofsted.gov.uk/inspection-reports/find-inspection-report/provider/ELS/141316 ","Ofsted School Webpage")</f>
        <v>Ofsted School Webpage</v>
      </c>
      <c r="B247">
        <v>141316</v>
      </c>
      <c r="C247">
        <v>3806010</v>
      </c>
      <c r="D247" t="s">
        <v>294</v>
      </c>
      <c r="E247" t="s">
        <v>36</v>
      </c>
      <c r="F247" t="s">
        <v>166</v>
      </c>
      <c r="G247" t="s">
        <v>202</v>
      </c>
      <c r="H247" t="s">
        <v>203</v>
      </c>
      <c r="I247" t="s">
        <v>295</v>
      </c>
      <c r="J247" t="s">
        <v>296</v>
      </c>
      <c r="K247" t="s">
        <v>142</v>
      </c>
      <c r="L247" t="s">
        <v>180</v>
      </c>
      <c r="M247" t="s">
        <v>2596</v>
      </c>
      <c r="N247" t="s">
        <v>143</v>
      </c>
      <c r="O247">
        <v>10040147</v>
      </c>
      <c r="P247" s="108">
        <v>42997</v>
      </c>
      <c r="Q247" s="108">
        <v>42999</v>
      </c>
      <c r="R247" s="108">
        <v>43024</v>
      </c>
      <c r="S247" t="s">
        <v>153</v>
      </c>
      <c r="T247" t="s">
        <v>154</v>
      </c>
      <c r="U247">
        <v>3</v>
      </c>
      <c r="V247">
        <v>3</v>
      </c>
      <c r="W247">
        <v>2</v>
      </c>
      <c r="X247">
        <v>3</v>
      </c>
      <c r="Y247">
        <v>3</v>
      </c>
      <c r="Z247" t="s">
        <v>2596</v>
      </c>
      <c r="AA247" t="s">
        <v>2596</v>
      </c>
      <c r="AB247" t="s">
        <v>123</v>
      </c>
      <c r="AC247" t="s">
        <v>2596</v>
      </c>
      <c r="AD247" t="s">
        <v>2599</v>
      </c>
      <c r="AE247" t="s">
        <v>57</v>
      </c>
      <c r="AF247" t="s">
        <v>57</v>
      </c>
      <c r="AG247" t="s">
        <v>57</v>
      </c>
      <c r="AH247" t="s">
        <v>57</v>
      </c>
      <c r="AI247" t="s">
        <v>57</v>
      </c>
      <c r="AJ247" t="s">
        <v>57</v>
      </c>
      <c r="AK247" t="s">
        <v>57</v>
      </c>
      <c r="AL247" t="s">
        <v>58</v>
      </c>
      <c r="AM247" t="s">
        <v>57</v>
      </c>
      <c r="AN247" t="s">
        <v>57</v>
      </c>
      <c r="AO247" t="s">
        <v>57</v>
      </c>
      <c r="AP247" t="s">
        <v>57</v>
      </c>
      <c r="AQ247" t="s">
        <v>57</v>
      </c>
      <c r="AR247" t="s">
        <v>58</v>
      </c>
      <c r="AS247" t="s">
        <v>57</v>
      </c>
      <c r="AT247" t="s">
        <v>57</v>
      </c>
      <c r="AU247" t="s">
        <v>175</v>
      </c>
      <c r="AV247" t="s">
        <v>57</v>
      </c>
      <c r="AW247" t="s">
        <v>57</v>
      </c>
      <c r="AX247" t="s">
        <v>57</v>
      </c>
      <c r="AY247" t="s">
        <v>58</v>
      </c>
      <c r="AZ247" t="s">
        <v>58</v>
      </c>
      <c r="BA247" t="s">
        <v>58</v>
      </c>
      <c r="BB247" t="s">
        <v>58</v>
      </c>
      <c r="BC247" t="s">
        <v>175</v>
      </c>
      <c r="BD247" t="s">
        <v>175</v>
      </c>
      <c r="BE247" t="s">
        <v>57</v>
      </c>
      <c r="BF247" t="s">
        <v>57</v>
      </c>
      <c r="BG247" t="s">
        <v>58</v>
      </c>
      <c r="BH247" t="s">
        <v>58</v>
      </c>
      <c r="BI247" t="s">
        <v>57</v>
      </c>
      <c r="BJ247" t="s">
        <v>58</v>
      </c>
      <c r="BK247" t="s">
        <v>58</v>
      </c>
      <c r="BL247" t="s">
        <v>57</v>
      </c>
      <c r="BM247" t="s">
        <v>57</v>
      </c>
      <c r="BN247" t="s">
        <v>57</v>
      </c>
      <c r="BO247" t="s">
        <v>57</v>
      </c>
      <c r="BP247" t="s">
        <v>57</v>
      </c>
      <c r="BQ247" t="s">
        <v>57</v>
      </c>
      <c r="BR247" t="s">
        <v>57</v>
      </c>
      <c r="BS247" t="s">
        <v>57</v>
      </c>
      <c r="BT247" t="s">
        <v>57</v>
      </c>
      <c r="BU247" t="s">
        <v>57</v>
      </c>
      <c r="BV247" t="s">
        <v>57</v>
      </c>
      <c r="BW247" t="s">
        <v>57</v>
      </c>
      <c r="BX247" t="s">
        <v>57</v>
      </c>
      <c r="BY247" t="s">
        <v>57</v>
      </c>
      <c r="BZ247" t="s">
        <v>57</v>
      </c>
      <c r="CA247" t="s">
        <v>57</v>
      </c>
      <c r="CB247" t="s">
        <v>57</v>
      </c>
      <c r="CC247" t="s">
        <v>57</v>
      </c>
      <c r="CD247" t="s">
        <v>57</v>
      </c>
      <c r="CE247" t="s">
        <v>57</v>
      </c>
      <c r="CF247" t="s">
        <v>57</v>
      </c>
      <c r="CG247" t="s">
        <v>57</v>
      </c>
      <c r="CH247" t="s">
        <v>57</v>
      </c>
      <c r="CI247" t="s">
        <v>57</v>
      </c>
      <c r="CJ247" t="s">
        <v>57</v>
      </c>
      <c r="CK247" t="s">
        <v>175</v>
      </c>
      <c r="CL247" t="s">
        <v>175</v>
      </c>
      <c r="CM247" t="s">
        <v>175</v>
      </c>
      <c r="CN247" t="s">
        <v>57</v>
      </c>
      <c r="CO247" t="s">
        <v>57</v>
      </c>
      <c r="CP247" t="s">
        <v>57</v>
      </c>
      <c r="CQ247" t="s">
        <v>57</v>
      </c>
      <c r="CR247" t="s">
        <v>57</v>
      </c>
      <c r="CS247" t="s">
        <v>57</v>
      </c>
      <c r="CT247" t="s">
        <v>57</v>
      </c>
      <c r="CU247" t="s">
        <v>57</v>
      </c>
      <c r="CV247" t="s">
        <v>57</v>
      </c>
      <c r="CW247" t="s">
        <v>57</v>
      </c>
      <c r="CX247" t="s">
        <v>57</v>
      </c>
      <c r="CY247" t="s">
        <v>57</v>
      </c>
      <c r="CZ247" t="s">
        <v>57</v>
      </c>
      <c r="DA247" t="s">
        <v>57</v>
      </c>
      <c r="DB247" t="s">
        <v>57</v>
      </c>
      <c r="DC247" t="s">
        <v>57</v>
      </c>
      <c r="DD247" t="s">
        <v>57</v>
      </c>
      <c r="DE247" t="s">
        <v>57</v>
      </c>
      <c r="DF247" t="s">
        <v>57</v>
      </c>
      <c r="DG247" t="s">
        <v>57</v>
      </c>
      <c r="DH247" t="s">
        <v>57</v>
      </c>
      <c r="DI247" t="s">
        <v>57</v>
      </c>
      <c r="DJ247" t="s">
        <v>57</v>
      </c>
      <c r="DK247" t="s">
        <v>57</v>
      </c>
      <c r="DL247" t="s">
        <v>57</v>
      </c>
      <c r="DM247" t="s">
        <v>175</v>
      </c>
      <c r="DN247" t="s">
        <v>175</v>
      </c>
      <c r="DO247" t="s">
        <v>175</v>
      </c>
      <c r="DP247" t="s">
        <v>175</v>
      </c>
      <c r="DQ247" t="s">
        <v>175</v>
      </c>
      <c r="DR247" t="s">
        <v>175</v>
      </c>
      <c r="DS247" t="s">
        <v>175</v>
      </c>
      <c r="DT247" t="s">
        <v>175</v>
      </c>
      <c r="DU247" t="s">
        <v>175</v>
      </c>
      <c r="DV247" t="s">
        <v>175</v>
      </c>
      <c r="DW247" t="s">
        <v>175</v>
      </c>
      <c r="DX247" t="s">
        <v>175</v>
      </c>
      <c r="DY247" t="s">
        <v>175</v>
      </c>
      <c r="DZ247" t="s">
        <v>175</v>
      </c>
      <c r="EA247" t="s">
        <v>57</v>
      </c>
      <c r="EB247" t="s">
        <v>57</v>
      </c>
      <c r="EC247" t="s">
        <v>57</v>
      </c>
      <c r="ED247" t="s">
        <v>57</v>
      </c>
      <c r="EE247" t="s">
        <v>57</v>
      </c>
      <c r="EF247" t="s">
        <v>57</v>
      </c>
      <c r="EG247" t="s">
        <v>57</v>
      </c>
      <c r="EH247" t="s">
        <v>57</v>
      </c>
      <c r="EI247" t="s">
        <v>57</v>
      </c>
      <c r="EJ247" t="s">
        <v>57</v>
      </c>
      <c r="EK247" t="s">
        <v>57</v>
      </c>
      <c r="EL247" t="s">
        <v>57</v>
      </c>
      <c r="EM247" t="s">
        <v>57</v>
      </c>
      <c r="EN247" t="s">
        <v>57</v>
      </c>
      <c r="EO247" t="s">
        <v>57</v>
      </c>
      <c r="EP247" t="s">
        <v>57</v>
      </c>
      <c r="EQ247" t="s">
        <v>57</v>
      </c>
      <c r="ER247" t="s">
        <v>57</v>
      </c>
      <c r="ES247" t="s">
        <v>57</v>
      </c>
      <c r="ET247" t="s">
        <v>57</v>
      </c>
      <c r="EU247" t="s">
        <v>57</v>
      </c>
      <c r="EV247" t="s">
        <v>57</v>
      </c>
      <c r="EW247" t="s">
        <v>57</v>
      </c>
      <c r="EX247" t="s">
        <v>175</v>
      </c>
      <c r="EY247" t="s">
        <v>175</v>
      </c>
      <c r="EZ247" t="s">
        <v>175</v>
      </c>
      <c r="FA247" t="s">
        <v>175</v>
      </c>
      <c r="FB247" t="s">
        <v>175</v>
      </c>
      <c r="FC247" t="s">
        <v>175</v>
      </c>
      <c r="FD247" t="s">
        <v>57</v>
      </c>
      <c r="FE247" t="s">
        <v>57</v>
      </c>
      <c r="FF247" t="s">
        <v>57</v>
      </c>
      <c r="FG247" t="s">
        <v>57</v>
      </c>
      <c r="FH247" t="s">
        <v>57</v>
      </c>
      <c r="FI247" t="s">
        <v>57</v>
      </c>
      <c r="FJ247" t="s">
        <v>57</v>
      </c>
      <c r="FK247" t="s">
        <v>57</v>
      </c>
      <c r="FL247" t="s">
        <v>57</v>
      </c>
      <c r="FM247" t="s">
        <v>57</v>
      </c>
      <c r="FN247" t="s">
        <v>57</v>
      </c>
      <c r="FO247" t="s">
        <v>175</v>
      </c>
      <c r="FP247" t="s">
        <v>57</v>
      </c>
      <c r="FQ247" t="s">
        <v>57</v>
      </c>
      <c r="FR247" t="s">
        <v>57</v>
      </c>
      <c r="FS247" t="s">
        <v>57</v>
      </c>
      <c r="FT247" t="s">
        <v>57</v>
      </c>
      <c r="FU247" t="s">
        <v>57</v>
      </c>
      <c r="FV247" t="s">
        <v>57</v>
      </c>
      <c r="FW247" t="s">
        <v>57</v>
      </c>
      <c r="FX247" t="s">
        <v>57</v>
      </c>
      <c r="FY247" t="s">
        <v>57</v>
      </c>
      <c r="FZ247" t="s">
        <v>57</v>
      </c>
      <c r="GA247" t="s">
        <v>57</v>
      </c>
      <c r="GB247" t="s">
        <v>57</v>
      </c>
      <c r="GC247" t="s">
        <v>57</v>
      </c>
      <c r="GD247" t="s">
        <v>57</v>
      </c>
      <c r="GE247" t="s">
        <v>57</v>
      </c>
      <c r="GF247" t="s">
        <v>57</v>
      </c>
      <c r="GG247" t="s">
        <v>175</v>
      </c>
      <c r="GH247" t="s">
        <v>57</v>
      </c>
      <c r="GI247" t="s">
        <v>57</v>
      </c>
      <c r="GJ247" t="s">
        <v>57</v>
      </c>
      <c r="GK247" t="s">
        <v>57</v>
      </c>
      <c r="GL247" t="s">
        <v>57</v>
      </c>
      <c r="GM247" t="s">
        <v>175</v>
      </c>
      <c r="GN247" t="s">
        <v>57</v>
      </c>
      <c r="GO247" t="s">
        <v>57</v>
      </c>
      <c r="GP247" t="s">
        <v>175</v>
      </c>
      <c r="GQ247" t="s">
        <v>175</v>
      </c>
      <c r="GR247" t="s">
        <v>57</v>
      </c>
      <c r="GS247" t="s">
        <v>57</v>
      </c>
      <c r="GT247" t="s">
        <v>57</v>
      </c>
      <c r="GU247" t="s">
        <v>57</v>
      </c>
      <c r="GV247" t="s">
        <v>57</v>
      </c>
      <c r="GW247" t="s">
        <v>57</v>
      </c>
      <c r="GX247" t="s">
        <v>175</v>
      </c>
      <c r="GY247" t="s">
        <v>57</v>
      </c>
      <c r="GZ247" t="s">
        <v>57</v>
      </c>
      <c r="HA247" t="s">
        <v>57</v>
      </c>
      <c r="HB247" t="s">
        <v>175</v>
      </c>
      <c r="HC247" t="s">
        <v>57</v>
      </c>
      <c r="HD247" t="s">
        <v>57</v>
      </c>
      <c r="HE247" t="s">
        <v>57</v>
      </c>
      <c r="HF247" t="s">
        <v>57</v>
      </c>
      <c r="HG247" t="s">
        <v>57</v>
      </c>
      <c r="HH247" t="s">
        <v>57</v>
      </c>
      <c r="HI247" t="s">
        <v>57</v>
      </c>
      <c r="HJ247" t="s">
        <v>57</v>
      </c>
      <c r="HK247" t="s">
        <v>57</v>
      </c>
      <c r="HL247" t="s">
        <v>57</v>
      </c>
      <c r="HM247" t="s">
        <v>57</v>
      </c>
      <c r="HN247" t="s">
        <v>57</v>
      </c>
      <c r="HO247" t="s">
        <v>57</v>
      </c>
      <c r="HP247" t="s">
        <v>57</v>
      </c>
      <c r="HQ247" t="s">
        <v>57</v>
      </c>
      <c r="HR247" t="s">
        <v>57</v>
      </c>
      <c r="HS247" t="s">
        <v>57</v>
      </c>
      <c r="HT247" t="s">
        <v>57</v>
      </c>
      <c r="HU247" t="s">
        <v>57</v>
      </c>
      <c r="HV247" t="s">
        <v>57</v>
      </c>
      <c r="HW247" t="s">
        <v>57</v>
      </c>
      <c r="HX247" t="s">
        <v>57</v>
      </c>
      <c r="HY247" t="s">
        <v>57</v>
      </c>
      <c r="HZ247" t="s">
        <v>57</v>
      </c>
      <c r="IA247" t="s">
        <v>57</v>
      </c>
      <c r="IB247" t="s">
        <v>58</v>
      </c>
      <c r="IC247" t="s">
        <v>58</v>
      </c>
      <c r="ID247" t="s">
        <v>58</v>
      </c>
      <c r="IE247" t="s">
        <v>57</v>
      </c>
      <c r="IF247" t="s">
        <v>124</v>
      </c>
      <c r="IG247" t="s">
        <v>148</v>
      </c>
      <c r="IH247" t="s">
        <v>123</v>
      </c>
      <c r="II247" t="s">
        <v>156</v>
      </c>
    </row>
    <row r="248" spans="1:243" x14ac:dyDescent="0.25">
      <c r="A248" s="201" t="str">
        <f>HYPERLINK("http://www.ofsted.gov.uk/inspection-reports/find-inspection-report/provider/ELS/141859 ","Ofsted School Webpage")</f>
        <v>Ofsted School Webpage</v>
      </c>
      <c r="B248">
        <v>141859</v>
      </c>
      <c r="C248">
        <v>3096004</v>
      </c>
      <c r="D248" t="s">
        <v>649</v>
      </c>
      <c r="E248" t="s">
        <v>36</v>
      </c>
      <c r="F248" t="s">
        <v>166</v>
      </c>
      <c r="G248" t="s">
        <v>189</v>
      </c>
      <c r="H248" t="s">
        <v>189</v>
      </c>
      <c r="I248" t="s">
        <v>650</v>
      </c>
      <c r="J248" t="s">
        <v>651</v>
      </c>
      <c r="K248" t="s">
        <v>142</v>
      </c>
      <c r="L248" t="s">
        <v>142</v>
      </c>
      <c r="M248" t="s">
        <v>2596</v>
      </c>
      <c r="N248" t="s">
        <v>143</v>
      </c>
      <c r="O248">
        <v>10041405</v>
      </c>
      <c r="P248" s="108">
        <v>43130</v>
      </c>
      <c r="Q248" s="108">
        <v>43132</v>
      </c>
      <c r="R248" s="108">
        <v>43157</v>
      </c>
      <c r="S248" t="s">
        <v>153</v>
      </c>
      <c r="T248" t="s">
        <v>154</v>
      </c>
      <c r="U248">
        <v>2</v>
      </c>
      <c r="V248">
        <v>2</v>
      </c>
      <c r="W248">
        <v>2</v>
      </c>
      <c r="X248">
        <v>2</v>
      </c>
      <c r="Y248">
        <v>2</v>
      </c>
      <c r="Z248" t="s">
        <v>2596</v>
      </c>
      <c r="AA248" t="s">
        <v>2596</v>
      </c>
      <c r="AB248" t="s">
        <v>123</v>
      </c>
      <c r="AC248" t="s">
        <v>2596</v>
      </c>
      <c r="AD248" t="s">
        <v>2598</v>
      </c>
      <c r="AE248" t="s">
        <v>57</v>
      </c>
      <c r="AF248" t="s">
        <v>57</v>
      </c>
      <c r="AG248" t="s">
        <v>57</v>
      </c>
      <c r="AH248" t="s">
        <v>57</v>
      </c>
      <c r="AI248" t="s">
        <v>57</v>
      </c>
      <c r="AJ248" t="s">
        <v>57</v>
      </c>
      <c r="AK248" t="s">
        <v>57</v>
      </c>
      <c r="AL248" t="s">
        <v>57</v>
      </c>
      <c r="AM248" t="s">
        <v>57</v>
      </c>
      <c r="AN248" t="s">
        <v>57</v>
      </c>
      <c r="AO248" t="s">
        <v>57</v>
      </c>
      <c r="AP248" t="s">
        <v>57</v>
      </c>
      <c r="AQ248" t="s">
        <v>57</v>
      </c>
      <c r="AR248" t="s">
        <v>57</v>
      </c>
      <c r="AS248" t="s">
        <v>57</v>
      </c>
      <c r="AT248" t="s">
        <v>57</v>
      </c>
      <c r="AU248" t="s">
        <v>175</v>
      </c>
      <c r="AV248" t="s">
        <v>57</v>
      </c>
      <c r="AW248" t="s">
        <v>57</v>
      </c>
      <c r="AX248" t="s">
        <v>57</v>
      </c>
      <c r="AY248" t="s">
        <v>57</v>
      </c>
      <c r="AZ248" t="s">
        <v>57</v>
      </c>
      <c r="BA248" t="s">
        <v>57</v>
      </c>
      <c r="BB248" t="s">
        <v>57</v>
      </c>
      <c r="BC248" t="s">
        <v>175</v>
      </c>
      <c r="BD248" t="s">
        <v>175</v>
      </c>
      <c r="BE248" t="s">
        <v>57</v>
      </c>
      <c r="BF248" t="s">
        <v>57</v>
      </c>
      <c r="BG248" t="s">
        <v>57</v>
      </c>
      <c r="BH248" t="s">
        <v>57</v>
      </c>
      <c r="BI248" t="s">
        <v>57</v>
      </c>
      <c r="BJ248" t="s">
        <v>57</v>
      </c>
      <c r="BK248" t="s">
        <v>57</v>
      </c>
      <c r="BL248" t="s">
        <v>57</v>
      </c>
      <c r="BM248" t="s">
        <v>57</v>
      </c>
      <c r="BN248" t="s">
        <v>57</v>
      </c>
      <c r="BO248" t="s">
        <v>57</v>
      </c>
      <c r="BP248" t="s">
        <v>57</v>
      </c>
      <c r="BQ248" t="s">
        <v>57</v>
      </c>
      <c r="BR248" t="s">
        <v>57</v>
      </c>
      <c r="BS248" t="s">
        <v>57</v>
      </c>
      <c r="BT248" t="s">
        <v>57</v>
      </c>
      <c r="BU248" t="s">
        <v>57</v>
      </c>
      <c r="BV248" t="s">
        <v>57</v>
      </c>
      <c r="BW248" t="s">
        <v>57</v>
      </c>
      <c r="BX248" t="s">
        <v>57</v>
      </c>
      <c r="BY248" t="s">
        <v>57</v>
      </c>
      <c r="BZ248" t="s">
        <v>57</v>
      </c>
      <c r="CA248" t="s">
        <v>57</v>
      </c>
      <c r="CB248" t="s">
        <v>57</v>
      </c>
      <c r="CC248" t="s">
        <v>57</v>
      </c>
      <c r="CD248" t="s">
        <v>57</v>
      </c>
      <c r="CE248" t="s">
        <v>57</v>
      </c>
      <c r="CF248" t="s">
        <v>57</v>
      </c>
      <c r="CG248" t="s">
        <v>57</v>
      </c>
      <c r="CH248" t="s">
        <v>57</v>
      </c>
      <c r="CI248" t="s">
        <v>57</v>
      </c>
      <c r="CJ248" t="s">
        <v>57</v>
      </c>
      <c r="CK248" t="s">
        <v>175</v>
      </c>
      <c r="CL248" t="s">
        <v>175</v>
      </c>
      <c r="CM248" t="s">
        <v>175</v>
      </c>
      <c r="CN248" t="s">
        <v>57</v>
      </c>
      <c r="CO248" t="s">
        <v>57</v>
      </c>
      <c r="CP248" t="s">
        <v>57</v>
      </c>
      <c r="CQ248" t="s">
        <v>57</v>
      </c>
      <c r="CR248" t="s">
        <v>57</v>
      </c>
      <c r="CS248" t="s">
        <v>57</v>
      </c>
      <c r="CT248" t="s">
        <v>57</v>
      </c>
      <c r="CU248" t="s">
        <v>57</v>
      </c>
      <c r="CV248" t="s">
        <v>57</v>
      </c>
      <c r="CW248" t="s">
        <v>57</v>
      </c>
      <c r="CX248" t="s">
        <v>57</v>
      </c>
      <c r="CY248" t="s">
        <v>57</v>
      </c>
      <c r="CZ248" t="s">
        <v>57</v>
      </c>
      <c r="DA248" t="s">
        <v>57</v>
      </c>
      <c r="DB248" t="s">
        <v>57</v>
      </c>
      <c r="DC248" t="s">
        <v>57</v>
      </c>
      <c r="DD248" t="s">
        <v>57</v>
      </c>
      <c r="DE248" t="s">
        <v>57</v>
      </c>
      <c r="DF248" t="s">
        <v>57</v>
      </c>
      <c r="DG248" t="s">
        <v>57</v>
      </c>
      <c r="DH248" t="s">
        <v>57</v>
      </c>
      <c r="DI248" t="s">
        <v>57</v>
      </c>
      <c r="DJ248" t="s">
        <v>57</v>
      </c>
      <c r="DK248" t="s">
        <v>175</v>
      </c>
      <c r="DL248" t="s">
        <v>57</v>
      </c>
      <c r="DM248" t="s">
        <v>57</v>
      </c>
      <c r="DN248" t="s">
        <v>57</v>
      </c>
      <c r="DO248" t="s">
        <v>57</v>
      </c>
      <c r="DP248" t="s">
        <v>57</v>
      </c>
      <c r="DQ248" t="s">
        <v>57</v>
      </c>
      <c r="DR248" t="s">
        <v>57</v>
      </c>
      <c r="DS248" t="s">
        <v>57</v>
      </c>
      <c r="DT248" t="s">
        <v>57</v>
      </c>
      <c r="DU248" t="s">
        <v>57</v>
      </c>
      <c r="DV248" t="s">
        <v>57</v>
      </c>
      <c r="DW248" t="s">
        <v>57</v>
      </c>
      <c r="DX248" t="s">
        <v>57</v>
      </c>
      <c r="DY248" t="s">
        <v>175</v>
      </c>
      <c r="DZ248" t="s">
        <v>57</v>
      </c>
      <c r="EA248" t="s">
        <v>57</v>
      </c>
      <c r="EB248" t="s">
        <v>57</v>
      </c>
      <c r="EC248" t="s">
        <v>57</v>
      </c>
      <c r="ED248" t="s">
        <v>57</v>
      </c>
      <c r="EE248" t="s">
        <v>57</v>
      </c>
      <c r="EF248" t="s">
        <v>57</v>
      </c>
      <c r="EG248" t="s">
        <v>57</v>
      </c>
      <c r="EH248" t="s">
        <v>57</v>
      </c>
      <c r="EI248" t="s">
        <v>57</v>
      </c>
      <c r="EJ248" t="s">
        <v>57</v>
      </c>
      <c r="EK248" t="s">
        <v>57</v>
      </c>
      <c r="EL248" t="s">
        <v>57</v>
      </c>
      <c r="EM248" t="s">
        <v>57</v>
      </c>
      <c r="EN248" t="s">
        <v>57</v>
      </c>
      <c r="EO248" t="s">
        <v>57</v>
      </c>
      <c r="EP248" t="s">
        <v>57</v>
      </c>
      <c r="EQ248" t="s">
        <v>57</v>
      </c>
      <c r="ER248" t="s">
        <v>57</v>
      </c>
      <c r="ES248" t="s">
        <v>57</v>
      </c>
      <c r="ET248" t="s">
        <v>57</v>
      </c>
      <c r="EU248" t="s">
        <v>57</v>
      </c>
      <c r="EV248" t="s">
        <v>57</v>
      </c>
      <c r="EW248" t="s">
        <v>57</v>
      </c>
      <c r="EX248" t="s">
        <v>57</v>
      </c>
      <c r="EY248" t="s">
        <v>57</v>
      </c>
      <c r="EZ248" t="s">
        <v>57</v>
      </c>
      <c r="FA248" t="s">
        <v>57</v>
      </c>
      <c r="FB248" t="s">
        <v>57</v>
      </c>
      <c r="FC248" t="s">
        <v>57</v>
      </c>
      <c r="FD248" t="s">
        <v>57</v>
      </c>
      <c r="FE248" t="s">
        <v>57</v>
      </c>
      <c r="FF248" t="s">
        <v>57</v>
      </c>
      <c r="FG248" t="s">
        <v>57</v>
      </c>
      <c r="FH248" t="s">
        <v>57</v>
      </c>
      <c r="FI248" t="s">
        <v>57</v>
      </c>
      <c r="FJ248" t="s">
        <v>57</v>
      </c>
      <c r="FK248" t="s">
        <v>57</v>
      </c>
      <c r="FL248" t="s">
        <v>57</v>
      </c>
      <c r="FM248" t="s">
        <v>57</v>
      </c>
      <c r="FN248" t="s">
        <v>57</v>
      </c>
      <c r="FO248" t="s">
        <v>175</v>
      </c>
      <c r="FP248" t="s">
        <v>57</v>
      </c>
      <c r="FQ248" t="s">
        <v>57</v>
      </c>
      <c r="FR248" t="s">
        <v>57</v>
      </c>
      <c r="FS248" t="s">
        <v>57</v>
      </c>
      <c r="FT248" t="s">
        <v>57</v>
      </c>
      <c r="FU248" t="s">
        <v>57</v>
      </c>
      <c r="FV248" t="s">
        <v>57</v>
      </c>
      <c r="FW248" t="s">
        <v>57</v>
      </c>
      <c r="FX248" t="s">
        <v>57</v>
      </c>
      <c r="FY248" t="s">
        <v>57</v>
      </c>
      <c r="FZ248" t="s">
        <v>57</v>
      </c>
      <c r="GA248" t="s">
        <v>57</v>
      </c>
      <c r="GB248" t="s">
        <v>57</v>
      </c>
      <c r="GC248" t="s">
        <v>57</v>
      </c>
      <c r="GD248" t="s">
        <v>57</v>
      </c>
      <c r="GE248" t="s">
        <v>57</v>
      </c>
      <c r="GF248" t="s">
        <v>175</v>
      </c>
      <c r="GG248" t="s">
        <v>175</v>
      </c>
      <c r="GH248" t="s">
        <v>57</v>
      </c>
      <c r="GI248" t="s">
        <v>57</v>
      </c>
      <c r="GJ248" t="s">
        <v>57</v>
      </c>
      <c r="GK248" t="s">
        <v>57</v>
      </c>
      <c r="GL248" t="s">
        <v>57</v>
      </c>
      <c r="GM248" t="s">
        <v>57</v>
      </c>
      <c r="GN248" t="s">
        <v>57</v>
      </c>
      <c r="GO248" t="s">
        <v>57</v>
      </c>
      <c r="GP248" t="s">
        <v>57</v>
      </c>
      <c r="GQ248" t="s">
        <v>57</v>
      </c>
      <c r="GR248" t="s">
        <v>57</v>
      </c>
      <c r="GS248" t="s">
        <v>57</v>
      </c>
      <c r="GT248" t="s">
        <v>57</v>
      </c>
      <c r="GU248" t="s">
        <v>57</v>
      </c>
      <c r="GV248" t="s">
        <v>175</v>
      </c>
      <c r="GW248" t="s">
        <v>57</v>
      </c>
      <c r="GX248" t="s">
        <v>57</v>
      </c>
      <c r="GY248" t="s">
        <v>57</v>
      </c>
      <c r="GZ248" t="s">
        <v>57</v>
      </c>
      <c r="HA248" t="s">
        <v>57</v>
      </c>
      <c r="HB248" t="s">
        <v>57</v>
      </c>
      <c r="HC248" t="s">
        <v>57</v>
      </c>
      <c r="HD248" t="s">
        <v>57</v>
      </c>
      <c r="HE248" t="s">
        <v>57</v>
      </c>
      <c r="HF248" t="s">
        <v>57</v>
      </c>
      <c r="HG248" t="s">
        <v>57</v>
      </c>
      <c r="HH248" t="s">
        <v>57</v>
      </c>
      <c r="HI248" t="s">
        <v>57</v>
      </c>
      <c r="HJ248" t="s">
        <v>57</v>
      </c>
      <c r="HK248" t="s">
        <v>57</v>
      </c>
      <c r="HL248" t="s">
        <v>57</v>
      </c>
      <c r="HM248" t="s">
        <v>57</v>
      </c>
      <c r="HN248" t="s">
        <v>57</v>
      </c>
      <c r="HO248" t="s">
        <v>57</v>
      </c>
      <c r="HP248" t="s">
        <v>57</v>
      </c>
      <c r="HQ248" t="s">
        <v>57</v>
      </c>
      <c r="HR248" t="s">
        <v>57</v>
      </c>
      <c r="HS248" t="s">
        <v>57</v>
      </c>
      <c r="HT248" t="s">
        <v>57</v>
      </c>
      <c r="HU248" t="s">
        <v>57</v>
      </c>
      <c r="HV248" t="s">
        <v>57</v>
      </c>
      <c r="HW248" t="s">
        <v>57</v>
      </c>
      <c r="HX248" t="s">
        <v>57</v>
      </c>
      <c r="HY248" t="s">
        <v>57</v>
      </c>
      <c r="HZ248" t="s">
        <v>57</v>
      </c>
      <c r="IA248" t="s">
        <v>57</v>
      </c>
      <c r="IB248" t="s">
        <v>57</v>
      </c>
      <c r="IC248" t="s">
        <v>57</v>
      </c>
      <c r="ID248" t="s">
        <v>57</v>
      </c>
      <c r="IE248" t="s">
        <v>57</v>
      </c>
      <c r="IF248" t="s">
        <v>124</v>
      </c>
      <c r="IG248" t="s">
        <v>148</v>
      </c>
      <c r="IH248" t="s">
        <v>123</v>
      </c>
      <c r="II248" t="s">
        <v>156</v>
      </c>
    </row>
    <row r="249" spans="1:243" x14ac:dyDescent="0.25">
      <c r="A249" s="201" t="str">
        <f>HYPERLINK("http://www.ofsted.gov.uk/inspection-reports/find-inspection-report/provider/ELS/142334 ","Ofsted School Webpage")</f>
        <v>Ofsted School Webpage</v>
      </c>
      <c r="B249">
        <v>142334</v>
      </c>
      <c r="C249">
        <v>3116001</v>
      </c>
      <c r="D249" t="s">
        <v>744</v>
      </c>
      <c r="E249" t="s">
        <v>37</v>
      </c>
      <c r="F249" t="s">
        <v>138</v>
      </c>
      <c r="G249" t="s">
        <v>189</v>
      </c>
      <c r="H249" t="s">
        <v>189</v>
      </c>
      <c r="I249" t="s">
        <v>745</v>
      </c>
      <c r="J249" t="s">
        <v>746</v>
      </c>
      <c r="K249" t="s">
        <v>142</v>
      </c>
      <c r="L249" t="s">
        <v>142</v>
      </c>
      <c r="M249" t="s">
        <v>2596</v>
      </c>
      <c r="N249" t="s">
        <v>143</v>
      </c>
      <c r="O249">
        <v>10041270</v>
      </c>
      <c r="P249" s="108">
        <v>43018</v>
      </c>
      <c r="Q249" s="108">
        <v>43020</v>
      </c>
      <c r="R249" s="108">
        <v>43077</v>
      </c>
      <c r="S249" t="s">
        <v>153</v>
      </c>
      <c r="T249" t="s">
        <v>154</v>
      </c>
      <c r="U249">
        <v>3</v>
      </c>
      <c r="V249">
        <v>3</v>
      </c>
      <c r="W249">
        <v>2</v>
      </c>
      <c r="X249">
        <v>3</v>
      </c>
      <c r="Y249">
        <v>3</v>
      </c>
      <c r="Z249" t="s">
        <v>2596</v>
      </c>
      <c r="AA249" t="s">
        <v>2596</v>
      </c>
      <c r="AB249" t="s">
        <v>123</v>
      </c>
      <c r="AC249" t="s">
        <v>2596</v>
      </c>
      <c r="AD249" t="s">
        <v>2598</v>
      </c>
      <c r="AE249" t="s">
        <v>57</v>
      </c>
      <c r="AF249" t="s">
        <v>57</v>
      </c>
      <c r="AG249" t="s">
        <v>57</v>
      </c>
      <c r="AH249" t="s">
        <v>57</v>
      </c>
      <c r="AI249" t="s">
        <v>57</v>
      </c>
      <c r="AJ249" t="s">
        <v>57</v>
      </c>
      <c r="AK249" t="s">
        <v>57</v>
      </c>
      <c r="AL249" t="s">
        <v>57</v>
      </c>
      <c r="AM249" t="s">
        <v>57</v>
      </c>
      <c r="AN249" t="s">
        <v>57</v>
      </c>
      <c r="AO249" t="s">
        <v>57</v>
      </c>
      <c r="AP249" t="s">
        <v>57</v>
      </c>
      <c r="AQ249" t="s">
        <v>57</v>
      </c>
      <c r="AR249" t="s">
        <v>57</v>
      </c>
      <c r="AS249" t="s">
        <v>57</v>
      </c>
      <c r="AT249" t="s">
        <v>57</v>
      </c>
      <c r="AU249" t="s">
        <v>175</v>
      </c>
      <c r="AV249" t="s">
        <v>57</v>
      </c>
      <c r="AW249" t="s">
        <v>57</v>
      </c>
      <c r="AX249" t="s">
        <v>57</v>
      </c>
      <c r="AY249" t="s">
        <v>57</v>
      </c>
      <c r="AZ249" t="s">
        <v>57</v>
      </c>
      <c r="BA249" t="s">
        <v>57</v>
      </c>
      <c r="BB249" t="s">
        <v>57</v>
      </c>
      <c r="BC249" t="s">
        <v>175</v>
      </c>
      <c r="BD249" t="s">
        <v>57</v>
      </c>
      <c r="BE249" t="s">
        <v>57</v>
      </c>
      <c r="BF249" t="s">
        <v>57</v>
      </c>
      <c r="BG249" t="s">
        <v>57</v>
      </c>
      <c r="BH249" t="s">
        <v>57</v>
      </c>
      <c r="BI249" t="s">
        <v>57</v>
      </c>
      <c r="BJ249" t="s">
        <v>57</v>
      </c>
      <c r="BK249" t="s">
        <v>57</v>
      </c>
      <c r="BL249" t="s">
        <v>57</v>
      </c>
      <c r="BM249" t="s">
        <v>57</v>
      </c>
      <c r="BN249" t="s">
        <v>57</v>
      </c>
      <c r="BO249" t="s">
        <v>57</v>
      </c>
      <c r="BP249" t="s">
        <v>57</v>
      </c>
      <c r="BQ249" t="s">
        <v>57</v>
      </c>
      <c r="BR249" t="s">
        <v>57</v>
      </c>
      <c r="BS249" t="s">
        <v>57</v>
      </c>
      <c r="BT249" t="s">
        <v>57</v>
      </c>
      <c r="BU249" t="s">
        <v>57</v>
      </c>
      <c r="BV249" t="s">
        <v>57</v>
      </c>
      <c r="BW249" t="s">
        <v>57</v>
      </c>
      <c r="BX249" t="s">
        <v>57</v>
      </c>
      <c r="BY249" t="s">
        <v>57</v>
      </c>
      <c r="BZ249" t="s">
        <v>57</v>
      </c>
      <c r="CA249" t="s">
        <v>57</v>
      </c>
      <c r="CB249" t="s">
        <v>57</v>
      </c>
      <c r="CC249" t="s">
        <v>57</v>
      </c>
      <c r="CD249" t="s">
        <v>57</v>
      </c>
      <c r="CE249" t="s">
        <v>57</v>
      </c>
      <c r="CF249" t="s">
        <v>175</v>
      </c>
      <c r="CG249" t="s">
        <v>57</v>
      </c>
      <c r="CH249" t="s">
        <v>57</v>
      </c>
      <c r="CI249" t="s">
        <v>57</v>
      </c>
      <c r="CJ249" t="s">
        <v>57</v>
      </c>
      <c r="CK249" t="s">
        <v>57</v>
      </c>
      <c r="CL249" t="s">
        <v>57</v>
      </c>
      <c r="CM249" t="s">
        <v>175</v>
      </c>
      <c r="CN249" t="s">
        <v>57</v>
      </c>
      <c r="CO249" t="s">
        <v>57</v>
      </c>
      <c r="CP249" t="s">
        <v>57</v>
      </c>
      <c r="CQ249" t="s">
        <v>57</v>
      </c>
      <c r="CR249" t="s">
        <v>57</v>
      </c>
      <c r="CS249" t="s">
        <v>57</v>
      </c>
      <c r="CT249" t="s">
        <v>57</v>
      </c>
      <c r="CU249" t="s">
        <v>57</v>
      </c>
      <c r="CV249" t="s">
        <v>57</v>
      </c>
      <c r="CW249" t="s">
        <v>57</v>
      </c>
      <c r="CX249" t="s">
        <v>57</v>
      </c>
      <c r="CY249" t="s">
        <v>57</v>
      </c>
      <c r="CZ249" t="s">
        <v>57</v>
      </c>
      <c r="DA249" t="s">
        <v>57</v>
      </c>
      <c r="DB249" t="s">
        <v>57</v>
      </c>
      <c r="DC249" t="s">
        <v>57</v>
      </c>
      <c r="DD249" t="s">
        <v>57</v>
      </c>
      <c r="DE249" t="s">
        <v>57</v>
      </c>
      <c r="DF249" t="s">
        <v>57</v>
      </c>
      <c r="DG249" t="s">
        <v>57</v>
      </c>
      <c r="DH249" t="s">
        <v>57</v>
      </c>
      <c r="DI249" t="s">
        <v>57</v>
      </c>
      <c r="DJ249" t="s">
        <v>57</v>
      </c>
      <c r="DK249" t="s">
        <v>175</v>
      </c>
      <c r="DL249" t="s">
        <v>57</v>
      </c>
      <c r="DM249" t="s">
        <v>57</v>
      </c>
      <c r="DN249" t="s">
        <v>57</v>
      </c>
      <c r="DO249" t="s">
        <v>57</v>
      </c>
      <c r="DP249" t="s">
        <v>57</v>
      </c>
      <c r="DQ249" t="s">
        <v>57</v>
      </c>
      <c r="DR249" t="s">
        <v>57</v>
      </c>
      <c r="DS249" t="s">
        <v>57</v>
      </c>
      <c r="DT249" t="s">
        <v>57</v>
      </c>
      <c r="DU249" t="s">
        <v>57</v>
      </c>
      <c r="DV249" t="s">
        <v>57</v>
      </c>
      <c r="DW249" t="s">
        <v>57</v>
      </c>
      <c r="DX249" t="s">
        <v>57</v>
      </c>
      <c r="DY249" t="s">
        <v>175</v>
      </c>
      <c r="DZ249" t="s">
        <v>57</v>
      </c>
      <c r="EA249" t="s">
        <v>57</v>
      </c>
      <c r="EB249" t="s">
        <v>57</v>
      </c>
      <c r="EC249" t="s">
        <v>57</v>
      </c>
      <c r="ED249" t="s">
        <v>57</v>
      </c>
      <c r="EE249" t="s">
        <v>57</v>
      </c>
      <c r="EF249" t="s">
        <v>57</v>
      </c>
      <c r="EG249" t="s">
        <v>57</v>
      </c>
      <c r="EH249" t="s">
        <v>57</v>
      </c>
      <c r="EI249" t="s">
        <v>57</v>
      </c>
      <c r="EJ249" t="s">
        <v>57</v>
      </c>
      <c r="EK249" t="s">
        <v>57</v>
      </c>
      <c r="EL249" t="s">
        <v>57</v>
      </c>
      <c r="EM249" t="s">
        <v>57</v>
      </c>
      <c r="EN249" t="s">
        <v>57</v>
      </c>
      <c r="EO249" t="s">
        <v>57</v>
      </c>
      <c r="EP249" t="s">
        <v>57</v>
      </c>
      <c r="EQ249" t="s">
        <v>57</v>
      </c>
      <c r="ER249" t="s">
        <v>57</v>
      </c>
      <c r="ES249" t="s">
        <v>57</v>
      </c>
      <c r="ET249" t="s">
        <v>57</v>
      </c>
      <c r="EU249" t="s">
        <v>57</v>
      </c>
      <c r="EV249" t="s">
        <v>57</v>
      </c>
      <c r="EW249" t="s">
        <v>57</v>
      </c>
      <c r="EX249" t="s">
        <v>57</v>
      </c>
      <c r="EY249" t="s">
        <v>57</v>
      </c>
      <c r="EZ249" t="s">
        <v>57</v>
      </c>
      <c r="FA249" t="s">
        <v>57</v>
      </c>
      <c r="FB249" t="s">
        <v>57</v>
      </c>
      <c r="FC249" t="s">
        <v>57</v>
      </c>
      <c r="FD249" t="s">
        <v>57</v>
      </c>
      <c r="FE249" t="s">
        <v>57</v>
      </c>
      <c r="FF249" t="s">
        <v>57</v>
      </c>
      <c r="FG249" t="s">
        <v>57</v>
      </c>
      <c r="FH249" t="s">
        <v>57</v>
      </c>
      <c r="FI249" t="s">
        <v>57</v>
      </c>
      <c r="FJ249" t="s">
        <v>57</v>
      </c>
      <c r="FK249" t="s">
        <v>57</v>
      </c>
      <c r="FL249" t="s">
        <v>57</v>
      </c>
      <c r="FM249" t="s">
        <v>57</v>
      </c>
      <c r="FN249" t="s">
        <v>57</v>
      </c>
      <c r="FO249" t="s">
        <v>175</v>
      </c>
      <c r="FP249" t="s">
        <v>57</v>
      </c>
      <c r="FQ249" t="s">
        <v>57</v>
      </c>
      <c r="FR249" t="s">
        <v>57</v>
      </c>
      <c r="FS249" t="s">
        <v>57</v>
      </c>
      <c r="FT249" t="s">
        <v>57</v>
      </c>
      <c r="FU249" t="s">
        <v>57</v>
      </c>
      <c r="FV249" t="s">
        <v>57</v>
      </c>
      <c r="FW249" t="s">
        <v>57</v>
      </c>
      <c r="FX249" t="s">
        <v>57</v>
      </c>
      <c r="FY249" t="s">
        <v>57</v>
      </c>
      <c r="FZ249" t="s">
        <v>57</v>
      </c>
      <c r="GA249" t="s">
        <v>57</v>
      </c>
      <c r="GB249" t="s">
        <v>57</v>
      </c>
      <c r="GC249" t="s">
        <v>57</v>
      </c>
      <c r="GD249" t="s">
        <v>57</v>
      </c>
      <c r="GE249" t="s">
        <v>57</v>
      </c>
      <c r="GF249" t="s">
        <v>57</v>
      </c>
      <c r="GG249" t="s">
        <v>175</v>
      </c>
      <c r="GH249" t="s">
        <v>57</v>
      </c>
      <c r="GI249" t="s">
        <v>57</v>
      </c>
      <c r="GJ249" t="s">
        <v>57</v>
      </c>
      <c r="GK249" t="s">
        <v>57</v>
      </c>
      <c r="GL249" t="s">
        <v>57</v>
      </c>
      <c r="GM249" t="s">
        <v>57</v>
      </c>
      <c r="GN249" t="s">
        <v>57</v>
      </c>
      <c r="GO249" t="s">
        <v>57</v>
      </c>
      <c r="GP249" t="s">
        <v>57</v>
      </c>
      <c r="GQ249" t="s">
        <v>57</v>
      </c>
      <c r="GR249" t="s">
        <v>57</v>
      </c>
      <c r="GS249" t="s">
        <v>57</v>
      </c>
      <c r="GT249" t="s">
        <v>57</v>
      </c>
      <c r="GU249" t="s">
        <v>57</v>
      </c>
      <c r="GV249" t="s">
        <v>57</v>
      </c>
      <c r="GW249" t="s">
        <v>175</v>
      </c>
      <c r="GX249" t="s">
        <v>57</v>
      </c>
      <c r="GY249" t="s">
        <v>57</v>
      </c>
      <c r="GZ249" t="s">
        <v>57</v>
      </c>
      <c r="HA249" t="s">
        <v>57</v>
      </c>
      <c r="HB249" t="s">
        <v>57</v>
      </c>
      <c r="HC249" t="s">
        <v>57</v>
      </c>
      <c r="HD249" t="s">
        <v>57</v>
      </c>
      <c r="HE249" t="s">
        <v>175</v>
      </c>
      <c r="HF249" t="s">
        <v>57</v>
      </c>
      <c r="HG249" t="s">
        <v>57</v>
      </c>
      <c r="HH249" t="s">
        <v>57</v>
      </c>
      <c r="HI249" t="s">
        <v>175</v>
      </c>
      <c r="HJ249" t="s">
        <v>175</v>
      </c>
      <c r="HK249" t="s">
        <v>175</v>
      </c>
      <c r="HL249" t="s">
        <v>57</v>
      </c>
      <c r="HM249" t="s">
        <v>57</v>
      </c>
      <c r="HN249" t="s">
        <v>57</v>
      </c>
      <c r="HO249" t="s">
        <v>57</v>
      </c>
      <c r="HP249" t="s">
        <v>57</v>
      </c>
      <c r="HQ249" t="s">
        <v>57</v>
      </c>
      <c r="HR249" t="s">
        <v>57</v>
      </c>
      <c r="HS249" t="s">
        <v>57</v>
      </c>
      <c r="HT249" t="s">
        <v>57</v>
      </c>
      <c r="HU249" t="s">
        <v>57</v>
      </c>
      <c r="HV249" t="s">
        <v>57</v>
      </c>
      <c r="HW249" t="s">
        <v>57</v>
      </c>
      <c r="HX249" t="s">
        <v>57</v>
      </c>
      <c r="HY249" t="s">
        <v>57</v>
      </c>
      <c r="HZ249" t="s">
        <v>57</v>
      </c>
      <c r="IA249" t="s">
        <v>57</v>
      </c>
      <c r="IB249" t="s">
        <v>57</v>
      </c>
      <c r="IC249" t="s">
        <v>57</v>
      </c>
      <c r="ID249" t="s">
        <v>57</v>
      </c>
      <c r="IE249" t="s">
        <v>57</v>
      </c>
      <c r="IF249" t="s">
        <v>124</v>
      </c>
      <c r="IG249" t="s">
        <v>148</v>
      </c>
      <c r="IH249" t="s">
        <v>123</v>
      </c>
      <c r="II249" t="s">
        <v>156</v>
      </c>
    </row>
    <row r="250" spans="1:243" x14ac:dyDescent="0.25">
      <c r="A250" s="201" t="str">
        <f>HYPERLINK("http://www.ofsted.gov.uk/inspection-reports/find-inspection-report/provider/ELS/142568 ","Ofsted School Webpage")</f>
        <v>Ofsted School Webpage</v>
      </c>
      <c r="B250">
        <v>142568</v>
      </c>
      <c r="C250">
        <v>8876010</v>
      </c>
      <c r="D250" t="s">
        <v>2007</v>
      </c>
      <c r="E250" t="s">
        <v>36</v>
      </c>
      <c r="F250" t="s">
        <v>166</v>
      </c>
      <c r="G250" t="s">
        <v>139</v>
      </c>
      <c r="H250" t="s">
        <v>139</v>
      </c>
      <c r="I250" t="s">
        <v>229</v>
      </c>
      <c r="J250" t="s">
        <v>2008</v>
      </c>
      <c r="K250" t="s">
        <v>142</v>
      </c>
      <c r="L250" t="s">
        <v>142</v>
      </c>
      <c r="M250" t="s">
        <v>2596</v>
      </c>
      <c r="N250" t="s">
        <v>143</v>
      </c>
      <c r="O250">
        <v>10044261</v>
      </c>
      <c r="P250" s="108">
        <v>43116</v>
      </c>
      <c r="Q250" s="108">
        <v>43118</v>
      </c>
      <c r="R250" s="108">
        <v>43137</v>
      </c>
      <c r="S250" t="s">
        <v>153</v>
      </c>
      <c r="T250" t="s">
        <v>154</v>
      </c>
      <c r="U250">
        <v>3</v>
      </c>
      <c r="V250">
        <v>3</v>
      </c>
      <c r="W250">
        <v>2</v>
      </c>
      <c r="X250">
        <v>3</v>
      </c>
      <c r="Y250">
        <v>3</v>
      </c>
      <c r="Z250" t="s">
        <v>2596</v>
      </c>
      <c r="AA250" t="s">
        <v>2596</v>
      </c>
      <c r="AB250" t="s">
        <v>123</v>
      </c>
      <c r="AC250" t="s">
        <v>2596</v>
      </c>
      <c r="AD250" t="s">
        <v>2598</v>
      </c>
      <c r="AE250" t="s">
        <v>57</v>
      </c>
      <c r="AF250" t="s">
        <v>57</v>
      </c>
      <c r="AG250" t="s">
        <v>57</v>
      </c>
      <c r="AH250" t="s">
        <v>57</v>
      </c>
      <c r="AI250" t="s">
        <v>57</v>
      </c>
      <c r="AJ250" t="s">
        <v>57</v>
      </c>
      <c r="AK250" t="s">
        <v>57</v>
      </c>
      <c r="AL250" t="s">
        <v>57</v>
      </c>
      <c r="AM250" t="s">
        <v>57</v>
      </c>
      <c r="AN250" t="s">
        <v>57</v>
      </c>
      <c r="AO250" t="s">
        <v>57</v>
      </c>
      <c r="AP250" t="s">
        <v>57</v>
      </c>
      <c r="AQ250" t="s">
        <v>57</v>
      </c>
      <c r="AR250" t="s">
        <v>57</v>
      </c>
      <c r="AS250" t="s">
        <v>57</v>
      </c>
      <c r="AT250" t="s">
        <v>57</v>
      </c>
      <c r="AU250" t="s">
        <v>175</v>
      </c>
      <c r="AV250" t="s">
        <v>57</v>
      </c>
      <c r="AW250" t="s">
        <v>57</v>
      </c>
      <c r="AX250" t="s">
        <v>57</v>
      </c>
      <c r="AY250" t="s">
        <v>57</v>
      </c>
      <c r="AZ250" t="s">
        <v>57</v>
      </c>
      <c r="BA250" t="s">
        <v>57</v>
      </c>
      <c r="BB250" t="s">
        <v>57</v>
      </c>
      <c r="BC250" t="s">
        <v>175</v>
      </c>
      <c r="BD250" t="s">
        <v>175</v>
      </c>
      <c r="BE250" t="s">
        <v>57</v>
      </c>
      <c r="BF250" t="s">
        <v>57</v>
      </c>
      <c r="BG250" t="s">
        <v>57</v>
      </c>
      <c r="BH250" t="s">
        <v>57</v>
      </c>
      <c r="BI250" t="s">
        <v>57</v>
      </c>
      <c r="BJ250" t="s">
        <v>57</v>
      </c>
      <c r="BK250" t="s">
        <v>57</v>
      </c>
      <c r="BL250" t="s">
        <v>57</v>
      </c>
      <c r="BM250" t="s">
        <v>57</v>
      </c>
      <c r="BN250" t="s">
        <v>57</v>
      </c>
      <c r="BO250" t="s">
        <v>57</v>
      </c>
      <c r="BP250" t="s">
        <v>57</v>
      </c>
      <c r="BQ250" t="s">
        <v>57</v>
      </c>
      <c r="BR250" t="s">
        <v>57</v>
      </c>
      <c r="BS250" t="s">
        <v>57</v>
      </c>
      <c r="BT250" t="s">
        <v>57</v>
      </c>
      <c r="BU250" t="s">
        <v>57</v>
      </c>
      <c r="BV250" t="s">
        <v>57</v>
      </c>
      <c r="BW250" t="s">
        <v>57</v>
      </c>
      <c r="BX250" t="s">
        <v>57</v>
      </c>
      <c r="BY250" t="s">
        <v>57</v>
      </c>
      <c r="BZ250" t="s">
        <v>57</v>
      </c>
      <c r="CA250" t="s">
        <v>57</v>
      </c>
      <c r="CB250" t="s">
        <v>57</v>
      </c>
      <c r="CC250" t="s">
        <v>57</v>
      </c>
      <c r="CD250" t="s">
        <v>57</v>
      </c>
      <c r="CE250" t="s">
        <v>57</v>
      </c>
      <c r="CF250" t="s">
        <v>57</v>
      </c>
      <c r="CG250" t="s">
        <v>57</v>
      </c>
      <c r="CH250" t="s">
        <v>57</v>
      </c>
      <c r="CI250" t="s">
        <v>57</v>
      </c>
      <c r="CJ250" t="s">
        <v>57</v>
      </c>
      <c r="CK250" t="s">
        <v>175</v>
      </c>
      <c r="CL250" t="s">
        <v>175</v>
      </c>
      <c r="CM250" t="s">
        <v>175</v>
      </c>
      <c r="CN250" t="s">
        <v>57</v>
      </c>
      <c r="CO250" t="s">
        <v>57</v>
      </c>
      <c r="CP250" t="s">
        <v>57</v>
      </c>
      <c r="CQ250" t="s">
        <v>57</v>
      </c>
      <c r="CR250" t="s">
        <v>57</v>
      </c>
      <c r="CS250" t="s">
        <v>57</v>
      </c>
      <c r="CT250" t="s">
        <v>57</v>
      </c>
      <c r="CU250" t="s">
        <v>57</v>
      </c>
      <c r="CV250" t="s">
        <v>57</v>
      </c>
      <c r="CW250" t="s">
        <v>57</v>
      </c>
      <c r="CX250" t="s">
        <v>57</v>
      </c>
      <c r="CY250" t="s">
        <v>57</v>
      </c>
      <c r="CZ250" t="s">
        <v>57</v>
      </c>
      <c r="DA250" t="s">
        <v>57</v>
      </c>
      <c r="DB250" t="s">
        <v>57</v>
      </c>
      <c r="DC250" t="s">
        <v>57</v>
      </c>
      <c r="DD250" t="s">
        <v>57</v>
      </c>
      <c r="DE250" t="s">
        <v>57</v>
      </c>
      <c r="DF250" t="s">
        <v>57</v>
      </c>
      <c r="DG250" t="s">
        <v>57</v>
      </c>
      <c r="DH250" t="s">
        <v>57</v>
      </c>
      <c r="DI250" t="s">
        <v>57</v>
      </c>
      <c r="DJ250" t="s">
        <v>57</v>
      </c>
      <c r="DK250" t="s">
        <v>175</v>
      </c>
      <c r="DL250" t="s">
        <v>57</v>
      </c>
      <c r="DM250" t="s">
        <v>57</v>
      </c>
      <c r="DN250" t="s">
        <v>57</v>
      </c>
      <c r="DO250" t="s">
        <v>57</v>
      </c>
      <c r="DP250" t="s">
        <v>57</v>
      </c>
      <c r="DQ250" t="s">
        <v>57</v>
      </c>
      <c r="DR250" t="s">
        <v>57</v>
      </c>
      <c r="DS250" t="s">
        <v>57</v>
      </c>
      <c r="DT250" t="s">
        <v>57</v>
      </c>
      <c r="DU250" t="s">
        <v>57</v>
      </c>
      <c r="DV250" t="s">
        <v>57</v>
      </c>
      <c r="DW250" t="s">
        <v>57</v>
      </c>
      <c r="DX250" t="s">
        <v>57</v>
      </c>
      <c r="DY250" t="s">
        <v>175</v>
      </c>
      <c r="DZ250" t="s">
        <v>57</v>
      </c>
      <c r="EA250" t="s">
        <v>57</v>
      </c>
      <c r="EB250" t="s">
        <v>57</v>
      </c>
      <c r="EC250" t="s">
        <v>57</v>
      </c>
      <c r="ED250" t="s">
        <v>57</v>
      </c>
      <c r="EE250" t="s">
        <v>57</v>
      </c>
      <c r="EF250" t="s">
        <v>57</v>
      </c>
      <c r="EG250" t="s">
        <v>57</v>
      </c>
      <c r="EH250" t="s">
        <v>57</v>
      </c>
      <c r="EI250" t="s">
        <v>57</v>
      </c>
      <c r="EJ250" t="s">
        <v>57</v>
      </c>
      <c r="EK250" t="s">
        <v>57</v>
      </c>
      <c r="EL250" t="s">
        <v>57</v>
      </c>
      <c r="EM250" t="s">
        <v>57</v>
      </c>
      <c r="EN250" t="s">
        <v>57</v>
      </c>
      <c r="EO250" t="s">
        <v>57</v>
      </c>
      <c r="EP250" t="s">
        <v>57</v>
      </c>
      <c r="EQ250" t="s">
        <v>57</v>
      </c>
      <c r="ER250" t="s">
        <v>57</v>
      </c>
      <c r="ES250" t="s">
        <v>57</v>
      </c>
      <c r="ET250" t="s">
        <v>57</v>
      </c>
      <c r="EU250" t="s">
        <v>57</v>
      </c>
      <c r="EV250" t="s">
        <v>57</v>
      </c>
      <c r="EW250" t="s">
        <v>57</v>
      </c>
      <c r="EX250" t="s">
        <v>57</v>
      </c>
      <c r="EY250" t="s">
        <v>57</v>
      </c>
      <c r="EZ250" t="s">
        <v>57</v>
      </c>
      <c r="FA250" t="s">
        <v>57</v>
      </c>
      <c r="FB250" t="s">
        <v>57</v>
      </c>
      <c r="FC250" t="s">
        <v>57</v>
      </c>
      <c r="FD250" t="s">
        <v>57</v>
      </c>
      <c r="FE250" t="s">
        <v>57</v>
      </c>
      <c r="FF250" t="s">
        <v>57</v>
      </c>
      <c r="FG250" t="s">
        <v>57</v>
      </c>
      <c r="FH250" t="s">
        <v>57</v>
      </c>
      <c r="FI250" t="s">
        <v>57</v>
      </c>
      <c r="FJ250" t="s">
        <v>57</v>
      </c>
      <c r="FK250" t="s">
        <v>57</v>
      </c>
      <c r="FL250" t="s">
        <v>57</v>
      </c>
      <c r="FM250" t="s">
        <v>57</v>
      </c>
      <c r="FN250" t="s">
        <v>57</v>
      </c>
      <c r="FO250" t="s">
        <v>175</v>
      </c>
      <c r="FP250" t="s">
        <v>57</v>
      </c>
      <c r="FQ250" t="s">
        <v>57</v>
      </c>
      <c r="FR250" t="s">
        <v>57</v>
      </c>
      <c r="FS250" t="s">
        <v>57</v>
      </c>
      <c r="FT250" t="s">
        <v>57</v>
      </c>
      <c r="FU250" t="s">
        <v>57</v>
      </c>
      <c r="FV250" t="s">
        <v>57</v>
      </c>
      <c r="FW250" t="s">
        <v>57</v>
      </c>
      <c r="FX250" t="s">
        <v>57</v>
      </c>
      <c r="FY250" t="s">
        <v>57</v>
      </c>
      <c r="FZ250" t="s">
        <v>57</v>
      </c>
      <c r="GA250" t="s">
        <v>57</v>
      </c>
      <c r="GB250" t="s">
        <v>57</v>
      </c>
      <c r="GC250" t="s">
        <v>57</v>
      </c>
      <c r="GD250" t="s">
        <v>57</v>
      </c>
      <c r="GE250" t="s">
        <v>57</v>
      </c>
      <c r="GF250" t="s">
        <v>57</v>
      </c>
      <c r="GG250" t="s">
        <v>175</v>
      </c>
      <c r="GH250" t="s">
        <v>57</v>
      </c>
      <c r="GI250" t="s">
        <v>57</v>
      </c>
      <c r="GJ250" t="s">
        <v>57</v>
      </c>
      <c r="GK250" t="s">
        <v>57</v>
      </c>
      <c r="GL250" t="s">
        <v>57</v>
      </c>
      <c r="GM250" t="s">
        <v>175</v>
      </c>
      <c r="GN250" t="s">
        <v>57</v>
      </c>
      <c r="GO250" t="s">
        <v>57</v>
      </c>
      <c r="GP250" t="s">
        <v>57</v>
      </c>
      <c r="GQ250" t="s">
        <v>57</v>
      </c>
      <c r="GR250" t="s">
        <v>57</v>
      </c>
      <c r="GS250" t="s">
        <v>57</v>
      </c>
      <c r="GT250" t="s">
        <v>57</v>
      </c>
      <c r="GU250" t="s">
        <v>57</v>
      </c>
      <c r="GV250" t="s">
        <v>57</v>
      </c>
      <c r="GW250" t="s">
        <v>57</v>
      </c>
      <c r="GX250" t="s">
        <v>175</v>
      </c>
      <c r="GY250" t="s">
        <v>57</v>
      </c>
      <c r="GZ250" t="s">
        <v>57</v>
      </c>
      <c r="HA250" t="s">
        <v>57</v>
      </c>
      <c r="HB250" t="s">
        <v>57</v>
      </c>
      <c r="HC250" t="s">
        <v>57</v>
      </c>
      <c r="HD250" t="s">
        <v>57</v>
      </c>
      <c r="HE250" t="s">
        <v>57</v>
      </c>
      <c r="HF250" t="s">
        <v>57</v>
      </c>
      <c r="HG250" t="s">
        <v>57</v>
      </c>
      <c r="HH250" t="s">
        <v>175</v>
      </c>
      <c r="HI250" t="s">
        <v>175</v>
      </c>
      <c r="HJ250" t="s">
        <v>175</v>
      </c>
      <c r="HK250" t="s">
        <v>175</v>
      </c>
      <c r="HL250" t="s">
        <v>57</v>
      </c>
      <c r="HM250" t="s">
        <v>57</v>
      </c>
      <c r="HN250" t="s">
        <v>57</v>
      </c>
      <c r="HO250" t="s">
        <v>57</v>
      </c>
      <c r="HP250" t="s">
        <v>57</v>
      </c>
      <c r="HQ250" t="s">
        <v>57</v>
      </c>
      <c r="HR250" t="s">
        <v>57</v>
      </c>
      <c r="HS250" t="s">
        <v>57</v>
      </c>
      <c r="HT250" t="s">
        <v>57</v>
      </c>
      <c r="HU250" t="s">
        <v>57</v>
      </c>
      <c r="HV250" t="s">
        <v>57</v>
      </c>
      <c r="HW250" t="s">
        <v>57</v>
      </c>
      <c r="HX250" t="s">
        <v>57</v>
      </c>
      <c r="HY250" t="s">
        <v>57</v>
      </c>
      <c r="HZ250" t="s">
        <v>57</v>
      </c>
      <c r="IA250" t="s">
        <v>57</v>
      </c>
      <c r="IB250" t="s">
        <v>57</v>
      </c>
      <c r="IC250" t="s">
        <v>57</v>
      </c>
      <c r="ID250" t="s">
        <v>57</v>
      </c>
      <c r="IE250" t="s">
        <v>57</v>
      </c>
      <c r="IF250" t="s">
        <v>124</v>
      </c>
      <c r="IG250" t="s">
        <v>148</v>
      </c>
      <c r="IH250" t="s">
        <v>123</v>
      </c>
      <c r="II250" t="s">
        <v>156</v>
      </c>
    </row>
    <row r="251" spans="1:243" x14ac:dyDescent="0.25">
      <c r="A251" s="201" t="str">
        <f>HYPERLINK("http://www.ofsted.gov.uk/inspection-reports/find-inspection-report/provider/ELS/142603 ","Ofsted School Webpage")</f>
        <v>Ofsted School Webpage</v>
      </c>
      <c r="B251">
        <v>142603</v>
      </c>
      <c r="C251">
        <v>3366001</v>
      </c>
      <c r="D251" t="s">
        <v>2521</v>
      </c>
      <c r="E251" t="s">
        <v>37</v>
      </c>
      <c r="F251" t="s">
        <v>138</v>
      </c>
      <c r="G251" t="s">
        <v>150</v>
      </c>
      <c r="H251" t="s">
        <v>150</v>
      </c>
      <c r="I251" t="s">
        <v>2192</v>
      </c>
      <c r="J251" t="s">
        <v>2522</v>
      </c>
      <c r="K251" t="s">
        <v>142</v>
      </c>
      <c r="L251" t="s">
        <v>142</v>
      </c>
      <c r="M251" t="s">
        <v>2596</v>
      </c>
      <c r="N251" t="s">
        <v>143</v>
      </c>
      <c r="O251">
        <v>10039279</v>
      </c>
      <c r="P251" s="108">
        <v>43074</v>
      </c>
      <c r="Q251" s="108">
        <v>43076</v>
      </c>
      <c r="R251" s="108">
        <v>43118</v>
      </c>
      <c r="S251" t="s">
        <v>206</v>
      </c>
      <c r="T251" t="s">
        <v>154</v>
      </c>
      <c r="U251">
        <v>1</v>
      </c>
      <c r="V251">
        <v>1</v>
      </c>
      <c r="W251">
        <v>1</v>
      </c>
      <c r="X251">
        <v>1</v>
      </c>
      <c r="Y251">
        <v>1</v>
      </c>
      <c r="Z251" t="s">
        <v>2596</v>
      </c>
      <c r="AA251" t="s">
        <v>2596</v>
      </c>
      <c r="AB251" t="s">
        <v>123</v>
      </c>
      <c r="AC251" t="s">
        <v>2596</v>
      </c>
      <c r="AD251" t="s">
        <v>2598</v>
      </c>
      <c r="AE251" t="s">
        <v>57</v>
      </c>
      <c r="AF251" t="s">
        <v>57</v>
      </c>
      <c r="AG251" t="s">
        <v>57</v>
      </c>
      <c r="AH251" t="s">
        <v>57</v>
      </c>
      <c r="AI251" t="s">
        <v>57</v>
      </c>
      <c r="AJ251" t="s">
        <v>57</v>
      </c>
      <c r="AK251" t="s">
        <v>57</v>
      </c>
      <c r="AL251" t="s">
        <v>57</v>
      </c>
      <c r="AM251" t="s">
        <v>57</v>
      </c>
      <c r="AN251" t="s">
        <v>57</v>
      </c>
      <c r="AO251" t="s">
        <v>57</v>
      </c>
      <c r="AP251" t="s">
        <v>57</v>
      </c>
      <c r="AQ251" t="s">
        <v>57</v>
      </c>
      <c r="AR251" t="s">
        <v>57</v>
      </c>
      <c r="AS251" t="s">
        <v>57</v>
      </c>
      <c r="AT251" t="s">
        <v>57</v>
      </c>
      <c r="AU251" t="s">
        <v>175</v>
      </c>
      <c r="AV251" t="s">
        <v>57</v>
      </c>
      <c r="AW251" t="s">
        <v>57</v>
      </c>
      <c r="AX251" t="s">
        <v>57</v>
      </c>
      <c r="AY251" t="s">
        <v>57</v>
      </c>
      <c r="AZ251" t="s">
        <v>57</v>
      </c>
      <c r="BA251" t="s">
        <v>57</v>
      </c>
      <c r="BB251" t="s">
        <v>57</v>
      </c>
      <c r="BC251" t="s">
        <v>175</v>
      </c>
      <c r="BD251" t="s">
        <v>175</v>
      </c>
      <c r="BE251" t="s">
        <v>57</v>
      </c>
      <c r="BF251" t="s">
        <v>57</v>
      </c>
      <c r="BG251" t="s">
        <v>57</v>
      </c>
      <c r="BH251" t="s">
        <v>57</v>
      </c>
      <c r="BI251" t="s">
        <v>57</v>
      </c>
      <c r="BJ251" t="s">
        <v>57</v>
      </c>
      <c r="BK251" t="s">
        <v>57</v>
      </c>
      <c r="BL251" t="s">
        <v>57</v>
      </c>
      <c r="BM251" t="s">
        <v>57</v>
      </c>
      <c r="BN251" t="s">
        <v>57</v>
      </c>
      <c r="BO251" t="s">
        <v>57</v>
      </c>
      <c r="BP251" t="s">
        <v>57</v>
      </c>
      <c r="BQ251" t="s">
        <v>57</v>
      </c>
      <c r="BR251" t="s">
        <v>57</v>
      </c>
      <c r="BS251" t="s">
        <v>57</v>
      </c>
      <c r="BT251" t="s">
        <v>57</v>
      </c>
      <c r="BU251" t="s">
        <v>57</v>
      </c>
      <c r="BV251" t="s">
        <v>57</v>
      </c>
      <c r="BW251" t="s">
        <v>57</v>
      </c>
      <c r="BX251" t="s">
        <v>57</v>
      </c>
      <c r="BY251" t="s">
        <v>57</v>
      </c>
      <c r="BZ251" t="s">
        <v>57</v>
      </c>
      <c r="CA251" t="s">
        <v>57</v>
      </c>
      <c r="CB251" t="s">
        <v>57</v>
      </c>
      <c r="CC251" t="s">
        <v>57</v>
      </c>
      <c r="CD251" t="s">
        <v>57</v>
      </c>
      <c r="CE251" t="s">
        <v>57</v>
      </c>
      <c r="CF251" t="s">
        <v>57</v>
      </c>
      <c r="CG251" t="s">
        <v>57</v>
      </c>
      <c r="CH251" t="s">
        <v>57</v>
      </c>
      <c r="CI251" t="s">
        <v>57</v>
      </c>
      <c r="CJ251" t="s">
        <v>57</v>
      </c>
      <c r="CK251" t="s">
        <v>175</v>
      </c>
      <c r="CL251" t="s">
        <v>175</v>
      </c>
      <c r="CM251" t="s">
        <v>175</v>
      </c>
      <c r="CN251" t="s">
        <v>57</v>
      </c>
      <c r="CO251" t="s">
        <v>57</v>
      </c>
      <c r="CP251" t="s">
        <v>57</v>
      </c>
      <c r="CQ251" t="s">
        <v>57</v>
      </c>
      <c r="CR251" t="s">
        <v>57</v>
      </c>
      <c r="CS251" t="s">
        <v>57</v>
      </c>
      <c r="CT251" t="s">
        <v>57</v>
      </c>
      <c r="CU251" t="s">
        <v>57</v>
      </c>
      <c r="CV251" t="s">
        <v>57</v>
      </c>
      <c r="CW251" t="s">
        <v>57</v>
      </c>
      <c r="CX251" t="s">
        <v>57</v>
      </c>
      <c r="CY251" t="s">
        <v>57</v>
      </c>
      <c r="CZ251" t="s">
        <v>57</v>
      </c>
      <c r="DA251" t="s">
        <v>57</v>
      </c>
      <c r="DB251" t="s">
        <v>57</v>
      </c>
      <c r="DC251" t="s">
        <v>57</v>
      </c>
      <c r="DD251" t="s">
        <v>57</v>
      </c>
      <c r="DE251" t="s">
        <v>57</v>
      </c>
      <c r="DF251" t="s">
        <v>57</v>
      </c>
      <c r="DG251" t="s">
        <v>57</v>
      </c>
      <c r="DH251" t="s">
        <v>57</v>
      </c>
      <c r="DI251" t="s">
        <v>57</v>
      </c>
      <c r="DJ251" t="s">
        <v>57</v>
      </c>
      <c r="DK251" t="s">
        <v>175</v>
      </c>
      <c r="DL251" t="s">
        <v>57</v>
      </c>
      <c r="DM251" t="s">
        <v>57</v>
      </c>
      <c r="DN251" t="s">
        <v>57</v>
      </c>
      <c r="DO251" t="s">
        <v>57</v>
      </c>
      <c r="DP251" t="s">
        <v>57</v>
      </c>
      <c r="DQ251" t="s">
        <v>57</v>
      </c>
      <c r="DR251" t="s">
        <v>57</v>
      </c>
      <c r="DS251" t="s">
        <v>57</v>
      </c>
      <c r="DT251" t="s">
        <v>57</v>
      </c>
      <c r="DU251" t="s">
        <v>57</v>
      </c>
      <c r="DV251" t="s">
        <v>57</v>
      </c>
      <c r="DW251" t="s">
        <v>57</v>
      </c>
      <c r="DX251" t="s">
        <v>57</v>
      </c>
      <c r="DY251" t="s">
        <v>175</v>
      </c>
      <c r="DZ251" t="s">
        <v>57</v>
      </c>
      <c r="EA251" t="s">
        <v>57</v>
      </c>
      <c r="EB251" t="s">
        <v>57</v>
      </c>
      <c r="EC251" t="s">
        <v>57</v>
      </c>
      <c r="ED251" t="s">
        <v>57</v>
      </c>
      <c r="EE251" t="s">
        <v>57</v>
      </c>
      <c r="EF251" t="s">
        <v>57</v>
      </c>
      <c r="EG251" t="s">
        <v>57</v>
      </c>
      <c r="EH251" t="s">
        <v>57</v>
      </c>
      <c r="EI251" t="s">
        <v>57</v>
      </c>
      <c r="EJ251" t="s">
        <v>57</v>
      </c>
      <c r="EK251" t="s">
        <v>57</v>
      </c>
      <c r="EL251" t="s">
        <v>57</v>
      </c>
      <c r="EM251" t="s">
        <v>57</v>
      </c>
      <c r="EN251" t="s">
        <v>57</v>
      </c>
      <c r="EO251" t="s">
        <v>57</v>
      </c>
      <c r="EP251" t="s">
        <v>57</v>
      </c>
      <c r="EQ251" t="s">
        <v>57</v>
      </c>
      <c r="ER251" t="s">
        <v>57</v>
      </c>
      <c r="ES251" t="s">
        <v>57</v>
      </c>
      <c r="ET251" t="s">
        <v>57</v>
      </c>
      <c r="EU251" t="s">
        <v>57</v>
      </c>
      <c r="EV251" t="s">
        <v>57</v>
      </c>
      <c r="EW251" t="s">
        <v>175</v>
      </c>
      <c r="EX251" t="s">
        <v>57</v>
      </c>
      <c r="EY251" t="s">
        <v>57</v>
      </c>
      <c r="EZ251" t="s">
        <v>57</v>
      </c>
      <c r="FA251" t="s">
        <v>57</v>
      </c>
      <c r="FB251" t="s">
        <v>57</v>
      </c>
      <c r="FC251" t="s">
        <v>57</v>
      </c>
      <c r="FD251" t="s">
        <v>57</v>
      </c>
      <c r="FE251" t="s">
        <v>175</v>
      </c>
      <c r="FF251" t="s">
        <v>148</v>
      </c>
      <c r="FG251" t="s">
        <v>175</v>
      </c>
      <c r="FH251" t="s">
        <v>57</v>
      </c>
      <c r="FI251" t="s">
        <v>57</v>
      </c>
      <c r="FJ251" t="s">
        <v>57</v>
      </c>
      <c r="FK251" t="s">
        <v>57</v>
      </c>
      <c r="FL251" t="s">
        <v>57</v>
      </c>
      <c r="FM251" t="s">
        <v>57</v>
      </c>
      <c r="FN251" t="s">
        <v>57</v>
      </c>
      <c r="FO251" t="s">
        <v>175</v>
      </c>
      <c r="FP251" t="s">
        <v>57</v>
      </c>
      <c r="FQ251" t="s">
        <v>57</v>
      </c>
      <c r="FR251" t="s">
        <v>57</v>
      </c>
      <c r="FS251" t="s">
        <v>57</v>
      </c>
      <c r="FT251" t="s">
        <v>57</v>
      </c>
      <c r="FU251" t="s">
        <v>57</v>
      </c>
      <c r="FV251" t="s">
        <v>57</v>
      </c>
      <c r="FW251" t="s">
        <v>57</v>
      </c>
      <c r="FX251" t="s">
        <v>57</v>
      </c>
      <c r="FY251" t="s">
        <v>57</v>
      </c>
      <c r="FZ251" t="s">
        <v>57</v>
      </c>
      <c r="GA251" t="s">
        <v>57</v>
      </c>
      <c r="GB251" t="s">
        <v>57</v>
      </c>
      <c r="GC251" t="s">
        <v>57</v>
      </c>
      <c r="GD251" t="s">
        <v>57</v>
      </c>
      <c r="GE251" t="s">
        <v>57</v>
      </c>
      <c r="GF251" t="s">
        <v>57</v>
      </c>
      <c r="GG251" t="s">
        <v>175</v>
      </c>
      <c r="GH251" t="s">
        <v>57</v>
      </c>
      <c r="GI251" t="s">
        <v>57</v>
      </c>
      <c r="GJ251" t="s">
        <v>57</v>
      </c>
      <c r="GK251" t="s">
        <v>57</v>
      </c>
      <c r="GL251" t="s">
        <v>175</v>
      </c>
      <c r="GM251" t="s">
        <v>175</v>
      </c>
      <c r="GN251" t="s">
        <v>57</v>
      </c>
      <c r="GO251" t="s">
        <v>57</v>
      </c>
      <c r="GP251" t="s">
        <v>57</v>
      </c>
      <c r="GQ251" t="s">
        <v>57</v>
      </c>
      <c r="GR251" t="s">
        <v>57</v>
      </c>
      <c r="GS251" t="s">
        <v>57</v>
      </c>
      <c r="GT251" t="s">
        <v>57</v>
      </c>
      <c r="GU251" t="s">
        <v>57</v>
      </c>
      <c r="GV251" t="s">
        <v>57</v>
      </c>
      <c r="GW251" t="s">
        <v>57</v>
      </c>
      <c r="GX251" t="s">
        <v>175</v>
      </c>
      <c r="GY251" t="s">
        <v>57</v>
      </c>
      <c r="GZ251" t="s">
        <v>57</v>
      </c>
      <c r="HA251" t="s">
        <v>57</v>
      </c>
      <c r="HB251" t="s">
        <v>57</v>
      </c>
      <c r="HC251" t="s">
        <v>57</v>
      </c>
      <c r="HD251" t="s">
        <v>57</v>
      </c>
      <c r="HE251" t="s">
        <v>57</v>
      </c>
      <c r="HF251" t="s">
        <v>57</v>
      </c>
      <c r="HG251" t="s">
        <v>57</v>
      </c>
      <c r="HH251" t="s">
        <v>57</v>
      </c>
      <c r="HI251" t="s">
        <v>57</v>
      </c>
      <c r="HJ251" t="s">
        <v>57</v>
      </c>
      <c r="HK251" t="s">
        <v>57</v>
      </c>
      <c r="HL251" t="s">
        <v>57</v>
      </c>
      <c r="HM251" t="s">
        <v>57</v>
      </c>
      <c r="HN251" t="s">
        <v>57</v>
      </c>
      <c r="HO251" t="s">
        <v>57</v>
      </c>
      <c r="HP251" t="s">
        <v>57</v>
      </c>
      <c r="HQ251" t="s">
        <v>57</v>
      </c>
      <c r="HR251" t="s">
        <v>57</v>
      </c>
      <c r="HS251" t="s">
        <v>57</v>
      </c>
      <c r="HT251" t="s">
        <v>57</v>
      </c>
      <c r="HU251" t="s">
        <v>57</v>
      </c>
      <c r="HV251" t="s">
        <v>57</v>
      </c>
      <c r="HW251" t="s">
        <v>57</v>
      </c>
      <c r="HX251" t="s">
        <v>57</v>
      </c>
      <c r="HY251" t="s">
        <v>57</v>
      </c>
      <c r="HZ251" t="s">
        <v>57</v>
      </c>
      <c r="IA251" t="s">
        <v>57</v>
      </c>
      <c r="IB251" t="s">
        <v>57</v>
      </c>
      <c r="IC251" t="s">
        <v>57</v>
      </c>
      <c r="ID251" t="s">
        <v>57</v>
      </c>
      <c r="IE251" t="s">
        <v>57</v>
      </c>
      <c r="IF251" t="s">
        <v>124</v>
      </c>
      <c r="IG251" t="s">
        <v>148</v>
      </c>
      <c r="IH251" t="s">
        <v>123</v>
      </c>
      <c r="II251" t="s">
        <v>156</v>
      </c>
    </row>
    <row r="252" spans="1:243" x14ac:dyDescent="0.25">
      <c r="A252" s="201" t="str">
        <f>HYPERLINK("http://www.ofsted.gov.uk/inspection-reports/find-inspection-report/provider/ELS/142621 ","Ofsted School Webpage")</f>
        <v>Ofsted School Webpage</v>
      </c>
      <c r="B252">
        <v>142621</v>
      </c>
      <c r="C252">
        <v>3066016</v>
      </c>
      <c r="D252" t="s">
        <v>2472</v>
      </c>
      <c r="E252" t="s">
        <v>37</v>
      </c>
      <c r="F252" t="s">
        <v>138</v>
      </c>
      <c r="G252" t="s">
        <v>189</v>
      </c>
      <c r="H252" t="s">
        <v>189</v>
      </c>
      <c r="I252" t="s">
        <v>676</v>
      </c>
      <c r="J252" t="s">
        <v>2473</v>
      </c>
      <c r="K252" t="s">
        <v>142</v>
      </c>
      <c r="L252" t="s">
        <v>142</v>
      </c>
      <c r="M252" t="s">
        <v>2596</v>
      </c>
      <c r="N252" t="s">
        <v>143</v>
      </c>
      <c r="O252">
        <v>10035816</v>
      </c>
      <c r="P252" s="108">
        <v>43046</v>
      </c>
      <c r="Q252" s="108">
        <v>43048</v>
      </c>
      <c r="R252" s="108">
        <v>43077</v>
      </c>
      <c r="S252" t="s">
        <v>206</v>
      </c>
      <c r="T252" t="s">
        <v>154</v>
      </c>
      <c r="U252">
        <v>3</v>
      </c>
      <c r="V252">
        <v>2</v>
      </c>
      <c r="W252">
        <v>2</v>
      </c>
      <c r="X252">
        <v>3</v>
      </c>
      <c r="Y252">
        <v>3</v>
      </c>
      <c r="Z252" t="s">
        <v>2596</v>
      </c>
      <c r="AA252" t="s">
        <v>2596</v>
      </c>
      <c r="AB252" t="s">
        <v>123</v>
      </c>
      <c r="AC252" t="s">
        <v>2596</v>
      </c>
      <c r="AD252" t="s">
        <v>2598</v>
      </c>
      <c r="AE252" t="s">
        <v>57</v>
      </c>
      <c r="AF252" t="s">
        <v>57</v>
      </c>
      <c r="AG252" t="s">
        <v>57</v>
      </c>
      <c r="AH252" t="s">
        <v>57</v>
      </c>
      <c r="AI252" t="s">
        <v>57</v>
      </c>
      <c r="AJ252" t="s">
        <v>57</v>
      </c>
      <c r="AK252" t="s">
        <v>57</v>
      </c>
      <c r="AL252" t="s">
        <v>57</v>
      </c>
      <c r="AM252" t="s">
        <v>57</v>
      </c>
      <c r="AN252" t="s">
        <v>57</v>
      </c>
      <c r="AO252" t="s">
        <v>57</v>
      </c>
      <c r="AP252" t="s">
        <v>57</v>
      </c>
      <c r="AQ252" t="s">
        <v>57</v>
      </c>
      <c r="AR252" t="s">
        <v>57</v>
      </c>
      <c r="AS252" t="s">
        <v>57</v>
      </c>
      <c r="AT252" t="s">
        <v>57</v>
      </c>
      <c r="AU252" t="s">
        <v>175</v>
      </c>
      <c r="AV252" t="s">
        <v>57</v>
      </c>
      <c r="AW252" t="s">
        <v>57</v>
      </c>
      <c r="AX252" t="s">
        <v>57</v>
      </c>
      <c r="AY252" t="s">
        <v>57</v>
      </c>
      <c r="AZ252" t="s">
        <v>57</v>
      </c>
      <c r="BA252" t="s">
        <v>57</v>
      </c>
      <c r="BB252" t="s">
        <v>57</v>
      </c>
      <c r="BC252" t="s">
        <v>175</v>
      </c>
      <c r="BD252" t="s">
        <v>175</v>
      </c>
      <c r="BE252" t="s">
        <v>57</v>
      </c>
      <c r="BF252" t="s">
        <v>57</v>
      </c>
      <c r="BG252" t="s">
        <v>57</v>
      </c>
      <c r="BH252" t="s">
        <v>57</v>
      </c>
      <c r="BI252" t="s">
        <v>57</v>
      </c>
      <c r="BJ252" t="s">
        <v>57</v>
      </c>
      <c r="BK252" t="s">
        <v>57</v>
      </c>
      <c r="BL252" t="s">
        <v>57</v>
      </c>
      <c r="BM252" t="s">
        <v>57</v>
      </c>
      <c r="BN252" t="s">
        <v>57</v>
      </c>
      <c r="BO252" t="s">
        <v>57</v>
      </c>
      <c r="BP252" t="s">
        <v>57</v>
      </c>
      <c r="BQ252" t="s">
        <v>57</v>
      </c>
      <c r="BR252" t="s">
        <v>57</v>
      </c>
      <c r="BS252" t="s">
        <v>57</v>
      </c>
      <c r="BT252" t="s">
        <v>57</v>
      </c>
      <c r="BU252" t="s">
        <v>57</v>
      </c>
      <c r="BV252" t="s">
        <v>57</v>
      </c>
      <c r="BW252" t="s">
        <v>57</v>
      </c>
      <c r="BX252" t="s">
        <v>57</v>
      </c>
      <c r="BY252" t="s">
        <v>57</v>
      </c>
      <c r="BZ252" t="s">
        <v>57</v>
      </c>
      <c r="CA252" t="s">
        <v>57</v>
      </c>
      <c r="CB252" t="s">
        <v>57</v>
      </c>
      <c r="CC252" t="s">
        <v>57</v>
      </c>
      <c r="CD252" t="s">
        <v>57</v>
      </c>
      <c r="CE252" t="s">
        <v>57</v>
      </c>
      <c r="CF252" t="s">
        <v>57</v>
      </c>
      <c r="CG252" t="s">
        <v>57</v>
      </c>
      <c r="CH252" t="s">
        <v>57</v>
      </c>
      <c r="CI252" t="s">
        <v>57</v>
      </c>
      <c r="CJ252" t="s">
        <v>57</v>
      </c>
      <c r="CK252" t="s">
        <v>175</v>
      </c>
      <c r="CL252" t="s">
        <v>175</v>
      </c>
      <c r="CM252" t="s">
        <v>175</v>
      </c>
      <c r="CN252" t="s">
        <v>57</v>
      </c>
      <c r="CO252" t="s">
        <v>57</v>
      </c>
      <c r="CP252" t="s">
        <v>57</v>
      </c>
      <c r="CQ252" t="s">
        <v>57</v>
      </c>
      <c r="CR252" t="s">
        <v>57</v>
      </c>
      <c r="CS252" t="s">
        <v>57</v>
      </c>
      <c r="CT252" t="s">
        <v>57</v>
      </c>
      <c r="CU252" t="s">
        <v>57</v>
      </c>
      <c r="CV252" t="s">
        <v>57</v>
      </c>
      <c r="CW252" t="s">
        <v>57</v>
      </c>
      <c r="CX252" t="s">
        <v>57</v>
      </c>
      <c r="CY252" t="s">
        <v>57</v>
      </c>
      <c r="CZ252" t="s">
        <v>57</v>
      </c>
      <c r="DA252" t="s">
        <v>57</v>
      </c>
      <c r="DB252" t="s">
        <v>57</v>
      </c>
      <c r="DC252" t="s">
        <v>57</v>
      </c>
      <c r="DD252" t="s">
        <v>57</v>
      </c>
      <c r="DE252" t="s">
        <v>57</v>
      </c>
      <c r="DF252" t="s">
        <v>57</v>
      </c>
      <c r="DG252" t="s">
        <v>57</v>
      </c>
      <c r="DH252" t="s">
        <v>57</v>
      </c>
      <c r="DI252" t="s">
        <v>57</v>
      </c>
      <c r="DJ252" t="s">
        <v>57</v>
      </c>
      <c r="DK252" t="s">
        <v>175</v>
      </c>
      <c r="DL252" t="s">
        <v>57</v>
      </c>
      <c r="DM252" t="s">
        <v>175</v>
      </c>
      <c r="DN252" t="s">
        <v>175</v>
      </c>
      <c r="DO252" t="s">
        <v>175</v>
      </c>
      <c r="DP252" t="s">
        <v>175</v>
      </c>
      <c r="DQ252" t="s">
        <v>175</v>
      </c>
      <c r="DR252" t="s">
        <v>175</v>
      </c>
      <c r="DS252" t="s">
        <v>175</v>
      </c>
      <c r="DT252" t="s">
        <v>175</v>
      </c>
      <c r="DU252" t="s">
        <v>175</v>
      </c>
      <c r="DV252" t="s">
        <v>175</v>
      </c>
      <c r="DW252" t="s">
        <v>175</v>
      </c>
      <c r="DX252" t="s">
        <v>175</v>
      </c>
      <c r="DY252" t="s">
        <v>175</v>
      </c>
      <c r="DZ252" t="s">
        <v>175</v>
      </c>
      <c r="EA252" t="s">
        <v>175</v>
      </c>
      <c r="EB252" t="s">
        <v>175</v>
      </c>
      <c r="EC252" t="s">
        <v>175</v>
      </c>
      <c r="ED252" t="s">
        <v>175</v>
      </c>
      <c r="EE252" t="s">
        <v>175</v>
      </c>
      <c r="EF252" t="s">
        <v>175</v>
      </c>
      <c r="EG252" t="s">
        <v>175</v>
      </c>
      <c r="EH252" t="s">
        <v>175</v>
      </c>
      <c r="EI252" t="s">
        <v>175</v>
      </c>
      <c r="EJ252" t="s">
        <v>57</v>
      </c>
      <c r="EK252" t="s">
        <v>57</v>
      </c>
      <c r="EL252" t="s">
        <v>57</v>
      </c>
      <c r="EM252" t="s">
        <v>57</v>
      </c>
      <c r="EN252" t="s">
        <v>57</v>
      </c>
      <c r="EO252" t="s">
        <v>57</v>
      </c>
      <c r="EP252" t="s">
        <v>57</v>
      </c>
      <c r="EQ252" t="s">
        <v>57</v>
      </c>
      <c r="ER252" t="s">
        <v>57</v>
      </c>
      <c r="ES252" t="s">
        <v>57</v>
      </c>
      <c r="ET252" t="s">
        <v>57</v>
      </c>
      <c r="EU252" t="s">
        <v>57</v>
      </c>
      <c r="EV252" t="s">
        <v>57</v>
      </c>
      <c r="EW252" t="s">
        <v>175</v>
      </c>
      <c r="EX252" t="s">
        <v>175</v>
      </c>
      <c r="EY252" t="s">
        <v>175</v>
      </c>
      <c r="EZ252" t="s">
        <v>175</v>
      </c>
      <c r="FA252" t="s">
        <v>175</v>
      </c>
      <c r="FB252" t="s">
        <v>175</v>
      </c>
      <c r="FC252" t="s">
        <v>175</v>
      </c>
      <c r="FD252" t="s">
        <v>175</v>
      </c>
      <c r="FE252" t="s">
        <v>175</v>
      </c>
      <c r="FF252" t="s">
        <v>148</v>
      </c>
      <c r="FG252" t="s">
        <v>175</v>
      </c>
      <c r="FH252" t="s">
        <v>57</v>
      </c>
      <c r="FI252" t="s">
        <v>57</v>
      </c>
      <c r="FJ252" t="s">
        <v>57</v>
      </c>
      <c r="FK252" t="s">
        <v>57</v>
      </c>
      <c r="FL252" t="s">
        <v>57</v>
      </c>
      <c r="FM252" t="s">
        <v>57</v>
      </c>
      <c r="FN252" t="s">
        <v>57</v>
      </c>
      <c r="FO252" t="s">
        <v>175</v>
      </c>
      <c r="FP252" t="s">
        <v>57</v>
      </c>
      <c r="FQ252" t="s">
        <v>57</v>
      </c>
      <c r="FR252" t="s">
        <v>57</v>
      </c>
      <c r="FS252" t="s">
        <v>57</v>
      </c>
      <c r="FT252" t="s">
        <v>57</v>
      </c>
      <c r="FU252" t="s">
        <v>57</v>
      </c>
      <c r="FV252" t="s">
        <v>57</v>
      </c>
      <c r="FW252" t="s">
        <v>57</v>
      </c>
      <c r="FX252" t="s">
        <v>57</v>
      </c>
      <c r="FY252" t="s">
        <v>57</v>
      </c>
      <c r="FZ252" t="s">
        <v>57</v>
      </c>
      <c r="GA252" t="s">
        <v>57</v>
      </c>
      <c r="GB252" t="s">
        <v>57</v>
      </c>
      <c r="GC252" t="s">
        <v>57</v>
      </c>
      <c r="GD252" t="s">
        <v>57</v>
      </c>
      <c r="GE252" t="s">
        <v>57</v>
      </c>
      <c r="GF252" t="s">
        <v>57</v>
      </c>
      <c r="GG252" t="s">
        <v>175</v>
      </c>
      <c r="GH252" t="s">
        <v>57</v>
      </c>
      <c r="GI252" t="s">
        <v>57</v>
      </c>
      <c r="GJ252" t="s">
        <v>57</v>
      </c>
      <c r="GK252" t="s">
        <v>57</v>
      </c>
      <c r="GL252" t="s">
        <v>175</v>
      </c>
      <c r="GM252" t="s">
        <v>175</v>
      </c>
      <c r="GN252" t="s">
        <v>57</v>
      </c>
      <c r="GO252" t="s">
        <v>57</v>
      </c>
      <c r="GP252" t="s">
        <v>57</v>
      </c>
      <c r="GQ252" t="s">
        <v>57</v>
      </c>
      <c r="GR252" t="s">
        <v>57</v>
      </c>
      <c r="GS252" t="s">
        <v>57</v>
      </c>
      <c r="GT252" t="s">
        <v>57</v>
      </c>
      <c r="GU252" t="s">
        <v>57</v>
      </c>
      <c r="GV252" t="s">
        <v>57</v>
      </c>
      <c r="GW252" t="s">
        <v>175</v>
      </c>
      <c r="GX252" t="s">
        <v>175</v>
      </c>
      <c r="GY252" t="s">
        <v>57</v>
      </c>
      <c r="GZ252" t="s">
        <v>57</v>
      </c>
      <c r="HA252" t="s">
        <v>57</v>
      </c>
      <c r="HB252" t="s">
        <v>57</v>
      </c>
      <c r="HC252" t="s">
        <v>57</v>
      </c>
      <c r="HD252" t="s">
        <v>57</v>
      </c>
      <c r="HE252" t="s">
        <v>57</v>
      </c>
      <c r="HF252" t="s">
        <v>57</v>
      </c>
      <c r="HG252" t="s">
        <v>175</v>
      </c>
      <c r="HH252" t="s">
        <v>175</v>
      </c>
      <c r="HI252" t="s">
        <v>175</v>
      </c>
      <c r="HJ252" t="s">
        <v>175</v>
      </c>
      <c r="HK252" t="s">
        <v>175</v>
      </c>
      <c r="HL252" t="s">
        <v>57</v>
      </c>
      <c r="HM252" t="s">
        <v>57</v>
      </c>
      <c r="HN252" t="s">
        <v>57</v>
      </c>
      <c r="HO252" t="s">
        <v>57</v>
      </c>
      <c r="HP252" t="s">
        <v>57</v>
      </c>
      <c r="HQ252" t="s">
        <v>57</v>
      </c>
      <c r="HR252" t="s">
        <v>57</v>
      </c>
      <c r="HS252" t="s">
        <v>57</v>
      </c>
      <c r="HT252" t="s">
        <v>57</v>
      </c>
      <c r="HU252" t="s">
        <v>57</v>
      </c>
      <c r="HV252" t="s">
        <v>57</v>
      </c>
      <c r="HW252" t="s">
        <v>57</v>
      </c>
      <c r="HX252" t="s">
        <v>57</v>
      </c>
      <c r="HY252" t="s">
        <v>57</v>
      </c>
      <c r="HZ252" t="s">
        <v>57</v>
      </c>
      <c r="IA252" t="s">
        <v>57</v>
      </c>
      <c r="IB252" t="s">
        <v>57</v>
      </c>
      <c r="IC252" t="s">
        <v>57</v>
      </c>
      <c r="ID252" t="s">
        <v>57</v>
      </c>
      <c r="IE252" t="s">
        <v>57</v>
      </c>
      <c r="IF252" t="s">
        <v>124</v>
      </c>
      <c r="IG252" t="s">
        <v>148</v>
      </c>
      <c r="IH252" t="s">
        <v>123</v>
      </c>
      <c r="II252" t="s">
        <v>156</v>
      </c>
    </row>
    <row r="253" spans="1:243" x14ac:dyDescent="0.25">
      <c r="A253" s="201" t="str">
        <f>HYPERLINK("http://www.ofsted.gov.uk/inspection-reports/find-inspection-report/provider/ELS/142623 ","Ofsted School Webpage")</f>
        <v>Ofsted School Webpage</v>
      </c>
      <c r="B253">
        <v>142623</v>
      </c>
      <c r="C253">
        <v>3306025</v>
      </c>
      <c r="D253" t="s">
        <v>467</v>
      </c>
      <c r="E253" t="s">
        <v>36</v>
      </c>
      <c r="F253" t="s">
        <v>166</v>
      </c>
      <c r="G253" t="s">
        <v>150</v>
      </c>
      <c r="H253" t="s">
        <v>150</v>
      </c>
      <c r="I253" t="s">
        <v>167</v>
      </c>
      <c r="J253" t="s">
        <v>468</v>
      </c>
      <c r="K253" t="s">
        <v>142</v>
      </c>
      <c r="L253" t="s">
        <v>142</v>
      </c>
      <c r="M253" t="s">
        <v>2596</v>
      </c>
      <c r="N253" t="s">
        <v>143</v>
      </c>
      <c r="O253">
        <v>10020883</v>
      </c>
      <c r="P253" s="108">
        <v>42997</v>
      </c>
      <c r="Q253" s="108">
        <v>42999</v>
      </c>
      <c r="R253" s="108">
        <v>43028</v>
      </c>
      <c r="S253" t="s">
        <v>206</v>
      </c>
      <c r="T253" t="s">
        <v>154</v>
      </c>
      <c r="U253">
        <v>2</v>
      </c>
      <c r="V253">
        <v>2</v>
      </c>
      <c r="W253">
        <v>2</v>
      </c>
      <c r="X253">
        <v>2</v>
      </c>
      <c r="Y253">
        <v>2</v>
      </c>
      <c r="Z253" t="s">
        <v>2596</v>
      </c>
      <c r="AA253">
        <v>2</v>
      </c>
      <c r="AB253" t="s">
        <v>123</v>
      </c>
      <c r="AC253" t="s">
        <v>2596</v>
      </c>
      <c r="AD253" t="s">
        <v>2598</v>
      </c>
      <c r="AE253" t="s">
        <v>57</v>
      </c>
      <c r="AF253" t="s">
        <v>57</v>
      </c>
      <c r="AG253" t="s">
        <v>57</v>
      </c>
      <c r="AH253" t="s">
        <v>57</v>
      </c>
      <c r="AI253" t="s">
        <v>57</v>
      </c>
      <c r="AJ253" t="s">
        <v>57</v>
      </c>
      <c r="AK253" t="s">
        <v>57</v>
      </c>
      <c r="AL253" t="s">
        <v>57</v>
      </c>
      <c r="AM253" t="s">
        <v>57</v>
      </c>
      <c r="AN253" t="s">
        <v>57</v>
      </c>
      <c r="AO253" t="s">
        <v>57</v>
      </c>
      <c r="AP253" t="s">
        <v>57</v>
      </c>
      <c r="AQ253" t="s">
        <v>57</v>
      </c>
      <c r="AR253" t="s">
        <v>57</v>
      </c>
      <c r="AS253" t="s">
        <v>57</v>
      </c>
      <c r="AT253" t="s">
        <v>57</v>
      </c>
      <c r="AU253" t="s">
        <v>57</v>
      </c>
      <c r="AV253" t="s">
        <v>57</v>
      </c>
      <c r="AW253" t="s">
        <v>57</v>
      </c>
      <c r="AX253" t="s">
        <v>57</v>
      </c>
      <c r="AY253" t="s">
        <v>57</v>
      </c>
      <c r="AZ253" t="s">
        <v>57</v>
      </c>
      <c r="BA253" t="s">
        <v>57</v>
      </c>
      <c r="BB253" t="s">
        <v>57</v>
      </c>
      <c r="BC253" t="s">
        <v>57</v>
      </c>
      <c r="BD253" t="s">
        <v>57</v>
      </c>
      <c r="BE253" t="s">
        <v>57</v>
      </c>
      <c r="BF253" t="s">
        <v>57</v>
      </c>
      <c r="BG253" t="s">
        <v>57</v>
      </c>
      <c r="BH253" t="s">
        <v>57</v>
      </c>
      <c r="BI253" t="s">
        <v>57</v>
      </c>
      <c r="BJ253" t="s">
        <v>57</v>
      </c>
      <c r="BK253" t="s">
        <v>57</v>
      </c>
      <c r="BL253" t="s">
        <v>57</v>
      </c>
      <c r="BM253" t="s">
        <v>57</v>
      </c>
      <c r="BN253" t="s">
        <v>57</v>
      </c>
      <c r="BO253" t="s">
        <v>57</v>
      </c>
      <c r="BP253" t="s">
        <v>57</v>
      </c>
      <c r="BQ253" t="s">
        <v>57</v>
      </c>
      <c r="BR253" t="s">
        <v>57</v>
      </c>
      <c r="BS253" t="s">
        <v>57</v>
      </c>
      <c r="BT253" t="s">
        <v>57</v>
      </c>
      <c r="BU253" t="s">
        <v>57</v>
      </c>
      <c r="BV253" t="s">
        <v>57</v>
      </c>
      <c r="BW253" t="s">
        <v>57</v>
      </c>
      <c r="BX253" t="s">
        <v>57</v>
      </c>
      <c r="BY253" t="s">
        <v>57</v>
      </c>
      <c r="BZ253" t="s">
        <v>57</v>
      </c>
      <c r="CA253" t="s">
        <v>57</v>
      </c>
      <c r="CB253" t="s">
        <v>57</v>
      </c>
      <c r="CC253" t="s">
        <v>57</v>
      </c>
      <c r="CD253" t="s">
        <v>57</v>
      </c>
      <c r="CE253" t="s">
        <v>57</v>
      </c>
      <c r="CF253" t="s">
        <v>57</v>
      </c>
      <c r="CG253" t="s">
        <v>57</v>
      </c>
      <c r="CH253" t="s">
        <v>57</v>
      </c>
      <c r="CI253" t="s">
        <v>57</v>
      </c>
      <c r="CJ253" t="s">
        <v>57</v>
      </c>
      <c r="CK253" t="s">
        <v>148</v>
      </c>
      <c r="CL253" t="s">
        <v>148</v>
      </c>
      <c r="CM253" t="s">
        <v>148</v>
      </c>
      <c r="CN253" t="s">
        <v>57</v>
      </c>
      <c r="CO253" t="s">
        <v>57</v>
      </c>
      <c r="CP253" t="s">
        <v>57</v>
      </c>
      <c r="CQ253" t="s">
        <v>57</v>
      </c>
      <c r="CR253" t="s">
        <v>57</v>
      </c>
      <c r="CS253" t="s">
        <v>57</v>
      </c>
      <c r="CT253" t="s">
        <v>57</v>
      </c>
      <c r="CU253" t="s">
        <v>57</v>
      </c>
      <c r="CV253" t="s">
        <v>57</v>
      </c>
      <c r="CW253" t="s">
        <v>57</v>
      </c>
      <c r="CX253" t="s">
        <v>57</v>
      </c>
      <c r="CY253" t="s">
        <v>57</v>
      </c>
      <c r="CZ253" t="s">
        <v>57</v>
      </c>
      <c r="DA253" t="s">
        <v>57</v>
      </c>
      <c r="DB253" t="s">
        <v>57</v>
      </c>
      <c r="DC253" t="s">
        <v>57</v>
      </c>
      <c r="DD253" t="s">
        <v>57</v>
      </c>
      <c r="DE253" t="s">
        <v>57</v>
      </c>
      <c r="DF253" t="s">
        <v>57</v>
      </c>
      <c r="DG253" t="s">
        <v>57</v>
      </c>
      <c r="DH253" t="s">
        <v>57</v>
      </c>
      <c r="DI253" t="s">
        <v>57</v>
      </c>
      <c r="DJ253" t="s">
        <v>57</v>
      </c>
      <c r="DK253" t="s">
        <v>57</v>
      </c>
      <c r="DL253" t="s">
        <v>57</v>
      </c>
      <c r="DM253" t="s">
        <v>57</v>
      </c>
      <c r="DN253" t="s">
        <v>57</v>
      </c>
      <c r="DO253" t="s">
        <v>57</v>
      </c>
      <c r="DP253" t="s">
        <v>57</v>
      </c>
      <c r="DQ253" t="s">
        <v>57</v>
      </c>
      <c r="DR253" t="s">
        <v>57</v>
      </c>
      <c r="DS253" t="s">
        <v>57</v>
      </c>
      <c r="DT253" t="s">
        <v>57</v>
      </c>
      <c r="DU253" t="s">
        <v>57</v>
      </c>
      <c r="DV253" t="s">
        <v>57</v>
      </c>
      <c r="DW253" t="s">
        <v>57</v>
      </c>
      <c r="DX253" t="s">
        <v>57</v>
      </c>
      <c r="DY253" t="s">
        <v>57</v>
      </c>
      <c r="DZ253" t="s">
        <v>57</v>
      </c>
      <c r="EA253" t="s">
        <v>57</v>
      </c>
      <c r="EB253" t="s">
        <v>57</v>
      </c>
      <c r="EC253" t="s">
        <v>57</v>
      </c>
      <c r="ED253" t="s">
        <v>57</v>
      </c>
      <c r="EE253" t="s">
        <v>57</v>
      </c>
      <c r="EF253" t="s">
        <v>57</v>
      </c>
      <c r="EG253" t="s">
        <v>57</v>
      </c>
      <c r="EH253" t="s">
        <v>57</v>
      </c>
      <c r="EI253" t="s">
        <v>57</v>
      </c>
      <c r="EJ253" t="s">
        <v>57</v>
      </c>
      <c r="EK253" t="s">
        <v>57</v>
      </c>
      <c r="EL253" t="s">
        <v>57</v>
      </c>
      <c r="EM253" t="s">
        <v>57</v>
      </c>
      <c r="EN253" t="s">
        <v>57</v>
      </c>
      <c r="EO253" t="s">
        <v>57</v>
      </c>
      <c r="EP253" t="s">
        <v>57</v>
      </c>
      <c r="EQ253" t="s">
        <v>57</v>
      </c>
      <c r="ER253" t="s">
        <v>57</v>
      </c>
      <c r="ES253" t="s">
        <v>57</v>
      </c>
      <c r="ET253" t="s">
        <v>57</v>
      </c>
      <c r="EU253" t="s">
        <v>57</v>
      </c>
      <c r="EV253" t="s">
        <v>57</v>
      </c>
      <c r="EW253" t="s">
        <v>57</v>
      </c>
      <c r="EX253" t="s">
        <v>57</v>
      </c>
      <c r="EY253" t="s">
        <v>57</v>
      </c>
      <c r="EZ253" t="s">
        <v>57</v>
      </c>
      <c r="FA253" t="s">
        <v>57</v>
      </c>
      <c r="FB253" t="s">
        <v>57</v>
      </c>
      <c r="FC253" t="s">
        <v>57</v>
      </c>
      <c r="FD253" t="s">
        <v>57</v>
      </c>
      <c r="FE253" t="s">
        <v>57</v>
      </c>
      <c r="FF253" t="s">
        <v>57</v>
      </c>
      <c r="FG253" t="s">
        <v>57</v>
      </c>
      <c r="FH253" t="s">
        <v>57</v>
      </c>
      <c r="FI253" t="s">
        <v>57</v>
      </c>
      <c r="FJ253" t="s">
        <v>57</v>
      </c>
      <c r="FK253" t="s">
        <v>57</v>
      </c>
      <c r="FL253" t="s">
        <v>57</v>
      </c>
      <c r="FM253" t="s">
        <v>57</v>
      </c>
      <c r="FN253" t="s">
        <v>57</v>
      </c>
      <c r="FO253" t="s">
        <v>57</v>
      </c>
      <c r="FP253" t="s">
        <v>57</v>
      </c>
      <c r="FQ253" t="s">
        <v>57</v>
      </c>
      <c r="FR253" t="s">
        <v>57</v>
      </c>
      <c r="FS253" t="s">
        <v>57</v>
      </c>
      <c r="FT253" t="s">
        <v>57</v>
      </c>
      <c r="FU253" t="s">
        <v>57</v>
      </c>
      <c r="FV253" t="s">
        <v>57</v>
      </c>
      <c r="FW253" t="s">
        <v>57</v>
      </c>
      <c r="FX253" t="s">
        <v>57</v>
      </c>
      <c r="FY253" t="s">
        <v>57</v>
      </c>
      <c r="FZ253" t="s">
        <v>57</v>
      </c>
      <c r="GA253" t="s">
        <v>57</v>
      </c>
      <c r="GB253" t="s">
        <v>57</v>
      </c>
      <c r="GC253" t="s">
        <v>57</v>
      </c>
      <c r="GD253" t="s">
        <v>57</v>
      </c>
      <c r="GE253" t="s">
        <v>57</v>
      </c>
      <c r="GF253" t="s">
        <v>57</v>
      </c>
      <c r="GG253" t="s">
        <v>57</v>
      </c>
      <c r="GH253" t="s">
        <v>57</v>
      </c>
      <c r="GI253" t="s">
        <v>57</v>
      </c>
      <c r="GJ253" t="s">
        <v>57</v>
      </c>
      <c r="GK253" t="s">
        <v>57</v>
      </c>
      <c r="GL253" t="s">
        <v>57</v>
      </c>
      <c r="GM253" t="s">
        <v>57</v>
      </c>
      <c r="GN253" t="s">
        <v>57</v>
      </c>
      <c r="GO253" t="s">
        <v>57</v>
      </c>
      <c r="GP253" t="s">
        <v>57</v>
      </c>
      <c r="GQ253" t="s">
        <v>57</v>
      </c>
      <c r="GR253" t="s">
        <v>57</v>
      </c>
      <c r="GS253" t="s">
        <v>57</v>
      </c>
      <c r="GT253" t="s">
        <v>57</v>
      </c>
      <c r="GU253" t="s">
        <v>57</v>
      </c>
      <c r="GV253" t="s">
        <v>57</v>
      </c>
      <c r="GW253" t="s">
        <v>57</v>
      </c>
      <c r="GX253" t="s">
        <v>57</v>
      </c>
      <c r="GY253" t="s">
        <v>57</v>
      </c>
      <c r="GZ253" t="s">
        <v>57</v>
      </c>
      <c r="HA253" t="s">
        <v>57</v>
      </c>
      <c r="HB253" t="s">
        <v>57</v>
      </c>
      <c r="HC253" t="s">
        <v>57</v>
      </c>
      <c r="HD253" t="s">
        <v>57</v>
      </c>
      <c r="HE253" t="s">
        <v>57</v>
      </c>
      <c r="HF253" t="s">
        <v>57</v>
      </c>
      <c r="HG253" t="s">
        <v>57</v>
      </c>
      <c r="HH253" t="s">
        <v>57</v>
      </c>
      <c r="HI253" t="s">
        <v>57</v>
      </c>
      <c r="HJ253" t="s">
        <v>57</v>
      </c>
      <c r="HK253" t="s">
        <v>57</v>
      </c>
      <c r="HL253" t="s">
        <v>57</v>
      </c>
      <c r="HM253" t="s">
        <v>57</v>
      </c>
      <c r="HN253" t="s">
        <v>57</v>
      </c>
      <c r="HO253" t="s">
        <v>57</v>
      </c>
      <c r="HP253" t="s">
        <v>57</v>
      </c>
      <c r="HQ253" t="s">
        <v>57</v>
      </c>
      <c r="HR253" t="s">
        <v>57</v>
      </c>
      <c r="HS253" t="s">
        <v>57</v>
      </c>
      <c r="HT253" t="s">
        <v>57</v>
      </c>
      <c r="HU253" t="s">
        <v>57</v>
      </c>
      <c r="HV253" t="s">
        <v>57</v>
      </c>
      <c r="HW253" t="s">
        <v>57</v>
      </c>
      <c r="HX253" t="s">
        <v>57</v>
      </c>
      <c r="HY253" t="s">
        <v>57</v>
      </c>
      <c r="HZ253" t="s">
        <v>57</v>
      </c>
      <c r="IA253" t="s">
        <v>57</v>
      </c>
      <c r="IB253" t="s">
        <v>57</v>
      </c>
      <c r="IC253" t="s">
        <v>57</v>
      </c>
      <c r="ID253" t="s">
        <v>57</v>
      </c>
      <c r="IE253" t="s">
        <v>57</v>
      </c>
      <c r="IF253" t="s">
        <v>124</v>
      </c>
      <c r="IG253" t="s">
        <v>155</v>
      </c>
      <c r="IH253" t="s">
        <v>123</v>
      </c>
      <c r="II253" t="s">
        <v>156</v>
      </c>
    </row>
    <row r="254" spans="1:243" x14ac:dyDescent="0.25">
      <c r="A254" s="201" t="str">
        <f>HYPERLINK("http://www.ofsted.gov.uk/inspection-reports/find-inspection-report/provider/ELS/142625 ","Ofsted School Webpage")</f>
        <v>Ofsted School Webpage</v>
      </c>
      <c r="B254">
        <v>142625</v>
      </c>
      <c r="C254">
        <v>8736053</v>
      </c>
      <c r="D254" t="s">
        <v>477</v>
      </c>
      <c r="E254" t="s">
        <v>36</v>
      </c>
      <c r="F254" t="s">
        <v>166</v>
      </c>
      <c r="G254" t="s">
        <v>177</v>
      </c>
      <c r="H254" t="s">
        <v>177</v>
      </c>
      <c r="I254" t="s">
        <v>241</v>
      </c>
      <c r="J254" t="s">
        <v>478</v>
      </c>
      <c r="K254" t="s">
        <v>142</v>
      </c>
      <c r="L254" t="s">
        <v>142</v>
      </c>
      <c r="M254" t="s">
        <v>2596</v>
      </c>
      <c r="N254" t="s">
        <v>143</v>
      </c>
      <c r="O254">
        <v>10033609</v>
      </c>
      <c r="P254" s="108">
        <v>43011</v>
      </c>
      <c r="Q254" s="108">
        <v>43013</v>
      </c>
      <c r="R254" s="108">
        <v>43052</v>
      </c>
      <c r="S254" t="s">
        <v>206</v>
      </c>
      <c r="T254" t="s">
        <v>154</v>
      </c>
      <c r="U254">
        <v>3</v>
      </c>
      <c r="V254">
        <v>3</v>
      </c>
      <c r="W254">
        <v>2</v>
      </c>
      <c r="X254">
        <v>3</v>
      </c>
      <c r="Y254">
        <v>3</v>
      </c>
      <c r="Z254" t="s">
        <v>2596</v>
      </c>
      <c r="AA254">
        <v>3</v>
      </c>
      <c r="AB254" t="s">
        <v>123</v>
      </c>
      <c r="AC254" t="s">
        <v>2596</v>
      </c>
      <c r="AD254" t="s">
        <v>2599</v>
      </c>
      <c r="AE254" t="s">
        <v>57</v>
      </c>
      <c r="AF254" t="s">
        <v>57</v>
      </c>
      <c r="AG254" t="s">
        <v>57</v>
      </c>
      <c r="AH254" t="s">
        <v>57</v>
      </c>
      <c r="AI254" t="s">
        <v>57</v>
      </c>
      <c r="AJ254" t="s">
        <v>57</v>
      </c>
      <c r="AK254" t="s">
        <v>57</v>
      </c>
      <c r="AL254" t="s">
        <v>58</v>
      </c>
      <c r="AM254" t="s">
        <v>57</v>
      </c>
      <c r="AN254" t="s">
        <v>57</v>
      </c>
      <c r="AO254" t="s">
        <v>57</v>
      </c>
      <c r="AP254" t="s">
        <v>57</v>
      </c>
      <c r="AQ254" t="s">
        <v>57</v>
      </c>
      <c r="AR254" t="s">
        <v>57</v>
      </c>
      <c r="AS254" t="s">
        <v>57</v>
      </c>
      <c r="AT254" t="s">
        <v>57</v>
      </c>
      <c r="AU254" t="s">
        <v>148</v>
      </c>
      <c r="AV254" t="s">
        <v>57</v>
      </c>
      <c r="AW254" t="s">
        <v>57</v>
      </c>
      <c r="AX254" t="s">
        <v>57</v>
      </c>
      <c r="AY254" t="s">
        <v>57</v>
      </c>
      <c r="AZ254" t="s">
        <v>57</v>
      </c>
      <c r="BA254" t="s">
        <v>57</v>
      </c>
      <c r="BB254" t="s">
        <v>57</v>
      </c>
      <c r="BC254" t="s">
        <v>148</v>
      </c>
      <c r="BD254" t="s">
        <v>57</v>
      </c>
      <c r="BE254" t="s">
        <v>57</v>
      </c>
      <c r="BF254" t="s">
        <v>57</v>
      </c>
      <c r="BG254" t="s">
        <v>58</v>
      </c>
      <c r="BH254" t="s">
        <v>58</v>
      </c>
      <c r="BI254" t="s">
        <v>58</v>
      </c>
      <c r="BJ254" t="s">
        <v>58</v>
      </c>
      <c r="BK254" t="s">
        <v>58</v>
      </c>
      <c r="BL254" t="s">
        <v>57</v>
      </c>
      <c r="BM254" t="s">
        <v>58</v>
      </c>
      <c r="BN254" t="s">
        <v>58</v>
      </c>
      <c r="BO254" t="s">
        <v>57</v>
      </c>
      <c r="BP254" t="s">
        <v>57</v>
      </c>
      <c r="BQ254" t="s">
        <v>57</v>
      </c>
      <c r="BR254" t="s">
        <v>57</v>
      </c>
      <c r="BS254" t="s">
        <v>57</v>
      </c>
      <c r="BT254" t="s">
        <v>57</v>
      </c>
      <c r="BU254" t="s">
        <v>57</v>
      </c>
      <c r="BV254" t="s">
        <v>57</v>
      </c>
      <c r="BW254" t="s">
        <v>57</v>
      </c>
      <c r="BX254" t="s">
        <v>57</v>
      </c>
      <c r="BY254" t="s">
        <v>57</v>
      </c>
      <c r="BZ254" t="s">
        <v>57</v>
      </c>
      <c r="CA254" t="s">
        <v>57</v>
      </c>
      <c r="CB254" t="s">
        <v>57</v>
      </c>
      <c r="CC254" t="s">
        <v>57</v>
      </c>
      <c r="CD254" t="s">
        <v>57</v>
      </c>
      <c r="CE254" t="s">
        <v>57</v>
      </c>
      <c r="CF254" t="s">
        <v>57</v>
      </c>
      <c r="CG254" t="s">
        <v>57</v>
      </c>
      <c r="CH254" t="s">
        <v>57</v>
      </c>
      <c r="CI254" t="s">
        <v>57</v>
      </c>
      <c r="CJ254" t="s">
        <v>57</v>
      </c>
      <c r="CK254" t="s">
        <v>148</v>
      </c>
      <c r="CL254" t="s">
        <v>148</v>
      </c>
      <c r="CM254" t="s">
        <v>148</v>
      </c>
      <c r="CN254" t="s">
        <v>57</v>
      </c>
      <c r="CO254" t="s">
        <v>57</v>
      </c>
      <c r="CP254" t="s">
        <v>57</v>
      </c>
      <c r="CQ254" t="s">
        <v>57</v>
      </c>
      <c r="CR254" t="s">
        <v>57</v>
      </c>
      <c r="CS254" t="s">
        <v>57</v>
      </c>
      <c r="CT254" t="s">
        <v>57</v>
      </c>
      <c r="CU254" t="s">
        <v>57</v>
      </c>
      <c r="CV254" t="s">
        <v>57</v>
      </c>
      <c r="CW254" t="s">
        <v>57</v>
      </c>
      <c r="CX254" t="s">
        <v>57</v>
      </c>
      <c r="CY254" t="s">
        <v>57</v>
      </c>
      <c r="CZ254" t="s">
        <v>57</v>
      </c>
      <c r="DA254" t="s">
        <v>57</v>
      </c>
      <c r="DB254" t="s">
        <v>57</v>
      </c>
      <c r="DC254" t="s">
        <v>57</v>
      </c>
      <c r="DD254" t="s">
        <v>57</v>
      </c>
      <c r="DE254" t="s">
        <v>57</v>
      </c>
      <c r="DF254" t="s">
        <v>57</v>
      </c>
      <c r="DG254" t="s">
        <v>57</v>
      </c>
      <c r="DH254" t="s">
        <v>57</v>
      </c>
      <c r="DI254" t="s">
        <v>57</v>
      </c>
      <c r="DJ254" t="s">
        <v>57</v>
      </c>
      <c r="DK254" t="s">
        <v>148</v>
      </c>
      <c r="DL254" t="s">
        <v>57</v>
      </c>
      <c r="DM254" t="s">
        <v>148</v>
      </c>
      <c r="DN254" t="s">
        <v>148</v>
      </c>
      <c r="DO254" t="s">
        <v>148</v>
      </c>
      <c r="DP254" t="s">
        <v>148</v>
      </c>
      <c r="DQ254" t="s">
        <v>148</v>
      </c>
      <c r="DR254" t="s">
        <v>148</v>
      </c>
      <c r="DS254" t="s">
        <v>148</v>
      </c>
      <c r="DT254" t="s">
        <v>148</v>
      </c>
      <c r="DU254" t="s">
        <v>148</v>
      </c>
      <c r="DV254" t="s">
        <v>148</v>
      </c>
      <c r="DW254" t="s">
        <v>148</v>
      </c>
      <c r="DX254" t="s">
        <v>148</v>
      </c>
      <c r="DY254" t="s">
        <v>148</v>
      </c>
      <c r="DZ254" t="s">
        <v>148</v>
      </c>
      <c r="EA254" t="s">
        <v>57</v>
      </c>
      <c r="EB254" t="s">
        <v>57</v>
      </c>
      <c r="EC254" t="s">
        <v>57</v>
      </c>
      <c r="ED254" t="s">
        <v>57</v>
      </c>
      <c r="EE254" t="s">
        <v>57</v>
      </c>
      <c r="EF254" t="s">
        <v>57</v>
      </c>
      <c r="EG254" t="s">
        <v>57</v>
      </c>
      <c r="EH254" t="s">
        <v>57</v>
      </c>
      <c r="EI254" t="s">
        <v>57</v>
      </c>
      <c r="EJ254" t="s">
        <v>57</v>
      </c>
      <c r="EK254" t="s">
        <v>57</v>
      </c>
      <c r="EL254" t="s">
        <v>57</v>
      </c>
      <c r="EM254" t="s">
        <v>57</v>
      </c>
      <c r="EN254" t="s">
        <v>57</v>
      </c>
      <c r="EO254" t="s">
        <v>57</v>
      </c>
      <c r="EP254" t="s">
        <v>57</v>
      </c>
      <c r="EQ254" t="s">
        <v>57</v>
      </c>
      <c r="ER254" t="s">
        <v>57</v>
      </c>
      <c r="ES254" t="s">
        <v>57</v>
      </c>
      <c r="ET254" t="s">
        <v>57</v>
      </c>
      <c r="EU254" t="s">
        <v>57</v>
      </c>
      <c r="EV254" t="s">
        <v>57</v>
      </c>
      <c r="EW254" t="s">
        <v>57</v>
      </c>
      <c r="EX254" t="s">
        <v>148</v>
      </c>
      <c r="EY254" t="s">
        <v>148</v>
      </c>
      <c r="EZ254" t="s">
        <v>148</v>
      </c>
      <c r="FA254" t="s">
        <v>148</v>
      </c>
      <c r="FB254" t="s">
        <v>148</v>
      </c>
      <c r="FC254" t="s">
        <v>148</v>
      </c>
      <c r="FD254" t="s">
        <v>57</v>
      </c>
      <c r="FE254" t="s">
        <v>57</v>
      </c>
      <c r="FF254" t="s">
        <v>57</v>
      </c>
      <c r="FG254" t="s">
        <v>57</v>
      </c>
      <c r="FH254" t="s">
        <v>57</v>
      </c>
      <c r="FI254" t="s">
        <v>57</v>
      </c>
      <c r="FJ254" t="s">
        <v>57</v>
      </c>
      <c r="FK254" t="s">
        <v>57</v>
      </c>
      <c r="FL254" t="s">
        <v>57</v>
      </c>
      <c r="FM254" t="s">
        <v>57</v>
      </c>
      <c r="FN254" t="s">
        <v>57</v>
      </c>
      <c r="FO254" t="s">
        <v>57</v>
      </c>
      <c r="FP254" t="s">
        <v>57</v>
      </c>
      <c r="FQ254" t="s">
        <v>57</v>
      </c>
      <c r="FR254" t="s">
        <v>57</v>
      </c>
      <c r="FS254" t="s">
        <v>57</v>
      </c>
      <c r="FT254" t="s">
        <v>57</v>
      </c>
      <c r="FU254" t="s">
        <v>57</v>
      </c>
      <c r="FV254" t="s">
        <v>57</v>
      </c>
      <c r="FW254" t="s">
        <v>57</v>
      </c>
      <c r="FX254" t="s">
        <v>57</v>
      </c>
      <c r="FY254" t="s">
        <v>57</v>
      </c>
      <c r="FZ254" t="s">
        <v>57</v>
      </c>
      <c r="GA254" t="s">
        <v>57</v>
      </c>
      <c r="GB254" t="s">
        <v>57</v>
      </c>
      <c r="GC254" t="s">
        <v>57</v>
      </c>
      <c r="GD254" t="s">
        <v>57</v>
      </c>
      <c r="GE254" t="s">
        <v>57</v>
      </c>
      <c r="GF254" t="s">
        <v>57</v>
      </c>
      <c r="GG254" t="s">
        <v>148</v>
      </c>
      <c r="GH254" t="s">
        <v>57</v>
      </c>
      <c r="GI254" t="s">
        <v>57</v>
      </c>
      <c r="GJ254" t="s">
        <v>57</v>
      </c>
      <c r="GK254" t="s">
        <v>57</v>
      </c>
      <c r="GL254" t="s">
        <v>148</v>
      </c>
      <c r="GM254" t="s">
        <v>148</v>
      </c>
      <c r="GN254" t="s">
        <v>57</v>
      </c>
      <c r="GO254" t="s">
        <v>57</v>
      </c>
      <c r="GP254" t="s">
        <v>57</v>
      </c>
      <c r="GQ254" t="s">
        <v>57</v>
      </c>
      <c r="GR254" t="s">
        <v>57</v>
      </c>
      <c r="GS254" t="s">
        <v>57</v>
      </c>
      <c r="GT254" t="s">
        <v>57</v>
      </c>
      <c r="GU254" t="s">
        <v>57</v>
      </c>
      <c r="GV254" t="s">
        <v>148</v>
      </c>
      <c r="GW254" t="s">
        <v>57</v>
      </c>
      <c r="GX254" t="s">
        <v>148</v>
      </c>
      <c r="GY254" t="s">
        <v>57</v>
      </c>
      <c r="GZ254" t="s">
        <v>57</v>
      </c>
      <c r="HA254" t="s">
        <v>57</v>
      </c>
      <c r="HB254" t="s">
        <v>57</v>
      </c>
      <c r="HC254" t="s">
        <v>57</v>
      </c>
      <c r="HD254" t="s">
        <v>57</v>
      </c>
      <c r="HE254" t="s">
        <v>57</v>
      </c>
      <c r="HF254" t="s">
        <v>57</v>
      </c>
      <c r="HG254" t="s">
        <v>148</v>
      </c>
      <c r="HH254" t="s">
        <v>148</v>
      </c>
      <c r="HI254" t="s">
        <v>148</v>
      </c>
      <c r="HJ254" t="s">
        <v>148</v>
      </c>
      <c r="HK254" t="s">
        <v>148</v>
      </c>
      <c r="HL254" t="s">
        <v>57</v>
      </c>
      <c r="HM254" t="s">
        <v>57</v>
      </c>
      <c r="HN254" t="s">
        <v>57</v>
      </c>
      <c r="HO254" t="s">
        <v>57</v>
      </c>
      <c r="HP254" t="s">
        <v>57</v>
      </c>
      <c r="HQ254" t="s">
        <v>57</v>
      </c>
      <c r="HR254" t="s">
        <v>57</v>
      </c>
      <c r="HS254" t="s">
        <v>57</v>
      </c>
      <c r="HT254" t="s">
        <v>57</v>
      </c>
      <c r="HU254" t="s">
        <v>57</v>
      </c>
      <c r="HV254" t="s">
        <v>57</v>
      </c>
      <c r="HW254" t="s">
        <v>57</v>
      </c>
      <c r="HX254" t="s">
        <v>57</v>
      </c>
      <c r="HY254" t="s">
        <v>57</v>
      </c>
      <c r="HZ254" t="s">
        <v>57</v>
      </c>
      <c r="IA254" t="s">
        <v>57</v>
      </c>
      <c r="IB254" t="s">
        <v>58</v>
      </c>
      <c r="IC254" t="s">
        <v>58</v>
      </c>
      <c r="ID254" t="s">
        <v>58</v>
      </c>
      <c r="IE254" t="s">
        <v>57</v>
      </c>
      <c r="IF254" t="s">
        <v>124</v>
      </c>
      <c r="IG254" t="s">
        <v>155</v>
      </c>
      <c r="IH254" t="s">
        <v>123</v>
      </c>
      <c r="II254" t="s">
        <v>156</v>
      </c>
    </row>
    <row r="255" spans="1:243" x14ac:dyDescent="0.25">
      <c r="A255" s="201" t="str">
        <f>HYPERLINK("http://www.ofsted.gov.uk/inspection-reports/find-inspection-report/provider/ELS/142657 ","Ofsted School Webpage")</f>
        <v>Ofsted School Webpage</v>
      </c>
      <c r="B255">
        <v>142657</v>
      </c>
      <c r="C255">
        <v>8606043</v>
      </c>
      <c r="D255" t="s">
        <v>2476</v>
      </c>
      <c r="E255" t="s">
        <v>36</v>
      </c>
      <c r="F255" t="s">
        <v>166</v>
      </c>
      <c r="G255" t="s">
        <v>150</v>
      </c>
      <c r="H255" t="s">
        <v>150</v>
      </c>
      <c r="I255" t="s">
        <v>271</v>
      </c>
      <c r="J255" t="s">
        <v>2477</v>
      </c>
      <c r="K255" t="s">
        <v>142</v>
      </c>
      <c r="L255" t="s">
        <v>142</v>
      </c>
      <c r="M255" t="s">
        <v>2596</v>
      </c>
      <c r="N255" t="s">
        <v>143</v>
      </c>
      <c r="O255">
        <v>10039280</v>
      </c>
      <c r="P255" s="108">
        <v>43074</v>
      </c>
      <c r="Q255" s="108">
        <v>43076</v>
      </c>
      <c r="R255" s="108">
        <v>43122</v>
      </c>
      <c r="S255" t="s">
        <v>206</v>
      </c>
      <c r="T255" t="s">
        <v>154</v>
      </c>
      <c r="U255">
        <v>2</v>
      </c>
      <c r="V255">
        <v>2</v>
      </c>
      <c r="W255">
        <v>2</v>
      </c>
      <c r="X255">
        <v>2</v>
      </c>
      <c r="Y255">
        <v>2</v>
      </c>
      <c r="Z255" t="s">
        <v>2596</v>
      </c>
      <c r="AA255" t="s">
        <v>2596</v>
      </c>
      <c r="AB255" t="s">
        <v>123</v>
      </c>
      <c r="AC255" t="s">
        <v>2596</v>
      </c>
      <c r="AD255" t="s">
        <v>2598</v>
      </c>
      <c r="AE255" t="s">
        <v>57</v>
      </c>
      <c r="AF255" t="s">
        <v>57</v>
      </c>
      <c r="AG255" t="s">
        <v>57</v>
      </c>
      <c r="AH255" t="s">
        <v>57</v>
      </c>
      <c r="AI255" t="s">
        <v>57</v>
      </c>
      <c r="AJ255" t="s">
        <v>57</v>
      </c>
      <c r="AK255" t="s">
        <v>57</v>
      </c>
      <c r="AL255" t="s">
        <v>57</v>
      </c>
      <c r="AM255" t="s">
        <v>57</v>
      </c>
      <c r="AN255" t="s">
        <v>57</v>
      </c>
      <c r="AO255" t="s">
        <v>57</v>
      </c>
      <c r="AP255" t="s">
        <v>57</v>
      </c>
      <c r="AQ255" t="s">
        <v>57</v>
      </c>
      <c r="AR255" t="s">
        <v>57</v>
      </c>
      <c r="AS255" t="s">
        <v>57</v>
      </c>
      <c r="AT255" t="s">
        <v>57</v>
      </c>
      <c r="AU255" t="s">
        <v>175</v>
      </c>
      <c r="AV255" t="s">
        <v>57</v>
      </c>
      <c r="AW255" t="s">
        <v>57</v>
      </c>
      <c r="AX255" t="s">
        <v>57</v>
      </c>
      <c r="AY255" t="s">
        <v>57</v>
      </c>
      <c r="AZ255" t="s">
        <v>57</v>
      </c>
      <c r="BA255" t="s">
        <v>57</v>
      </c>
      <c r="BB255" t="s">
        <v>57</v>
      </c>
      <c r="BC255" t="s">
        <v>175</v>
      </c>
      <c r="BD255" t="s">
        <v>175</v>
      </c>
      <c r="BE255" t="s">
        <v>57</v>
      </c>
      <c r="BF255" t="s">
        <v>57</v>
      </c>
      <c r="BG255" t="s">
        <v>57</v>
      </c>
      <c r="BH255" t="s">
        <v>57</v>
      </c>
      <c r="BI255" t="s">
        <v>57</v>
      </c>
      <c r="BJ255" t="s">
        <v>57</v>
      </c>
      <c r="BK255" t="s">
        <v>57</v>
      </c>
      <c r="BL255" t="s">
        <v>57</v>
      </c>
      <c r="BM255" t="s">
        <v>57</v>
      </c>
      <c r="BN255" t="s">
        <v>57</v>
      </c>
      <c r="BO255" t="s">
        <v>57</v>
      </c>
      <c r="BP255" t="s">
        <v>57</v>
      </c>
      <c r="BQ255" t="s">
        <v>57</v>
      </c>
      <c r="BR255" t="s">
        <v>57</v>
      </c>
      <c r="BS255" t="s">
        <v>57</v>
      </c>
      <c r="BT255" t="s">
        <v>57</v>
      </c>
      <c r="BU255" t="s">
        <v>57</v>
      </c>
      <c r="BV255" t="s">
        <v>57</v>
      </c>
      <c r="BW255" t="s">
        <v>57</v>
      </c>
      <c r="BX255" t="s">
        <v>57</v>
      </c>
      <c r="BY255" t="s">
        <v>57</v>
      </c>
      <c r="BZ255" t="s">
        <v>57</v>
      </c>
      <c r="CA255" t="s">
        <v>57</v>
      </c>
      <c r="CB255" t="s">
        <v>57</v>
      </c>
      <c r="CC255" t="s">
        <v>57</v>
      </c>
      <c r="CD255" t="s">
        <v>57</v>
      </c>
      <c r="CE255" t="s">
        <v>57</v>
      </c>
      <c r="CF255" t="s">
        <v>57</v>
      </c>
      <c r="CG255" t="s">
        <v>57</v>
      </c>
      <c r="CH255" t="s">
        <v>57</v>
      </c>
      <c r="CI255" t="s">
        <v>57</v>
      </c>
      <c r="CJ255" t="s">
        <v>57</v>
      </c>
      <c r="CK255" t="s">
        <v>57</v>
      </c>
      <c r="CL255" t="s">
        <v>57</v>
      </c>
      <c r="CM255" t="s">
        <v>175</v>
      </c>
      <c r="CN255" t="s">
        <v>57</v>
      </c>
      <c r="CO255" t="s">
        <v>57</v>
      </c>
      <c r="CP255" t="s">
        <v>57</v>
      </c>
      <c r="CQ255" t="s">
        <v>57</v>
      </c>
      <c r="CR255" t="s">
        <v>57</v>
      </c>
      <c r="CS255" t="s">
        <v>57</v>
      </c>
      <c r="CT255" t="s">
        <v>57</v>
      </c>
      <c r="CU255" t="s">
        <v>57</v>
      </c>
      <c r="CV255" t="s">
        <v>57</v>
      </c>
      <c r="CW255" t="s">
        <v>57</v>
      </c>
      <c r="CX255" t="s">
        <v>57</v>
      </c>
      <c r="CY255" t="s">
        <v>57</v>
      </c>
      <c r="CZ255" t="s">
        <v>57</v>
      </c>
      <c r="DA255" t="s">
        <v>57</v>
      </c>
      <c r="DB255" t="s">
        <v>57</v>
      </c>
      <c r="DC255" t="s">
        <v>57</v>
      </c>
      <c r="DD255" t="s">
        <v>57</v>
      </c>
      <c r="DE255" t="s">
        <v>57</v>
      </c>
      <c r="DF255" t="s">
        <v>57</v>
      </c>
      <c r="DG255" t="s">
        <v>57</v>
      </c>
      <c r="DH255" t="s">
        <v>57</v>
      </c>
      <c r="DI255" t="s">
        <v>57</v>
      </c>
      <c r="DJ255" t="s">
        <v>57</v>
      </c>
      <c r="DK255" t="s">
        <v>175</v>
      </c>
      <c r="DL255" t="s">
        <v>57</v>
      </c>
      <c r="DM255" t="s">
        <v>57</v>
      </c>
      <c r="DN255" t="s">
        <v>57</v>
      </c>
      <c r="DO255" t="s">
        <v>57</v>
      </c>
      <c r="DP255" t="s">
        <v>57</v>
      </c>
      <c r="DQ255" t="s">
        <v>57</v>
      </c>
      <c r="DR255" t="s">
        <v>57</v>
      </c>
      <c r="DS255" t="s">
        <v>57</v>
      </c>
      <c r="DT255" t="s">
        <v>57</v>
      </c>
      <c r="DU255" t="s">
        <v>57</v>
      </c>
      <c r="DV255" t="s">
        <v>57</v>
      </c>
      <c r="DW255" t="s">
        <v>57</v>
      </c>
      <c r="DX255" t="s">
        <v>57</v>
      </c>
      <c r="DY255" t="s">
        <v>175</v>
      </c>
      <c r="DZ255" t="s">
        <v>57</v>
      </c>
      <c r="EA255" t="s">
        <v>57</v>
      </c>
      <c r="EB255" t="s">
        <v>57</v>
      </c>
      <c r="EC255" t="s">
        <v>57</v>
      </c>
      <c r="ED255" t="s">
        <v>57</v>
      </c>
      <c r="EE255" t="s">
        <v>57</v>
      </c>
      <c r="EF255" t="s">
        <v>57</v>
      </c>
      <c r="EG255" t="s">
        <v>57</v>
      </c>
      <c r="EH255" t="s">
        <v>57</v>
      </c>
      <c r="EI255" t="s">
        <v>57</v>
      </c>
      <c r="EJ255" t="s">
        <v>57</v>
      </c>
      <c r="EK255" t="s">
        <v>57</v>
      </c>
      <c r="EL255" t="s">
        <v>57</v>
      </c>
      <c r="EM255" t="s">
        <v>57</v>
      </c>
      <c r="EN255" t="s">
        <v>57</v>
      </c>
      <c r="EO255" t="s">
        <v>57</v>
      </c>
      <c r="EP255" t="s">
        <v>57</v>
      </c>
      <c r="EQ255" t="s">
        <v>57</v>
      </c>
      <c r="ER255" t="s">
        <v>57</v>
      </c>
      <c r="ES255" t="s">
        <v>57</v>
      </c>
      <c r="ET255" t="s">
        <v>57</v>
      </c>
      <c r="EU255" t="s">
        <v>57</v>
      </c>
      <c r="EV255" t="s">
        <v>57</v>
      </c>
      <c r="EW255" t="s">
        <v>57</v>
      </c>
      <c r="EX255" t="s">
        <v>57</v>
      </c>
      <c r="EY255" t="s">
        <v>57</v>
      </c>
      <c r="EZ255" t="s">
        <v>57</v>
      </c>
      <c r="FA255" t="s">
        <v>57</v>
      </c>
      <c r="FB255" t="s">
        <v>57</v>
      </c>
      <c r="FC255" t="s">
        <v>57</v>
      </c>
      <c r="FD255" t="s">
        <v>57</v>
      </c>
      <c r="FE255" t="s">
        <v>57</v>
      </c>
      <c r="FF255" t="s">
        <v>57</v>
      </c>
      <c r="FG255" t="s">
        <v>57</v>
      </c>
      <c r="FH255" t="s">
        <v>57</v>
      </c>
      <c r="FI255" t="s">
        <v>57</v>
      </c>
      <c r="FJ255" t="s">
        <v>57</v>
      </c>
      <c r="FK255" t="s">
        <v>57</v>
      </c>
      <c r="FL255" t="s">
        <v>57</v>
      </c>
      <c r="FM255" t="s">
        <v>57</v>
      </c>
      <c r="FN255" t="s">
        <v>57</v>
      </c>
      <c r="FO255" t="s">
        <v>175</v>
      </c>
      <c r="FP255" t="s">
        <v>57</v>
      </c>
      <c r="FQ255" t="s">
        <v>57</v>
      </c>
      <c r="FR255" t="s">
        <v>57</v>
      </c>
      <c r="FS255" t="s">
        <v>57</v>
      </c>
      <c r="FT255" t="s">
        <v>57</v>
      </c>
      <c r="FU255" t="s">
        <v>57</v>
      </c>
      <c r="FV255" t="s">
        <v>57</v>
      </c>
      <c r="FW255" t="s">
        <v>57</v>
      </c>
      <c r="FX255" t="s">
        <v>57</v>
      </c>
      <c r="FY255" t="s">
        <v>57</v>
      </c>
      <c r="FZ255" t="s">
        <v>57</v>
      </c>
      <c r="GA255" t="s">
        <v>57</v>
      </c>
      <c r="GB255" t="s">
        <v>57</v>
      </c>
      <c r="GC255" t="s">
        <v>57</v>
      </c>
      <c r="GD255" t="s">
        <v>57</v>
      </c>
      <c r="GE255" t="s">
        <v>57</v>
      </c>
      <c r="GF255" t="s">
        <v>57</v>
      </c>
      <c r="GG255" t="s">
        <v>175</v>
      </c>
      <c r="GH255" t="s">
        <v>57</v>
      </c>
      <c r="GI255" t="s">
        <v>57</v>
      </c>
      <c r="GJ255" t="s">
        <v>57</v>
      </c>
      <c r="GK255" t="s">
        <v>57</v>
      </c>
      <c r="GL255" t="s">
        <v>57</v>
      </c>
      <c r="GM255" t="s">
        <v>57</v>
      </c>
      <c r="GN255" t="s">
        <v>57</v>
      </c>
      <c r="GO255" t="s">
        <v>57</v>
      </c>
      <c r="GP255" t="s">
        <v>57</v>
      </c>
      <c r="GQ255" t="s">
        <v>57</v>
      </c>
      <c r="GR255" t="s">
        <v>57</v>
      </c>
      <c r="GS255" t="s">
        <v>57</v>
      </c>
      <c r="GT255" t="s">
        <v>57</v>
      </c>
      <c r="GU255" t="s">
        <v>57</v>
      </c>
      <c r="GV255" t="s">
        <v>57</v>
      </c>
      <c r="GW255" t="s">
        <v>57</v>
      </c>
      <c r="GX255" t="s">
        <v>57</v>
      </c>
      <c r="GY255" t="s">
        <v>57</v>
      </c>
      <c r="GZ255" t="s">
        <v>57</v>
      </c>
      <c r="HA255" t="s">
        <v>57</v>
      </c>
      <c r="HB255" t="s">
        <v>57</v>
      </c>
      <c r="HC255" t="s">
        <v>57</v>
      </c>
      <c r="HD255" t="s">
        <v>57</v>
      </c>
      <c r="HE255" t="s">
        <v>57</v>
      </c>
      <c r="HF255" t="s">
        <v>57</v>
      </c>
      <c r="HG255" t="s">
        <v>57</v>
      </c>
      <c r="HH255" t="s">
        <v>57</v>
      </c>
      <c r="HI255" t="s">
        <v>175</v>
      </c>
      <c r="HJ255" t="s">
        <v>175</v>
      </c>
      <c r="HK255" t="s">
        <v>175</v>
      </c>
      <c r="HL255" t="s">
        <v>57</v>
      </c>
      <c r="HM255" t="s">
        <v>57</v>
      </c>
      <c r="HN255" t="s">
        <v>57</v>
      </c>
      <c r="HO255" t="s">
        <v>57</v>
      </c>
      <c r="HP255" t="s">
        <v>57</v>
      </c>
      <c r="HQ255" t="s">
        <v>57</v>
      </c>
      <c r="HR255" t="s">
        <v>57</v>
      </c>
      <c r="HS255" t="s">
        <v>57</v>
      </c>
      <c r="HT255" t="s">
        <v>57</v>
      </c>
      <c r="HU255" t="s">
        <v>57</v>
      </c>
      <c r="HV255" t="s">
        <v>57</v>
      </c>
      <c r="HW255" t="s">
        <v>57</v>
      </c>
      <c r="HX255" t="s">
        <v>57</v>
      </c>
      <c r="HY255" t="s">
        <v>57</v>
      </c>
      <c r="HZ255" t="s">
        <v>57</v>
      </c>
      <c r="IA255" t="s">
        <v>57</v>
      </c>
      <c r="IB255" t="s">
        <v>57</v>
      </c>
      <c r="IC255" t="s">
        <v>57</v>
      </c>
      <c r="ID255" t="s">
        <v>57</v>
      </c>
      <c r="IE255" t="s">
        <v>57</v>
      </c>
      <c r="IF255" t="s">
        <v>124</v>
      </c>
      <c r="IG255" t="s">
        <v>148</v>
      </c>
      <c r="IH255" t="s">
        <v>123</v>
      </c>
      <c r="II255" t="s">
        <v>156</v>
      </c>
    </row>
    <row r="256" spans="1:243" x14ac:dyDescent="0.25">
      <c r="A256" s="201" t="str">
        <f>HYPERLINK("http://www.ofsted.gov.uk/inspection-reports/find-inspection-report/provider/ELS/142659 ","Ofsted School Webpage")</f>
        <v>Ofsted School Webpage</v>
      </c>
      <c r="B256">
        <v>142659</v>
      </c>
      <c r="C256">
        <v>8556036</v>
      </c>
      <c r="D256" t="s">
        <v>307</v>
      </c>
      <c r="E256" t="s">
        <v>37</v>
      </c>
      <c r="F256" t="s">
        <v>138</v>
      </c>
      <c r="G256" t="s">
        <v>171</v>
      </c>
      <c r="H256" t="s">
        <v>171</v>
      </c>
      <c r="I256" t="s">
        <v>238</v>
      </c>
      <c r="J256" t="s">
        <v>308</v>
      </c>
      <c r="K256" t="s">
        <v>142</v>
      </c>
      <c r="L256" t="s">
        <v>142</v>
      </c>
      <c r="M256" t="s">
        <v>2596</v>
      </c>
      <c r="N256" t="s">
        <v>143</v>
      </c>
      <c r="O256">
        <v>10039199</v>
      </c>
      <c r="P256" s="108">
        <v>42990</v>
      </c>
      <c r="Q256" s="108">
        <v>42991</v>
      </c>
      <c r="R256" s="108">
        <v>43018</v>
      </c>
      <c r="S256" t="s">
        <v>206</v>
      </c>
      <c r="T256" t="s">
        <v>154</v>
      </c>
      <c r="U256">
        <v>2</v>
      </c>
      <c r="V256">
        <v>2</v>
      </c>
      <c r="W256">
        <v>2</v>
      </c>
      <c r="X256">
        <v>2</v>
      </c>
      <c r="Y256">
        <v>2</v>
      </c>
      <c r="Z256" t="s">
        <v>2596</v>
      </c>
      <c r="AA256" t="s">
        <v>2596</v>
      </c>
      <c r="AB256" t="s">
        <v>123</v>
      </c>
      <c r="AC256" t="s">
        <v>2596</v>
      </c>
      <c r="AD256" t="s">
        <v>2598</v>
      </c>
      <c r="AE256" t="s">
        <v>57</v>
      </c>
      <c r="AF256" t="s">
        <v>57</v>
      </c>
      <c r="AG256" t="s">
        <v>57</v>
      </c>
      <c r="AH256" t="s">
        <v>57</v>
      </c>
      <c r="AI256" t="s">
        <v>57</v>
      </c>
      <c r="AJ256" t="s">
        <v>57</v>
      </c>
      <c r="AK256" t="s">
        <v>57</v>
      </c>
      <c r="AL256" t="s">
        <v>57</v>
      </c>
      <c r="AM256" t="s">
        <v>57</v>
      </c>
      <c r="AN256" t="s">
        <v>57</v>
      </c>
      <c r="AO256" t="s">
        <v>57</v>
      </c>
      <c r="AP256" t="s">
        <v>57</v>
      </c>
      <c r="AQ256" t="s">
        <v>57</v>
      </c>
      <c r="AR256" t="s">
        <v>57</v>
      </c>
      <c r="AS256" t="s">
        <v>57</v>
      </c>
      <c r="AT256" t="s">
        <v>57</v>
      </c>
      <c r="AU256" t="s">
        <v>175</v>
      </c>
      <c r="AV256" t="s">
        <v>57</v>
      </c>
      <c r="AW256" t="s">
        <v>57</v>
      </c>
      <c r="AX256" t="s">
        <v>57</v>
      </c>
      <c r="AY256" t="s">
        <v>57</v>
      </c>
      <c r="AZ256" t="s">
        <v>57</v>
      </c>
      <c r="BA256" t="s">
        <v>57</v>
      </c>
      <c r="BB256" t="s">
        <v>57</v>
      </c>
      <c r="BC256" t="s">
        <v>175</v>
      </c>
      <c r="BD256" t="s">
        <v>175</v>
      </c>
      <c r="BE256" t="s">
        <v>57</v>
      </c>
      <c r="BF256" t="s">
        <v>57</v>
      </c>
      <c r="BG256" t="s">
        <v>57</v>
      </c>
      <c r="BH256" t="s">
        <v>57</v>
      </c>
      <c r="BI256" t="s">
        <v>57</v>
      </c>
      <c r="BJ256" t="s">
        <v>57</v>
      </c>
      <c r="BK256" t="s">
        <v>57</v>
      </c>
      <c r="BL256" t="s">
        <v>57</v>
      </c>
      <c r="BM256" t="s">
        <v>57</v>
      </c>
      <c r="BN256" t="s">
        <v>57</v>
      </c>
      <c r="BO256" t="s">
        <v>57</v>
      </c>
      <c r="BP256" t="s">
        <v>57</v>
      </c>
      <c r="BQ256" t="s">
        <v>57</v>
      </c>
      <c r="BR256" t="s">
        <v>57</v>
      </c>
      <c r="BS256" t="s">
        <v>57</v>
      </c>
      <c r="BT256" t="s">
        <v>57</v>
      </c>
      <c r="BU256" t="s">
        <v>57</v>
      </c>
      <c r="BV256" t="s">
        <v>57</v>
      </c>
      <c r="BW256" t="s">
        <v>57</v>
      </c>
      <c r="BX256" t="s">
        <v>57</v>
      </c>
      <c r="BY256" t="s">
        <v>57</v>
      </c>
      <c r="BZ256" t="s">
        <v>57</v>
      </c>
      <c r="CA256" t="s">
        <v>57</v>
      </c>
      <c r="CB256" t="s">
        <v>57</v>
      </c>
      <c r="CC256" t="s">
        <v>57</v>
      </c>
      <c r="CD256" t="s">
        <v>57</v>
      </c>
      <c r="CE256" t="s">
        <v>57</v>
      </c>
      <c r="CF256" t="s">
        <v>57</v>
      </c>
      <c r="CG256" t="s">
        <v>57</v>
      </c>
      <c r="CH256" t="s">
        <v>57</v>
      </c>
      <c r="CI256" t="s">
        <v>57</v>
      </c>
      <c r="CJ256" t="s">
        <v>57</v>
      </c>
      <c r="CK256" t="s">
        <v>175</v>
      </c>
      <c r="CL256" t="s">
        <v>175</v>
      </c>
      <c r="CM256" t="s">
        <v>175</v>
      </c>
      <c r="CN256" t="s">
        <v>57</v>
      </c>
      <c r="CO256" t="s">
        <v>57</v>
      </c>
      <c r="CP256" t="s">
        <v>57</v>
      </c>
      <c r="CQ256" t="s">
        <v>57</v>
      </c>
      <c r="CR256" t="s">
        <v>57</v>
      </c>
      <c r="CS256" t="s">
        <v>57</v>
      </c>
      <c r="CT256" t="s">
        <v>57</v>
      </c>
      <c r="CU256" t="s">
        <v>57</v>
      </c>
      <c r="CV256" t="s">
        <v>57</v>
      </c>
      <c r="CW256" t="s">
        <v>57</v>
      </c>
      <c r="CX256" t="s">
        <v>57</v>
      </c>
      <c r="CY256" t="s">
        <v>57</v>
      </c>
      <c r="CZ256" t="s">
        <v>57</v>
      </c>
      <c r="DA256" t="s">
        <v>57</v>
      </c>
      <c r="DB256" t="s">
        <v>57</v>
      </c>
      <c r="DC256" t="s">
        <v>57</v>
      </c>
      <c r="DD256" t="s">
        <v>57</v>
      </c>
      <c r="DE256" t="s">
        <v>57</v>
      </c>
      <c r="DF256" t="s">
        <v>57</v>
      </c>
      <c r="DG256" t="s">
        <v>57</v>
      </c>
      <c r="DH256" t="s">
        <v>57</v>
      </c>
      <c r="DI256" t="s">
        <v>57</v>
      </c>
      <c r="DJ256" t="s">
        <v>57</v>
      </c>
      <c r="DK256" t="s">
        <v>175</v>
      </c>
      <c r="DL256" t="s">
        <v>57</v>
      </c>
      <c r="DM256" t="s">
        <v>175</v>
      </c>
      <c r="DN256" t="s">
        <v>175</v>
      </c>
      <c r="DO256" t="s">
        <v>175</v>
      </c>
      <c r="DP256" t="s">
        <v>175</v>
      </c>
      <c r="DQ256" t="s">
        <v>175</v>
      </c>
      <c r="DR256" t="s">
        <v>175</v>
      </c>
      <c r="DS256" t="s">
        <v>175</v>
      </c>
      <c r="DT256" t="s">
        <v>175</v>
      </c>
      <c r="DU256" t="s">
        <v>175</v>
      </c>
      <c r="DV256" t="s">
        <v>175</v>
      </c>
      <c r="DW256" t="s">
        <v>175</v>
      </c>
      <c r="DX256" t="s">
        <v>175</v>
      </c>
      <c r="DY256" t="s">
        <v>175</v>
      </c>
      <c r="DZ256" t="s">
        <v>175</v>
      </c>
      <c r="EA256" t="s">
        <v>57</v>
      </c>
      <c r="EB256" t="s">
        <v>57</v>
      </c>
      <c r="EC256" t="s">
        <v>57</v>
      </c>
      <c r="ED256" t="s">
        <v>57</v>
      </c>
      <c r="EE256" t="s">
        <v>57</v>
      </c>
      <c r="EF256" t="s">
        <v>57</v>
      </c>
      <c r="EG256" t="s">
        <v>57</v>
      </c>
      <c r="EH256" t="s">
        <v>57</v>
      </c>
      <c r="EI256" t="s">
        <v>57</v>
      </c>
      <c r="EJ256" t="s">
        <v>57</v>
      </c>
      <c r="EK256" t="s">
        <v>57</v>
      </c>
      <c r="EL256" t="s">
        <v>57</v>
      </c>
      <c r="EM256" t="s">
        <v>57</v>
      </c>
      <c r="EN256" t="s">
        <v>57</v>
      </c>
      <c r="EO256" t="s">
        <v>57</v>
      </c>
      <c r="EP256" t="s">
        <v>57</v>
      </c>
      <c r="EQ256" t="s">
        <v>57</v>
      </c>
      <c r="ER256" t="s">
        <v>57</v>
      </c>
      <c r="ES256" t="s">
        <v>57</v>
      </c>
      <c r="ET256" t="s">
        <v>57</v>
      </c>
      <c r="EU256" t="s">
        <v>57</v>
      </c>
      <c r="EV256" t="s">
        <v>57</v>
      </c>
      <c r="EW256" t="s">
        <v>175</v>
      </c>
      <c r="EX256" t="s">
        <v>175</v>
      </c>
      <c r="EY256" t="s">
        <v>175</v>
      </c>
      <c r="EZ256" t="s">
        <v>175</v>
      </c>
      <c r="FA256" t="s">
        <v>175</v>
      </c>
      <c r="FB256" t="s">
        <v>175</v>
      </c>
      <c r="FC256" t="s">
        <v>175</v>
      </c>
      <c r="FD256" t="s">
        <v>57</v>
      </c>
      <c r="FE256" t="s">
        <v>175</v>
      </c>
      <c r="FF256" t="s">
        <v>57</v>
      </c>
      <c r="FG256" t="s">
        <v>57</v>
      </c>
      <c r="FH256" t="s">
        <v>57</v>
      </c>
      <c r="FI256" t="s">
        <v>57</v>
      </c>
      <c r="FJ256" t="s">
        <v>57</v>
      </c>
      <c r="FK256" t="s">
        <v>57</v>
      </c>
      <c r="FL256" t="s">
        <v>57</v>
      </c>
      <c r="FM256" t="s">
        <v>57</v>
      </c>
      <c r="FN256" t="s">
        <v>57</v>
      </c>
      <c r="FO256" t="s">
        <v>175</v>
      </c>
      <c r="FP256" t="s">
        <v>57</v>
      </c>
      <c r="FQ256" t="s">
        <v>57</v>
      </c>
      <c r="FR256" t="s">
        <v>57</v>
      </c>
      <c r="FS256" t="s">
        <v>57</v>
      </c>
      <c r="FT256" t="s">
        <v>57</v>
      </c>
      <c r="FU256" t="s">
        <v>57</v>
      </c>
      <c r="FV256" t="s">
        <v>57</v>
      </c>
      <c r="FW256" t="s">
        <v>57</v>
      </c>
      <c r="FX256" t="s">
        <v>57</v>
      </c>
      <c r="FY256" t="s">
        <v>57</v>
      </c>
      <c r="FZ256" t="s">
        <v>57</v>
      </c>
      <c r="GA256" t="s">
        <v>57</v>
      </c>
      <c r="GB256" t="s">
        <v>57</v>
      </c>
      <c r="GC256" t="s">
        <v>57</v>
      </c>
      <c r="GD256" t="s">
        <v>57</v>
      </c>
      <c r="GE256" t="s">
        <v>57</v>
      </c>
      <c r="GF256" t="s">
        <v>57</v>
      </c>
      <c r="GG256" t="s">
        <v>175</v>
      </c>
      <c r="GH256" t="s">
        <v>57</v>
      </c>
      <c r="GI256" t="s">
        <v>57</v>
      </c>
      <c r="GJ256" t="s">
        <v>57</v>
      </c>
      <c r="GK256" t="s">
        <v>57</v>
      </c>
      <c r="GL256" t="s">
        <v>175</v>
      </c>
      <c r="GM256" t="s">
        <v>175</v>
      </c>
      <c r="GN256" t="s">
        <v>57</v>
      </c>
      <c r="GO256" t="s">
        <v>57</v>
      </c>
      <c r="GP256" t="s">
        <v>57</v>
      </c>
      <c r="GQ256" t="s">
        <v>57</v>
      </c>
      <c r="GR256" t="s">
        <v>57</v>
      </c>
      <c r="GS256" t="s">
        <v>57</v>
      </c>
      <c r="GT256" t="s">
        <v>57</v>
      </c>
      <c r="GU256" t="s">
        <v>57</v>
      </c>
      <c r="GV256" t="s">
        <v>175</v>
      </c>
      <c r="GW256" t="s">
        <v>57</v>
      </c>
      <c r="GX256" t="s">
        <v>175</v>
      </c>
      <c r="GY256" t="s">
        <v>57</v>
      </c>
      <c r="GZ256" t="s">
        <v>57</v>
      </c>
      <c r="HA256" t="s">
        <v>57</v>
      </c>
      <c r="HB256" t="s">
        <v>57</v>
      </c>
      <c r="HC256" t="s">
        <v>57</v>
      </c>
      <c r="HD256" t="s">
        <v>57</v>
      </c>
      <c r="HE256" t="s">
        <v>175</v>
      </c>
      <c r="HF256" t="s">
        <v>57</v>
      </c>
      <c r="HG256" t="s">
        <v>175</v>
      </c>
      <c r="HH256" t="s">
        <v>175</v>
      </c>
      <c r="HI256" t="s">
        <v>175</v>
      </c>
      <c r="HJ256" t="s">
        <v>175</v>
      </c>
      <c r="HK256" t="s">
        <v>175</v>
      </c>
      <c r="HL256" t="s">
        <v>57</v>
      </c>
      <c r="HM256" t="s">
        <v>57</v>
      </c>
      <c r="HN256" t="s">
        <v>57</v>
      </c>
      <c r="HO256" t="s">
        <v>57</v>
      </c>
      <c r="HP256" t="s">
        <v>57</v>
      </c>
      <c r="HQ256" t="s">
        <v>57</v>
      </c>
      <c r="HR256" t="s">
        <v>57</v>
      </c>
      <c r="HS256" t="s">
        <v>57</v>
      </c>
      <c r="HT256" t="s">
        <v>57</v>
      </c>
      <c r="HU256" t="s">
        <v>57</v>
      </c>
      <c r="HV256" t="s">
        <v>57</v>
      </c>
      <c r="HW256" t="s">
        <v>57</v>
      </c>
      <c r="HX256" t="s">
        <v>57</v>
      </c>
      <c r="HY256" t="s">
        <v>57</v>
      </c>
      <c r="HZ256" t="s">
        <v>57</v>
      </c>
      <c r="IA256" t="s">
        <v>57</v>
      </c>
      <c r="IB256" t="s">
        <v>57</v>
      </c>
      <c r="IC256" t="s">
        <v>57</v>
      </c>
      <c r="ID256" t="s">
        <v>57</v>
      </c>
      <c r="IE256" t="s">
        <v>57</v>
      </c>
      <c r="IF256" t="s">
        <v>124</v>
      </c>
      <c r="IG256" t="s">
        <v>148</v>
      </c>
      <c r="IH256" t="s">
        <v>123</v>
      </c>
      <c r="II256" t="s">
        <v>156</v>
      </c>
    </row>
    <row r="257" spans="1:243" x14ac:dyDescent="0.25">
      <c r="A257" s="201" t="str">
        <f>HYPERLINK("http://www.ofsted.gov.uk/inspection-reports/find-inspection-report/provider/ELS/142660 ","Ofsted School Webpage")</f>
        <v>Ofsted School Webpage</v>
      </c>
      <c r="B257">
        <v>142660</v>
      </c>
      <c r="C257">
        <v>8256047</v>
      </c>
      <c r="D257" t="s">
        <v>2340</v>
      </c>
      <c r="E257" t="s">
        <v>36</v>
      </c>
      <c r="F257" t="s">
        <v>166</v>
      </c>
      <c r="G257" t="s">
        <v>139</v>
      </c>
      <c r="H257" t="s">
        <v>139</v>
      </c>
      <c r="I257" t="s">
        <v>208</v>
      </c>
      <c r="J257" t="s">
        <v>2341</v>
      </c>
      <c r="K257" t="s">
        <v>142</v>
      </c>
      <c r="L257" t="s">
        <v>169</v>
      </c>
      <c r="M257" t="s">
        <v>2596</v>
      </c>
      <c r="N257" t="s">
        <v>143</v>
      </c>
      <c r="O257">
        <v>10039169</v>
      </c>
      <c r="P257" s="108">
        <v>43067</v>
      </c>
      <c r="Q257" s="108">
        <v>43069</v>
      </c>
      <c r="R257" s="108">
        <v>43112</v>
      </c>
      <c r="S257" t="s">
        <v>206</v>
      </c>
      <c r="T257" t="s">
        <v>154</v>
      </c>
      <c r="U257">
        <v>2</v>
      </c>
      <c r="V257">
        <v>2</v>
      </c>
      <c r="W257">
        <v>1</v>
      </c>
      <c r="X257">
        <v>2</v>
      </c>
      <c r="Y257">
        <v>2</v>
      </c>
      <c r="Z257" t="s">
        <v>2596</v>
      </c>
      <c r="AA257">
        <v>1</v>
      </c>
      <c r="AB257" t="s">
        <v>123</v>
      </c>
      <c r="AC257" t="s">
        <v>2596</v>
      </c>
      <c r="AD257" t="s">
        <v>2598</v>
      </c>
      <c r="AE257" t="s">
        <v>57</v>
      </c>
      <c r="AF257" t="s">
        <v>57</v>
      </c>
      <c r="AG257" t="s">
        <v>57</v>
      </c>
      <c r="AH257" t="s">
        <v>57</v>
      </c>
      <c r="AI257" t="s">
        <v>57</v>
      </c>
      <c r="AJ257" t="s">
        <v>57</v>
      </c>
      <c r="AK257" t="s">
        <v>57</v>
      </c>
      <c r="AL257" t="s">
        <v>57</v>
      </c>
      <c r="AM257" t="s">
        <v>57</v>
      </c>
      <c r="AN257" t="s">
        <v>57</v>
      </c>
      <c r="AO257" t="s">
        <v>57</v>
      </c>
      <c r="AP257" t="s">
        <v>57</v>
      </c>
      <c r="AQ257" t="s">
        <v>57</v>
      </c>
      <c r="AR257" t="s">
        <v>57</v>
      </c>
      <c r="AS257" t="s">
        <v>57</v>
      </c>
      <c r="AT257" t="s">
        <v>57</v>
      </c>
      <c r="AU257" t="s">
        <v>175</v>
      </c>
      <c r="AV257" t="s">
        <v>57</v>
      </c>
      <c r="AW257" t="s">
        <v>57</v>
      </c>
      <c r="AX257" t="s">
        <v>57</v>
      </c>
      <c r="AY257" t="s">
        <v>57</v>
      </c>
      <c r="AZ257" t="s">
        <v>57</v>
      </c>
      <c r="BA257" t="s">
        <v>57</v>
      </c>
      <c r="BB257" t="s">
        <v>57</v>
      </c>
      <c r="BC257" t="s">
        <v>175</v>
      </c>
      <c r="BD257" t="s">
        <v>57</v>
      </c>
      <c r="BE257" t="s">
        <v>57</v>
      </c>
      <c r="BF257" t="s">
        <v>57</v>
      </c>
      <c r="BG257" t="s">
        <v>57</v>
      </c>
      <c r="BH257" t="s">
        <v>57</v>
      </c>
      <c r="BI257" t="s">
        <v>57</v>
      </c>
      <c r="BJ257" t="s">
        <v>57</v>
      </c>
      <c r="BK257" t="s">
        <v>57</v>
      </c>
      <c r="BL257" t="s">
        <v>57</v>
      </c>
      <c r="BM257" t="s">
        <v>57</v>
      </c>
      <c r="BN257" t="s">
        <v>57</v>
      </c>
      <c r="BO257" t="s">
        <v>57</v>
      </c>
      <c r="BP257" t="s">
        <v>57</v>
      </c>
      <c r="BQ257" t="s">
        <v>57</v>
      </c>
      <c r="BR257" t="s">
        <v>57</v>
      </c>
      <c r="BS257" t="s">
        <v>57</v>
      </c>
      <c r="BT257" t="s">
        <v>57</v>
      </c>
      <c r="BU257" t="s">
        <v>57</v>
      </c>
      <c r="BV257" t="s">
        <v>57</v>
      </c>
      <c r="BW257" t="s">
        <v>57</v>
      </c>
      <c r="BX257" t="s">
        <v>57</v>
      </c>
      <c r="BY257" t="s">
        <v>57</v>
      </c>
      <c r="BZ257" t="s">
        <v>57</v>
      </c>
      <c r="CA257" t="s">
        <v>57</v>
      </c>
      <c r="CB257" t="s">
        <v>57</v>
      </c>
      <c r="CC257" t="s">
        <v>57</v>
      </c>
      <c r="CD257" t="s">
        <v>57</v>
      </c>
      <c r="CE257" t="s">
        <v>57</v>
      </c>
      <c r="CF257" t="s">
        <v>57</v>
      </c>
      <c r="CG257" t="s">
        <v>57</v>
      </c>
      <c r="CH257" t="s">
        <v>57</v>
      </c>
      <c r="CI257" t="s">
        <v>57</v>
      </c>
      <c r="CJ257" t="s">
        <v>57</v>
      </c>
      <c r="CK257" t="s">
        <v>175</v>
      </c>
      <c r="CL257" t="s">
        <v>175</v>
      </c>
      <c r="CM257" t="s">
        <v>175</v>
      </c>
      <c r="CN257" t="s">
        <v>57</v>
      </c>
      <c r="CO257" t="s">
        <v>57</v>
      </c>
      <c r="CP257" t="s">
        <v>57</v>
      </c>
      <c r="CQ257" t="s">
        <v>57</v>
      </c>
      <c r="CR257" t="s">
        <v>57</v>
      </c>
      <c r="CS257" t="s">
        <v>57</v>
      </c>
      <c r="CT257" t="s">
        <v>57</v>
      </c>
      <c r="CU257" t="s">
        <v>57</v>
      </c>
      <c r="CV257" t="s">
        <v>57</v>
      </c>
      <c r="CW257" t="s">
        <v>57</v>
      </c>
      <c r="CX257" t="s">
        <v>57</v>
      </c>
      <c r="CY257" t="s">
        <v>57</v>
      </c>
      <c r="CZ257" t="s">
        <v>57</v>
      </c>
      <c r="DA257" t="s">
        <v>57</v>
      </c>
      <c r="DB257" t="s">
        <v>57</v>
      </c>
      <c r="DC257" t="s">
        <v>57</v>
      </c>
      <c r="DD257" t="s">
        <v>57</v>
      </c>
      <c r="DE257" t="s">
        <v>57</v>
      </c>
      <c r="DF257" t="s">
        <v>57</v>
      </c>
      <c r="DG257" t="s">
        <v>57</v>
      </c>
      <c r="DH257" t="s">
        <v>57</v>
      </c>
      <c r="DI257" t="s">
        <v>57</v>
      </c>
      <c r="DJ257" t="s">
        <v>57</v>
      </c>
      <c r="DK257" t="s">
        <v>175</v>
      </c>
      <c r="DL257" t="s">
        <v>57</v>
      </c>
      <c r="DM257" t="s">
        <v>175</v>
      </c>
      <c r="DN257" t="s">
        <v>175</v>
      </c>
      <c r="DO257" t="s">
        <v>175</v>
      </c>
      <c r="DP257" t="s">
        <v>175</v>
      </c>
      <c r="DQ257" t="s">
        <v>175</v>
      </c>
      <c r="DR257" t="s">
        <v>175</v>
      </c>
      <c r="DS257" t="s">
        <v>175</v>
      </c>
      <c r="DT257" t="s">
        <v>175</v>
      </c>
      <c r="DU257" t="s">
        <v>175</v>
      </c>
      <c r="DV257" t="s">
        <v>175</v>
      </c>
      <c r="DW257" t="s">
        <v>175</v>
      </c>
      <c r="DX257" t="s">
        <v>175</v>
      </c>
      <c r="DY257" t="s">
        <v>175</v>
      </c>
      <c r="DZ257" t="s">
        <v>175</v>
      </c>
      <c r="EA257" t="s">
        <v>57</v>
      </c>
      <c r="EB257" t="s">
        <v>57</v>
      </c>
      <c r="EC257" t="s">
        <v>57</v>
      </c>
      <c r="ED257" t="s">
        <v>57</v>
      </c>
      <c r="EE257" t="s">
        <v>57</v>
      </c>
      <c r="EF257" t="s">
        <v>57</v>
      </c>
      <c r="EG257" t="s">
        <v>57</v>
      </c>
      <c r="EH257" t="s">
        <v>57</v>
      </c>
      <c r="EI257" t="s">
        <v>57</v>
      </c>
      <c r="EJ257" t="s">
        <v>57</v>
      </c>
      <c r="EK257" t="s">
        <v>57</v>
      </c>
      <c r="EL257" t="s">
        <v>57</v>
      </c>
      <c r="EM257" t="s">
        <v>57</v>
      </c>
      <c r="EN257" t="s">
        <v>57</v>
      </c>
      <c r="EO257" t="s">
        <v>57</v>
      </c>
      <c r="EP257" t="s">
        <v>57</v>
      </c>
      <c r="EQ257" t="s">
        <v>57</v>
      </c>
      <c r="ER257" t="s">
        <v>57</v>
      </c>
      <c r="ES257" t="s">
        <v>57</v>
      </c>
      <c r="ET257" t="s">
        <v>57</v>
      </c>
      <c r="EU257" t="s">
        <v>57</v>
      </c>
      <c r="EV257" t="s">
        <v>57</v>
      </c>
      <c r="EW257" t="s">
        <v>57</v>
      </c>
      <c r="EX257" t="s">
        <v>175</v>
      </c>
      <c r="EY257" t="s">
        <v>175</v>
      </c>
      <c r="EZ257" t="s">
        <v>175</v>
      </c>
      <c r="FA257" t="s">
        <v>175</v>
      </c>
      <c r="FB257" t="s">
        <v>175</v>
      </c>
      <c r="FC257" t="s">
        <v>175</v>
      </c>
      <c r="FD257" t="s">
        <v>175</v>
      </c>
      <c r="FE257" t="s">
        <v>175</v>
      </c>
      <c r="FF257" t="s">
        <v>148</v>
      </c>
      <c r="FG257" t="s">
        <v>175</v>
      </c>
      <c r="FH257" t="s">
        <v>57</v>
      </c>
      <c r="FI257" t="s">
        <v>57</v>
      </c>
      <c r="FJ257" t="s">
        <v>57</v>
      </c>
      <c r="FK257" t="s">
        <v>57</v>
      </c>
      <c r="FL257" t="s">
        <v>57</v>
      </c>
      <c r="FM257" t="s">
        <v>57</v>
      </c>
      <c r="FN257" t="s">
        <v>57</v>
      </c>
      <c r="FO257" t="s">
        <v>175</v>
      </c>
      <c r="FP257" t="s">
        <v>57</v>
      </c>
      <c r="FQ257" t="s">
        <v>57</v>
      </c>
      <c r="FR257" t="s">
        <v>57</v>
      </c>
      <c r="FS257" t="s">
        <v>57</v>
      </c>
      <c r="FT257" t="s">
        <v>57</v>
      </c>
      <c r="FU257" t="s">
        <v>57</v>
      </c>
      <c r="FV257" t="s">
        <v>57</v>
      </c>
      <c r="FW257" t="s">
        <v>57</v>
      </c>
      <c r="FX257" t="s">
        <v>57</v>
      </c>
      <c r="FY257" t="s">
        <v>57</v>
      </c>
      <c r="FZ257" t="s">
        <v>57</v>
      </c>
      <c r="GA257" t="s">
        <v>57</v>
      </c>
      <c r="GB257" t="s">
        <v>57</v>
      </c>
      <c r="GC257" t="s">
        <v>57</v>
      </c>
      <c r="GD257" t="s">
        <v>57</v>
      </c>
      <c r="GE257" t="s">
        <v>57</v>
      </c>
      <c r="GF257" t="s">
        <v>57</v>
      </c>
      <c r="GG257" t="s">
        <v>175</v>
      </c>
      <c r="GH257" t="s">
        <v>57</v>
      </c>
      <c r="GI257" t="s">
        <v>57</v>
      </c>
      <c r="GJ257" t="s">
        <v>57</v>
      </c>
      <c r="GK257" t="s">
        <v>57</v>
      </c>
      <c r="GL257" t="s">
        <v>175</v>
      </c>
      <c r="GM257" t="s">
        <v>175</v>
      </c>
      <c r="GN257" t="s">
        <v>57</v>
      </c>
      <c r="GO257" t="s">
        <v>57</v>
      </c>
      <c r="GP257" t="s">
        <v>175</v>
      </c>
      <c r="GQ257" t="s">
        <v>175</v>
      </c>
      <c r="GR257" t="s">
        <v>57</v>
      </c>
      <c r="GS257" t="s">
        <v>57</v>
      </c>
      <c r="GT257" t="s">
        <v>57</v>
      </c>
      <c r="GU257" t="s">
        <v>57</v>
      </c>
      <c r="GV257" t="s">
        <v>175</v>
      </c>
      <c r="GW257" t="s">
        <v>57</v>
      </c>
      <c r="GX257" t="s">
        <v>175</v>
      </c>
      <c r="GY257" t="s">
        <v>57</v>
      </c>
      <c r="GZ257" t="s">
        <v>57</v>
      </c>
      <c r="HA257" t="s">
        <v>57</v>
      </c>
      <c r="HB257" t="s">
        <v>175</v>
      </c>
      <c r="HC257" t="s">
        <v>57</v>
      </c>
      <c r="HD257" t="s">
        <v>57</v>
      </c>
      <c r="HE257" t="s">
        <v>57</v>
      </c>
      <c r="HF257" t="s">
        <v>57</v>
      </c>
      <c r="HG257" t="s">
        <v>175</v>
      </c>
      <c r="HH257" t="s">
        <v>175</v>
      </c>
      <c r="HI257" t="s">
        <v>175</v>
      </c>
      <c r="HJ257" t="s">
        <v>175</v>
      </c>
      <c r="HK257" t="s">
        <v>175</v>
      </c>
      <c r="HL257" t="s">
        <v>57</v>
      </c>
      <c r="HM257" t="s">
        <v>57</v>
      </c>
      <c r="HN257" t="s">
        <v>57</v>
      </c>
      <c r="HO257" t="s">
        <v>57</v>
      </c>
      <c r="HP257" t="s">
        <v>57</v>
      </c>
      <c r="HQ257" t="s">
        <v>57</v>
      </c>
      <c r="HR257" t="s">
        <v>57</v>
      </c>
      <c r="HS257" t="s">
        <v>57</v>
      </c>
      <c r="HT257" t="s">
        <v>57</v>
      </c>
      <c r="HU257" t="s">
        <v>57</v>
      </c>
      <c r="HV257" t="s">
        <v>57</v>
      </c>
      <c r="HW257" t="s">
        <v>57</v>
      </c>
      <c r="HX257" t="s">
        <v>57</v>
      </c>
      <c r="HY257" t="s">
        <v>57</v>
      </c>
      <c r="HZ257" t="s">
        <v>57</v>
      </c>
      <c r="IA257" t="s">
        <v>57</v>
      </c>
      <c r="IB257" t="s">
        <v>57</v>
      </c>
      <c r="IC257" t="s">
        <v>57</v>
      </c>
      <c r="ID257" t="s">
        <v>57</v>
      </c>
      <c r="IE257" t="s">
        <v>57</v>
      </c>
      <c r="IF257" t="s">
        <v>124</v>
      </c>
      <c r="IG257" t="s">
        <v>148</v>
      </c>
      <c r="IH257" t="s">
        <v>123</v>
      </c>
      <c r="II257" t="s">
        <v>156</v>
      </c>
    </row>
    <row r="258" spans="1:243" x14ac:dyDescent="0.25">
      <c r="A258" s="201" t="str">
        <f>HYPERLINK("http://www.ofsted.gov.uk/inspection-reports/find-inspection-report/provider/ELS/142672 ","Ofsted School Webpage")</f>
        <v>Ofsted School Webpage</v>
      </c>
      <c r="B258">
        <v>142672</v>
      </c>
      <c r="C258">
        <v>8216013</v>
      </c>
      <c r="D258" t="s">
        <v>2342</v>
      </c>
      <c r="E258" t="s">
        <v>37</v>
      </c>
      <c r="F258" t="s">
        <v>138</v>
      </c>
      <c r="G258" t="s">
        <v>177</v>
      </c>
      <c r="H258" t="s">
        <v>177</v>
      </c>
      <c r="I258" t="s">
        <v>178</v>
      </c>
      <c r="J258" t="s">
        <v>2343</v>
      </c>
      <c r="K258" t="s">
        <v>142</v>
      </c>
      <c r="L258" t="s">
        <v>142</v>
      </c>
      <c r="M258" t="s">
        <v>2596</v>
      </c>
      <c r="N258" t="s">
        <v>143</v>
      </c>
      <c r="O258">
        <v>10043522</v>
      </c>
      <c r="P258" s="108">
        <v>43123</v>
      </c>
      <c r="Q258" s="108">
        <v>43125</v>
      </c>
      <c r="R258" s="108">
        <v>43164</v>
      </c>
      <c r="S258" t="s">
        <v>206</v>
      </c>
      <c r="T258" t="s">
        <v>154</v>
      </c>
      <c r="U258">
        <v>2</v>
      </c>
      <c r="V258">
        <v>2</v>
      </c>
      <c r="W258">
        <v>2</v>
      </c>
      <c r="X258">
        <v>2</v>
      </c>
      <c r="Y258">
        <v>2</v>
      </c>
      <c r="Z258" t="s">
        <v>2596</v>
      </c>
      <c r="AA258" t="s">
        <v>2596</v>
      </c>
      <c r="AB258" t="s">
        <v>123</v>
      </c>
      <c r="AC258" t="s">
        <v>2596</v>
      </c>
      <c r="AD258" t="s">
        <v>2598</v>
      </c>
      <c r="AE258" t="s">
        <v>57</v>
      </c>
      <c r="AF258" t="s">
        <v>57</v>
      </c>
      <c r="AG258" t="s">
        <v>57</v>
      </c>
      <c r="AH258" t="s">
        <v>57</v>
      </c>
      <c r="AI258" t="s">
        <v>57</v>
      </c>
      <c r="AJ258" t="s">
        <v>57</v>
      </c>
      <c r="AK258" t="s">
        <v>57</v>
      </c>
      <c r="AL258" t="s">
        <v>57</v>
      </c>
      <c r="AM258" t="s">
        <v>57</v>
      </c>
      <c r="AN258" t="s">
        <v>57</v>
      </c>
      <c r="AO258" t="s">
        <v>57</v>
      </c>
      <c r="AP258" t="s">
        <v>57</v>
      </c>
      <c r="AQ258" t="s">
        <v>57</v>
      </c>
      <c r="AR258" t="s">
        <v>57</v>
      </c>
      <c r="AS258" t="s">
        <v>57</v>
      </c>
      <c r="AT258" t="s">
        <v>57</v>
      </c>
      <c r="AU258" t="s">
        <v>57</v>
      </c>
      <c r="AV258" t="s">
        <v>57</v>
      </c>
      <c r="AW258" t="s">
        <v>57</v>
      </c>
      <c r="AX258" t="s">
        <v>57</v>
      </c>
      <c r="AY258" t="s">
        <v>57</v>
      </c>
      <c r="AZ258" t="s">
        <v>57</v>
      </c>
      <c r="BA258" t="s">
        <v>57</v>
      </c>
      <c r="BB258" t="s">
        <v>57</v>
      </c>
      <c r="BC258" t="s">
        <v>57</v>
      </c>
      <c r="BD258" t="s">
        <v>57</v>
      </c>
      <c r="BE258" t="s">
        <v>57</v>
      </c>
      <c r="BF258" t="s">
        <v>57</v>
      </c>
      <c r="BG258" t="s">
        <v>57</v>
      </c>
      <c r="BH258" t="s">
        <v>57</v>
      </c>
      <c r="BI258" t="s">
        <v>57</v>
      </c>
      <c r="BJ258" t="s">
        <v>57</v>
      </c>
      <c r="BK258" t="s">
        <v>57</v>
      </c>
      <c r="BL258" t="s">
        <v>57</v>
      </c>
      <c r="BM258" t="s">
        <v>57</v>
      </c>
      <c r="BN258" t="s">
        <v>57</v>
      </c>
      <c r="BO258" t="s">
        <v>57</v>
      </c>
      <c r="BP258" t="s">
        <v>57</v>
      </c>
      <c r="BQ258" t="s">
        <v>57</v>
      </c>
      <c r="BR258" t="s">
        <v>57</v>
      </c>
      <c r="BS258" t="s">
        <v>57</v>
      </c>
      <c r="BT258" t="s">
        <v>57</v>
      </c>
      <c r="BU258" t="s">
        <v>57</v>
      </c>
      <c r="BV258" t="s">
        <v>57</v>
      </c>
      <c r="BW258" t="s">
        <v>57</v>
      </c>
      <c r="BX258" t="s">
        <v>57</v>
      </c>
      <c r="BY258" t="s">
        <v>57</v>
      </c>
      <c r="BZ258" t="s">
        <v>57</v>
      </c>
      <c r="CA258" t="s">
        <v>57</v>
      </c>
      <c r="CB258" t="s">
        <v>57</v>
      </c>
      <c r="CC258" t="s">
        <v>57</v>
      </c>
      <c r="CD258" t="s">
        <v>57</v>
      </c>
      <c r="CE258" t="s">
        <v>57</v>
      </c>
      <c r="CF258" t="s">
        <v>57</v>
      </c>
      <c r="CG258" t="s">
        <v>57</v>
      </c>
      <c r="CH258" t="s">
        <v>57</v>
      </c>
      <c r="CI258" t="s">
        <v>57</v>
      </c>
      <c r="CJ258" t="s">
        <v>57</v>
      </c>
      <c r="CK258" t="s">
        <v>57</v>
      </c>
      <c r="CL258" t="s">
        <v>57</v>
      </c>
      <c r="CM258" t="s">
        <v>57</v>
      </c>
      <c r="CN258" t="s">
        <v>57</v>
      </c>
      <c r="CO258" t="s">
        <v>57</v>
      </c>
      <c r="CP258" t="s">
        <v>57</v>
      </c>
      <c r="CQ258" t="s">
        <v>57</v>
      </c>
      <c r="CR258" t="s">
        <v>57</v>
      </c>
      <c r="CS258" t="s">
        <v>57</v>
      </c>
      <c r="CT258" t="s">
        <v>57</v>
      </c>
      <c r="CU258" t="s">
        <v>57</v>
      </c>
      <c r="CV258" t="s">
        <v>57</v>
      </c>
      <c r="CW258" t="s">
        <v>57</v>
      </c>
      <c r="CX258" t="s">
        <v>57</v>
      </c>
      <c r="CY258" t="s">
        <v>57</v>
      </c>
      <c r="CZ258" t="s">
        <v>57</v>
      </c>
      <c r="DA258" t="s">
        <v>57</v>
      </c>
      <c r="DB258" t="s">
        <v>57</v>
      </c>
      <c r="DC258" t="s">
        <v>57</v>
      </c>
      <c r="DD258" t="s">
        <v>57</v>
      </c>
      <c r="DE258" t="s">
        <v>57</v>
      </c>
      <c r="DF258" t="s">
        <v>57</v>
      </c>
      <c r="DG258" t="s">
        <v>57</v>
      </c>
      <c r="DH258" t="s">
        <v>57</v>
      </c>
      <c r="DI258" t="s">
        <v>57</v>
      </c>
      <c r="DJ258" t="s">
        <v>57</v>
      </c>
      <c r="DK258" t="s">
        <v>57</v>
      </c>
      <c r="DL258" t="s">
        <v>57</v>
      </c>
      <c r="DM258" t="s">
        <v>175</v>
      </c>
      <c r="DN258" t="s">
        <v>175</v>
      </c>
      <c r="DO258" t="s">
        <v>175</v>
      </c>
      <c r="DP258" t="s">
        <v>175</v>
      </c>
      <c r="DQ258" t="s">
        <v>175</v>
      </c>
      <c r="DR258" t="s">
        <v>175</v>
      </c>
      <c r="DS258" t="s">
        <v>175</v>
      </c>
      <c r="DT258" t="s">
        <v>175</v>
      </c>
      <c r="DU258" t="s">
        <v>175</v>
      </c>
      <c r="DV258" t="s">
        <v>175</v>
      </c>
      <c r="DW258" t="s">
        <v>175</v>
      </c>
      <c r="DX258" t="s">
        <v>175</v>
      </c>
      <c r="DY258" t="s">
        <v>175</v>
      </c>
      <c r="DZ258" t="s">
        <v>175</v>
      </c>
      <c r="EA258" t="s">
        <v>57</v>
      </c>
      <c r="EB258" t="s">
        <v>57</v>
      </c>
      <c r="EC258" t="s">
        <v>57</v>
      </c>
      <c r="ED258" t="s">
        <v>57</v>
      </c>
      <c r="EE258" t="s">
        <v>57</v>
      </c>
      <c r="EF258" t="s">
        <v>57</v>
      </c>
      <c r="EG258" t="s">
        <v>57</v>
      </c>
      <c r="EH258" t="s">
        <v>57</v>
      </c>
      <c r="EI258" t="s">
        <v>57</v>
      </c>
      <c r="EJ258" t="s">
        <v>57</v>
      </c>
      <c r="EK258" t="s">
        <v>57</v>
      </c>
      <c r="EL258" t="s">
        <v>57</v>
      </c>
      <c r="EM258" t="s">
        <v>57</v>
      </c>
      <c r="EN258" t="s">
        <v>57</v>
      </c>
      <c r="EO258" t="s">
        <v>57</v>
      </c>
      <c r="EP258" t="s">
        <v>57</v>
      </c>
      <c r="EQ258" t="s">
        <v>57</v>
      </c>
      <c r="ER258" t="s">
        <v>57</v>
      </c>
      <c r="ES258" t="s">
        <v>57</v>
      </c>
      <c r="ET258" t="s">
        <v>57</v>
      </c>
      <c r="EU258" t="s">
        <v>57</v>
      </c>
      <c r="EV258" t="s">
        <v>57</v>
      </c>
      <c r="EW258" t="s">
        <v>57</v>
      </c>
      <c r="EX258" t="s">
        <v>175</v>
      </c>
      <c r="EY258" t="s">
        <v>175</v>
      </c>
      <c r="EZ258" t="s">
        <v>175</v>
      </c>
      <c r="FA258" t="s">
        <v>175</v>
      </c>
      <c r="FB258" t="s">
        <v>175</v>
      </c>
      <c r="FC258" t="s">
        <v>175</v>
      </c>
      <c r="FD258" t="s">
        <v>57</v>
      </c>
      <c r="FE258" t="s">
        <v>57</v>
      </c>
      <c r="FF258" t="s">
        <v>57</v>
      </c>
      <c r="FG258" t="s">
        <v>57</v>
      </c>
      <c r="FH258" t="s">
        <v>57</v>
      </c>
      <c r="FI258" t="s">
        <v>57</v>
      </c>
      <c r="FJ258" t="s">
        <v>57</v>
      </c>
      <c r="FK258" t="s">
        <v>57</v>
      </c>
      <c r="FL258" t="s">
        <v>57</v>
      </c>
      <c r="FM258" t="s">
        <v>57</v>
      </c>
      <c r="FN258" t="s">
        <v>57</v>
      </c>
      <c r="FO258" t="s">
        <v>57</v>
      </c>
      <c r="FP258" t="s">
        <v>57</v>
      </c>
      <c r="FQ258" t="s">
        <v>57</v>
      </c>
      <c r="FR258" t="s">
        <v>57</v>
      </c>
      <c r="FS258" t="s">
        <v>57</v>
      </c>
      <c r="FT258" t="s">
        <v>57</v>
      </c>
      <c r="FU258" t="s">
        <v>57</v>
      </c>
      <c r="FV258" t="s">
        <v>57</v>
      </c>
      <c r="FW258" t="s">
        <v>57</v>
      </c>
      <c r="FX258" t="s">
        <v>57</v>
      </c>
      <c r="FY258" t="s">
        <v>57</v>
      </c>
      <c r="FZ258" t="s">
        <v>57</v>
      </c>
      <c r="GA258" t="s">
        <v>57</v>
      </c>
      <c r="GB258" t="s">
        <v>57</v>
      </c>
      <c r="GC258" t="s">
        <v>57</v>
      </c>
      <c r="GD258" t="s">
        <v>57</v>
      </c>
      <c r="GE258" t="s">
        <v>57</v>
      </c>
      <c r="GF258" t="s">
        <v>57</v>
      </c>
      <c r="GG258" t="s">
        <v>57</v>
      </c>
      <c r="GH258" t="s">
        <v>57</v>
      </c>
      <c r="GI258" t="s">
        <v>57</v>
      </c>
      <c r="GJ258" t="s">
        <v>57</v>
      </c>
      <c r="GK258" t="s">
        <v>57</v>
      </c>
      <c r="GL258" t="s">
        <v>175</v>
      </c>
      <c r="GM258" t="s">
        <v>175</v>
      </c>
      <c r="GN258" t="s">
        <v>57</v>
      </c>
      <c r="GO258" t="s">
        <v>57</v>
      </c>
      <c r="GP258" t="s">
        <v>57</v>
      </c>
      <c r="GQ258" t="s">
        <v>57</v>
      </c>
      <c r="GR258" t="s">
        <v>57</v>
      </c>
      <c r="GS258" t="s">
        <v>57</v>
      </c>
      <c r="GT258" t="s">
        <v>57</v>
      </c>
      <c r="GU258" t="s">
        <v>57</v>
      </c>
      <c r="GV258" t="s">
        <v>57</v>
      </c>
      <c r="GW258" t="s">
        <v>57</v>
      </c>
      <c r="GX258" t="s">
        <v>57</v>
      </c>
      <c r="GY258" t="s">
        <v>57</v>
      </c>
      <c r="GZ258" t="s">
        <v>57</v>
      </c>
      <c r="HA258" t="s">
        <v>57</v>
      </c>
      <c r="HB258" t="s">
        <v>57</v>
      </c>
      <c r="HC258" t="s">
        <v>57</v>
      </c>
      <c r="HD258" t="s">
        <v>57</v>
      </c>
      <c r="HE258" t="s">
        <v>57</v>
      </c>
      <c r="HF258" t="s">
        <v>57</v>
      </c>
      <c r="HG258" t="s">
        <v>57</v>
      </c>
      <c r="HH258" t="s">
        <v>57</v>
      </c>
      <c r="HI258" t="s">
        <v>57</v>
      </c>
      <c r="HJ258" t="s">
        <v>57</v>
      </c>
      <c r="HK258" t="s">
        <v>57</v>
      </c>
      <c r="HL258" t="s">
        <v>57</v>
      </c>
      <c r="HM258" t="s">
        <v>57</v>
      </c>
      <c r="HN258" t="s">
        <v>57</v>
      </c>
      <c r="HO258" t="s">
        <v>57</v>
      </c>
      <c r="HP258" t="s">
        <v>57</v>
      </c>
      <c r="HQ258" t="s">
        <v>57</v>
      </c>
      <c r="HR258" t="s">
        <v>57</v>
      </c>
      <c r="HS258" t="s">
        <v>57</v>
      </c>
      <c r="HT258" t="s">
        <v>57</v>
      </c>
      <c r="HU258" t="s">
        <v>57</v>
      </c>
      <c r="HV258" t="s">
        <v>57</v>
      </c>
      <c r="HW258" t="s">
        <v>57</v>
      </c>
      <c r="HX258" t="s">
        <v>57</v>
      </c>
      <c r="HY258" t="s">
        <v>57</v>
      </c>
      <c r="HZ258" t="s">
        <v>57</v>
      </c>
      <c r="IA258" t="s">
        <v>57</v>
      </c>
      <c r="IB258" t="s">
        <v>57</v>
      </c>
      <c r="IC258" t="s">
        <v>57</v>
      </c>
      <c r="ID258" t="s">
        <v>57</v>
      </c>
      <c r="IE258" t="s">
        <v>57</v>
      </c>
      <c r="IF258" t="s">
        <v>124</v>
      </c>
      <c r="IG258" t="s">
        <v>148</v>
      </c>
      <c r="IH258" t="s">
        <v>123</v>
      </c>
      <c r="II258" t="s">
        <v>156</v>
      </c>
    </row>
    <row r="259" spans="1:243" x14ac:dyDescent="0.25">
      <c r="A259" s="201" t="str">
        <f>HYPERLINK("http://www.ofsted.gov.uk/inspection-reports/find-inspection-report/provider/ELS/142763 ","Ofsted School Webpage")</f>
        <v>Ofsted School Webpage</v>
      </c>
      <c r="B259">
        <v>142763</v>
      </c>
      <c r="C259">
        <v>8786065</v>
      </c>
      <c r="D259" t="s">
        <v>469</v>
      </c>
      <c r="E259" t="s">
        <v>37</v>
      </c>
      <c r="F259" t="s">
        <v>138</v>
      </c>
      <c r="G259" t="s">
        <v>182</v>
      </c>
      <c r="H259" t="s">
        <v>182</v>
      </c>
      <c r="I259" t="s">
        <v>323</v>
      </c>
      <c r="J259" t="s">
        <v>470</v>
      </c>
      <c r="K259" t="s">
        <v>142</v>
      </c>
      <c r="L259" t="s">
        <v>142</v>
      </c>
      <c r="M259" t="s">
        <v>2596</v>
      </c>
      <c r="N259" t="s">
        <v>143</v>
      </c>
      <c r="O259">
        <v>10033896</v>
      </c>
      <c r="P259" s="108">
        <v>43026</v>
      </c>
      <c r="Q259" s="108">
        <v>43028</v>
      </c>
      <c r="R259" s="108">
        <v>43052</v>
      </c>
      <c r="S259" t="s">
        <v>206</v>
      </c>
      <c r="T259" t="s">
        <v>154</v>
      </c>
      <c r="U259">
        <v>2</v>
      </c>
      <c r="V259">
        <v>2</v>
      </c>
      <c r="W259">
        <v>2</v>
      </c>
      <c r="X259">
        <v>2</v>
      </c>
      <c r="Y259">
        <v>2</v>
      </c>
      <c r="Z259" t="s">
        <v>2596</v>
      </c>
      <c r="AA259" t="s">
        <v>2596</v>
      </c>
      <c r="AB259" t="s">
        <v>123</v>
      </c>
      <c r="AC259" t="s">
        <v>2596</v>
      </c>
      <c r="AD259" t="s">
        <v>2598</v>
      </c>
      <c r="AE259" t="s">
        <v>57</v>
      </c>
      <c r="AF259" t="s">
        <v>57</v>
      </c>
      <c r="AG259" t="s">
        <v>57</v>
      </c>
      <c r="AH259" t="s">
        <v>57</v>
      </c>
      <c r="AI259" t="s">
        <v>57</v>
      </c>
      <c r="AJ259" t="s">
        <v>57</v>
      </c>
      <c r="AK259" t="s">
        <v>57</v>
      </c>
      <c r="AL259" t="s">
        <v>57</v>
      </c>
      <c r="AM259" t="s">
        <v>57</v>
      </c>
      <c r="AN259" t="s">
        <v>57</v>
      </c>
      <c r="AO259" t="s">
        <v>57</v>
      </c>
      <c r="AP259" t="s">
        <v>57</v>
      </c>
      <c r="AQ259" t="s">
        <v>57</v>
      </c>
      <c r="AR259" t="s">
        <v>57</v>
      </c>
      <c r="AS259" t="s">
        <v>57</v>
      </c>
      <c r="AT259" t="s">
        <v>57</v>
      </c>
      <c r="AU259" t="s">
        <v>148</v>
      </c>
      <c r="AV259" t="s">
        <v>57</v>
      </c>
      <c r="AW259" t="s">
        <v>57</v>
      </c>
      <c r="AX259" t="s">
        <v>57</v>
      </c>
      <c r="AY259" t="s">
        <v>148</v>
      </c>
      <c r="AZ259" t="s">
        <v>148</v>
      </c>
      <c r="BA259" t="s">
        <v>148</v>
      </c>
      <c r="BB259" t="s">
        <v>148</v>
      </c>
      <c r="BC259" t="s">
        <v>57</v>
      </c>
      <c r="BD259" t="s">
        <v>148</v>
      </c>
      <c r="BE259" t="s">
        <v>57</v>
      </c>
      <c r="BF259" t="s">
        <v>57</v>
      </c>
      <c r="BG259" t="s">
        <v>57</v>
      </c>
      <c r="BH259" t="s">
        <v>57</v>
      </c>
      <c r="BI259" t="s">
        <v>57</v>
      </c>
      <c r="BJ259" t="s">
        <v>57</v>
      </c>
      <c r="BK259" t="s">
        <v>57</v>
      </c>
      <c r="BL259" t="s">
        <v>57</v>
      </c>
      <c r="BM259" t="s">
        <v>57</v>
      </c>
      <c r="BN259" t="s">
        <v>57</v>
      </c>
      <c r="BO259" t="s">
        <v>57</v>
      </c>
      <c r="BP259" t="s">
        <v>57</v>
      </c>
      <c r="BQ259" t="s">
        <v>57</v>
      </c>
      <c r="BR259" t="s">
        <v>57</v>
      </c>
      <c r="BS259" t="s">
        <v>57</v>
      </c>
      <c r="BT259" t="s">
        <v>57</v>
      </c>
      <c r="BU259" t="s">
        <v>57</v>
      </c>
      <c r="BV259" t="s">
        <v>57</v>
      </c>
      <c r="BW259" t="s">
        <v>57</v>
      </c>
      <c r="BX259" t="s">
        <v>57</v>
      </c>
      <c r="BY259" t="s">
        <v>57</v>
      </c>
      <c r="BZ259" t="s">
        <v>57</v>
      </c>
      <c r="CA259" t="s">
        <v>57</v>
      </c>
      <c r="CB259" t="s">
        <v>57</v>
      </c>
      <c r="CC259" t="s">
        <v>57</v>
      </c>
      <c r="CD259" t="s">
        <v>57</v>
      </c>
      <c r="CE259" t="s">
        <v>57</v>
      </c>
      <c r="CF259" t="s">
        <v>57</v>
      </c>
      <c r="CG259" t="s">
        <v>57</v>
      </c>
      <c r="CH259" t="s">
        <v>57</v>
      </c>
      <c r="CI259" t="s">
        <v>57</v>
      </c>
      <c r="CJ259" t="s">
        <v>57</v>
      </c>
      <c r="CK259" t="s">
        <v>148</v>
      </c>
      <c r="CL259" t="s">
        <v>148</v>
      </c>
      <c r="CM259" t="s">
        <v>148</v>
      </c>
      <c r="CN259" t="s">
        <v>57</v>
      </c>
      <c r="CO259" t="s">
        <v>57</v>
      </c>
      <c r="CP259" t="s">
        <v>57</v>
      </c>
      <c r="CQ259" t="s">
        <v>57</v>
      </c>
      <c r="CR259" t="s">
        <v>57</v>
      </c>
      <c r="CS259" t="s">
        <v>57</v>
      </c>
      <c r="CT259" t="s">
        <v>57</v>
      </c>
      <c r="CU259" t="s">
        <v>57</v>
      </c>
      <c r="CV259" t="s">
        <v>57</v>
      </c>
      <c r="CW259" t="s">
        <v>57</v>
      </c>
      <c r="CX259" t="s">
        <v>57</v>
      </c>
      <c r="CY259" t="s">
        <v>57</v>
      </c>
      <c r="CZ259" t="s">
        <v>57</v>
      </c>
      <c r="DA259" t="s">
        <v>57</v>
      </c>
      <c r="DB259" t="s">
        <v>57</v>
      </c>
      <c r="DC259" t="s">
        <v>57</v>
      </c>
      <c r="DD259" t="s">
        <v>57</v>
      </c>
      <c r="DE259" t="s">
        <v>57</v>
      </c>
      <c r="DF259" t="s">
        <v>57</v>
      </c>
      <c r="DG259" t="s">
        <v>57</v>
      </c>
      <c r="DH259" t="s">
        <v>57</v>
      </c>
      <c r="DI259" t="s">
        <v>57</v>
      </c>
      <c r="DJ259" t="s">
        <v>148</v>
      </c>
      <c r="DK259" t="s">
        <v>148</v>
      </c>
      <c r="DL259" t="s">
        <v>57</v>
      </c>
      <c r="DM259" t="s">
        <v>57</v>
      </c>
      <c r="DN259" t="s">
        <v>57</v>
      </c>
      <c r="DO259" t="s">
        <v>57</v>
      </c>
      <c r="DP259" t="s">
        <v>57</v>
      </c>
      <c r="DQ259" t="s">
        <v>57</v>
      </c>
      <c r="DR259" t="s">
        <v>57</v>
      </c>
      <c r="DS259" t="s">
        <v>57</v>
      </c>
      <c r="DT259" t="s">
        <v>57</v>
      </c>
      <c r="DU259" t="s">
        <v>57</v>
      </c>
      <c r="DV259" t="s">
        <v>57</v>
      </c>
      <c r="DW259" t="s">
        <v>57</v>
      </c>
      <c r="DX259" t="s">
        <v>57</v>
      </c>
      <c r="DY259" t="s">
        <v>148</v>
      </c>
      <c r="DZ259" t="s">
        <v>57</v>
      </c>
      <c r="EA259" t="s">
        <v>57</v>
      </c>
      <c r="EB259" t="s">
        <v>57</v>
      </c>
      <c r="EC259" t="s">
        <v>57</v>
      </c>
      <c r="ED259" t="s">
        <v>57</v>
      </c>
      <c r="EE259" t="s">
        <v>57</v>
      </c>
      <c r="EF259" t="s">
        <v>57</v>
      </c>
      <c r="EG259" t="s">
        <v>160</v>
      </c>
      <c r="EH259" t="s">
        <v>57</v>
      </c>
      <c r="EI259" t="s">
        <v>57</v>
      </c>
      <c r="EJ259" t="s">
        <v>57</v>
      </c>
      <c r="EK259" t="s">
        <v>57</v>
      </c>
      <c r="EL259" t="s">
        <v>57</v>
      </c>
      <c r="EM259" t="s">
        <v>57</v>
      </c>
      <c r="EN259" t="s">
        <v>57</v>
      </c>
      <c r="EO259" t="s">
        <v>57</v>
      </c>
      <c r="EP259" t="s">
        <v>57</v>
      </c>
      <c r="EQ259" t="s">
        <v>57</v>
      </c>
      <c r="ER259" t="s">
        <v>57</v>
      </c>
      <c r="ES259" t="s">
        <v>57</v>
      </c>
      <c r="ET259" t="s">
        <v>57</v>
      </c>
      <c r="EU259" t="s">
        <v>57</v>
      </c>
      <c r="EV259" t="s">
        <v>57</v>
      </c>
      <c r="EW259" t="s">
        <v>57</v>
      </c>
      <c r="EX259" t="s">
        <v>57</v>
      </c>
      <c r="EY259" t="s">
        <v>57</v>
      </c>
      <c r="EZ259" t="s">
        <v>57</v>
      </c>
      <c r="FA259" t="s">
        <v>57</v>
      </c>
      <c r="FB259" t="s">
        <v>57</v>
      </c>
      <c r="FC259" t="s">
        <v>57</v>
      </c>
      <c r="FD259" t="s">
        <v>57</v>
      </c>
      <c r="FE259" t="s">
        <v>57</v>
      </c>
      <c r="FF259" t="s">
        <v>57</v>
      </c>
      <c r="FG259" t="s">
        <v>57</v>
      </c>
      <c r="FH259" t="s">
        <v>57</v>
      </c>
      <c r="FI259" t="s">
        <v>57</v>
      </c>
      <c r="FJ259" t="s">
        <v>57</v>
      </c>
      <c r="FK259" t="s">
        <v>148</v>
      </c>
      <c r="FL259" t="s">
        <v>148</v>
      </c>
      <c r="FM259" t="s">
        <v>148</v>
      </c>
      <c r="FN259" t="s">
        <v>57</v>
      </c>
      <c r="FO259" t="s">
        <v>148</v>
      </c>
      <c r="FP259" t="s">
        <v>57</v>
      </c>
      <c r="FQ259" t="s">
        <v>57</v>
      </c>
      <c r="FR259" t="s">
        <v>57</v>
      </c>
      <c r="FS259" t="s">
        <v>57</v>
      </c>
      <c r="FT259" t="s">
        <v>57</v>
      </c>
      <c r="FU259" t="s">
        <v>57</v>
      </c>
      <c r="FV259" t="s">
        <v>57</v>
      </c>
      <c r="FW259" t="s">
        <v>57</v>
      </c>
      <c r="FX259" t="s">
        <v>57</v>
      </c>
      <c r="FY259" t="s">
        <v>57</v>
      </c>
      <c r="FZ259" t="s">
        <v>57</v>
      </c>
      <c r="GA259" t="s">
        <v>57</v>
      </c>
      <c r="GB259" t="s">
        <v>57</v>
      </c>
      <c r="GC259" t="s">
        <v>57</v>
      </c>
      <c r="GD259" t="s">
        <v>57</v>
      </c>
      <c r="GE259" t="s">
        <v>57</v>
      </c>
      <c r="GF259" t="s">
        <v>57</v>
      </c>
      <c r="GG259" t="s">
        <v>148</v>
      </c>
      <c r="GH259" t="s">
        <v>57</v>
      </c>
      <c r="GI259" t="s">
        <v>57</v>
      </c>
      <c r="GJ259" t="s">
        <v>57</v>
      </c>
      <c r="GK259" t="s">
        <v>57</v>
      </c>
      <c r="GL259" t="s">
        <v>148</v>
      </c>
      <c r="GM259" t="s">
        <v>148</v>
      </c>
      <c r="GN259" t="s">
        <v>57</v>
      </c>
      <c r="GO259" t="s">
        <v>57</v>
      </c>
      <c r="GP259" t="s">
        <v>57</v>
      </c>
      <c r="GQ259" t="s">
        <v>57</v>
      </c>
      <c r="GR259" t="s">
        <v>57</v>
      </c>
      <c r="GS259" t="s">
        <v>57</v>
      </c>
      <c r="GT259" t="s">
        <v>57</v>
      </c>
      <c r="GU259" t="s">
        <v>148</v>
      </c>
      <c r="GV259" t="s">
        <v>57</v>
      </c>
      <c r="GW259" t="s">
        <v>57</v>
      </c>
      <c r="GX259" t="s">
        <v>57</v>
      </c>
      <c r="GY259" t="s">
        <v>57</v>
      </c>
      <c r="GZ259" t="s">
        <v>57</v>
      </c>
      <c r="HA259" t="s">
        <v>57</v>
      </c>
      <c r="HB259" t="s">
        <v>57</v>
      </c>
      <c r="HC259" t="s">
        <v>57</v>
      </c>
      <c r="HD259" t="s">
        <v>57</v>
      </c>
      <c r="HE259" t="s">
        <v>148</v>
      </c>
      <c r="HF259" t="s">
        <v>57</v>
      </c>
      <c r="HG259" t="s">
        <v>148</v>
      </c>
      <c r="HH259" t="s">
        <v>148</v>
      </c>
      <c r="HI259" t="s">
        <v>148</v>
      </c>
      <c r="HJ259" t="s">
        <v>148</v>
      </c>
      <c r="HK259" t="s">
        <v>148</v>
      </c>
      <c r="HL259" t="s">
        <v>57</v>
      </c>
      <c r="HM259" t="s">
        <v>57</v>
      </c>
      <c r="HN259" t="s">
        <v>57</v>
      </c>
      <c r="HO259" t="s">
        <v>57</v>
      </c>
      <c r="HP259" t="s">
        <v>57</v>
      </c>
      <c r="HQ259" t="s">
        <v>57</v>
      </c>
      <c r="HR259" t="s">
        <v>57</v>
      </c>
      <c r="HS259" t="s">
        <v>57</v>
      </c>
      <c r="HT259" t="s">
        <v>57</v>
      </c>
      <c r="HU259" t="s">
        <v>57</v>
      </c>
      <c r="HV259" t="s">
        <v>57</v>
      </c>
      <c r="HW259" t="s">
        <v>57</v>
      </c>
      <c r="HX259" t="s">
        <v>57</v>
      </c>
      <c r="HY259" t="s">
        <v>148</v>
      </c>
      <c r="HZ259" t="s">
        <v>148</v>
      </c>
      <c r="IA259" t="s">
        <v>148</v>
      </c>
      <c r="IB259" t="s">
        <v>57</v>
      </c>
      <c r="IC259" t="s">
        <v>57</v>
      </c>
      <c r="ID259" t="s">
        <v>57</v>
      </c>
      <c r="IE259" t="s">
        <v>57</v>
      </c>
      <c r="IF259" t="s">
        <v>124</v>
      </c>
      <c r="IG259" t="s">
        <v>155</v>
      </c>
      <c r="IH259" t="s">
        <v>123</v>
      </c>
      <c r="II259" t="s">
        <v>156</v>
      </c>
    </row>
    <row r="260" spans="1:243" x14ac:dyDescent="0.25">
      <c r="A260" s="201" t="str">
        <f>HYPERLINK("http://www.ofsted.gov.uk/inspection-reports/find-inspection-report/provider/ELS/142828 ","Ofsted School Webpage")</f>
        <v>Ofsted School Webpage</v>
      </c>
      <c r="B260">
        <v>142828</v>
      </c>
      <c r="C260">
        <v>8126004</v>
      </c>
      <c r="D260" t="s">
        <v>201</v>
      </c>
      <c r="E260" t="s">
        <v>37</v>
      </c>
      <c r="F260" t="s">
        <v>138</v>
      </c>
      <c r="G260" t="s">
        <v>202</v>
      </c>
      <c r="H260" t="s">
        <v>203</v>
      </c>
      <c r="I260" t="s">
        <v>204</v>
      </c>
      <c r="J260" t="s">
        <v>205</v>
      </c>
      <c r="K260" t="s">
        <v>142</v>
      </c>
      <c r="L260" t="s">
        <v>142</v>
      </c>
      <c r="M260" t="s">
        <v>2596</v>
      </c>
      <c r="N260" t="s">
        <v>143</v>
      </c>
      <c r="O260">
        <v>10040148</v>
      </c>
      <c r="P260" s="108">
        <v>43018</v>
      </c>
      <c r="Q260" s="108">
        <v>43019</v>
      </c>
      <c r="R260" s="108">
        <v>43063</v>
      </c>
      <c r="S260" t="s">
        <v>206</v>
      </c>
      <c r="T260" t="s">
        <v>154</v>
      </c>
      <c r="U260">
        <v>3</v>
      </c>
      <c r="V260">
        <v>3</v>
      </c>
      <c r="W260">
        <v>3</v>
      </c>
      <c r="X260">
        <v>3</v>
      </c>
      <c r="Y260">
        <v>3</v>
      </c>
      <c r="Z260" t="s">
        <v>2596</v>
      </c>
      <c r="AA260" t="s">
        <v>2596</v>
      </c>
      <c r="AB260" t="s">
        <v>123</v>
      </c>
      <c r="AC260" t="s">
        <v>2596</v>
      </c>
      <c r="AD260" t="s">
        <v>2599</v>
      </c>
      <c r="AE260" t="s">
        <v>57</v>
      </c>
      <c r="AF260" t="s">
        <v>57</v>
      </c>
      <c r="AG260" t="s">
        <v>57</v>
      </c>
      <c r="AH260" t="s">
        <v>57</v>
      </c>
      <c r="AI260" t="s">
        <v>57</v>
      </c>
      <c r="AJ260" t="s">
        <v>57</v>
      </c>
      <c r="AK260" t="s">
        <v>57</v>
      </c>
      <c r="AL260" t="s">
        <v>58</v>
      </c>
      <c r="AM260" t="s">
        <v>57</v>
      </c>
      <c r="AN260" t="s">
        <v>57</v>
      </c>
      <c r="AO260" t="s">
        <v>57</v>
      </c>
      <c r="AP260" t="s">
        <v>57</v>
      </c>
      <c r="AQ260" t="s">
        <v>57</v>
      </c>
      <c r="AR260" t="s">
        <v>57</v>
      </c>
      <c r="AS260" t="s">
        <v>57</v>
      </c>
      <c r="AT260" t="s">
        <v>57</v>
      </c>
      <c r="AU260" t="s">
        <v>57</v>
      </c>
      <c r="AV260" t="s">
        <v>57</v>
      </c>
      <c r="AW260" t="s">
        <v>57</v>
      </c>
      <c r="AX260" t="s">
        <v>57</v>
      </c>
      <c r="AY260" t="s">
        <v>57</v>
      </c>
      <c r="AZ260" t="s">
        <v>57</v>
      </c>
      <c r="BA260" t="s">
        <v>57</v>
      </c>
      <c r="BB260" t="s">
        <v>57</v>
      </c>
      <c r="BC260" t="s">
        <v>57</v>
      </c>
      <c r="BD260" t="s">
        <v>57</v>
      </c>
      <c r="BE260" t="s">
        <v>57</v>
      </c>
      <c r="BF260" t="s">
        <v>57</v>
      </c>
      <c r="BG260" t="s">
        <v>58</v>
      </c>
      <c r="BH260" t="s">
        <v>58</v>
      </c>
      <c r="BI260" t="s">
        <v>57</v>
      </c>
      <c r="BJ260" t="s">
        <v>58</v>
      </c>
      <c r="BK260" t="s">
        <v>57</v>
      </c>
      <c r="BL260" t="s">
        <v>57</v>
      </c>
      <c r="BM260" t="s">
        <v>57</v>
      </c>
      <c r="BN260" t="s">
        <v>57</v>
      </c>
      <c r="BO260" t="s">
        <v>57</v>
      </c>
      <c r="BP260" t="s">
        <v>57</v>
      </c>
      <c r="BQ260" t="s">
        <v>57</v>
      </c>
      <c r="BR260" t="s">
        <v>57</v>
      </c>
      <c r="BS260" t="s">
        <v>57</v>
      </c>
      <c r="BT260" t="s">
        <v>57</v>
      </c>
      <c r="BU260" t="s">
        <v>57</v>
      </c>
      <c r="BV260" t="s">
        <v>57</v>
      </c>
      <c r="BW260" t="s">
        <v>57</v>
      </c>
      <c r="BX260" t="s">
        <v>57</v>
      </c>
      <c r="BY260" t="s">
        <v>57</v>
      </c>
      <c r="BZ260" t="s">
        <v>57</v>
      </c>
      <c r="CA260" t="s">
        <v>57</v>
      </c>
      <c r="CB260" t="s">
        <v>57</v>
      </c>
      <c r="CC260" t="s">
        <v>57</v>
      </c>
      <c r="CD260" t="s">
        <v>57</v>
      </c>
      <c r="CE260" t="s">
        <v>57</v>
      </c>
      <c r="CF260" t="s">
        <v>57</v>
      </c>
      <c r="CG260" t="s">
        <v>57</v>
      </c>
      <c r="CH260" t="s">
        <v>57</v>
      </c>
      <c r="CI260" t="s">
        <v>57</v>
      </c>
      <c r="CJ260" t="s">
        <v>57</v>
      </c>
      <c r="CK260" t="s">
        <v>57</v>
      </c>
      <c r="CL260" t="s">
        <v>57</v>
      </c>
      <c r="CM260" t="s">
        <v>57</v>
      </c>
      <c r="CN260" t="s">
        <v>57</v>
      </c>
      <c r="CO260" t="s">
        <v>57</v>
      </c>
      <c r="CP260" t="s">
        <v>57</v>
      </c>
      <c r="CQ260" t="s">
        <v>57</v>
      </c>
      <c r="CR260" t="s">
        <v>57</v>
      </c>
      <c r="CS260" t="s">
        <v>57</v>
      </c>
      <c r="CT260" t="s">
        <v>57</v>
      </c>
      <c r="CU260" t="s">
        <v>57</v>
      </c>
      <c r="CV260" t="s">
        <v>57</v>
      </c>
      <c r="CW260" t="s">
        <v>57</v>
      </c>
      <c r="CX260" t="s">
        <v>57</v>
      </c>
      <c r="CY260" t="s">
        <v>57</v>
      </c>
      <c r="CZ260" t="s">
        <v>57</v>
      </c>
      <c r="DA260" t="s">
        <v>57</v>
      </c>
      <c r="DB260" t="s">
        <v>57</v>
      </c>
      <c r="DC260" t="s">
        <v>57</v>
      </c>
      <c r="DD260" t="s">
        <v>57</v>
      </c>
      <c r="DE260" t="s">
        <v>57</v>
      </c>
      <c r="DF260" t="s">
        <v>57</v>
      </c>
      <c r="DG260" t="s">
        <v>57</v>
      </c>
      <c r="DH260" t="s">
        <v>57</v>
      </c>
      <c r="DI260" t="s">
        <v>57</v>
      </c>
      <c r="DJ260" t="s">
        <v>57</v>
      </c>
      <c r="DK260" t="s">
        <v>175</v>
      </c>
      <c r="DL260" t="s">
        <v>57</v>
      </c>
      <c r="DM260" t="s">
        <v>57</v>
      </c>
      <c r="DN260" t="s">
        <v>57</v>
      </c>
      <c r="DO260" t="s">
        <v>57</v>
      </c>
      <c r="DP260" t="s">
        <v>57</v>
      </c>
      <c r="DQ260" t="s">
        <v>57</v>
      </c>
      <c r="DR260" t="s">
        <v>57</v>
      </c>
      <c r="DS260" t="s">
        <v>57</v>
      </c>
      <c r="DT260" t="s">
        <v>57</v>
      </c>
      <c r="DU260" t="s">
        <v>57</v>
      </c>
      <c r="DV260" t="s">
        <v>57</v>
      </c>
      <c r="DW260" t="s">
        <v>57</v>
      </c>
      <c r="DX260" t="s">
        <v>57</v>
      </c>
      <c r="DY260" t="s">
        <v>175</v>
      </c>
      <c r="DZ260" t="s">
        <v>57</v>
      </c>
      <c r="EA260" t="s">
        <v>57</v>
      </c>
      <c r="EB260" t="s">
        <v>57</v>
      </c>
      <c r="EC260" t="s">
        <v>57</v>
      </c>
      <c r="ED260" t="s">
        <v>57</v>
      </c>
      <c r="EE260" t="s">
        <v>57</v>
      </c>
      <c r="EF260" t="s">
        <v>57</v>
      </c>
      <c r="EG260" t="s">
        <v>57</v>
      </c>
      <c r="EH260" t="s">
        <v>57</v>
      </c>
      <c r="EI260" t="s">
        <v>57</v>
      </c>
      <c r="EJ260" t="s">
        <v>57</v>
      </c>
      <c r="EK260" t="s">
        <v>57</v>
      </c>
      <c r="EL260" t="s">
        <v>57</v>
      </c>
      <c r="EM260" t="s">
        <v>57</v>
      </c>
      <c r="EN260" t="s">
        <v>57</v>
      </c>
      <c r="EO260" t="s">
        <v>57</v>
      </c>
      <c r="EP260" t="s">
        <v>57</v>
      </c>
      <c r="EQ260" t="s">
        <v>57</v>
      </c>
      <c r="ER260" t="s">
        <v>57</v>
      </c>
      <c r="ES260" t="s">
        <v>57</v>
      </c>
      <c r="ET260" t="s">
        <v>57</v>
      </c>
      <c r="EU260" t="s">
        <v>57</v>
      </c>
      <c r="EV260" t="s">
        <v>57</v>
      </c>
      <c r="EW260" t="s">
        <v>57</v>
      </c>
      <c r="EX260" t="s">
        <v>57</v>
      </c>
      <c r="EY260" t="s">
        <v>57</v>
      </c>
      <c r="EZ260" t="s">
        <v>57</v>
      </c>
      <c r="FA260" t="s">
        <v>57</v>
      </c>
      <c r="FB260" t="s">
        <v>57</v>
      </c>
      <c r="FC260" t="s">
        <v>57</v>
      </c>
      <c r="FD260" t="s">
        <v>57</v>
      </c>
      <c r="FE260" t="s">
        <v>57</v>
      </c>
      <c r="FF260" t="s">
        <v>57</v>
      </c>
      <c r="FG260" t="s">
        <v>57</v>
      </c>
      <c r="FH260" t="s">
        <v>57</v>
      </c>
      <c r="FI260" t="s">
        <v>57</v>
      </c>
      <c r="FJ260" t="s">
        <v>57</v>
      </c>
      <c r="FK260" t="s">
        <v>57</v>
      </c>
      <c r="FL260" t="s">
        <v>58</v>
      </c>
      <c r="FM260" t="s">
        <v>58</v>
      </c>
      <c r="FN260" t="s">
        <v>58</v>
      </c>
      <c r="FO260" t="s">
        <v>175</v>
      </c>
      <c r="FP260" t="s">
        <v>58</v>
      </c>
      <c r="FQ260" t="s">
        <v>57</v>
      </c>
      <c r="FR260" t="s">
        <v>57</v>
      </c>
      <c r="FS260" t="s">
        <v>57</v>
      </c>
      <c r="FT260" t="s">
        <v>57</v>
      </c>
      <c r="FU260" t="s">
        <v>57</v>
      </c>
      <c r="FV260" t="s">
        <v>57</v>
      </c>
      <c r="FW260" t="s">
        <v>57</v>
      </c>
      <c r="FX260" t="s">
        <v>57</v>
      </c>
      <c r="FY260" t="s">
        <v>57</v>
      </c>
      <c r="FZ260" t="s">
        <v>57</v>
      </c>
      <c r="GA260" t="s">
        <v>57</v>
      </c>
      <c r="GB260" t="s">
        <v>57</v>
      </c>
      <c r="GC260" t="s">
        <v>57</v>
      </c>
      <c r="GD260" t="s">
        <v>57</v>
      </c>
      <c r="GE260" t="s">
        <v>57</v>
      </c>
      <c r="GF260" t="s">
        <v>57</v>
      </c>
      <c r="GG260" t="s">
        <v>57</v>
      </c>
      <c r="GH260" t="s">
        <v>57</v>
      </c>
      <c r="GI260" t="s">
        <v>57</v>
      </c>
      <c r="GJ260" t="s">
        <v>57</v>
      </c>
      <c r="GK260" t="s">
        <v>57</v>
      </c>
      <c r="GL260" t="s">
        <v>57</v>
      </c>
      <c r="GM260" t="s">
        <v>175</v>
      </c>
      <c r="GN260" t="s">
        <v>57</v>
      </c>
      <c r="GO260" t="s">
        <v>57</v>
      </c>
      <c r="GP260" t="s">
        <v>57</v>
      </c>
      <c r="GQ260" t="s">
        <v>57</v>
      </c>
      <c r="GR260" t="s">
        <v>57</v>
      </c>
      <c r="GS260" t="s">
        <v>57</v>
      </c>
      <c r="GT260" t="s">
        <v>57</v>
      </c>
      <c r="GU260" t="s">
        <v>57</v>
      </c>
      <c r="GV260" t="s">
        <v>57</v>
      </c>
      <c r="GW260" t="s">
        <v>57</v>
      </c>
      <c r="GX260" t="s">
        <v>57</v>
      </c>
      <c r="GY260" t="s">
        <v>57</v>
      </c>
      <c r="GZ260" t="s">
        <v>57</v>
      </c>
      <c r="HA260" t="s">
        <v>57</v>
      </c>
      <c r="HB260" t="s">
        <v>57</v>
      </c>
      <c r="HC260" t="s">
        <v>57</v>
      </c>
      <c r="HD260" t="s">
        <v>57</v>
      </c>
      <c r="HE260" t="s">
        <v>57</v>
      </c>
      <c r="HF260" t="s">
        <v>57</v>
      </c>
      <c r="HG260" t="s">
        <v>57</v>
      </c>
      <c r="HH260" t="s">
        <v>57</v>
      </c>
      <c r="HI260" t="s">
        <v>57</v>
      </c>
      <c r="HJ260" t="s">
        <v>57</v>
      </c>
      <c r="HK260" t="s">
        <v>57</v>
      </c>
      <c r="HL260" t="s">
        <v>57</v>
      </c>
      <c r="HM260" t="s">
        <v>57</v>
      </c>
      <c r="HN260" t="s">
        <v>57</v>
      </c>
      <c r="HO260" t="s">
        <v>57</v>
      </c>
      <c r="HP260" t="s">
        <v>57</v>
      </c>
      <c r="HQ260" t="s">
        <v>57</v>
      </c>
      <c r="HR260" t="s">
        <v>57</v>
      </c>
      <c r="HS260" t="s">
        <v>57</v>
      </c>
      <c r="HT260" t="s">
        <v>57</v>
      </c>
      <c r="HU260" t="s">
        <v>57</v>
      </c>
      <c r="HV260" t="s">
        <v>57</v>
      </c>
      <c r="HW260" t="s">
        <v>57</v>
      </c>
      <c r="HX260" t="s">
        <v>57</v>
      </c>
      <c r="HY260" t="s">
        <v>57</v>
      </c>
      <c r="HZ260" t="s">
        <v>57</v>
      </c>
      <c r="IA260" t="s">
        <v>57</v>
      </c>
      <c r="IB260" t="s">
        <v>58</v>
      </c>
      <c r="IC260" t="s">
        <v>58</v>
      </c>
      <c r="ID260" t="s">
        <v>58</v>
      </c>
      <c r="IE260" t="s">
        <v>57</v>
      </c>
      <c r="IF260" t="s">
        <v>124</v>
      </c>
      <c r="IG260" t="s">
        <v>148</v>
      </c>
      <c r="IH260" t="s">
        <v>123</v>
      </c>
      <c r="II260" t="s">
        <v>156</v>
      </c>
    </row>
    <row r="261" spans="1:243" x14ac:dyDescent="0.25">
      <c r="A261" s="201" t="str">
        <f>HYPERLINK("http://www.ofsted.gov.uk/inspection-reports/find-inspection-report/provider/ELS/142832 ","Ofsted School Webpage")</f>
        <v>Ofsted School Webpage</v>
      </c>
      <c r="B261">
        <v>142832</v>
      </c>
      <c r="C261">
        <v>3046003</v>
      </c>
      <c r="D261" t="s">
        <v>2083</v>
      </c>
      <c r="E261" t="s">
        <v>36</v>
      </c>
      <c r="F261" t="s">
        <v>166</v>
      </c>
      <c r="G261" t="s">
        <v>189</v>
      </c>
      <c r="H261" t="s">
        <v>189</v>
      </c>
      <c r="I261" t="s">
        <v>702</v>
      </c>
      <c r="J261" t="s">
        <v>2084</v>
      </c>
      <c r="K261" t="s">
        <v>142</v>
      </c>
      <c r="L261" t="s">
        <v>169</v>
      </c>
      <c r="M261" t="s">
        <v>2596</v>
      </c>
      <c r="N261" t="s">
        <v>143</v>
      </c>
      <c r="O261">
        <v>10041406</v>
      </c>
      <c r="P261" s="108">
        <v>43116</v>
      </c>
      <c r="Q261" s="108">
        <v>43118</v>
      </c>
      <c r="R261" s="108">
        <v>43146</v>
      </c>
      <c r="S261" t="s">
        <v>206</v>
      </c>
      <c r="T261" t="s">
        <v>154</v>
      </c>
      <c r="U261">
        <v>3</v>
      </c>
      <c r="V261">
        <v>3</v>
      </c>
      <c r="W261">
        <v>3</v>
      </c>
      <c r="X261">
        <v>3</v>
      </c>
      <c r="Y261">
        <v>3</v>
      </c>
      <c r="Z261" t="s">
        <v>2596</v>
      </c>
      <c r="AA261" t="s">
        <v>2596</v>
      </c>
      <c r="AB261" t="s">
        <v>123</v>
      </c>
      <c r="AC261" t="s">
        <v>2596</v>
      </c>
      <c r="AD261" t="s">
        <v>2598</v>
      </c>
      <c r="AE261" t="s">
        <v>57</v>
      </c>
      <c r="AF261" t="s">
        <v>57</v>
      </c>
      <c r="AG261" t="s">
        <v>57</v>
      </c>
      <c r="AH261" t="s">
        <v>57</v>
      </c>
      <c r="AI261" t="s">
        <v>57</v>
      </c>
      <c r="AJ261" t="s">
        <v>57</v>
      </c>
      <c r="AK261" t="s">
        <v>57</v>
      </c>
      <c r="AL261" t="s">
        <v>57</v>
      </c>
      <c r="AM261" t="s">
        <v>57</v>
      </c>
      <c r="AN261" t="s">
        <v>57</v>
      </c>
      <c r="AO261" t="s">
        <v>57</v>
      </c>
      <c r="AP261" t="s">
        <v>57</v>
      </c>
      <c r="AQ261" t="s">
        <v>57</v>
      </c>
      <c r="AR261" t="s">
        <v>57</v>
      </c>
      <c r="AS261" t="s">
        <v>57</v>
      </c>
      <c r="AT261" t="s">
        <v>57</v>
      </c>
      <c r="AU261" t="s">
        <v>175</v>
      </c>
      <c r="AV261" t="s">
        <v>57</v>
      </c>
      <c r="AW261" t="s">
        <v>57</v>
      </c>
      <c r="AX261" t="s">
        <v>57</v>
      </c>
      <c r="AY261" t="s">
        <v>57</v>
      </c>
      <c r="AZ261" t="s">
        <v>57</v>
      </c>
      <c r="BA261" t="s">
        <v>57</v>
      </c>
      <c r="BB261" t="s">
        <v>57</v>
      </c>
      <c r="BC261" t="s">
        <v>175</v>
      </c>
      <c r="BD261" t="s">
        <v>175</v>
      </c>
      <c r="BE261" t="s">
        <v>57</v>
      </c>
      <c r="BF261" t="s">
        <v>57</v>
      </c>
      <c r="BG261" t="s">
        <v>57</v>
      </c>
      <c r="BH261" t="s">
        <v>57</v>
      </c>
      <c r="BI261" t="s">
        <v>57</v>
      </c>
      <c r="BJ261" t="s">
        <v>57</v>
      </c>
      <c r="BK261" t="s">
        <v>57</v>
      </c>
      <c r="BL261" t="s">
        <v>57</v>
      </c>
      <c r="BM261" t="s">
        <v>57</v>
      </c>
      <c r="BN261" t="s">
        <v>57</v>
      </c>
      <c r="BO261" t="s">
        <v>57</v>
      </c>
      <c r="BP261" t="s">
        <v>57</v>
      </c>
      <c r="BQ261" t="s">
        <v>57</v>
      </c>
      <c r="BR261" t="s">
        <v>57</v>
      </c>
      <c r="BS261" t="s">
        <v>57</v>
      </c>
      <c r="BT261" t="s">
        <v>57</v>
      </c>
      <c r="BU261" t="s">
        <v>57</v>
      </c>
      <c r="BV261" t="s">
        <v>57</v>
      </c>
      <c r="BW261" t="s">
        <v>57</v>
      </c>
      <c r="BX261" t="s">
        <v>57</v>
      </c>
      <c r="BY261" t="s">
        <v>57</v>
      </c>
      <c r="BZ261" t="s">
        <v>57</v>
      </c>
      <c r="CA261" t="s">
        <v>57</v>
      </c>
      <c r="CB261" t="s">
        <v>57</v>
      </c>
      <c r="CC261" t="s">
        <v>57</v>
      </c>
      <c r="CD261" t="s">
        <v>57</v>
      </c>
      <c r="CE261" t="s">
        <v>57</v>
      </c>
      <c r="CF261" t="s">
        <v>57</v>
      </c>
      <c r="CG261" t="s">
        <v>57</v>
      </c>
      <c r="CH261" t="s">
        <v>57</v>
      </c>
      <c r="CI261" t="s">
        <v>57</v>
      </c>
      <c r="CJ261" t="s">
        <v>57</v>
      </c>
      <c r="CK261" t="s">
        <v>175</v>
      </c>
      <c r="CL261" t="s">
        <v>175</v>
      </c>
      <c r="CM261" t="s">
        <v>175</v>
      </c>
      <c r="CN261" t="s">
        <v>57</v>
      </c>
      <c r="CO261" t="s">
        <v>57</v>
      </c>
      <c r="CP261" t="s">
        <v>57</v>
      </c>
      <c r="CQ261" t="s">
        <v>57</v>
      </c>
      <c r="CR261" t="s">
        <v>57</v>
      </c>
      <c r="CS261" t="s">
        <v>57</v>
      </c>
      <c r="CT261" t="s">
        <v>57</v>
      </c>
      <c r="CU261" t="s">
        <v>57</v>
      </c>
      <c r="CV261" t="s">
        <v>57</v>
      </c>
      <c r="CW261" t="s">
        <v>57</v>
      </c>
      <c r="CX261" t="s">
        <v>57</v>
      </c>
      <c r="CY261" t="s">
        <v>57</v>
      </c>
      <c r="CZ261" t="s">
        <v>57</v>
      </c>
      <c r="DA261" t="s">
        <v>57</v>
      </c>
      <c r="DB261" t="s">
        <v>57</v>
      </c>
      <c r="DC261" t="s">
        <v>57</v>
      </c>
      <c r="DD261" t="s">
        <v>57</v>
      </c>
      <c r="DE261" t="s">
        <v>57</v>
      </c>
      <c r="DF261" t="s">
        <v>57</v>
      </c>
      <c r="DG261" t="s">
        <v>57</v>
      </c>
      <c r="DH261" t="s">
        <v>57</v>
      </c>
      <c r="DI261" t="s">
        <v>57</v>
      </c>
      <c r="DJ261" t="s">
        <v>57</v>
      </c>
      <c r="DK261" t="s">
        <v>175</v>
      </c>
      <c r="DL261" t="s">
        <v>57</v>
      </c>
      <c r="DM261" t="s">
        <v>57</v>
      </c>
      <c r="DN261" t="s">
        <v>57</v>
      </c>
      <c r="DO261" t="s">
        <v>57</v>
      </c>
      <c r="DP261" t="s">
        <v>57</v>
      </c>
      <c r="DQ261" t="s">
        <v>57</v>
      </c>
      <c r="DR261" t="s">
        <v>57</v>
      </c>
      <c r="DS261" t="s">
        <v>57</v>
      </c>
      <c r="DT261" t="s">
        <v>57</v>
      </c>
      <c r="DU261" t="s">
        <v>57</v>
      </c>
      <c r="DV261" t="s">
        <v>57</v>
      </c>
      <c r="DW261" t="s">
        <v>57</v>
      </c>
      <c r="DX261" t="s">
        <v>57</v>
      </c>
      <c r="DY261" t="s">
        <v>175</v>
      </c>
      <c r="DZ261" t="s">
        <v>57</v>
      </c>
      <c r="EA261" t="s">
        <v>57</v>
      </c>
      <c r="EB261" t="s">
        <v>57</v>
      </c>
      <c r="EC261" t="s">
        <v>57</v>
      </c>
      <c r="ED261" t="s">
        <v>57</v>
      </c>
      <c r="EE261" t="s">
        <v>57</v>
      </c>
      <c r="EF261" t="s">
        <v>57</v>
      </c>
      <c r="EG261" t="s">
        <v>57</v>
      </c>
      <c r="EH261" t="s">
        <v>57</v>
      </c>
      <c r="EI261" t="s">
        <v>57</v>
      </c>
      <c r="EJ261" t="s">
        <v>57</v>
      </c>
      <c r="EK261" t="s">
        <v>57</v>
      </c>
      <c r="EL261" t="s">
        <v>57</v>
      </c>
      <c r="EM261" t="s">
        <v>57</v>
      </c>
      <c r="EN261" t="s">
        <v>57</v>
      </c>
      <c r="EO261" t="s">
        <v>57</v>
      </c>
      <c r="EP261" t="s">
        <v>57</v>
      </c>
      <c r="EQ261" t="s">
        <v>57</v>
      </c>
      <c r="ER261" t="s">
        <v>57</v>
      </c>
      <c r="ES261" t="s">
        <v>57</v>
      </c>
      <c r="ET261" t="s">
        <v>57</v>
      </c>
      <c r="EU261" t="s">
        <v>57</v>
      </c>
      <c r="EV261" t="s">
        <v>57</v>
      </c>
      <c r="EW261" t="s">
        <v>57</v>
      </c>
      <c r="EX261" t="s">
        <v>57</v>
      </c>
      <c r="EY261" t="s">
        <v>57</v>
      </c>
      <c r="EZ261" t="s">
        <v>57</v>
      </c>
      <c r="FA261" t="s">
        <v>57</v>
      </c>
      <c r="FB261" t="s">
        <v>57</v>
      </c>
      <c r="FC261" t="s">
        <v>57</v>
      </c>
      <c r="FD261" t="s">
        <v>57</v>
      </c>
      <c r="FE261" t="s">
        <v>57</v>
      </c>
      <c r="FF261" t="s">
        <v>57</v>
      </c>
      <c r="FG261" t="s">
        <v>57</v>
      </c>
      <c r="FH261" t="s">
        <v>57</v>
      </c>
      <c r="FI261" t="s">
        <v>57</v>
      </c>
      <c r="FJ261" t="s">
        <v>57</v>
      </c>
      <c r="FK261" t="s">
        <v>57</v>
      </c>
      <c r="FL261" t="s">
        <v>57</v>
      </c>
      <c r="FM261" t="s">
        <v>57</v>
      </c>
      <c r="FN261" t="s">
        <v>57</v>
      </c>
      <c r="FO261" t="s">
        <v>175</v>
      </c>
      <c r="FP261" t="s">
        <v>57</v>
      </c>
      <c r="FQ261" t="s">
        <v>57</v>
      </c>
      <c r="FR261" t="s">
        <v>57</v>
      </c>
      <c r="FS261" t="s">
        <v>57</v>
      </c>
      <c r="FT261" t="s">
        <v>57</v>
      </c>
      <c r="FU261" t="s">
        <v>57</v>
      </c>
      <c r="FV261" t="s">
        <v>57</v>
      </c>
      <c r="FW261" t="s">
        <v>57</v>
      </c>
      <c r="FX261" t="s">
        <v>57</v>
      </c>
      <c r="FY261" t="s">
        <v>57</v>
      </c>
      <c r="FZ261" t="s">
        <v>57</v>
      </c>
      <c r="GA261" t="s">
        <v>57</v>
      </c>
      <c r="GB261" t="s">
        <v>57</v>
      </c>
      <c r="GC261" t="s">
        <v>57</v>
      </c>
      <c r="GD261" t="s">
        <v>57</v>
      </c>
      <c r="GE261" t="s">
        <v>57</v>
      </c>
      <c r="GF261" t="s">
        <v>57</v>
      </c>
      <c r="GG261" t="s">
        <v>175</v>
      </c>
      <c r="GH261" t="s">
        <v>57</v>
      </c>
      <c r="GI261" t="s">
        <v>57</v>
      </c>
      <c r="GJ261" t="s">
        <v>57</v>
      </c>
      <c r="GK261" t="s">
        <v>57</v>
      </c>
      <c r="GL261" t="s">
        <v>57</v>
      </c>
      <c r="GM261" t="s">
        <v>57</v>
      </c>
      <c r="GN261" t="s">
        <v>57</v>
      </c>
      <c r="GO261" t="s">
        <v>57</v>
      </c>
      <c r="GP261" t="s">
        <v>57</v>
      </c>
      <c r="GQ261" t="s">
        <v>57</v>
      </c>
      <c r="GR261" t="s">
        <v>57</v>
      </c>
      <c r="GS261" t="s">
        <v>57</v>
      </c>
      <c r="GT261" t="s">
        <v>57</v>
      </c>
      <c r="GU261" t="s">
        <v>57</v>
      </c>
      <c r="GV261" t="s">
        <v>57</v>
      </c>
      <c r="GW261" t="s">
        <v>57</v>
      </c>
      <c r="GX261" t="s">
        <v>175</v>
      </c>
      <c r="GY261" t="s">
        <v>57</v>
      </c>
      <c r="GZ261" t="s">
        <v>57</v>
      </c>
      <c r="HA261" t="s">
        <v>57</v>
      </c>
      <c r="HB261" t="s">
        <v>57</v>
      </c>
      <c r="HC261" t="s">
        <v>57</v>
      </c>
      <c r="HD261" t="s">
        <v>57</v>
      </c>
      <c r="HE261" t="s">
        <v>57</v>
      </c>
      <c r="HF261" t="s">
        <v>57</v>
      </c>
      <c r="HG261" t="s">
        <v>57</v>
      </c>
      <c r="HH261" t="s">
        <v>57</v>
      </c>
      <c r="HI261" t="s">
        <v>57</v>
      </c>
      <c r="HJ261" t="s">
        <v>57</v>
      </c>
      <c r="HK261" t="s">
        <v>57</v>
      </c>
      <c r="HL261" t="s">
        <v>57</v>
      </c>
      <c r="HM261" t="s">
        <v>57</v>
      </c>
      <c r="HN261" t="s">
        <v>57</v>
      </c>
      <c r="HO261" t="s">
        <v>57</v>
      </c>
      <c r="HP261" t="s">
        <v>57</v>
      </c>
      <c r="HQ261" t="s">
        <v>57</v>
      </c>
      <c r="HR261" t="s">
        <v>57</v>
      </c>
      <c r="HS261" t="s">
        <v>57</v>
      </c>
      <c r="HT261" t="s">
        <v>57</v>
      </c>
      <c r="HU261" t="s">
        <v>57</v>
      </c>
      <c r="HV261" t="s">
        <v>57</v>
      </c>
      <c r="HW261" t="s">
        <v>57</v>
      </c>
      <c r="HX261" t="s">
        <v>57</v>
      </c>
      <c r="HY261" t="s">
        <v>57</v>
      </c>
      <c r="HZ261" t="s">
        <v>57</v>
      </c>
      <c r="IA261" t="s">
        <v>57</v>
      </c>
      <c r="IB261" t="s">
        <v>57</v>
      </c>
      <c r="IC261" t="s">
        <v>57</v>
      </c>
      <c r="ID261" t="s">
        <v>57</v>
      </c>
      <c r="IE261" t="s">
        <v>57</v>
      </c>
      <c r="IF261" t="s">
        <v>124</v>
      </c>
      <c r="IG261" t="s">
        <v>148</v>
      </c>
      <c r="IH261" t="s">
        <v>123</v>
      </c>
      <c r="II261" t="s">
        <v>156</v>
      </c>
    </row>
    <row r="262" spans="1:243" x14ac:dyDescent="0.25">
      <c r="A262" s="201" t="str">
        <f>HYPERLINK("http://www.ofsted.gov.uk/inspection-reports/find-inspection-report/provider/ELS/142930 ","Ofsted School Webpage")</f>
        <v>Ofsted School Webpage</v>
      </c>
      <c r="B262">
        <v>142930</v>
      </c>
      <c r="C262">
        <v>8926021</v>
      </c>
      <c r="D262" t="s">
        <v>2146</v>
      </c>
      <c r="E262" t="s">
        <v>36</v>
      </c>
      <c r="F262" t="s">
        <v>166</v>
      </c>
      <c r="G262" t="s">
        <v>171</v>
      </c>
      <c r="H262" t="s">
        <v>171</v>
      </c>
      <c r="I262" t="s">
        <v>244</v>
      </c>
      <c r="J262" t="s">
        <v>2147</v>
      </c>
      <c r="K262" t="s">
        <v>142</v>
      </c>
      <c r="L262" t="s">
        <v>142</v>
      </c>
      <c r="M262" t="s">
        <v>2596</v>
      </c>
      <c r="N262" t="s">
        <v>143</v>
      </c>
      <c r="O262">
        <v>10043805</v>
      </c>
      <c r="P262" s="108">
        <v>43130</v>
      </c>
      <c r="Q262" s="108">
        <v>43132</v>
      </c>
      <c r="R262" s="108">
        <v>43165</v>
      </c>
      <c r="S262" t="s">
        <v>206</v>
      </c>
      <c r="T262" t="s">
        <v>154</v>
      </c>
      <c r="U262">
        <v>2</v>
      </c>
      <c r="V262">
        <v>2</v>
      </c>
      <c r="W262">
        <v>2</v>
      </c>
      <c r="X262">
        <v>2</v>
      </c>
      <c r="Y262">
        <v>2</v>
      </c>
      <c r="Z262" t="s">
        <v>2596</v>
      </c>
      <c r="AA262" t="s">
        <v>2596</v>
      </c>
      <c r="AB262" t="s">
        <v>123</v>
      </c>
      <c r="AC262" t="s">
        <v>2596</v>
      </c>
      <c r="AD262" t="s">
        <v>2598</v>
      </c>
      <c r="AE262" t="s">
        <v>57</v>
      </c>
      <c r="AF262" t="s">
        <v>57</v>
      </c>
      <c r="AG262" t="s">
        <v>57</v>
      </c>
      <c r="AH262" t="s">
        <v>57</v>
      </c>
      <c r="AI262" t="s">
        <v>57</v>
      </c>
      <c r="AJ262" t="s">
        <v>57</v>
      </c>
      <c r="AK262" t="s">
        <v>57</v>
      </c>
      <c r="AL262" t="s">
        <v>57</v>
      </c>
      <c r="AM262" t="s">
        <v>57</v>
      </c>
      <c r="AN262" t="s">
        <v>57</v>
      </c>
      <c r="AO262" t="s">
        <v>57</v>
      </c>
      <c r="AP262" t="s">
        <v>57</v>
      </c>
      <c r="AQ262" t="s">
        <v>57</v>
      </c>
      <c r="AR262" t="s">
        <v>57</v>
      </c>
      <c r="AS262" t="s">
        <v>57</v>
      </c>
      <c r="AT262" t="s">
        <v>57</v>
      </c>
      <c r="AU262" t="s">
        <v>175</v>
      </c>
      <c r="AV262" t="s">
        <v>57</v>
      </c>
      <c r="AW262" t="s">
        <v>57</v>
      </c>
      <c r="AX262" t="s">
        <v>57</v>
      </c>
      <c r="AY262" t="s">
        <v>57</v>
      </c>
      <c r="AZ262" t="s">
        <v>57</v>
      </c>
      <c r="BA262" t="s">
        <v>57</v>
      </c>
      <c r="BB262" t="s">
        <v>57</v>
      </c>
      <c r="BC262" t="s">
        <v>175</v>
      </c>
      <c r="BD262" t="s">
        <v>175</v>
      </c>
      <c r="BE262" t="s">
        <v>57</v>
      </c>
      <c r="BF262" t="s">
        <v>57</v>
      </c>
      <c r="BG262" t="s">
        <v>57</v>
      </c>
      <c r="BH262" t="s">
        <v>57</v>
      </c>
      <c r="BI262" t="s">
        <v>57</v>
      </c>
      <c r="BJ262" t="s">
        <v>57</v>
      </c>
      <c r="BK262" t="s">
        <v>57</v>
      </c>
      <c r="BL262" t="s">
        <v>57</v>
      </c>
      <c r="BM262" t="s">
        <v>57</v>
      </c>
      <c r="BN262" t="s">
        <v>57</v>
      </c>
      <c r="BO262" t="s">
        <v>57</v>
      </c>
      <c r="BP262" t="s">
        <v>57</v>
      </c>
      <c r="BQ262" t="s">
        <v>57</v>
      </c>
      <c r="BR262" t="s">
        <v>57</v>
      </c>
      <c r="BS262" t="s">
        <v>57</v>
      </c>
      <c r="BT262" t="s">
        <v>57</v>
      </c>
      <c r="BU262" t="s">
        <v>57</v>
      </c>
      <c r="BV262" t="s">
        <v>57</v>
      </c>
      <c r="BW262" t="s">
        <v>57</v>
      </c>
      <c r="BX262" t="s">
        <v>57</v>
      </c>
      <c r="BY262" t="s">
        <v>57</v>
      </c>
      <c r="BZ262" t="s">
        <v>57</v>
      </c>
      <c r="CA262" t="s">
        <v>57</v>
      </c>
      <c r="CB262" t="s">
        <v>57</v>
      </c>
      <c r="CC262" t="s">
        <v>57</v>
      </c>
      <c r="CD262" t="s">
        <v>57</v>
      </c>
      <c r="CE262" t="s">
        <v>57</v>
      </c>
      <c r="CF262" t="s">
        <v>57</v>
      </c>
      <c r="CG262" t="s">
        <v>57</v>
      </c>
      <c r="CH262" t="s">
        <v>57</v>
      </c>
      <c r="CI262" t="s">
        <v>57</v>
      </c>
      <c r="CJ262" t="s">
        <v>57</v>
      </c>
      <c r="CK262" t="s">
        <v>175</v>
      </c>
      <c r="CL262" t="s">
        <v>175</v>
      </c>
      <c r="CM262" t="s">
        <v>175</v>
      </c>
      <c r="CN262" t="s">
        <v>57</v>
      </c>
      <c r="CO262" t="s">
        <v>57</v>
      </c>
      <c r="CP262" t="s">
        <v>57</v>
      </c>
      <c r="CQ262" t="s">
        <v>57</v>
      </c>
      <c r="CR262" t="s">
        <v>57</v>
      </c>
      <c r="CS262" t="s">
        <v>57</v>
      </c>
      <c r="CT262" t="s">
        <v>57</v>
      </c>
      <c r="CU262" t="s">
        <v>57</v>
      </c>
      <c r="CV262" t="s">
        <v>57</v>
      </c>
      <c r="CW262" t="s">
        <v>57</v>
      </c>
      <c r="CX262" t="s">
        <v>57</v>
      </c>
      <c r="CY262" t="s">
        <v>57</v>
      </c>
      <c r="CZ262" t="s">
        <v>57</v>
      </c>
      <c r="DA262" t="s">
        <v>57</v>
      </c>
      <c r="DB262" t="s">
        <v>57</v>
      </c>
      <c r="DC262" t="s">
        <v>57</v>
      </c>
      <c r="DD262" t="s">
        <v>57</v>
      </c>
      <c r="DE262" t="s">
        <v>57</v>
      </c>
      <c r="DF262" t="s">
        <v>57</v>
      </c>
      <c r="DG262" t="s">
        <v>57</v>
      </c>
      <c r="DH262" t="s">
        <v>57</v>
      </c>
      <c r="DI262" t="s">
        <v>57</v>
      </c>
      <c r="DJ262" t="s">
        <v>57</v>
      </c>
      <c r="DK262" t="s">
        <v>175</v>
      </c>
      <c r="DL262" t="s">
        <v>57</v>
      </c>
      <c r="DM262" t="s">
        <v>175</v>
      </c>
      <c r="DN262" t="s">
        <v>175</v>
      </c>
      <c r="DO262" t="s">
        <v>175</v>
      </c>
      <c r="DP262" t="s">
        <v>175</v>
      </c>
      <c r="DQ262" t="s">
        <v>175</v>
      </c>
      <c r="DR262" t="s">
        <v>175</v>
      </c>
      <c r="DS262" t="s">
        <v>175</v>
      </c>
      <c r="DT262" t="s">
        <v>175</v>
      </c>
      <c r="DU262" t="s">
        <v>175</v>
      </c>
      <c r="DV262" t="s">
        <v>175</v>
      </c>
      <c r="DW262" t="s">
        <v>175</v>
      </c>
      <c r="DX262" t="s">
        <v>175</v>
      </c>
      <c r="DY262" t="s">
        <v>175</v>
      </c>
      <c r="DZ262" t="s">
        <v>175</v>
      </c>
      <c r="EA262" t="s">
        <v>57</v>
      </c>
      <c r="EB262" t="s">
        <v>57</v>
      </c>
      <c r="EC262" t="s">
        <v>57</v>
      </c>
      <c r="ED262" t="s">
        <v>57</v>
      </c>
      <c r="EE262" t="s">
        <v>57</v>
      </c>
      <c r="EF262" t="s">
        <v>57</v>
      </c>
      <c r="EG262" t="s">
        <v>57</v>
      </c>
      <c r="EH262" t="s">
        <v>57</v>
      </c>
      <c r="EI262" t="s">
        <v>57</v>
      </c>
      <c r="EJ262" t="s">
        <v>57</v>
      </c>
      <c r="EK262" t="s">
        <v>57</v>
      </c>
      <c r="EL262" t="s">
        <v>57</v>
      </c>
      <c r="EM262" t="s">
        <v>57</v>
      </c>
      <c r="EN262" t="s">
        <v>57</v>
      </c>
      <c r="EO262" t="s">
        <v>57</v>
      </c>
      <c r="EP262" t="s">
        <v>57</v>
      </c>
      <c r="EQ262" t="s">
        <v>57</v>
      </c>
      <c r="ER262" t="s">
        <v>57</v>
      </c>
      <c r="ES262" t="s">
        <v>57</v>
      </c>
      <c r="ET262" t="s">
        <v>57</v>
      </c>
      <c r="EU262" t="s">
        <v>57</v>
      </c>
      <c r="EV262" t="s">
        <v>57</v>
      </c>
      <c r="EW262" t="s">
        <v>175</v>
      </c>
      <c r="EX262" t="s">
        <v>175</v>
      </c>
      <c r="EY262" t="s">
        <v>175</v>
      </c>
      <c r="EZ262" t="s">
        <v>175</v>
      </c>
      <c r="FA262" t="s">
        <v>175</v>
      </c>
      <c r="FB262" t="s">
        <v>175</v>
      </c>
      <c r="FC262" t="s">
        <v>175</v>
      </c>
      <c r="FD262" t="s">
        <v>57</v>
      </c>
      <c r="FE262" t="s">
        <v>175</v>
      </c>
      <c r="FF262" t="s">
        <v>148</v>
      </c>
      <c r="FG262" t="s">
        <v>175</v>
      </c>
      <c r="FH262" t="s">
        <v>57</v>
      </c>
      <c r="FI262" t="s">
        <v>57</v>
      </c>
      <c r="FJ262" t="s">
        <v>57</v>
      </c>
      <c r="FK262" t="s">
        <v>57</v>
      </c>
      <c r="FL262" t="s">
        <v>57</v>
      </c>
      <c r="FM262" t="s">
        <v>57</v>
      </c>
      <c r="FN262" t="s">
        <v>57</v>
      </c>
      <c r="FO262" t="s">
        <v>175</v>
      </c>
      <c r="FP262" t="s">
        <v>57</v>
      </c>
      <c r="FQ262" t="s">
        <v>57</v>
      </c>
      <c r="FR262" t="s">
        <v>57</v>
      </c>
      <c r="FS262" t="s">
        <v>57</v>
      </c>
      <c r="FT262" t="s">
        <v>57</v>
      </c>
      <c r="FU262" t="s">
        <v>57</v>
      </c>
      <c r="FV262" t="s">
        <v>57</v>
      </c>
      <c r="FW262" t="s">
        <v>57</v>
      </c>
      <c r="FX262" t="s">
        <v>57</v>
      </c>
      <c r="FY262" t="s">
        <v>57</v>
      </c>
      <c r="FZ262" t="s">
        <v>57</v>
      </c>
      <c r="GA262" t="s">
        <v>57</v>
      </c>
      <c r="GB262" t="s">
        <v>57</v>
      </c>
      <c r="GC262" t="s">
        <v>57</v>
      </c>
      <c r="GD262" t="s">
        <v>57</v>
      </c>
      <c r="GE262" t="s">
        <v>57</v>
      </c>
      <c r="GF262" t="s">
        <v>57</v>
      </c>
      <c r="GG262" t="s">
        <v>175</v>
      </c>
      <c r="GH262" t="s">
        <v>57</v>
      </c>
      <c r="GI262" t="s">
        <v>57</v>
      </c>
      <c r="GJ262" t="s">
        <v>57</v>
      </c>
      <c r="GK262" t="s">
        <v>57</v>
      </c>
      <c r="GL262" t="s">
        <v>57</v>
      </c>
      <c r="GM262" t="s">
        <v>175</v>
      </c>
      <c r="GN262" t="s">
        <v>57</v>
      </c>
      <c r="GO262" t="s">
        <v>57</v>
      </c>
      <c r="GP262" t="s">
        <v>57</v>
      </c>
      <c r="GQ262" t="s">
        <v>57</v>
      </c>
      <c r="GR262" t="s">
        <v>57</v>
      </c>
      <c r="GS262" t="s">
        <v>57</v>
      </c>
      <c r="GT262" t="s">
        <v>57</v>
      </c>
      <c r="GU262" t="s">
        <v>57</v>
      </c>
      <c r="GV262" t="s">
        <v>175</v>
      </c>
      <c r="GW262" t="s">
        <v>57</v>
      </c>
      <c r="GX262" t="s">
        <v>175</v>
      </c>
      <c r="GY262" t="s">
        <v>57</v>
      </c>
      <c r="GZ262" t="s">
        <v>57</v>
      </c>
      <c r="HA262" t="s">
        <v>57</v>
      </c>
      <c r="HB262" t="s">
        <v>57</v>
      </c>
      <c r="HC262" t="s">
        <v>57</v>
      </c>
      <c r="HD262" t="s">
        <v>57</v>
      </c>
      <c r="HE262" t="s">
        <v>57</v>
      </c>
      <c r="HF262" t="s">
        <v>57</v>
      </c>
      <c r="HG262" t="s">
        <v>57</v>
      </c>
      <c r="HH262" t="s">
        <v>175</v>
      </c>
      <c r="HI262" t="s">
        <v>175</v>
      </c>
      <c r="HJ262" t="s">
        <v>175</v>
      </c>
      <c r="HK262" t="s">
        <v>175</v>
      </c>
      <c r="HL262" t="s">
        <v>57</v>
      </c>
      <c r="HM262" t="s">
        <v>57</v>
      </c>
      <c r="HN262" t="s">
        <v>57</v>
      </c>
      <c r="HO262" t="s">
        <v>57</v>
      </c>
      <c r="HP262" t="s">
        <v>57</v>
      </c>
      <c r="HQ262" t="s">
        <v>57</v>
      </c>
      <c r="HR262" t="s">
        <v>57</v>
      </c>
      <c r="HS262" t="s">
        <v>57</v>
      </c>
      <c r="HT262" t="s">
        <v>57</v>
      </c>
      <c r="HU262" t="s">
        <v>57</v>
      </c>
      <c r="HV262" t="s">
        <v>57</v>
      </c>
      <c r="HW262" t="s">
        <v>57</v>
      </c>
      <c r="HX262" t="s">
        <v>57</v>
      </c>
      <c r="HY262" t="s">
        <v>57</v>
      </c>
      <c r="HZ262" t="s">
        <v>57</v>
      </c>
      <c r="IA262" t="s">
        <v>57</v>
      </c>
      <c r="IB262" t="s">
        <v>57</v>
      </c>
      <c r="IC262" t="s">
        <v>57</v>
      </c>
      <c r="ID262" t="s">
        <v>57</v>
      </c>
      <c r="IE262" t="s">
        <v>57</v>
      </c>
      <c r="IF262" t="s">
        <v>124</v>
      </c>
      <c r="IG262" t="s">
        <v>148</v>
      </c>
      <c r="IH262" t="s">
        <v>123</v>
      </c>
      <c r="II262" t="s">
        <v>156</v>
      </c>
    </row>
    <row r="263" spans="1:243" x14ac:dyDescent="0.25">
      <c r="A263" s="201" t="str">
        <f>HYPERLINK("http://www.ofsted.gov.uk/inspection-reports/find-inspection-report/provider/ELS/142939 ","Ofsted School Webpage")</f>
        <v>Ofsted School Webpage</v>
      </c>
      <c r="B263">
        <v>142939</v>
      </c>
      <c r="C263">
        <v>8556038</v>
      </c>
      <c r="D263" t="s">
        <v>2150</v>
      </c>
      <c r="E263" t="s">
        <v>36</v>
      </c>
      <c r="F263" t="s">
        <v>166</v>
      </c>
      <c r="G263" t="s">
        <v>171</v>
      </c>
      <c r="H263" t="s">
        <v>171</v>
      </c>
      <c r="I263" t="s">
        <v>238</v>
      </c>
      <c r="J263" t="s">
        <v>2151</v>
      </c>
      <c r="K263" t="s">
        <v>142</v>
      </c>
      <c r="L263" t="s">
        <v>142</v>
      </c>
      <c r="M263" t="s">
        <v>2596</v>
      </c>
      <c r="N263" t="s">
        <v>143</v>
      </c>
      <c r="O263">
        <v>10039198</v>
      </c>
      <c r="P263" s="108">
        <v>43116</v>
      </c>
      <c r="Q263" s="108">
        <v>43118</v>
      </c>
      <c r="R263" s="108">
        <v>43143</v>
      </c>
      <c r="S263" t="s">
        <v>206</v>
      </c>
      <c r="T263" t="s">
        <v>154</v>
      </c>
      <c r="U263">
        <v>2</v>
      </c>
      <c r="V263">
        <v>2</v>
      </c>
      <c r="W263">
        <v>2</v>
      </c>
      <c r="X263">
        <v>2</v>
      </c>
      <c r="Y263">
        <v>2</v>
      </c>
      <c r="Z263" t="s">
        <v>2596</v>
      </c>
      <c r="AA263" t="s">
        <v>2596</v>
      </c>
      <c r="AB263" t="s">
        <v>123</v>
      </c>
      <c r="AC263" t="s">
        <v>2596</v>
      </c>
      <c r="AD263" t="s">
        <v>2598</v>
      </c>
      <c r="AE263" t="s">
        <v>57</v>
      </c>
      <c r="AF263" t="s">
        <v>57</v>
      </c>
      <c r="AG263" t="s">
        <v>57</v>
      </c>
      <c r="AH263" t="s">
        <v>57</v>
      </c>
      <c r="AI263" t="s">
        <v>57</v>
      </c>
      <c r="AJ263" t="s">
        <v>57</v>
      </c>
      <c r="AK263" t="s">
        <v>57</v>
      </c>
      <c r="AL263" t="s">
        <v>57</v>
      </c>
      <c r="AM263" t="s">
        <v>57</v>
      </c>
      <c r="AN263" t="s">
        <v>57</v>
      </c>
      <c r="AO263" t="s">
        <v>57</v>
      </c>
      <c r="AP263" t="s">
        <v>57</v>
      </c>
      <c r="AQ263" t="s">
        <v>57</v>
      </c>
      <c r="AR263" t="s">
        <v>57</v>
      </c>
      <c r="AS263" t="s">
        <v>57</v>
      </c>
      <c r="AT263" t="s">
        <v>57</v>
      </c>
      <c r="AU263" t="s">
        <v>175</v>
      </c>
      <c r="AV263" t="s">
        <v>57</v>
      </c>
      <c r="AW263" t="s">
        <v>57</v>
      </c>
      <c r="AX263" t="s">
        <v>57</v>
      </c>
      <c r="AY263" t="s">
        <v>57</v>
      </c>
      <c r="AZ263" t="s">
        <v>57</v>
      </c>
      <c r="BA263" t="s">
        <v>57</v>
      </c>
      <c r="BB263" t="s">
        <v>57</v>
      </c>
      <c r="BC263" t="s">
        <v>175</v>
      </c>
      <c r="BD263" t="s">
        <v>175</v>
      </c>
      <c r="BE263" t="s">
        <v>57</v>
      </c>
      <c r="BF263" t="s">
        <v>57</v>
      </c>
      <c r="BG263" t="s">
        <v>57</v>
      </c>
      <c r="BH263" t="s">
        <v>57</v>
      </c>
      <c r="BI263" t="s">
        <v>57</v>
      </c>
      <c r="BJ263" t="s">
        <v>57</v>
      </c>
      <c r="BK263" t="s">
        <v>57</v>
      </c>
      <c r="BL263" t="s">
        <v>57</v>
      </c>
      <c r="BM263" t="s">
        <v>57</v>
      </c>
      <c r="BN263" t="s">
        <v>57</v>
      </c>
      <c r="BO263" t="s">
        <v>57</v>
      </c>
      <c r="BP263" t="s">
        <v>57</v>
      </c>
      <c r="BQ263" t="s">
        <v>57</v>
      </c>
      <c r="BR263" t="s">
        <v>57</v>
      </c>
      <c r="BS263" t="s">
        <v>57</v>
      </c>
      <c r="BT263" t="s">
        <v>57</v>
      </c>
      <c r="BU263" t="s">
        <v>57</v>
      </c>
      <c r="BV263" t="s">
        <v>57</v>
      </c>
      <c r="BW263" t="s">
        <v>57</v>
      </c>
      <c r="BX263" t="s">
        <v>57</v>
      </c>
      <c r="BY263" t="s">
        <v>57</v>
      </c>
      <c r="BZ263" t="s">
        <v>57</v>
      </c>
      <c r="CA263" t="s">
        <v>57</v>
      </c>
      <c r="CB263" t="s">
        <v>57</v>
      </c>
      <c r="CC263" t="s">
        <v>57</v>
      </c>
      <c r="CD263" t="s">
        <v>57</v>
      </c>
      <c r="CE263" t="s">
        <v>57</v>
      </c>
      <c r="CF263" t="s">
        <v>57</v>
      </c>
      <c r="CG263" t="s">
        <v>57</v>
      </c>
      <c r="CH263" t="s">
        <v>57</v>
      </c>
      <c r="CI263" t="s">
        <v>57</v>
      </c>
      <c r="CJ263" t="s">
        <v>57</v>
      </c>
      <c r="CK263" t="s">
        <v>175</v>
      </c>
      <c r="CL263" t="s">
        <v>175</v>
      </c>
      <c r="CM263" t="s">
        <v>175</v>
      </c>
      <c r="CN263" t="s">
        <v>57</v>
      </c>
      <c r="CO263" t="s">
        <v>57</v>
      </c>
      <c r="CP263" t="s">
        <v>57</v>
      </c>
      <c r="CQ263" t="s">
        <v>57</v>
      </c>
      <c r="CR263" t="s">
        <v>57</v>
      </c>
      <c r="CS263" t="s">
        <v>57</v>
      </c>
      <c r="CT263" t="s">
        <v>57</v>
      </c>
      <c r="CU263" t="s">
        <v>57</v>
      </c>
      <c r="CV263" t="s">
        <v>57</v>
      </c>
      <c r="CW263" t="s">
        <v>57</v>
      </c>
      <c r="CX263" t="s">
        <v>57</v>
      </c>
      <c r="CY263" t="s">
        <v>57</v>
      </c>
      <c r="CZ263" t="s">
        <v>57</v>
      </c>
      <c r="DA263" t="s">
        <v>57</v>
      </c>
      <c r="DB263" t="s">
        <v>57</v>
      </c>
      <c r="DC263" t="s">
        <v>57</v>
      </c>
      <c r="DD263" t="s">
        <v>57</v>
      </c>
      <c r="DE263" t="s">
        <v>57</v>
      </c>
      <c r="DF263" t="s">
        <v>57</v>
      </c>
      <c r="DG263" t="s">
        <v>57</v>
      </c>
      <c r="DH263" t="s">
        <v>57</v>
      </c>
      <c r="DI263" t="s">
        <v>57</v>
      </c>
      <c r="DJ263" t="s">
        <v>57</v>
      </c>
      <c r="DK263" t="s">
        <v>175</v>
      </c>
      <c r="DL263" t="s">
        <v>57</v>
      </c>
      <c r="DM263" t="s">
        <v>175</v>
      </c>
      <c r="DN263" t="s">
        <v>175</v>
      </c>
      <c r="DO263" t="s">
        <v>175</v>
      </c>
      <c r="DP263" t="s">
        <v>175</v>
      </c>
      <c r="DQ263" t="s">
        <v>175</v>
      </c>
      <c r="DR263" t="s">
        <v>175</v>
      </c>
      <c r="DS263" t="s">
        <v>175</v>
      </c>
      <c r="DT263" t="s">
        <v>175</v>
      </c>
      <c r="DU263" t="s">
        <v>175</v>
      </c>
      <c r="DV263" t="s">
        <v>175</v>
      </c>
      <c r="DW263" t="s">
        <v>175</v>
      </c>
      <c r="DX263" t="s">
        <v>175</v>
      </c>
      <c r="DY263" t="s">
        <v>175</v>
      </c>
      <c r="DZ263" t="s">
        <v>175</v>
      </c>
      <c r="EA263" t="s">
        <v>57</v>
      </c>
      <c r="EB263" t="s">
        <v>57</v>
      </c>
      <c r="EC263" t="s">
        <v>57</v>
      </c>
      <c r="ED263" t="s">
        <v>57</v>
      </c>
      <c r="EE263" t="s">
        <v>57</v>
      </c>
      <c r="EF263" t="s">
        <v>57</v>
      </c>
      <c r="EG263" t="s">
        <v>57</v>
      </c>
      <c r="EH263" t="s">
        <v>57</v>
      </c>
      <c r="EI263" t="s">
        <v>175</v>
      </c>
      <c r="EJ263" t="s">
        <v>57</v>
      </c>
      <c r="EK263" t="s">
        <v>57</v>
      </c>
      <c r="EL263" t="s">
        <v>57</v>
      </c>
      <c r="EM263" t="s">
        <v>57</v>
      </c>
      <c r="EN263" t="s">
        <v>57</v>
      </c>
      <c r="EO263" t="s">
        <v>57</v>
      </c>
      <c r="EP263" t="s">
        <v>57</v>
      </c>
      <c r="EQ263" t="s">
        <v>57</v>
      </c>
      <c r="ER263" t="s">
        <v>57</v>
      </c>
      <c r="ES263" t="s">
        <v>57</v>
      </c>
      <c r="ET263" t="s">
        <v>57</v>
      </c>
      <c r="EU263" t="s">
        <v>57</v>
      </c>
      <c r="EV263" t="s">
        <v>57</v>
      </c>
      <c r="EW263" t="s">
        <v>175</v>
      </c>
      <c r="EX263" t="s">
        <v>175</v>
      </c>
      <c r="EY263" t="s">
        <v>175</v>
      </c>
      <c r="EZ263" t="s">
        <v>175</v>
      </c>
      <c r="FA263" t="s">
        <v>175</v>
      </c>
      <c r="FB263" t="s">
        <v>175</v>
      </c>
      <c r="FC263" t="s">
        <v>175</v>
      </c>
      <c r="FD263" t="s">
        <v>57</v>
      </c>
      <c r="FE263" t="s">
        <v>175</v>
      </c>
      <c r="FF263" t="s">
        <v>148</v>
      </c>
      <c r="FG263" t="s">
        <v>175</v>
      </c>
      <c r="FH263" t="s">
        <v>57</v>
      </c>
      <c r="FI263" t="s">
        <v>57</v>
      </c>
      <c r="FJ263" t="s">
        <v>57</v>
      </c>
      <c r="FK263" t="s">
        <v>57</v>
      </c>
      <c r="FL263" t="s">
        <v>57</v>
      </c>
      <c r="FM263" t="s">
        <v>57</v>
      </c>
      <c r="FN263" t="s">
        <v>57</v>
      </c>
      <c r="FO263" t="s">
        <v>175</v>
      </c>
      <c r="FP263" t="s">
        <v>57</v>
      </c>
      <c r="FQ263" t="s">
        <v>57</v>
      </c>
      <c r="FR263" t="s">
        <v>57</v>
      </c>
      <c r="FS263" t="s">
        <v>57</v>
      </c>
      <c r="FT263" t="s">
        <v>57</v>
      </c>
      <c r="FU263" t="s">
        <v>57</v>
      </c>
      <c r="FV263" t="s">
        <v>57</v>
      </c>
      <c r="FW263" t="s">
        <v>57</v>
      </c>
      <c r="FX263" t="s">
        <v>57</v>
      </c>
      <c r="FY263" t="s">
        <v>57</v>
      </c>
      <c r="FZ263" t="s">
        <v>57</v>
      </c>
      <c r="GA263" t="s">
        <v>57</v>
      </c>
      <c r="GB263" t="s">
        <v>57</v>
      </c>
      <c r="GC263" t="s">
        <v>57</v>
      </c>
      <c r="GD263" t="s">
        <v>57</v>
      </c>
      <c r="GE263" t="s">
        <v>57</v>
      </c>
      <c r="GF263" t="s">
        <v>57</v>
      </c>
      <c r="GG263" t="s">
        <v>175</v>
      </c>
      <c r="GH263" t="s">
        <v>57</v>
      </c>
      <c r="GI263" t="s">
        <v>57</v>
      </c>
      <c r="GJ263" t="s">
        <v>57</v>
      </c>
      <c r="GK263" t="s">
        <v>57</v>
      </c>
      <c r="GL263" t="s">
        <v>175</v>
      </c>
      <c r="GM263" t="s">
        <v>175</v>
      </c>
      <c r="GN263" t="s">
        <v>57</v>
      </c>
      <c r="GO263" t="s">
        <v>57</v>
      </c>
      <c r="GP263" t="s">
        <v>57</v>
      </c>
      <c r="GQ263" t="s">
        <v>57</v>
      </c>
      <c r="GR263" t="s">
        <v>175</v>
      </c>
      <c r="GS263" t="s">
        <v>57</v>
      </c>
      <c r="GT263" t="s">
        <v>57</v>
      </c>
      <c r="GU263" t="s">
        <v>57</v>
      </c>
      <c r="GV263" t="s">
        <v>57</v>
      </c>
      <c r="GW263" t="s">
        <v>57</v>
      </c>
      <c r="GX263" t="s">
        <v>57</v>
      </c>
      <c r="GY263" t="s">
        <v>57</v>
      </c>
      <c r="GZ263" t="s">
        <v>57</v>
      </c>
      <c r="HA263" t="s">
        <v>57</v>
      </c>
      <c r="HB263" t="s">
        <v>57</v>
      </c>
      <c r="HC263" t="s">
        <v>57</v>
      </c>
      <c r="HD263" t="s">
        <v>57</v>
      </c>
      <c r="HE263" t="s">
        <v>57</v>
      </c>
      <c r="HF263" t="s">
        <v>57</v>
      </c>
      <c r="HG263" t="s">
        <v>57</v>
      </c>
      <c r="HH263" t="s">
        <v>175</v>
      </c>
      <c r="HI263" t="s">
        <v>175</v>
      </c>
      <c r="HJ263" t="s">
        <v>175</v>
      </c>
      <c r="HK263" t="s">
        <v>175</v>
      </c>
      <c r="HL263" t="s">
        <v>57</v>
      </c>
      <c r="HM263" t="s">
        <v>57</v>
      </c>
      <c r="HN263" t="s">
        <v>57</v>
      </c>
      <c r="HO263" t="s">
        <v>57</v>
      </c>
      <c r="HP263" t="s">
        <v>57</v>
      </c>
      <c r="HQ263" t="s">
        <v>57</v>
      </c>
      <c r="HR263" t="s">
        <v>57</v>
      </c>
      <c r="HS263" t="s">
        <v>57</v>
      </c>
      <c r="HT263" t="s">
        <v>57</v>
      </c>
      <c r="HU263" t="s">
        <v>57</v>
      </c>
      <c r="HV263" t="s">
        <v>57</v>
      </c>
      <c r="HW263" t="s">
        <v>57</v>
      </c>
      <c r="HX263" t="s">
        <v>57</v>
      </c>
      <c r="HY263" t="s">
        <v>57</v>
      </c>
      <c r="HZ263" t="s">
        <v>57</v>
      </c>
      <c r="IA263" t="s">
        <v>57</v>
      </c>
      <c r="IB263" t="s">
        <v>57</v>
      </c>
      <c r="IC263" t="s">
        <v>57</v>
      </c>
      <c r="ID263" t="s">
        <v>57</v>
      </c>
      <c r="IE263" t="s">
        <v>57</v>
      </c>
      <c r="IF263" t="s">
        <v>124</v>
      </c>
      <c r="IG263" t="s">
        <v>148</v>
      </c>
      <c r="IH263" t="s">
        <v>123</v>
      </c>
      <c r="II263" t="s">
        <v>156</v>
      </c>
    </row>
    <row r="264" spans="1:243" x14ac:dyDescent="0.25">
      <c r="A264" s="201" t="str">
        <f>HYPERLINK("http://www.ofsted.gov.uk/inspection-reports/find-inspection-report/provider/ELS/143018 ","Ofsted School Webpage")</f>
        <v>Ofsted School Webpage</v>
      </c>
      <c r="B264">
        <v>143018</v>
      </c>
      <c r="C264">
        <v>9166006</v>
      </c>
      <c r="D264" t="s">
        <v>2152</v>
      </c>
      <c r="E264" t="s">
        <v>36</v>
      </c>
      <c r="F264" t="s">
        <v>166</v>
      </c>
      <c r="G264" t="s">
        <v>182</v>
      </c>
      <c r="H264" t="s">
        <v>182</v>
      </c>
      <c r="I264" t="s">
        <v>222</v>
      </c>
      <c r="J264" t="s">
        <v>2153</v>
      </c>
      <c r="K264" t="s">
        <v>142</v>
      </c>
      <c r="L264" t="s">
        <v>142</v>
      </c>
      <c r="M264" t="s">
        <v>2596</v>
      </c>
      <c r="N264" t="s">
        <v>143</v>
      </c>
      <c r="O264">
        <v>10035559</v>
      </c>
      <c r="P264" s="108">
        <v>43067</v>
      </c>
      <c r="Q264" s="108">
        <v>43069</v>
      </c>
      <c r="R264" s="108">
        <v>43123</v>
      </c>
      <c r="S264" t="s">
        <v>206</v>
      </c>
      <c r="T264" t="s">
        <v>154</v>
      </c>
      <c r="U264">
        <v>4</v>
      </c>
      <c r="V264">
        <v>4</v>
      </c>
      <c r="W264">
        <v>4</v>
      </c>
      <c r="X264">
        <v>4</v>
      </c>
      <c r="Y264">
        <v>4</v>
      </c>
      <c r="Z264" t="s">
        <v>2596</v>
      </c>
      <c r="AA264" t="s">
        <v>2596</v>
      </c>
      <c r="AB264" t="s">
        <v>124</v>
      </c>
      <c r="AC264" t="s">
        <v>2596</v>
      </c>
      <c r="AD264" t="s">
        <v>2599</v>
      </c>
      <c r="AE264" t="s">
        <v>57</v>
      </c>
      <c r="AF264" t="s">
        <v>57</v>
      </c>
      <c r="AG264" t="s">
        <v>58</v>
      </c>
      <c r="AH264" t="s">
        <v>58</v>
      </c>
      <c r="AI264" t="s">
        <v>57</v>
      </c>
      <c r="AJ264" t="s">
        <v>57</v>
      </c>
      <c r="AK264" t="s">
        <v>57</v>
      </c>
      <c r="AL264" t="s">
        <v>58</v>
      </c>
      <c r="AM264" t="s">
        <v>57</v>
      </c>
      <c r="AN264" t="s">
        <v>57</v>
      </c>
      <c r="AO264" t="s">
        <v>57</v>
      </c>
      <c r="AP264" t="s">
        <v>57</v>
      </c>
      <c r="AQ264" t="s">
        <v>57</v>
      </c>
      <c r="AR264" t="s">
        <v>57</v>
      </c>
      <c r="AS264" t="s">
        <v>57</v>
      </c>
      <c r="AT264" t="s">
        <v>57</v>
      </c>
      <c r="AU264" t="s">
        <v>175</v>
      </c>
      <c r="AV264" t="s">
        <v>57</v>
      </c>
      <c r="AW264" t="s">
        <v>57</v>
      </c>
      <c r="AX264" t="s">
        <v>57</v>
      </c>
      <c r="AY264" t="s">
        <v>57</v>
      </c>
      <c r="AZ264" t="s">
        <v>57</v>
      </c>
      <c r="BA264" t="s">
        <v>57</v>
      </c>
      <c r="BB264" t="s">
        <v>57</v>
      </c>
      <c r="BC264" t="s">
        <v>175</v>
      </c>
      <c r="BD264" t="s">
        <v>175</v>
      </c>
      <c r="BE264" t="s">
        <v>57</v>
      </c>
      <c r="BF264" t="s">
        <v>57</v>
      </c>
      <c r="BG264" t="s">
        <v>58</v>
      </c>
      <c r="BH264" t="s">
        <v>58</v>
      </c>
      <c r="BI264" t="s">
        <v>58</v>
      </c>
      <c r="BJ264" t="s">
        <v>58</v>
      </c>
      <c r="BK264" t="s">
        <v>58</v>
      </c>
      <c r="BL264" t="s">
        <v>57</v>
      </c>
      <c r="BM264" t="s">
        <v>57</v>
      </c>
      <c r="BN264" t="s">
        <v>57</v>
      </c>
      <c r="BO264" t="s">
        <v>57</v>
      </c>
      <c r="BP264" t="s">
        <v>57</v>
      </c>
      <c r="BQ264" t="s">
        <v>57</v>
      </c>
      <c r="BR264" t="s">
        <v>57</v>
      </c>
      <c r="BS264" t="s">
        <v>57</v>
      </c>
      <c r="BT264" t="s">
        <v>57</v>
      </c>
      <c r="BU264" t="s">
        <v>57</v>
      </c>
      <c r="BV264" t="s">
        <v>57</v>
      </c>
      <c r="BW264" t="s">
        <v>57</v>
      </c>
      <c r="BX264" t="s">
        <v>57</v>
      </c>
      <c r="BY264" t="s">
        <v>57</v>
      </c>
      <c r="BZ264" t="s">
        <v>57</v>
      </c>
      <c r="CA264" t="s">
        <v>57</v>
      </c>
      <c r="CB264" t="s">
        <v>57</v>
      </c>
      <c r="CC264" t="s">
        <v>57</v>
      </c>
      <c r="CD264" t="s">
        <v>57</v>
      </c>
      <c r="CE264" t="s">
        <v>57</v>
      </c>
      <c r="CF264" t="s">
        <v>57</v>
      </c>
      <c r="CG264" t="s">
        <v>57</v>
      </c>
      <c r="CH264" t="s">
        <v>58</v>
      </c>
      <c r="CI264" t="s">
        <v>58</v>
      </c>
      <c r="CJ264" t="s">
        <v>58</v>
      </c>
      <c r="CK264" t="s">
        <v>175</v>
      </c>
      <c r="CL264" t="s">
        <v>175</v>
      </c>
      <c r="CM264" t="s">
        <v>175</v>
      </c>
      <c r="CN264" t="s">
        <v>57</v>
      </c>
      <c r="CO264" t="s">
        <v>57</v>
      </c>
      <c r="CP264" t="s">
        <v>57</v>
      </c>
      <c r="CQ264" t="s">
        <v>57</v>
      </c>
      <c r="CR264" t="s">
        <v>57</v>
      </c>
      <c r="CS264" t="s">
        <v>58</v>
      </c>
      <c r="CT264" t="s">
        <v>57</v>
      </c>
      <c r="CU264" t="s">
        <v>58</v>
      </c>
      <c r="CV264" t="s">
        <v>57</v>
      </c>
      <c r="CW264" t="s">
        <v>58</v>
      </c>
      <c r="CX264" t="s">
        <v>58</v>
      </c>
      <c r="CY264" t="s">
        <v>58</v>
      </c>
      <c r="CZ264" t="s">
        <v>58</v>
      </c>
      <c r="DA264" t="s">
        <v>58</v>
      </c>
      <c r="DB264" t="s">
        <v>57</v>
      </c>
      <c r="DC264" t="s">
        <v>57</v>
      </c>
      <c r="DD264" t="s">
        <v>57</v>
      </c>
      <c r="DE264" t="s">
        <v>57</v>
      </c>
      <c r="DF264" t="s">
        <v>57</v>
      </c>
      <c r="DG264" t="s">
        <v>57</v>
      </c>
      <c r="DH264" t="s">
        <v>57</v>
      </c>
      <c r="DI264" t="s">
        <v>57</v>
      </c>
      <c r="DJ264" t="s">
        <v>58</v>
      </c>
      <c r="DK264" t="s">
        <v>57</v>
      </c>
      <c r="DL264" t="s">
        <v>57</v>
      </c>
      <c r="DM264" t="s">
        <v>175</v>
      </c>
      <c r="DN264" t="s">
        <v>175</v>
      </c>
      <c r="DO264" t="s">
        <v>175</v>
      </c>
      <c r="DP264" t="s">
        <v>175</v>
      </c>
      <c r="DQ264" t="s">
        <v>175</v>
      </c>
      <c r="DR264" t="s">
        <v>175</v>
      </c>
      <c r="DS264" t="s">
        <v>175</v>
      </c>
      <c r="DT264" t="s">
        <v>175</v>
      </c>
      <c r="DU264" t="s">
        <v>175</v>
      </c>
      <c r="DV264" t="s">
        <v>175</v>
      </c>
      <c r="DW264" t="s">
        <v>175</v>
      </c>
      <c r="DX264" t="s">
        <v>175</v>
      </c>
      <c r="DY264" t="s">
        <v>175</v>
      </c>
      <c r="DZ264" t="s">
        <v>175</v>
      </c>
      <c r="EA264" t="s">
        <v>175</v>
      </c>
      <c r="EB264" t="s">
        <v>175</v>
      </c>
      <c r="EC264" t="s">
        <v>175</v>
      </c>
      <c r="ED264" t="s">
        <v>175</v>
      </c>
      <c r="EE264" t="s">
        <v>175</v>
      </c>
      <c r="EF264" t="s">
        <v>175</v>
      </c>
      <c r="EG264" t="s">
        <v>175</v>
      </c>
      <c r="EH264" t="s">
        <v>175</v>
      </c>
      <c r="EI264" t="s">
        <v>175</v>
      </c>
      <c r="EJ264" t="s">
        <v>58</v>
      </c>
      <c r="EK264" t="s">
        <v>57</v>
      </c>
      <c r="EL264" t="s">
        <v>58</v>
      </c>
      <c r="EM264" t="s">
        <v>57</v>
      </c>
      <c r="EN264" t="s">
        <v>57</v>
      </c>
      <c r="EO264" t="s">
        <v>57</v>
      </c>
      <c r="EP264" t="s">
        <v>57</v>
      </c>
      <c r="EQ264" t="s">
        <v>57</v>
      </c>
      <c r="ER264" t="s">
        <v>57</v>
      </c>
      <c r="ES264" t="s">
        <v>57</v>
      </c>
      <c r="ET264" t="s">
        <v>57</v>
      </c>
      <c r="EU264" t="s">
        <v>58</v>
      </c>
      <c r="EV264" t="s">
        <v>57</v>
      </c>
      <c r="EW264" t="s">
        <v>175</v>
      </c>
      <c r="EX264" t="s">
        <v>175</v>
      </c>
      <c r="EY264" t="s">
        <v>175</v>
      </c>
      <c r="EZ264" t="s">
        <v>175</v>
      </c>
      <c r="FA264" t="s">
        <v>175</v>
      </c>
      <c r="FB264" t="s">
        <v>175</v>
      </c>
      <c r="FC264" t="s">
        <v>175</v>
      </c>
      <c r="FD264" t="s">
        <v>175</v>
      </c>
      <c r="FE264" t="s">
        <v>175</v>
      </c>
      <c r="FF264" t="s">
        <v>148</v>
      </c>
      <c r="FG264" t="s">
        <v>175</v>
      </c>
      <c r="FH264" t="s">
        <v>57</v>
      </c>
      <c r="FI264" t="s">
        <v>57</v>
      </c>
      <c r="FJ264" t="s">
        <v>57</v>
      </c>
      <c r="FK264" t="s">
        <v>57</v>
      </c>
      <c r="FL264" t="s">
        <v>57</v>
      </c>
      <c r="FM264" t="s">
        <v>57</v>
      </c>
      <c r="FN264" t="s">
        <v>57</v>
      </c>
      <c r="FO264" t="s">
        <v>175</v>
      </c>
      <c r="FP264" t="s">
        <v>57</v>
      </c>
      <c r="FQ264" t="s">
        <v>57</v>
      </c>
      <c r="FR264" t="s">
        <v>57</v>
      </c>
      <c r="FS264" t="s">
        <v>57</v>
      </c>
      <c r="FT264" t="s">
        <v>57</v>
      </c>
      <c r="FU264" t="s">
        <v>57</v>
      </c>
      <c r="FV264" t="s">
        <v>57</v>
      </c>
      <c r="FW264" t="s">
        <v>57</v>
      </c>
      <c r="FX264" t="s">
        <v>57</v>
      </c>
      <c r="FY264" t="s">
        <v>57</v>
      </c>
      <c r="FZ264" t="s">
        <v>57</v>
      </c>
      <c r="GA264" t="s">
        <v>57</v>
      </c>
      <c r="GB264" t="s">
        <v>57</v>
      </c>
      <c r="GC264" t="s">
        <v>57</v>
      </c>
      <c r="GD264" t="s">
        <v>57</v>
      </c>
      <c r="GE264" t="s">
        <v>57</v>
      </c>
      <c r="GF264" t="s">
        <v>57</v>
      </c>
      <c r="GG264" t="s">
        <v>175</v>
      </c>
      <c r="GH264" t="s">
        <v>57</v>
      </c>
      <c r="GI264" t="s">
        <v>57</v>
      </c>
      <c r="GJ264" t="s">
        <v>57</v>
      </c>
      <c r="GK264" t="s">
        <v>57</v>
      </c>
      <c r="GL264" t="s">
        <v>175</v>
      </c>
      <c r="GM264" t="s">
        <v>175</v>
      </c>
      <c r="GN264" t="s">
        <v>57</v>
      </c>
      <c r="GO264" t="s">
        <v>57</v>
      </c>
      <c r="GP264" t="s">
        <v>175</v>
      </c>
      <c r="GQ264" t="s">
        <v>57</v>
      </c>
      <c r="GR264" t="s">
        <v>57</v>
      </c>
      <c r="GS264" t="s">
        <v>57</v>
      </c>
      <c r="GT264" t="s">
        <v>57</v>
      </c>
      <c r="GU264" t="s">
        <v>57</v>
      </c>
      <c r="GV264" t="s">
        <v>57</v>
      </c>
      <c r="GW264" t="s">
        <v>175</v>
      </c>
      <c r="GX264" t="s">
        <v>175</v>
      </c>
      <c r="GY264" t="s">
        <v>57</v>
      </c>
      <c r="GZ264" t="s">
        <v>57</v>
      </c>
      <c r="HA264" t="s">
        <v>57</v>
      </c>
      <c r="HB264" t="s">
        <v>57</v>
      </c>
      <c r="HC264" t="s">
        <v>57</v>
      </c>
      <c r="HD264" t="s">
        <v>57</v>
      </c>
      <c r="HE264" t="s">
        <v>57</v>
      </c>
      <c r="HF264" t="s">
        <v>57</v>
      </c>
      <c r="HG264" t="s">
        <v>175</v>
      </c>
      <c r="HH264" t="s">
        <v>175</v>
      </c>
      <c r="HI264" t="s">
        <v>175</v>
      </c>
      <c r="HJ264" t="s">
        <v>175</v>
      </c>
      <c r="HK264" t="s">
        <v>175</v>
      </c>
      <c r="HL264" t="s">
        <v>57</v>
      </c>
      <c r="HM264" t="s">
        <v>57</v>
      </c>
      <c r="HN264" t="s">
        <v>57</v>
      </c>
      <c r="HO264" t="s">
        <v>57</v>
      </c>
      <c r="HP264" t="s">
        <v>57</v>
      </c>
      <c r="HQ264" t="s">
        <v>57</v>
      </c>
      <c r="HR264" t="s">
        <v>57</v>
      </c>
      <c r="HS264" t="s">
        <v>57</v>
      </c>
      <c r="HT264" t="s">
        <v>57</v>
      </c>
      <c r="HU264" t="s">
        <v>57</v>
      </c>
      <c r="HV264" t="s">
        <v>57</v>
      </c>
      <c r="HW264" t="s">
        <v>57</v>
      </c>
      <c r="HX264" t="s">
        <v>57</v>
      </c>
      <c r="HY264" t="s">
        <v>57</v>
      </c>
      <c r="HZ264" t="s">
        <v>57</v>
      </c>
      <c r="IA264" t="s">
        <v>57</v>
      </c>
      <c r="IB264" t="s">
        <v>58</v>
      </c>
      <c r="IC264" t="s">
        <v>58</v>
      </c>
      <c r="ID264" t="s">
        <v>58</v>
      </c>
      <c r="IE264" t="s">
        <v>58</v>
      </c>
      <c r="IF264" t="s">
        <v>124</v>
      </c>
      <c r="IG264" t="s">
        <v>148</v>
      </c>
      <c r="IH264" t="s">
        <v>123</v>
      </c>
      <c r="II264" t="s">
        <v>156</v>
      </c>
    </row>
    <row r="265" spans="1:243" x14ac:dyDescent="0.25">
      <c r="A265" s="201" t="str">
        <f>HYPERLINK("http://www.ofsted.gov.uk/inspection-reports/find-inspection-report/provider/ELS/143019 ","Ofsted School Webpage")</f>
        <v>Ofsted School Webpage</v>
      </c>
      <c r="B265">
        <v>143019</v>
      </c>
      <c r="C265">
        <v>3016005</v>
      </c>
      <c r="D265" t="s">
        <v>2154</v>
      </c>
      <c r="E265" t="s">
        <v>36</v>
      </c>
      <c r="F265" t="s">
        <v>166</v>
      </c>
      <c r="G265" t="s">
        <v>189</v>
      </c>
      <c r="H265" t="s">
        <v>189</v>
      </c>
      <c r="I265" t="s">
        <v>1103</v>
      </c>
      <c r="J265" t="s">
        <v>2155</v>
      </c>
      <c r="K265" t="s">
        <v>142</v>
      </c>
      <c r="L265" t="s">
        <v>142</v>
      </c>
      <c r="M265" t="s">
        <v>2596</v>
      </c>
      <c r="N265" t="s">
        <v>143</v>
      </c>
      <c r="O265">
        <v>10035817</v>
      </c>
      <c r="P265" s="108">
        <v>43039</v>
      </c>
      <c r="Q265" s="108">
        <v>43041</v>
      </c>
      <c r="R265" s="108">
        <v>43070</v>
      </c>
      <c r="S265" t="s">
        <v>206</v>
      </c>
      <c r="T265" t="s">
        <v>154</v>
      </c>
      <c r="U265">
        <v>2</v>
      </c>
      <c r="V265">
        <v>2</v>
      </c>
      <c r="W265">
        <v>2</v>
      </c>
      <c r="X265">
        <v>2</v>
      </c>
      <c r="Y265">
        <v>2</v>
      </c>
      <c r="Z265" t="s">
        <v>2596</v>
      </c>
      <c r="AA265" t="s">
        <v>2596</v>
      </c>
      <c r="AB265" t="s">
        <v>123</v>
      </c>
      <c r="AC265" t="s">
        <v>2596</v>
      </c>
      <c r="AD265" t="s">
        <v>2598</v>
      </c>
      <c r="AE265" t="s">
        <v>57</v>
      </c>
      <c r="AF265" t="s">
        <v>57</v>
      </c>
      <c r="AG265" t="s">
        <v>57</v>
      </c>
      <c r="AH265" t="s">
        <v>57</v>
      </c>
      <c r="AI265" t="s">
        <v>57</v>
      </c>
      <c r="AJ265" t="s">
        <v>57</v>
      </c>
      <c r="AK265" t="s">
        <v>57</v>
      </c>
      <c r="AL265" t="s">
        <v>57</v>
      </c>
      <c r="AM265" t="s">
        <v>57</v>
      </c>
      <c r="AN265" t="s">
        <v>57</v>
      </c>
      <c r="AO265" t="s">
        <v>57</v>
      </c>
      <c r="AP265" t="s">
        <v>57</v>
      </c>
      <c r="AQ265" t="s">
        <v>57</v>
      </c>
      <c r="AR265" t="s">
        <v>57</v>
      </c>
      <c r="AS265" t="s">
        <v>57</v>
      </c>
      <c r="AT265" t="s">
        <v>57</v>
      </c>
      <c r="AU265" t="s">
        <v>175</v>
      </c>
      <c r="AV265" t="s">
        <v>57</v>
      </c>
      <c r="AW265" t="s">
        <v>57</v>
      </c>
      <c r="AX265" t="s">
        <v>57</v>
      </c>
      <c r="AY265" t="s">
        <v>57</v>
      </c>
      <c r="AZ265" t="s">
        <v>57</v>
      </c>
      <c r="BA265" t="s">
        <v>57</v>
      </c>
      <c r="BB265" t="s">
        <v>57</v>
      </c>
      <c r="BC265" t="s">
        <v>57</v>
      </c>
      <c r="BD265" t="s">
        <v>57</v>
      </c>
      <c r="BE265" t="s">
        <v>57</v>
      </c>
      <c r="BF265" t="s">
        <v>57</v>
      </c>
      <c r="BG265" t="s">
        <v>57</v>
      </c>
      <c r="BH265" t="s">
        <v>57</v>
      </c>
      <c r="BI265" t="s">
        <v>57</v>
      </c>
      <c r="BJ265" t="s">
        <v>57</v>
      </c>
      <c r="BK265" t="s">
        <v>57</v>
      </c>
      <c r="BL265" t="s">
        <v>57</v>
      </c>
      <c r="BM265" t="s">
        <v>57</v>
      </c>
      <c r="BN265" t="s">
        <v>57</v>
      </c>
      <c r="BO265" t="s">
        <v>57</v>
      </c>
      <c r="BP265" t="s">
        <v>57</v>
      </c>
      <c r="BQ265" t="s">
        <v>57</v>
      </c>
      <c r="BR265" t="s">
        <v>57</v>
      </c>
      <c r="BS265" t="s">
        <v>57</v>
      </c>
      <c r="BT265" t="s">
        <v>57</v>
      </c>
      <c r="BU265" t="s">
        <v>57</v>
      </c>
      <c r="BV265" t="s">
        <v>57</v>
      </c>
      <c r="BW265" t="s">
        <v>57</v>
      </c>
      <c r="BX265" t="s">
        <v>57</v>
      </c>
      <c r="BY265" t="s">
        <v>57</v>
      </c>
      <c r="BZ265" t="s">
        <v>57</v>
      </c>
      <c r="CA265" t="s">
        <v>57</v>
      </c>
      <c r="CB265" t="s">
        <v>57</v>
      </c>
      <c r="CC265" t="s">
        <v>57</v>
      </c>
      <c r="CD265" t="s">
        <v>57</v>
      </c>
      <c r="CE265" t="s">
        <v>57</v>
      </c>
      <c r="CF265" t="s">
        <v>57</v>
      </c>
      <c r="CG265" t="s">
        <v>57</v>
      </c>
      <c r="CH265" t="s">
        <v>57</v>
      </c>
      <c r="CI265" t="s">
        <v>57</v>
      </c>
      <c r="CJ265" t="s">
        <v>57</v>
      </c>
      <c r="CK265" t="s">
        <v>175</v>
      </c>
      <c r="CL265" t="s">
        <v>175</v>
      </c>
      <c r="CM265" t="s">
        <v>175</v>
      </c>
      <c r="CN265" t="s">
        <v>57</v>
      </c>
      <c r="CO265" t="s">
        <v>57</v>
      </c>
      <c r="CP265" t="s">
        <v>57</v>
      </c>
      <c r="CQ265" t="s">
        <v>57</v>
      </c>
      <c r="CR265" t="s">
        <v>57</v>
      </c>
      <c r="CS265" t="s">
        <v>57</v>
      </c>
      <c r="CT265" t="s">
        <v>57</v>
      </c>
      <c r="CU265" t="s">
        <v>57</v>
      </c>
      <c r="CV265" t="s">
        <v>57</v>
      </c>
      <c r="CW265" t="s">
        <v>57</v>
      </c>
      <c r="CX265" t="s">
        <v>57</v>
      </c>
      <c r="CY265" t="s">
        <v>57</v>
      </c>
      <c r="CZ265" t="s">
        <v>57</v>
      </c>
      <c r="DA265" t="s">
        <v>57</v>
      </c>
      <c r="DB265" t="s">
        <v>57</v>
      </c>
      <c r="DC265" t="s">
        <v>57</v>
      </c>
      <c r="DD265" t="s">
        <v>57</v>
      </c>
      <c r="DE265" t="s">
        <v>57</v>
      </c>
      <c r="DF265" t="s">
        <v>57</v>
      </c>
      <c r="DG265" t="s">
        <v>57</v>
      </c>
      <c r="DH265" t="s">
        <v>57</v>
      </c>
      <c r="DI265" t="s">
        <v>57</v>
      </c>
      <c r="DJ265" t="s">
        <v>57</v>
      </c>
      <c r="DK265" t="s">
        <v>57</v>
      </c>
      <c r="DL265" t="s">
        <v>57</v>
      </c>
      <c r="DM265" t="s">
        <v>175</v>
      </c>
      <c r="DN265" t="s">
        <v>175</v>
      </c>
      <c r="DO265" t="s">
        <v>175</v>
      </c>
      <c r="DP265" t="s">
        <v>175</v>
      </c>
      <c r="DQ265" t="s">
        <v>175</v>
      </c>
      <c r="DR265" t="s">
        <v>175</v>
      </c>
      <c r="DS265" t="s">
        <v>175</v>
      </c>
      <c r="DT265" t="s">
        <v>175</v>
      </c>
      <c r="DU265" t="s">
        <v>175</v>
      </c>
      <c r="DV265" t="s">
        <v>175</v>
      </c>
      <c r="DW265" t="s">
        <v>175</v>
      </c>
      <c r="DX265" t="s">
        <v>175</v>
      </c>
      <c r="DY265" t="s">
        <v>175</v>
      </c>
      <c r="DZ265" t="s">
        <v>175</v>
      </c>
      <c r="EA265" t="s">
        <v>175</v>
      </c>
      <c r="EB265" t="s">
        <v>175</v>
      </c>
      <c r="EC265" t="s">
        <v>175</v>
      </c>
      <c r="ED265" t="s">
        <v>175</v>
      </c>
      <c r="EE265" t="s">
        <v>175</v>
      </c>
      <c r="EF265" t="s">
        <v>175</v>
      </c>
      <c r="EG265" t="s">
        <v>175</v>
      </c>
      <c r="EH265" t="s">
        <v>175</v>
      </c>
      <c r="EI265" t="s">
        <v>175</v>
      </c>
      <c r="EJ265" t="s">
        <v>57</v>
      </c>
      <c r="EK265" t="s">
        <v>57</v>
      </c>
      <c r="EL265" t="s">
        <v>57</v>
      </c>
      <c r="EM265" t="s">
        <v>57</v>
      </c>
      <c r="EN265" t="s">
        <v>57</v>
      </c>
      <c r="EO265" t="s">
        <v>57</v>
      </c>
      <c r="EP265" t="s">
        <v>57</v>
      </c>
      <c r="EQ265" t="s">
        <v>57</v>
      </c>
      <c r="ER265" t="s">
        <v>57</v>
      </c>
      <c r="ES265" t="s">
        <v>57</v>
      </c>
      <c r="ET265" t="s">
        <v>57</v>
      </c>
      <c r="EU265" t="s">
        <v>57</v>
      </c>
      <c r="EV265" t="s">
        <v>57</v>
      </c>
      <c r="EW265" t="s">
        <v>57</v>
      </c>
      <c r="EX265" t="s">
        <v>57</v>
      </c>
      <c r="EY265" t="s">
        <v>57</v>
      </c>
      <c r="EZ265" t="s">
        <v>57</v>
      </c>
      <c r="FA265" t="s">
        <v>57</v>
      </c>
      <c r="FB265" t="s">
        <v>57</v>
      </c>
      <c r="FC265" t="s">
        <v>57</v>
      </c>
      <c r="FD265" t="s">
        <v>57</v>
      </c>
      <c r="FE265" t="s">
        <v>57</v>
      </c>
      <c r="FF265" t="s">
        <v>57</v>
      </c>
      <c r="FG265" t="s">
        <v>57</v>
      </c>
      <c r="FH265" t="s">
        <v>57</v>
      </c>
      <c r="FI265" t="s">
        <v>57</v>
      </c>
      <c r="FJ265" t="s">
        <v>57</v>
      </c>
      <c r="FK265" t="s">
        <v>57</v>
      </c>
      <c r="FL265" t="s">
        <v>57</v>
      </c>
      <c r="FM265" t="s">
        <v>57</v>
      </c>
      <c r="FN265" t="s">
        <v>57</v>
      </c>
      <c r="FO265" t="s">
        <v>175</v>
      </c>
      <c r="FP265" t="s">
        <v>175</v>
      </c>
      <c r="FQ265" t="s">
        <v>57</v>
      </c>
      <c r="FR265" t="s">
        <v>57</v>
      </c>
      <c r="FS265" t="s">
        <v>57</v>
      </c>
      <c r="FT265" t="s">
        <v>57</v>
      </c>
      <c r="FU265" t="s">
        <v>57</v>
      </c>
      <c r="FV265" t="s">
        <v>57</v>
      </c>
      <c r="FW265" t="s">
        <v>57</v>
      </c>
      <c r="FX265" t="s">
        <v>57</v>
      </c>
      <c r="FY265" t="s">
        <v>57</v>
      </c>
      <c r="FZ265" t="s">
        <v>57</v>
      </c>
      <c r="GA265" t="s">
        <v>57</v>
      </c>
      <c r="GB265" t="s">
        <v>57</v>
      </c>
      <c r="GC265" t="s">
        <v>57</v>
      </c>
      <c r="GD265" t="s">
        <v>57</v>
      </c>
      <c r="GE265" t="s">
        <v>57</v>
      </c>
      <c r="GF265" t="s">
        <v>57</v>
      </c>
      <c r="GG265" t="s">
        <v>175</v>
      </c>
      <c r="GH265" t="s">
        <v>57</v>
      </c>
      <c r="GI265" t="s">
        <v>57</v>
      </c>
      <c r="GJ265" t="s">
        <v>57</v>
      </c>
      <c r="GK265" t="s">
        <v>57</v>
      </c>
      <c r="GL265" t="s">
        <v>57</v>
      </c>
      <c r="GM265" t="s">
        <v>175</v>
      </c>
      <c r="GN265" t="s">
        <v>57</v>
      </c>
      <c r="GO265" t="s">
        <v>57</v>
      </c>
      <c r="GP265" t="s">
        <v>175</v>
      </c>
      <c r="GQ265" t="s">
        <v>175</v>
      </c>
      <c r="GR265" t="s">
        <v>57</v>
      </c>
      <c r="GS265" t="s">
        <v>57</v>
      </c>
      <c r="GT265" t="s">
        <v>57</v>
      </c>
      <c r="GU265" t="s">
        <v>57</v>
      </c>
      <c r="GV265" t="s">
        <v>57</v>
      </c>
      <c r="GW265" t="s">
        <v>175</v>
      </c>
      <c r="GX265" t="s">
        <v>175</v>
      </c>
      <c r="GY265" t="s">
        <v>57</v>
      </c>
      <c r="GZ265" t="s">
        <v>57</v>
      </c>
      <c r="HA265" t="s">
        <v>57</v>
      </c>
      <c r="HB265" t="s">
        <v>57</v>
      </c>
      <c r="HC265" t="s">
        <v>57</v>
      </c>
      <c r="HD265" t="s">
        <v>57</v>
      </c>
      <c r="HE265" t="s">
        <v>57</v>
      </c>
      <c r="HF265" t="s">
        <v>57</v>
      </c>
      <c r="HG265" t="s">
        <v>175</v>
      </c>
      <c r="HH265" t="s">
        <v>175</v>
      </c>
      <c r="HI265" t="s">
        <v>175</v>
      </c>
      <c r="HJ265" t="s">
        <v>175</v>
      </c>
      <c r="HK265" t="s">
        <v>175</v>
      </c>
      <c r="HL265" t="s">
        <v>57</v>
      </c>
      <c r="HM265" t="s">
        <v>57</v>
      </c>
      <c r="HN265" t="s">
        <v>57</v>
      </c>
      <c r="HO265" t="s">
        <v>57</v>
      </c>
      <c r="HP265" t="s">
        <v>57</v>
      </c>
      <c r="HQ265" t="s">
        <v>57</v>
      </c>
      <c r="HR265" t="s">
        <v>57</v>
      </c>
      <c r="HS265" t="s">
        <v>57</v>
      </c>
      <c r="HT265" t="s">
        <v>57</v>
      </c>
      <c r="HU265" t="s">
        <v>57</v>
      </c>
      <c r="HV265" t="s">
        <v>57</v>
      </c>
      <c r="HW265" t="s">
        <v>57</v>
      </c>
      <c r="HX265" t="s">
        <v>57</v>
      </c>
      <c r="HY265" t="s">
        <v>57</v>
      </c>
      <c r="HZ265" t="s">
        <v>57</v>
      </c>
      <c r="IA265" t="s">
        <v>57</v>
      </c>
      <c r="IB265" t="s">
        <v>57</v>
      </c>
      <c r="IC265" t="s">
        <v>57</v>
      </c>
      <c r="ID265" t="s">
        <v>57</v>
      </c>
      <c r="IE265" t="s">
        <v>57</v>
      </c>
      <c r="IF265" t="s">
        <v>124</v>
      </c>
      <c r="IG265" t="s">
        <v>148</v>
      </c>
      <c r="IH265" t="s">
        <v>123</v>
      </c>
      <c r="II265" t="s">
        <v>156</v>
      </c>
    </row>
    <row r="266" spans="1:243" x14ac:dyDescent="0.25">
      <c r="A266" s="201" t="str">
        <f>HYPERLINK("http://www.ofsted.gov.uk/inspection-reports/find-inspection-report/provider/ELS/143036 ","Ofsted School Webpage")</f>
        <v>Ofsted School Webpage</v>
      </c>
      <c r="B266">
        <v>143036</v>
      </c>
      <c r="C266">
        <v>3086006</v>
      </c>
      <c r="D266" t="s">
        <v>215</v>
      </c>
      <c r="E266" t="s">
        <v>36</v>
      </c>
      <c r="F266" t="s">
        <v>166</v>
      </c>
      <c r="G266" t="s">
        <v>189</v>
      </c>
      <c r="H266" t="s">
        <v>189</v>
      </c>
      <c r="I266" t="s">
        <v>216</v>
      </c>
      <c r="J266" t="s">
        <v>217</v>
      </c>
      <c r="K266" t="s">
        <v>142</v>
      </c>
      <c r="L266" t="s">
        <v>142</v>
      </c>
      <c r="M266" t="s">
        <v>2596</v>
      </c>
      <c r="N266" t="s">
        <v>143</v>
      </c>
      <c r="O266">
        <v>10035818</v>
      </c>
      <c r="P266" s="108">
        <v>43039</v>
      </c>
      <c r="Q266" s="108">
        <v>43041</v>
      </c>
      <c r="R266" s="108">
        <v>43069</v>
      </c>
      <c r="S266" t="s">
        <v>206</v>
      </c>
      <c r="T266" t="s">
        <v>154</v>
      </c>
      <c r="U266">
        <v>2</v>
      </c>
      <c r="V266">
        <v>2</v>
      </c>
      <c r="W266">
        <v>2</v>
      </c>
      <c r="X266">
        <v>2</v>
      </c>
      <c r="Y266">
        <v>2</v>
      </c>
      <c r="Z266" t="s">
        <v>2596</v>
      </c>
      <c r="AA266" t="s">
        <v>2596</v>
      </c>
      <c r="AB266" t="s">
        <v>123</v>
      </c>
      <c r="AC266" t="s">
        <v>2596</v>
      </c>
      <c r="AD266" t="s">
        <v>2598</v>
      </c>
      <c r="AE266" t="s">
        <v>57</v>
      </c>
      <c r="AF266" t="s">
        <v>57</v>
      </c>
      <c r="AG266" t="s">
        <v>57</v>
      </c>
      <c r="AH266" t="s">
        <v>57</v>
      </c>
      <c r="AI266" t="s">
        <v>57</v>
      </c>
      <c r="AJ266" t="s">
        <v>57</v>
      </c>
      <c r="AK266" t="s">
        <v>57</v>
      </c>
      <c r="AL266" t="s">
        <v>57</v>
      </c>
      <c r="AM266" t="s">
        <v>57</v>
      </c>
      <c r="AN266" t="s">
        <v>57</v>
      </c>
      <c r="AO266" t="s">
        <v>57</v>
      </c>
      <c r="AP266" t="s">
        <v>57</v>
      </c>
      <c r="AQ266" t="s">
        <v>57</v>
      </c>
      <c r="AR266" t="s">
        <v>57</v>
      </c>
      <c r="AS266" t="s">
        <v>57</v>
      </c>
      <c r="AT266" t="s">
        <v>57</v>
      </c>
      <c r="AU266" t="s">
        <v>175</v>
      </c>
      <c r="AV266" t="s">
        <v>57</v>
      </c>
      <c r="AW266" t="s">
        <v>57</v>
      </c>
      <c r="AX266" t="s">
        <v>57</v>
      </c>
      <c r="AY266" t="s">
        <v>57</v>
      </c>
      <c r="AZ266" t="s">
        <v>57</v>
      </c>
      <c r="BA266" t="s">
        <v>57</v>
      </c>
      <c r="BB266" t="s">
        <v>57</v>
      </c>
      <c r="BC266" t="s">
        <v>175</v>
      </c>
      <c r="BD266" t="s">
        <v>175</v>
      </c>
      <c r="BE266" t="s">
        <v>57</v>
      </c>
      <c r="BF266" t="s">
        <v>57</v>
      </c>
      <c r="BG266" t="s">
        <v>57</v>
      </c>
      <c r="BH266" t="s">
        <v>57</v>
      </c>
      <c r="BI266" t="s">
        <v>57</v>
      </c>
      <c r="BJ266" t="s">
        <v>57</v>
      </c>
      <c r="BK266" t="s">
        <v>57</v>
      </c>
      <c r="BL266" t="s">
        <v>57</v>
      </c>
      <c r="BM266" t="s">
        <v>57</v>
      </c>
      <c r="BN266" t="s">
        <v>57</v>
      </c>
      <c r="BO266" t="s">
        <v>57</v>
      </c>
      <c r="BP266" t="s">
        <v>57</v>
      </c>
      <c r="BQ266" t="s">
        <v>57</v>
      </c>
      <c r="BR266" t="s">
        <v>57</v>
      </c>
      <c r="BS266" t="s">
        <v>57</v>
      </c>
      <c r="BT266" t="s">
        <v>57</v>
      </c>
      <c r="BU266" t="s">
        <v>57</v>
      </c>
      <c r="BV266" t="s">
        <v>57</v>
      </c>
      <c r="BW266" t="s">
        <v>57</v>
      </c>
      <c r="BX266" t="s">
        <v>57</v>
      </c>
      <c r="BY266" t="s">
        <v>57</v>
      </c>
      <c r="BZ266" t="s">
        <v>57</v>
      </c>
      <c r="CA266" t="s">
        <v>57</v>
      </c>
      <c r="CB266" t="s">
        <v>57</v>
      </c>
      <c r="CC266" t="s">
        <v>57</v>
      </c>
      <c r="CD266" t="s">
        <v>57</v>
      </c>
      <c r="CE266" t="s">
        <v>57</v>
      </c>
      <c r="CF266" t="s">
        <v>57</v>
      </c>
      <c r="CG266" t="s">
        <v>57</v>
      </c>
      <c r="CH266" t="s">
        <v>57</v>
      </c>
      <c r="CI266" t="s">
        <v>57</v>
      </c>
      <c r="CJ266" t="s">
        <v>57</v>
      </c>
      <c r="CK266" t="s">
        <v>175</v>
      </c>
      <c r="CL266" t="s">
        <v>175</v>
      </c>
      <c r="CM266" t="s">
        <v>175</v>
      </c>
      <c r="CN266" t="s">
        <v>57</v>
      </c>
      <c r="CO266" t="s">
        <v>57</v>
      </c>
      <c r="CP266" t="s">
        <v>57</v>
      </c>
      <c r="CQ266" t="s">
        <v>57</v>
      </c>
      <c r="CR266" t="s">
        <v>57</v>
      </c>
      <c r="CS266" t="s">
        <v>57</v>
      </c>
      <c r="CT266" t="s">
        <v>57</v>
      </c>
      <c r="CU266" t="s">
        <v>57</v>
      </c>
      <c r="CV266" t="s">
        <v>57</v>
      </c>
      <c r="CW266" t="s">
        <v>57</v>
      </c>
      <c r="CX266" t="s">
        <v>57</v>
      </c>
      <c r="CY266" t="s">
        <v>57</v>
      </c>
      <c r="CZ266" t="s">
        <v>57</v>
      </c>
      <c r="DA266" t="s">
        <v>57</v>
      </c>
      <c r="DB266" t="s">
        <v>57</v>
      </c>
      <c r="DC266" t="s">
        <v>57</v>
      </c>
      <c r="DD266" t="s">
        <v>57</v>
      </c>
      <c r="DE266" t="s">
        <v>57</v>
      </c>
      <c r="DF266" t="s">
        <v>57</v>
      </c>
      <c r="DG266" t="s">
        <v>57</v>
      </c>
      <c r="DH266" t="s">
        <v>57</v>
      </c>
      <c r="DI266" t="s">
        <v>57</v>
      </c>
      <c r="DJ266" t="s">
        <v>57</v>
      </c>
      <c r="DK266" t="s">
        <v>175</v>
      </c>
      <c r="DL266" t="s">
        <v>57</v>
      </c>
      <c r="DM266" t="s">
        <v>175</v>
      </c>
      <c r="DN266" t="s">
        <v>175</v>
      </c>
      <c r="DO266" t="s">
        <v>175</v>
      </c>
      <c r="DP266" t="s">
        <v>175</v>
      </c>
      <c r="DQ266" t="s">
        <v>175</v>
      </c>
      <c r="DR266" t="s">
        <v>175</v>
      </c>
      <c r="DS266" t="s">
        <v>175</v>
      </c>
      <c r="DT266" t="s">
        <v>175</v>
      </c>
      <c r="DU266" t="s">
        <v>175</v>
      </c>
      <c r="DV266" t="s">
        <v>175</v>
      </c>
      <c r="DW266" t="s">
        <v>175</v>
      </c>
      <c r="DX266" t="s">
        <v>175</v>
      </c>
      <c r="DY266" t="s">
        <v>175</v>
      </c>
      <c r="DZ266" t="s">
        <v>175</v>
      </c>
      <c r="EA266" t="s">
        <v>57</v>
      </c>
      <c r="EB266" t="s">
        <v>57</v>
      </c>
      <c r="EC266" t="s">
        <v>57</v>
      </c>
      <c r="ED266" t="s">
        <v>57</v>
      </c>
      <c r="EE266" t="s">
        <v>57</v>
      </c>
      <c r="EF266" t="s">
        <v>57</v>
      </c>
      <c r="EG266" t="s">
        <v>57</v>
      </c>
      <c r="EH266" t="s">
        <v>57</v>
      </c>
      <c r="EI266" t="s">
        <v>57</v>
      </c>
      <c r="EJ266" t="s">
        <v>57</v>
      </c>
      <c r="EK266" t="s">
        <v>57</v>
      </c>
      <c r="EL266" t="s">
        <v>57</v>
      </c>
      <c r="EM266" t="s">
        <v>57</v>
      </c>
      <c r="EN266" t="s">
        <v>57</v>
      </c>
      <c r="EO266" t="s">
        <v>57</v>
      </c>
      <c r="EP266" t="s">
        <v>57</v>
      </c>
      <c r="EQ266" t="s">
        <v>57</v>
      </c>
      <c r="ER266" t="s">
        <v>57</v>
      </c>
      <c r="ES266" t="s">
        <v>57</v>
      </c>
      <c r="ET266" t="s">
        <v>57</v>
      </c>
      <c r="EU266" t="s">
        <v>57</v>
      </c>
      <c r="EV266" t="s">
        <v>57</v>
      </c>
      <c r="EW266" t="s">
        <v>57</v>
      </c>
      <c r="EX266" t="s">
        <v>175</v>
      </c>
      <c r="EY266" t="s">
        <v>175</v>
      </c>
      <c r="EZ266" t="s">
        <v>175</v>
      </c>
      <c r="FA266" t="s">
        <v>175</v>
      </c>
      <c r="FB266" t="s">
        <v>175</v>
      </c>
      <c r="FC266" t="s">
        <v>175</v>
      </c>
      <c r="FD266" t="s">
        <v>57</v>
      </c>
      <c r="FE266" t="s">
        <v>57</v>
      </c>
      <c r="FF266" t="s">
        <v>57</v>
      </c>
      <c r="FG266" t="s">
        <v>57</v>
      </c>
      <c r="FH266" t="s">
        <v>57</v>
      </c>
      <c r="FI266" t="s">
        <v>57</v>
      </c>
      <c r="FJ266" t="s">
        <v>57</v>
      </c>
      <c r="FK266" t="s">
        <v>57</v>
      </c>
      <c r="FL266" t="s">
        <v>57</v>
      </c>
      <c r="FM266" t="s">
        <v>57</v>
      </c>
      <c r="FN266" t="s">
        <v>57</v>
      </c>
      <c r="FO266" t="s">
        <v>175</v>
      </c>
      <c r="FP266" t="s">
        <v>57</v>
      </c>
      <c r="FQ266" t="s">
        <v>57</v>
      </c>
      <c r="FR266" t="s">
        <v>57</v>
      </c>
      <c r="FS266" t="s">
        <v>57</v>
      </c>
      <c r="FT266" t="s">
        <v>57</v>
      </c>
      <c r="FU266" t="s">
        <v>57</v>
      </c>
      <c r="FV266" t="s">
        <v>57</v>
      </c>
      <c r="FW266" t="s">
        <v>57</v>
      </c>
      <c r="FX266" t="s">
        <v>57</v>
      </c>
      <c r="FY266" t="s">
        <v>57</v>
      </c>
      <c r="FZ266" t="s">
        <v>57</v>
      </c>
      <c r="GA266" t="s">
        <v>57</v>
      </c>
      <c r="GB266" t="s">
        <v>57</v>
      </c>
      <c r="GC266" t="s">
        <v>57</v>
      </c>
      <c r="GD266" t="s">
        <v>175</v>
      </c>
      <c r="GE266" t="s">
        <v>175</v>
      </c>
      <c r="GF266" t="s">
        <v>175</v>
      </c>
      <c r="GG266" t="s">
        <v>175</v>
      </c>
      <c r="GH266" t="s">
        <v>57</v>
      </c>
      <c r="GI266" t="s">
        <v>57</v>
      </c>
      <c r="GJ266" t="s">
        <v>57</v>
      </c>
      <c r="GK266" t="s">
        <v>57</v>
      </c>
      <c r="GL266" t="s">
        <v>57</v>
      </c>
      <c r="GM266" t="s">
        <v>175</v>
      </c>
      <c r="GN266" t="s">
        <v>57</v>
      </c>
      <c r="GO266" t="s">
        <v>57</v>
      </c>
      <c r="GP266" t="s">
        <v>175</v>
      </c>
      <c r="GQ266" t="s">
        <v>175</v>
      </c>
      <c r="GR266" t="s">
        <v>57</v>
      </c>
      <c r="GS266" t="s">
        <v>57</v>
      </c>
      <c r="GT266" t="s">
        <v>57</v>
      </c>
      <c r="GU266" t="s">
        <v>57</v>
      </c>
      <c r="GV266" t="s">
        <v>57</v>
      </c>
      <c r="GW266" t="s">
        <v>175</v>
      </c>
      <c r="GX266" t="s">
        <v>175</v>
      </c>
      <c r="GY266" t="s">
        <v>57</v>
      </c>
      <c r="GZ266" t="s">
        <v>57</v>
      </c>
      <c r="HA266" t="s">
        <v>57</v>
      </c>
      <c r="HB266" t="s">
        <v>57</v>
      </c>
      <c r="HC266" t="s">
        <v>57</v>
      </c>
      <c r="HD266" t="s">
        <v>57</v>
      </c>
      <c r="HE266" t="s">
        <v>57</v>
      </c>
      <c r="HF266" t="s">
        <v>57</v>
      </c>
      <c r="HG266" t="s">
        <v>57</v>
      </c>
      <c r="HH266" t="s">
        <v>175</v>
      </c>
      <c r="HI266" t="s">
        <v>175</v>
      </c>
      <c r="HJ266" t="s">
        <v>175</v>
      </c>
      <c r="HK266" t="s">
        <v>175</v>
      </c>
      <c r="HL266" t="s">
        <v>57</v>
      </c>
      <c r="HM266" t="s">
        <v>57</v>
      </c>
      <c r="HN266" t="s">
        <v>57</v>
      </c>
      <c r="HO266" t="s">
        <v>57</v>
      </c>
      <c r="HP266" t="s">
        <v>57</v>
      </c>
      <c r="HQ266" t="s">
        <v>57</v>
      </c>
      <c r="HR266" t="s">
        <v>57</v>
      </c>
      <c r="HS266" t="s">
        <v>57</v>
      </c>
      <c r="HT266" t="s">
        <v>57</v>
      </c>
      <c r="HU266" t="s">
        <v>57</v>
      </c>
      <c r="HV266" t="s">
        <v>57</v>
      </c>
      <c r="HW266" t="s">
        <v>57</v>
      </c>
      <c r="HX266" t="s">
        <v>57</v>
      </c>
      <c r="HY266" t="s">
        <v>57</v>
      </c>
      <c r="HZ266" t="s">
        <v>57</v>
      </c>
      <c r="IA266" t="s">
        <v>57</v>
      </c>
      <c r="IB266" t="s">
        <v>57</v>
      </c>
      <c r="IC266" t="s">
        <v>57</v>
      </c>
      <c r="ID266" t="s">
        <v>57</v>
      </c>
      <c r="IE266" t="s">
        <v>57</v>
      </c>
      <c r="IF266" t="s">
        <v>124</v>
      </c>
      <c r="IG266" t="s">
        <v>148</v>
      </c>
      <c r="IH266" t="s">
        <v>123</v>
      </c>
      <c r="II266" t="s">
        <v>156</v>
      </c>
    </row>
    <row r="267" spans="1:243" x14ac:dyDescent="0.25">
      <c r="A267" s="201" t="str">
        <f>HYPERLINK("http://www.ofsted.gov.uk/inspection-reports/find-inspection-report/provider/ELS/143037 ","Ofsted School Webpage")</f>
        <v>Ofsted School Webpage</v>
      </c>
      <c r="B267">
        <v>143037</v>
      </c>
      <c r="C267">
        <v>3026008</v>
      </c>
      <c r="D267" t="s">
        <v>1896</v>
      </c>
      <c r="E267" t="s">
        <v>36</v>
      </c>
      <c r="F267" t="s">
        <v>166</v>
      </c>
      <c r="G267" t="s">
        <v>189</v>
      </c>
      <c r="H267" t="s">
        <v>189</v>
      </c>
      <c r="I267" t="s">
        <v>268</v>
      </c>
      <c r="J267" t="s">
        <v>1897</v>
      </c>
      <c r="K267" t="s">
        <v>142</v>
      </c>
      <c r="L267" t="s">
        <v>369</v>
      </c>
      <c r="M267" t="s">
        <v>2596</v>
      </c>
      <c r="N267" t="s">
        <v>143</v>
      </c>
      <c r="O267">
        <v>10026629</v>
      </c>
      <c r="P267" s="108">
        <v>43046</v>
      </c>
      <c r="Q267" s="108">
        <v>43048</v>
      </c>
      <c r="R267" s="108">
        <v>43084</v>
      </c>
      <c r="S267" t="s">
        <v>206</v>
      </c>
      <c r="T267" t="s">
        <v>154</v>
      </c>
      <c r="U267">
        <v>1</v>
      </c>
      <c r="V267">
        <v>1</v>
      </c>
      <c r="W267">
        <v>1</v>
      </c>
      <c r="X267">
        <v>1</v>
      </c>
      <c r="Y267">
        <v>1</v>
      </c>
      <c r="Z267">
        <v>1</v>
      </c>
      <c r="AA267" t="s">
        <v>2596</v>
      </c>
      <c r="AB267" t="s">
        <v>123</v>
      </c>
      <c r="AC267" t="s">
        <v>2596</v>
      </c>
      <c r="AD267" t="s">
        <v>2598</v>
      </c>
      <c r="AE267" t="s">
        <v>57</v>
      </c>
      <c r="AF267" t="s">
        <v>57</v>
      </c>
      <c r="AG267" t="s">
        <v>57</v>
      </c>
      <c r="AH267" t="s">
        <v>57</v>
      </c>
      <c r="AI267" t="s">
        <v>57</v>
      </c>
      <c r="AJ267" t="s">
        <v>57</v>
      </c>
      <c r="AK267" t="s">
        <v>57</v>
      </c>
      <c r="AL267" t="s">
        <v>57</v>
      </c>
      <c r="AM267" t="s">
        <v>57</v>
      </c>
      <c r="AN267" t="s">
        <v>57</v>
      </c>
      <c r="AO267" t="s">
        <v>57</v>
      </c>
      <c r="AP267" t="s">
        <v>57</v>
      </c>
      <c r="AQ267" t="s">
        <v>57</v>
      </c>
      <c r="AR267" t="s">
        <v>57</v>
      </c>
      <c r="AS267" t="s">
        <v>57</v>
      </c>
      <c r="AT267" t="s">
        <v>57</v>
      </c>
      <c r="AU267" t="s">
        <v>148</v>
      </c>
      <c r="AV267" t="s">
        <v>57</v>
      </c>
      <c r="AW267" t="s">
        <v>57</v>
      </c>
      <c r="AX267" t="s">
        <v>57</v>
      </c>
      <c r="AY267" t="s">
        <v>148</v>
      </c>
      <c r="AZ267" t="s">
        <v>148</v>
      </c>
      <c r="BA267" t="s">
        <v>148</v>
      </c>
      <c r="BB267" t="s">
        <v>148</v>
      </c>
      <c r="BC267" t="s">
        <v>57</v>
      </c>
      <c r="BD267" t="s">
        <v>148</v>
      </c>
      <c r="BE267" t="s">
        <v>57</v>
      </c>
      <c r="BF267" t="s">
        <v>57</v>
      </c>
      <c r="BG267" t="s">
        <v>57</v>
      </c>
      <c r="BH267" t="s">
        <v>57</v>
      </c>
      <c r="BI267" t="s">
        <v>57</v>
      </c>
      <c r="BJ267" t="s">
        <v>57</v>
      </c>
      <c r="BK267" t="s">
        <v>57</v>
      </c>
      <c r="BL267" t="s">
        <v>57</v>
      </c>
      <c r="BM267" t="s">
        <v>57</v>
      </c>
      <c r="BN267" t="s">
        <v>57</v>
      </c>
      <c r="BO267" t="s">
        <v>57</v>
      </c>
      <c r="BP267" t="s">
        <v>57</v>
      </c>
      <c r="BQ267" t="s">
        <v>57</v>
      </c>
      <c r="BR267" t="s">
        <v>57</v>
      </c>
      <c r="BS267" t="s">
        <v>57</v>
      </c>
      <c r="BT267" t="s">
        <v>57</v>
      </c>
      <c r="BU267" t="s">
        <v>57</v>
      </c>
      <c r="BV267" t="s">
        <v>57</v>
      </c>
      <c r="BW267" t="s">
        <v>57</v>
      </c>
      <c r="BX267" t="s">
        <v>57</v>
      </c>
      <c r="BY267" t="s">
        <v>57</v>
      </c>
      <c r="BZ267" t="s">
        <v>57</v>
      </c>
      <c r="CA267" t="s">
        <v>57</v>
      </c>
      <c r="CB267" t="s">
        <v>57</v>
      </c>
      <c r="CC267" t="s">
        <v>57</v>
      </c>
      <c r="CD267" t="s">
        <v>57</v>
      </c>
      <c r="CE267" t="s">
        <v>57</v>
      </c>
      <c r="CF267" t="s">
        <v>57</v>
      </c>
      <c r="CG267" t="s">
        <v>57</v>
      </c>
      <c r="CH267" t="s">
        <v>57</v>
      </c>
      <c r="CI267" t="s">
        <v>57</v>
      </c>
      <c r="CJ267" t="s">
        <v>57</v>
      </c>
      <c r="CK267" t="s">
        <v>57</v>
      </c>
      <c r="CL267" t="s">
        <v>148</v>
      </c>
      <c r="CM267" t="s">
        <v>148</v>
      </c>
      <c r="CN267" t="s">
        <v>57</v>
      </c>
      <c r="CO267" t="s">
        <v>57</v>
      </c>
      <c r="CP267" t="s">
        <v>57</v>
      </c>
      <c r="CQ267" t="s">
        <v>57</v>
      </c>
      <c r="CR267" t="s">
        <v>57</v>
      </c>
      <c r="CS267" t="s">
        <v>57</v>
      </c>
      <c r="CT267" t="s">
        <v>57</v>
      </c>
      <c r="CU267" t="s">
        <v>57</v>
      </c>
      <c r="CV267" t="s">
        <v>57</v>
      </c>
      <c r="CW267" t="s">
        <v>57</v>
      </c>
      <c r="CX267" t="s">
        <v>57</v>
      </c>
      <c r="CY267" t="s">
        <v>57</v>
      </c>
      <c r="CZ267" t="s">
        <v>57</v>
      </c>
      <c r="DA267" t="s">
        <v>57</v>
      </c>
      <c r="DB267" t="s">
        <v>57</v>
      </c>
      <c r="DC267" t="s">
        <v>57</v>
      </c>
      <c r="DD267" t="s">
        <v>57</v>
      </c>
      <c r="DE267" t="s">
        <v>57</v>
      </c>
      <c r="DF267" t="s">
        <v>57</v>
      </c>
      <c r="DG267" t="s">
        <v>57</v>
      </c>
      <c r="DH267" t="s">
        <v>57</v>
      </c>
      <c r="DI267" t="s">
        <v>57</v>
      </c>
      <c r="DJ267" t="s">
        <v>57</v>
      </c>
      <c r="DK267" t="s">
        <v>148</v>
      </c>
      <c r="DL267" t="s">
        <v>57</v>
      </c>
      <c r="DM267" t="s">
        <v>57</v>
      </c>
      <c r="DN267" t="s">
        <v>57</v>
      </c>
      <c r="DO267" t="s">
        <v>57</v>
      </c>
      <c r="DP267" t="s">
        <v>57</v>
      </c>
      <c r="DQ267" t="s">
        <v>57</v>
      </c>
      <c r="DR267" t="s">
        <v>57</v>
      </c>
      <c r="DS267" t="s">
        <v>57</v>
      </c>
      <c r="DT267" t="s">
        <v>57</v>
      </c>
      <c r="DU267" t="s">
        <v>57</v>
      </c>
      <c r="DV267" t="s">
        <v>57</v>
      </c>
      <c r="DW267" t="s">
        <v>57</v>
      </c>
      <c r="DX267" t="s">
        <v>57</v>
      </c>
      <c r="DY267" t="s">
        <v>148</v>
      </c>
      <c r="DZ267" t="s">
        <v>57</v>
      </c>
      <c r="EA267" t="s">
        <v>57</v>
      </c>
      <c r="EB267" t="s">
        <v>57</v>
      </c>
      <c r="EC267" t="s">
        <v>57</v>
      </c>
      <c r="ED267" t="s">
        <v>57</v>
      </c>
      <c r="EE267" t="s">
        <v>57</v>
      </c>
      <c r="EF267" t="s">
        <v>57</v>
      </c>
      <c r="EG267" t="s">
        <v>57</v>
      </c>
      <c r="EH267" t="s">
        <v>57</v>
      </c>
      <c r="EI267" t="s">
        <v>57</v>
      </c>
      <c r="EJ267" t="s">
        <v>57</v>
      </c>
      <c r="EK267" t="s">
        <v>57</v>
      </c>
      <c r="EL267" t="s">
        <v>57</v>
      </c>
      <c r="EM267" t="s">
        <v>57</v>
      </c>
      <c r="EN267" t="s">
        <v>57</v>
      </c>
      <c r="EO267" t="s">
        <v>57</v>
      </c>
      <c r="EP267" t="s">
        <v>57</v>
      </c>
      <c r="EQ267" t="s">
        <v>57</v>
      </c>
      <c r="ER267" t="s">
        <v>57</v>
      </c>
      <c r="ES267" t="s">
        <v>57</v>
      </c>
      <c r="ET267" t="s">
        <v>57</v>
      </c>
      <c r="EU267" t="s">
        <v>57</v>
      </c>
      <c r="EV267" t="s">
        <v>57</v>
      </c>
      <c r="EW267" t="s">
        <v>148</v>
      </c>
      <c r="EX267" t="s">
        <v>148</v>
      </c>
      <c r="EY267" t="s">
        <v>148</v>
      </c>
      <c r="EZ267" t="s">
        <v>148</v>
      </c>
      <c r="FA267" t="s">
        <v>148</v>
      </c>
      <c r="FB267" t="s">
        <v>148</v>
      </c>
      <c r="FC267" t="s">
        <v>148</v>
      </c>
      <c r="FD267" t="s">
        <v>57</v>
      </c>
      <c r="FE267" t="s">
        <v>148</v>
      </c>
      <c r="FF267" t="s">
        <v>148</v>
      </c>
      <c r="FG267" t="s">
        <v>148</v>
      </c>
      <c r="FH267" t="s">
        <v>57</v>
      </c>
      <c r="FI267" t="s">
        <v>57</v>
      </c>
      <c r="FJ267" t="s">
        <v>148</v>
      </c>
      <c r="FK267" t="s">
        <v>148</v>
      </c>
      <c r="FL267" t="s">
        <v>148</v>
      </c>
      <c r="FM267" t="s">
        <v>57</v>
      </c>
      <c r="FN267" t="s">
        <v>57</v>
      </c>
      <c r="FO267" t="s">
        <v>148</v>
      </c>
      <c r="FP267" t="s">
        <v>57</v>
      </c>
      <c r="FQ267" t="s">
        <v>57</v>
      </c>
      <c r="FR267" t="s">
        <v>57</v>
      </c>
      <c r="FS267" t="s">
        <v>57</v>
      </c>
      <c r="FT267" t="s">
        <v>57</v>
      </c>
      <c r="FU267" t="s">
        <v>57</v>
      </c>
      <c r="FV267" t="s">
        <v>57</v>
      </c>
      <c r="FW267" t="s">
        <v>57</v>
      </c>
      <c r="FX267" t="s">
        <v>57</v>
      </c>
      <c r="FY267" t="s">
        <v>57</v>
      </c>
      <c r="FZ267" t="s">
        <v>57</v>
      </c>
      <c r="GA267" t="s">
        <v>57</v>
      </c>
      <c r="GB267" t="s">
        <v>57</v>
      </c>
      <c r="GC267" t="s">
        <v>57</v>
      </c>
      <c r="GD267" t="s">
        <v>57</v>
      </c>
      <c r="GE267" t="s">
        <v>57</v>
      </c>
      <c r="GF267" t="s">
        <v>57</v>
      </c>
      <c r="GG267" t="s">
        <v>148</v>
      </c>
      <c r="GH267" t="s">
        <v>57</v>
      </c>
      <c r="GI267" t="s">
        <v>57</v>
      </c>
      <c r="GJ267" t="s">
        <v>57</v>
      </c>
      <c r="GK267" t="s">
        <v>57</v>
      </c>
      <c r="GL267" t="s">
        <v>57</v>
      </c>
      <c r="GM267" t="s">
        <v>148</v>
      </c>
      <c r="GN267" t="s">
        <v>57</v>
      </c>
      <c r="GO267" t="s">
        <v>57</v>
      </c>
      <c r="GP267" t="s">
        <v>148</v>
      </c>
      <c r="GQ267" t="s">
        <v>148</v>
      </c>
      <c r="GR267" t="s">
        <v>57</v>
      </c>
      <c r="GS267" t="s">
        <v>57</v>
      </c>
      <c r="GT267" t="s">
        <v>57</v>
      </c>
      <c r="GU267" t="s">
        <v>57</v>
      </c>
      <c r="GV267" t="s">
        <v>148</v>
      </c>
      <c r="GW267" t="s">
        <v>57</v>
      </c>
      <c r="GX267" t="s">
        <v>148</v>
      </c>
      <c r="GY267" t="s">
        <v>160</v>
      </c>
      <c r="GZ267" t="s">
        <v>57</v>
      </c>
      <c r="HA267" t="s">
        <v>57</v>
      </c>
      <c r="HB267" t="s">
        <v>148</v>
      </c>
      <c r="HC267" t="s">
        <v>57</v>
      </c>
      <c r="HD267" t="s">
        <v>57</v>
      </c>
      <c r="HE267" t="s">
        <v>57</v>
      </c>
      <c r="HF267" t="s">
        <v>57</v>
      </c>
      <c r="HG267" t="s">
        <v>57</v>
      </c>
      <c r="HH267" t="s">
        <v>57</v>
      </c>
      <c r="HI267" t="s">
        <v>148</v>
      </c>
      <c r="HJ267" t="s">
        <v>148</v>
      </c>
      <c r="HK267" t="s">
        <v>148</v>
      </c>
      <c r="HL267" t="s">
        <v>57</v>
      </c>
      <c r="HM267" t="s">
        <v>57</v>
      </c>
      <c r="HN267" t="s">
        <v>57</v>
      </c>
      <c r="HO267" t="s">
        <v>57</v>
      </c>
      <c r="HP267" t="s">
        <v>57</v>
      </c>
      <c r="HQ267" t="s">
        <v>57</v>
      </c>
      <c r="HR267" t="s">
        <v>57</v>
      </c>
      <c r="HS267" t="s">
        <v>57</v>
      </c>
      <c r="HT267" t="s">
        <v>57</v>
      </c>
      <c r="HU267" t="s">
        <v>57</v>
      </c>
      <c r="HV267" t="s">
        <v>57</v>
      </c>
      <c r="HW267" t="s">
        <v>57</v>
      </c>
      <c r="HX267" t="s">
        <v>57</v>
      </c>
      <c r="HY267" t="s">
        <v>160</v>
      </c>
      <c r="HZ267" t="s">
        <v>57</v>
      </c>
      <c r="IA267" t="s">
        <v>57</v>
      </c>
      <c r="IB267" t="s">
        <v>57</v>
      </c>
      <c r="IC267" t="s">
        <v>57</v>
      </c>
      <c r="ID267" t="s">
        <v>57</v>
      </c>
      <c r="IE267" t="s">
        <v>57</v>
      </c>
      <c r="IF267" t="s">
        <v>124</v>
      </c>
      <c r="IG267" t="s">
        <v>155</v>
      </c>
      <c r="IH267" t="s">
        <v>123</v>
      </c>
      <c r="II267" t="s">
        <v>156</v>
      </c>
    </row>
    <row r="268" spans="1:243" x14ac:dyDescent="0.25">
      <c r="A268" s="201" t="str">
        <f>HYPERLINK("http://www.ofsted.gov.uk/inspection-reports/find-inspection-report/provider/ELS/143038 ","Ofsted School Webpage")</f>
        <v>Ofsted School Webpage</v>
      </c>
      <c r="B268">
        <v>143038</v>
      </c>
      <c r="C268">
        <v>3336011</v>
      </c>
      <c r="D268" t="s">
        <v>309</v>
      </c>
      <c r="E268" t="s">
        <v>36</v>
      </c>
      <c r="F268" t="s">
        <v>166</v>
      </c>
      <c r="G268" t="s">
        <v>150</v>
      </c>
      <c r="H268" t="s">
        <v>150</v>
      </c>
      <c r="I268" t="s">
        <v>310</v>
      </c>
      <c r="J268" t="s">
        <v>311</v>
      </c>
      <c r="K268" t="s">
        <v>142</v>
      </c>
      <c r="L268" t="s">
        <v>142</v>
      </c>
      <c r="M268" t="s">
        <v>2596</v>
      </c>
      <c r="N268" t="s">
        <v>143</v>
      </c>
      <c r="O268">
        <v>10033587</v>
      </c>
      <c r="P268" s="108">
        <v>43018</v>
      </c>
      <c r="Q268" s="108">
        <v>43020</v>
      </c>
      <c r="R268" s="108">
        <v>43060</v>
      </c>
      <c r="S268" t="s">
        <v>206</v>
      </c>
      <c r="T268" t="s">
        <v>154</v>
      </c>
      <c r="U268">
        <v>2</v>
      </c>
      <c r="V268">
        <v>2</v>
      </c>
      <c r="W268">
        <v>2</v>
      </c>
      <c r="X268">
        <v>2</v>
      </c>
      <c r="Y268">
        <v>2</v>
      </c>
      <c r="Z268" t="s">
        <v>2596</v>
      </c>
      <c r="AA268">
        <v>2</v>
      </c>
      <c r="AB268" t="s">
        <v>123</v>
      </c>
      <c r="AC268" t="s">
        <v>2596</v>
      </c>
      <c r="AD268" t="s">
        <v>2598</v>
      </c>
      <c r="AE268" t="s">
        <v>57</v>
      </c>
      <c r="AF268" t="s">
        <v>57</v>
      </c>
      <c r="AG268" t="s">
        <v>57</v>
      </c>
      <c r="AH268" t="s">
        <v>57</v>
      </c>
      <c r="AI268" t="s">
        <v>57</v>
      </c>
      <c r="AJ268" t="s">
        <v>57</v>
      </c>
      <c r="AK268" t="s">
        <v>57</v>
      </c>
      <c r="AL268" t="s">
        <v>57</v>
      </c>
      <c r="AM268" t="s">
        <v>57</v>
      </c>
      <c r="AN268" t="s">
        <v>57</v>
      </c>
      <c r="AO268" t="s">
        <v>57</v>
      </c>
      <c r="AP268" t="s">
        <v>57</v>
      </c>
      <c r="AQ268" t="s">
        <v>57</v>
      </c>
      <c r="AR268" t="s">
        <v>57</v>
      </c>
      <c r="AS268" t="s">
        <v>57</v>
      </c>
      <c r="AT268" t="s">
        <v>57</v>
      </c>
      <c r="AU268" t="s">
        <v>57</v>
      </c>
      <c r="AV268" t="s">
        <v>57</v>
      </c>
      <c r="AW268" t="s">
        <v>57</v>
      </c>
      <c r="AX268" t="s">
        <v>57</v>
      </c>
      <c r="AY268" t="s">
        <v>57</v>
      </c>
      <c r="AZ268" t="s">
        <v>57</v>
      </c>
      <c r="BA268" t="s">
        <v>57</v>
      </c>
      <c r="BB268" t="s">
        <v>57</v>
      </c>
      <c r="BC268" t="s">
        <v>57</v>
      </c>
      <c r="BD268" t="s">
        <v>57</v>
      </c>
      <c r="BE268" t="s">
        <v>57</v>
      </c>
      <c r="BF268" t="s">
        <v>57</v>
      </c>
      <c r="BG268" t="s">
        <v>57</v>
      </c>
      <c r="BH268" t="s">
        <v>57</v>
      </c>
      <c r="BI268" t="s">
        <v>57</v>
      </c>
      <c r="BJ268" t="s">
        <v>57</v>
      </c>
      <c r="BK268" t="s">
        <v>57</v>
      </c>
      <c r="BL268" t="s">
        <v>57</v>
      </c>
      <c r="BM268" t="s">
        <v>57</v>
      </c>
      <c r="BN268" t="s">
        <v>57</v>
      </c>
      <c r="BO268" t="s">
        <v>57</v>
      </c>
      <c r="BP268" t="s">
        <v>57</v>
      </c>
      <c r="BQ268" t="s">
        <v>57</v>
      </c>
      <c r="BR268" t="s">
        <v>57</v>
      </c>
      <c r="BS268" t="s">
        <v>57</v>
      </c>
      <c r="BT268" t="s">
        <v>57</v>
      </c>
      <c r="BU268" t="s">
        <v>57</v>
      </c>
      <c r="BV268" t="s">
        <v>57</v>
      </c>
      <c r="BW268" t="s">
        <v>57</v>
      </c>
      <c r="BX268" t="s">
        <v>57</v>
      </c>
      <c r="BY268" t="s">
        <v>57</v>
      </c>
      <c r="BZ268" t="s">
        <v>57</v>
      </c>
      <c r="CA268" t="s">
        <v>57</v>
      </c>
      <c r="CB268" t="s">
        <v>57</v>
      </c>
      <c r="CC268" t="s">
        <v>57</v>
      </c>
      <c r="CD268" t="s">
        <v>57</v>
      </c>
      <c r="CE268" t="s">
        <v>57</v>
      </c>
      <c r="CF268" t="s">
        <v>57</v>
      </c>
      <c r="CG268" t="s">
        <v>57</v>
      </c>
      <c r="CH268" t="s">
        <v>57</v>
      </c>
      <c r="CI268" t="s">
        <v>57</v>
      </c>
      <c r="CJ268" t="s">
        <v>57</v>
      </c>
      <c r="CK268" t="s">
        <v>57</v>
      </c>
      <c r="CL268" t="s">
        <v>57</v>
      </c>
      <c r="CM268" t="s">
        <v>57</v>
      </c>
      <c r="CN268" t="s">
        <v>57</v>
      </c>
      <c r="CO268" t="s">
        <v>57</v>
      </c>
      <c r="CP268" t="s">
        <v>57</v>
      </c>
      <c r="CQ268" t="s">
        <v>57</v>
      </c>
      <c r="CR268" t="s">
        <v>57</v>
      </c>
      <c r="CS268" t="s">
        <v>57</v>
      </c>
      <c r="CT268" t="s">
        <v>57</v>
      </c>
      <c r="CU268" t="s">
        <v>57</v>
      </c>
      <c r="CV268" t="s">
        <v>57</v>
      </c>
      <c r="CW268" t="s">
        <v>57</v>
      </c>
      <c r="CX268" t="s">
        <v>57</v>
      </c>
      <c r="CY268" t="s">
        <v>57</v>
      </c>
      <c r="CZ268" t="s">
        <v>57</v>
      </c>
      <c r="DA268" t="s">
        <v>57</v>
      </c>
      <c r="DB268" t="s">
        <v>57</v>
      </c>
      <c r="DC268" t="s">
        <v>57</v>
      </c>
      <c r="DD268" t="s">
        <v>57</v>
      </c>
      <c r="DE268" t="s">
        <v>57</v>
      </c>
      <c r="DF268" t="s">
        <v>57</v>
      </c>
      <c r="DG268" t="s">
        <v>57</v>
      </c>
      <c r="DH268" t="s">
        <v>57</v>
      </c>
      <c r="DI268" t="s">
        <v>57</v>
      </c>
      <c r="DJ268" t="s">
        <v>57</v>
      </c>
      <c r="DK268" t="s">
        <v>175</v>
      </c>
      <c r="DL268" t="s">
        <v>57</v>
      </c>
      <c r="DM268" t="s">
        <v>57</v>
      </c>
      <c r="DN268" t="s">
        <v>57</v>
      </c>
      <c r="DO268" t="s">
        <v>57</v>
      </c>
      <c r="DP268" t="s">
        <v>57</v>
      </c>
      <c r="DQ268" t="s">
        <v>57</v>
      </c>
      <c r="DR268" t="s">
        <v>57</v>
      </c>
      <c r="DS268" t="s">
        <v>57</v>
      </c>
      <c r="DT268" t="s">
        <v>57</v>
      </c>
      <c r="DU268" t="s">
        <v>57</v>
      </c>
      <c r="DV268" t="s">
        <v>57</v>
      </c>
      <c r="DW268" t="s">
        <v>57</v>
      </c>
      <c r="DX268" t="s">
        <v>57</v>
      </c>
      <c r="DY268" t="s">
        <v>57</v>
      </c>
      <c r="DZ268" t="s">
        <v>57</v>
      </c>
      <c r="EA268" t="s">
        <v>57</v>
      </c>
      <c r="EB268" t="s">
        <v>57</v>
      </c>
      <c r="EC268" t="s">
        <v>57</v>
      </c>
      <c r="ED268" t="s">
        <v>57</v>
      </c>
      <c r="EE268" t="s">
        <v>57</v>
      </c>
      <c r="EF268" t="s">
        <v>57</v>
      </c>
      <c r="EG268" t="s">
        <v>57</v>
      </c>
      <c r="EH268" t="s">
        <v>57</v>
      </c>
      <c r="EI268" t="s">
        <v>57</v>
      </c>
      <c r="EJ268" t="s">
        <v>57</v>
      </c>
      <c r="EK268" t="s">
        <v>57</v>
      </c>
      <c r="EL268" t="s">
        <v>57</v>
      </c>
      <c r="EM268" t="s">
        <v>57</v>
      </c>
      <c r="EN268" t="s">
        <v>57</v>
      </c>
      <c r="EO268" t="s">
        <v>57</v>
      </c>
      <c r="EP268" t="s">
        <v>57</v>
      </c>
      <c r="EQ268" t="s">
        <v>57</v>
      </c>
      <c r="ER268" t="s">
        <v>57</v>
      </c>
      <c r="ES268" t="s">
        <v>57</v>
      </c>
      <c r="ET268" t="s">
        <v>57</v>
      </c>
      <c r="EU268" t="s">
        <v>57</v>
      </c>
      <c r="EV268" t="s">
        <v>57</v>
      </c>
      <c r="EW268" t="s">
        <v>57</v>
      </c>
      <c r="EX268" t="s">
        <v>57</v>
      </c>
      <c r="EY268" t="s">
        <v>57</v>
      </c>
      <c r="EZ268" t="s">
        <v>57</v>
      </c>
      <c r="FA268" t="s">
        <v>57</v>
      </c>
      <c r="FB268" t="s">
        <v>57</v>
      </c>
      <c r="FC268" t="s">
        <v>57</v>
      </c>
      <c r="FD268" t="s">
        <v>57</v>
      </c>
      <c r="FE268" t="s">
        <v>57</v>
      </c>
      <c r="FF268" t="s">
        <v>57</v>
      </c>
      <c r="FG268" t="s">
        <v>57</v>
      </c>
      <c r="FH268" t="s">
        <v>57</v>
      </c>
      <c r="FI268" t="s">
        <v>57</v>
      </c>
      <c r="FJ268" t="s">
        <v>57</v>
      </c>
      <c r="FK268" t="s">
        <v>57</v>
      </c>
      <c r="FL268" t="s">
        <v>57</v>
      </c>
      <c r="FM268" t="s">
        <v>57</v>
      </c>
      <c r="FN268" t="s">
        <v>57</v>
      </c>
      <c r="FO268" t="s">
        <v>57</v>
      </c>
      <c r="FP268" t="s">
        <v>57</v>
      </c>
      <c r="FQ268" t="s">
        <v>57</v>
      </c>
      <c r="FR268" t="s">
        <v>57</v>
      </c>
      <c r="FS268" t="s">
        <v>57</v>
      </c>
      <c r="FT268" t="s">
        <v>57</v>
      </c>
      <c r="FU268" t="s">
        <v>57</v>
      </c>
      <c r="FV268" t="s">
        <v>57</v>
      </c>
      <c r="FW268" t="s">
        <v>57</v>
      </c>
      <c r="FX268" t="s">
        <v>57</v>
      </c>
      <c r="FY268" t="s">
        <v>57</v>
      </c>
      <c r="FZ268" t="s">
        <v>57</v>
      </c>
      <c r="GA268" t="s">
        <v>57</v>
      </c>
      <c r="GB268" t="s">
        <v>57</v>
      </c>
      <c r="GC268" t="s">
        <v>57</v>
      </c>
      <c r="GD268" t="s">
        <v>57</v>
      </c>
      <c r="GE268" t="s">
        <v>57</v>
      </c>
      <c r="GF268" t="s">
        <v>57</v>
      </c>
      <c r="GG268" t="s">
        <v>175</v>
      </c>
      <c r="GH268" t="s">
        <v>57</v>
      </c>
      <c r="GI268" t="s">
        <v>57</v>
      </c>
      <c r="GJ268" t="s">
        <v>57</v>
      </c>
      <c r="GK268" t="s">
        <v>57</v>
      </c>
      <c r="GL268" t="s">
        <v>57</v>
      </c>
      <c r="GM268" t="s">
        <v>175</v>
      </c>
      <c r="GN268" t="s">
        <v>57</v>
      </c>
      <c r="GO268" t="s">
        <v>57</v>
      </c>
      <c r="GP268" t="s">
        <v>57</v>
      </c>
      <c r="GQ268" t="s">
        <v>57</v>
      </c>
      <c r="GR268" t="s">
        <v>57</v>
      </c>
      <c r="GS268" t="s">
        <v>57</v>
      </c>
      <c r="GT268" t="s">
        <v>57</v>
      </c>
      <c r="GU268" t="s">
        <v>57</v>
      </c>
      <c r="GV268" t="s">
        <v>57</v>
      </c>
      <c r="GW268" t="s">
        <v>57</v>
      </c>
      <c r="GX268" t="s">
        <v>57</v>
      </c>
      <c r="GY268" t="s">
        <v>57</v>
      </c>
      <c r="GZ268" t="s">
        <v>57</v>
      </c>
      <c r="HA268" t="s">
        <v>57</v>
      </c>
      <c r="HB268" t="s">
        <v>57</v>
      </c>
      <c r="HC268" t="s">
        <v>57</v>
      </c>
      <c r="HD268" t="s">
        <v>57</v>
      </c>
      <c r="HE268" t="s">
        <v>57</v>
      </c>
      <c r="HF268" t="s">
        <v>57</v>
      </c>
      <c r="HG268" t="s">
        <v>57</v>
      </c>
      <c r="HH268" t="s">
        <v>57</v>
      </c>
      <c r="HI268" t="s">
        <v>57</v>
      </c>
      <c r="HJ268" t="s">
        <v>57</v>
      </c>
      <c r="HK268" t="s">
        <v>57</v>
      </c>
      <c r="HL268" t="s">
        <v>57</v>
      </c>
      <c r="HM268" t="s">
        <v>57</v>
      </c>
      <c r="HN268" t="s">
        <v>57</v>
      </c>
      <c r="HO268" t="s">
        <v>57</v>
      </c>
      <c r="HP268" t="s">
        <v>57</v>
      </c>
      <c r="HQ268" t="s">
        <v>57</v>
      </c>
      <c r="HR268" t="s">
        <v>57</v>
      </c>
      <c r="HS268" t="s">
        <v>57</v>
      </c>
      <c r="HT268" t="s">
        <v>57</v>
      </c>
      <c r="HU268" t="s">
        <v>57</v>
      </c>
      <c r="HV268" t="s">
        <v>57</v>
      </c>
      <c r="HW268" t="s">
        <v>57</v>
      </c>
      <c r="HX268" t="s">
        <v>57</v>
      </c>
      <c r="HY268" t="s">
        <v>57</v>
      </c>
      <c r="HZ268" t="s">
        <v>57</v>
      </c>
      <c r="IA268" t="s">
        <v>57</v>
      </c>
      <c r="IB268" t="s">
        <v>57</v>
      </c>
      <c r="IC268" t="s">
        <v>57</v>
      </c>
      <c r="ID268" t="s">
        <v>57</v>
      </c>
      <c r="IE268" t="s">
        <v>57</v>
      </c>
      <c r="IF268" t="s">
        <v>124</v>
      </c>
      <c r="IG268" t="s">
        <v>148</v>
      </c>
      <c r="IH268" t="s">
        <v>123</v>
      </c>
      <c r="II268" t="s">
        <v>156</v>
      </c>
    </row>
    <row r="269" spans="1:243" x14ac:dyDescent="0.25">
      <c r="A269" s="201" t="str">
        <f>HYPERLINK("http://www.ofsted.gov.uk/inspection-reports/find-inspection-report/provider/ELS/143041 ","Ofsted School Webpage")</f>
        <v>Ofsted School Webpage</v>
      </c>
      <c r="B269">
        <v>143041</v>
      </c>
      <c r="C269">
        <v>8886064</v>
      </c>
      <c r="D269" t="s">
        <v>479</v>
      </c>
      <c r="E269" t="s">
        <v>36</v>
      </c>
      <c r="F269" t="s">
        <v>166</v>
      </c>
      <c r="G269" t="s">
        <v>162</v>
      </c>
      <c r="H269" t="s">
        <v>162</v>
      </c>
      <c r="I269" t="s">
        <v>163</v>
      </c>
      <c r="J269" t="s">
        <v>480</v>
      </c>
      <c r="K269" t="s">
        <v>142</v>
      </c>
      <c r="L269" t="s">
        <v>142</v>
      </c>
      <c r="M269" t="s">
        <v>2596</v>
      </c>
      <c r="N269" t="s">
        <v>143</v>
      </c>
      <c r="O269">
        <v>10038937</v>
      </c>
      <c r="P269" s="108">
        <v>43004</v>
      </c>
      <c r="Q269" s="108">
        <v>43005</v>
      </c>
      <c r="R269" s="108">
        <v>43027</v>
      </c>
      <c r="S269" t="s">
        <v>153</v>
      </c>
      <c r="T269" t="s">
        <v>154</v>
      </c>
      <c r="U269">
        <v>2</v>
      </c>
      <c r="V269">
        <v>2</v>
      </c>
      <c r="W269">
        <v>2</v>
      </c>
      <c r="X269">
        <v>2</v>
      </c>
      <c r="Y269">
        <v>2</v>
      </c>
      <c r="Z269" t="s">
        <v>2596</v>
      </c>
      <c r="AA269" t="s">
        <v>2596</v>
      </c>
      <c r="AB269" t="s">
        <v>123</v>
      </c>
      <c r="AC269" t="s">
        <v>2596</v>
      </c>
      <c r="AD269" t="s">
        <v>2598</v>
      </c>
      <c r="AE269" t="s">
        <v>57</v>
      </c>
      <c r="AF269" t="s">
        <v>57</v>
      </c>
      <c r="AG269" t="s">
        <v>57</v>
      </c>
      <c r="AH269" t="s">
        <v>57</v>
      </c>
      <c r="AI269" t="s">
        <v>57</v>
      </c>
      <c r="AJ269" t="s">
        <v>57</v>
      </c>
      <c r="AK269" t="s">
        <v>57</v>
      </c>
      <c r="AL269" t="s">
        <v>57</v>
      </c>
      <c r="AM269" t="s">
        <v>57</v>
      </c>
      <c r="AN269" t="s">
        <v>57</v>
      </c>
      <c r="AO269" t="s">
        <v>57</v>
      </c>
      <c r="AP269" t="s">
        <v>57</v>
      </c>
      <c r="AQ269" t="s">
        <v>57</v>
      </c>
      <c r="AR269" t="s">
        <v>57</v>
      </c>
      <c r="AS269" t="s">
        <v>57</v>
      </c>
      <c r="AT269" t="s">
        <v>57</v>
      </c>
      <c r="AU269" t="s">
        <v>175</v>
      </c>
      <c r="AV269" t="s">
        <v>57</v>
      </c>
      <c r="AW269" t="s">
        <v>57</v>
      </c>
      <c r="AX269" t="s">
        <v>57</v>
      </c>
      <c r="AY269" t="s">
        <v>57</v>
      </c>
      <c r="AZ269" t="s">
        <v>57</v>
      </c>
      <c r="BA269" t="s">
        <v>57</v>
      </c>
      <c r="BB269" t="s">
        <v>57</v>
      </c>
      <c r="BC269" t="s">
        <v>175</v>
      </c>
      <c r="BD269" t="s">
        <v>175</v>
      </c>
      <c r="BE269" t="s">
        <v>57</v>
      </c>
      <c r="BF269" t="s">
        <v>57</v>
      </c>
      <c r="BG269" t="s">
        <v>57</v>
      </c>
      <c r="BH269" t="s">
        <v>57</v>
      </c>
      <c r="BI269" t="s">
        <v>57</v>
      </c>
      <c r="BJ269" t="s">
        <v>57</v>
      </c>
      <c r="BK269" t="s">
        <v>57</v>
      </c>
      <c r="BL269" t="s">
        <v>57</v>
      </c>
      <c r="BM269" t="s">
        <v>57</v>
      </c>
      <c r="BN269" t="s">
        <v>57</v>
      </c>
      <c r="BO269" t="s">
        <v>57</v>
      </c>
      <c r="BP269" t="s">
        <v>57</v>
      </c>
      <c r="BQ269" t="s">
        <v>57</v>
      </c>
      <c r="BR269" t="s">
        <v>57</v>
      </c>
      <c r="BS269" t="s">
        <v>57</v>
      </c>
      <c r="BT269" t="s">
        <v>57</v>
      </c>
      <c r="BU269" t="s">
        <v>57</v>
      </c>
      <c r="BV269" t="s">
        <v>57</v>
      </c>
      <c r="BW269" t="s">
        <v>57</v>
      </c>
      <c r="BX269" t="s">
        <v>57</v>
      </c>
      <c r="BY269" t="s">
        <v>57</v>
      </c>
      <c r="BZ269" t="s">
        <v>57</v>
      </c>
      <c r="CA269" t="s">
        <v>57</v>
      </c>
      <c r="CB269" t="s">
        <v>57</v>
      </c>
      <c r="CC269" t="s">
        <v>57</v>
      </c>
      <c r="CD269" t="s">
        <v>57</v>
      </c>
      <c r="CE269" t="s">
        <v>57</v>
      </c>
      <c r="CF269" t="s">
        <v>57</v>
      </c>
      <c r="CG269" t="s">
        <v>57</v>
      </c>
      <c r="CH269" t="s">
        <v>57</v>
      </c>
      <c r="CI269" t="s">
        <v>57</v>
      </c>
      <c r="CJ269" t="s">
        <v>57</v>
      </c>
      <c r="CK269" t="s">
        <v>57</v>
      </c>
      <c r="CL269" t="s">
        <v>175</v>
      </c>
      <c r="CM269" t="s">
        <v>175</v>
      </c>
      <c r="CN269" t="s">
        <v>57</v>
      </c>
      <c r="CO269" t="s">
        <v>57</v>
      </c>
      <c r="CP269" t="s">
        <v>57</v>
      </c>
      <c r="CQ269" t="s">
        <v>57</v>
      </c>
      <c r="CR269" t="s">
        <v>57</v>
      </c>
      <c r="CS269" t="s">
        <v>57</v>
      </c>
      <c r="CT269" t="s">
        <v>57</v>
      </c>
      <c r="CU269" t="s">
        <v>57</v>
      </c>
      <c r="CV269" t="s">
        <v>57</v>
      </c>
      <c r="CW269" t="s">
        <v>57</v>
      </c>
      <c r="CX269" t="s">
        <v>57</v>
      </c>
      <c r="CY269" t="s">
        <v>57</v>
      </c>
      <c r="CZ269" t="s">
        <v>57</v>
      </c>
      <c r="DA269" t="s">
        <v>57</v>
      </c>
      <c r="DB269" t="s">
        <v>57</v>
      </c>
      <c r="DC269" t="s">
        <v>57</v>
      </c>
      <c r="DD269" t="s">
        <v>57</v>
      </c>
      <c r="DE269" t="s">
        <v>57</v>
      </c>
      <c r="DF269" t="s">
        <v>57</v>
      </c>
      <c r="DG269" t="s">
        <v>57</v>
      </c>
      <c r="DH269" t="s">
        <v>57</v>
      </c>
      <c r="DI269" t="s">
        <v>57</v>
      </c>
      <c r="DJ269" t="s">
        <v>57</v>
      </c>
      <c r="DK269" t="s">
        <v>175</v>
      </c>
      <c r="DL269" t="s">
        <v>57</v>
      </c>
      <c r="DM269" t="s">
        <v>175</v>
      </c>
      <c r="DN269" t="s">
        <v>175</v>
      </c>
      <c r="DO269" t="s">
        <v>175</v>
      </c>
      <c r="DP269" t="s">
        <v>175</v>
      </c>
      <c r="DQ269" t="s">
        <v>175</v>
      </c>
      <c r="DR269" t="s">
        <v>175</v>
      </c>
      <c r="DS269" t="s">
        <v>175</v>
      </c>
      <c r="DT269" t="s">
        <v>57</v>
      </c>
      <c r="DU269" t="s">
        <v>175</v>
      </c>
      <c r="DV269" t="s">
        <v>175</v>
      </c>
      <c r="DW269" t="s">
        <v>57</v>
      </c>
      <c r="DX269" t="s">
        <v>175</v>
      </c>
      <c r="DY269" t="s">
        <v>175</v>
      </c>
      <c r="DZ269" t="s">
        <v>175</v>
      </c>
      <c r="EA269" t="s">
        <v>57</v>
      </c>
      <c r="EB269" t="s">
        <v>57</v>
      </c>
      <c r="EC269" t="s">
        <v>57</v>
      </c>
      <c r="ED269" t="s">
        <v>57</v>
      </c>
      <c r="EE269" t="s">
        <v>57</v>
      </c>
      <c r="EF269" t="s">
        <v>57</v>
      </c>
      <c r="EG269" t="s">
        <v>57</v>
      </c>
      <c r="EH269" t="s">
        <v>57</v>
      </c>
      <c r="EI269" t="s">
        <v>57</v>
      </c>
      <c r="EJ269" t="s">
        <v>175</v>
      </c>
      <c r="EK269" t="s">
        <v>57</v>
      </c>
      <c r="EL269" t="s">
        <v>57</v>
      </c>
      <c r="EM269" t="s">
        <v>57</v>
      </c>
      <c r="EN269" t="s">
        <v>57</v>
      </c>
      <c r="EO269" t="s">
        <v>57</v>
      </c>
      <c r="EP269" t="s">
        <v>57</v>
      </c>
      <c r="EQ269" t="s">
        <v>57</v>
      </c>
      <c r="ER269" t="s">
        <v>57</v>
      </c>
      <c r="ES269" t="s">
        <v>57</v>
      </c>
      <c r="ET269" t="s">
        <v>57</v>
      </c>
      <c r="EU269" t="s">
        <v>57</v>
      </c>
      <c r="EV269" t="s">
        <v>57</v>
      </c>
      <c r="EW269" t="s">
        <v>175</v>
      </c>
      <c r="EX269" t="s">
        <v>175</v>
      </c>
      <c r="EY269" t="s">
        <v>175</v>
      </c>
      <c r="EZ269" t="s">
        <v>175</v>
      </c>
      <c r="FA269" t="s">
        <v>175</v>
      </c>
      <c r="FB269" t="s">
        <v>175</v>
      </c>
      <c r="FC269" t="s">
        <v>175</v>
      </c>
      <c r="FD269" t="s">
        <v>175</v>
      </c>
      <c r="FE269" t="s">
        <v>175</v>
      </c>
      <c r="FF269" t="s">
        <v>148</v>
      </c>
      <c r="FG269" t="s">
        <v>175</v>
      </c>
      <c r="FH269" t="s">
        <v>57</v>
      </c>
      <c r="FI269" t="s">
        <v>57</v>
      </c>
      <c r="FJ269" t="s">
        <v>175</v>
      </c>
      <c r="FK269" t="s">
        <v>57</v>
      </c>
      <c r="FL269" t="s">
        <v>57</v>
      </c>
      <c r="FM269" t="s">
        <v>57</v>
      </c>
      <c r="FN269" t="s">
        <v>57</v>
      </c>
      <c r="FO269" t="s">
        <v>175</v>
      </c>
      <c r="FP269" t="s">
        <v>57</v>
      </c>
      <c r="FQ269" t="s">
        <v>57</v>
      </c>
      <c r="FR269" t="s">
        <v>57</v>
      </c>
      <c r="FS269" t="s">
        <v>57</v>
      </c>
      <c r="FT269" t="s">
        <v>57</v>
      </c>
      <c r="FU269" t="s">
        <v>57</v>
      </c>
      <c r="FV269" t="s">
        <v>57</v>
      </c>
      <c r="FW269" t="s">
        <v>57</v>
      </c>
      <c r="FX269" t="s">
        <v>57</v>
      </c>
      <c r="FY269" t="s">
        <v>57</v>
      </c>
      <c r="FZ269" t="s">
        <v>57</v>
      </c>
      <c r="GA269" t="s">
        <v>57</v>
      </c>
      <c r="GB269" t="s">
        <v>57</v>
      </c>
      <c r="GC269" t="s">
        <v>57</v>
      </c>
      <c r="GD269" t="s">
        <v>57</v>
      </c>
      <c r="GE269" t="s">
        <v>57</v>
      </c>
      <c r="GF269" t="s">
        <v>57</v>
      </c>
      <c r="GG269" t="s">
        <v>57</v>
      </c>
      <c r="GH269" t="s">
        <v>57</v>
      </c>
      <c r="GI269" t="s">
        <v>57</v>
      </c>
      <c r="GJ269" t="s">
        <v>57</v>
      </c>
      <c r="GK269" t="s">
        <v>57</v>
      </c>
      <c r="GL269" t="s">
        <v>57</v>
      </c>
      <c r="GM269" t="s">
        <v>57</v>
      </c>
      <c r="GN269" t="s">
        <v>57</v>
      </c>
      <c r="GO269" t="s">
        <v>57</v>
      </c>
      <c r="GP269" t="s">
        <v>57</v>
      </c>
      <c r="GQ269" t="s">
        <v>57</v>
      </c>
      <c r="GR269" t="s">
        <v>57</v>
      </c>
      <c r="GS269" t="s">
        <v>57</v>
      </c>
      <c r="GT269" t="s">
        <v>57</v>
      </c>
      <c r="GU269" t="s">
        <v>57</v>
      </c>
      <c r="GV269" t="s">
        <v>57</v>
      </c>
      <c r="GW269" t="s">
        <v>57</v>
      </c>
      <c r="GX269" t="s">
        <v>57</v>
      </c>
      <c r="GY269" t="s">
        <v>57</v>
      </c>
      <c r="GZ269" t="s">
        <v>57</v>
      </c>
      <c r="HA269" t="s">
        <v>57</v>
      </c>
      <c r="HB269" t="s">
        <v>57</v>
      </c>
      <c r="HC269" t="s">
        <v>57</v>
      </c>
      <c r="HD269" t="s">
        <v>57</v>
      </c>
      <c r="HE269" t="s">
        <v>57</v>
      </c>
      <c r="HF269" t="s">
        <v>57</v>
      </c>
      <c r="HG269" t="s">
        <v>57</v>
      </c>
      <c r="HH269" t="s">
        <v>57</v>
      </c>
      <c r="HI269" t="s">
        <v>57</v>
      </c>
      <c r="HJ269" t="s">
        <v>57</v>
      </c>
      <c r="HK269" t="s">
        <v>57</v>
      </c>
      <c r="HL269" t="s">
        <v>57</v>
      </c>
      <c r="HM269" t="s">
        <v>57</v>
      </c>
      <c r="HN269" t="s">
        <v>57</v>
      </c>
      <c r="HO269" t="s">
        <v>57</v>
      </c>
      <c r="HP269" t="s">
        <v>57</v>
      </c>
      <c r="HQ269" t="s">
        <v>57</v>
      </c>
      <c r="HR269" t="s">
        <v>57</v>
      </c>
      <c r="HS269" t="s">
        <v>57</v>
      </c>
      <c r="HT269" t="s">
        <v>57</v>
      </c>
      <c r="HU269" t="s">
        <v>57</v>
      </c>
      <c r="HV269" t="s">
        <v>57</v>
      </c>
      <c r="HW269" t="s">
        <v>57</v>
      </c>
      <c r="HX269" t="s">
        <v>57</v>
      </c>
      <c r="HY269" t="s">
        <v>57</v>
      </c>
      <c r="HZ269" t="s">
        <v>57</v>
      </c>
      <c r="IA269" t="s">
        <v>57</v>
      </c>
      <c r="IB269" t="s">
        <v>57</v>
      </c>
      <c r="IC269" t="s">
        <v>57</v>
      </c>
      <c r="ID269" t="s">
        <v>57</v>
      </c>
      <c r="IE269" t="s">
        <v>57</v>
      </c>
      <c r="IF269" t="s">
        <v>124</v>
      </c>
      <c r="IG269" t="s">
        <v>148</v>
      </c>
      <c r="IH269" t="s">
        <v>123</v>
      </c>
      <c r="II269" t="s">
        <v>156</v>
      </c>
    </row>
    <row r="270" spans="1:243" x14ac:dyDescent="0.25">
      <c r="A270" s="201" t="str">
        <f>HYPERLINK("http://www.ofsted.gov.uk/inspection-reports/find-inspection-report/provider/ELS/143042 ","Ofsted School Webpage")</f>
        <v>Ofsted School Webpage</v>
      </c>
      <c r="B270">
        <v>143042</v>
      </c>
      <c r="C270">
        <v>9316016</v>
      </c>
      <c r="D270" t="s">
        <v>471</v>
      </c>
      <c r="E270" t="s">
        <v>36</v>
      </c>
      <c r="F270" t="s">
        <v>166</v>
      </c>
      <c r="G270" t="s">
        <v>139</v>
      </c>
      <c r="H270" t="s">
        <v>139</v>
      </c>
      <c r="I270" t="s">
        <v>199</v>
      </c>
      <c r="J270" t="s">
        <v>472</v>
      </c>
      <c r="K270" t="s">
        <v>142</v>
      </c>
      <c r="L270" t="s">
        <v>142</v>
      </c>
      <c r="M270" t="s">
        <v>2596</v>
      </c>
      <c r="N270" t="s">
        <v>143</v>
      </c>
      <c r="O270">
        <v>10039170</v>
      </c>
      <c r="P270" s="108">
        <v>43004</v>
      </c>
      <c r="Q270" s="108">
        <v>43006</v>
      </c>
      <c r="R270" s="108">
        <v>43041</v>
      </c>
      <c r="S270" t="s">
        <v>206</v>
      </c>
      <c r="T270" t="s">
        <v>154</v>
      </c>
      <c r="U270">
        <v>2</v>
      </c>
      <c r="V270">
        <v>2</v>
      </c>
      <c r="W270">
        <v>2</v>
      </c>
      <c r="X270">
        <v>2</v>
      </c>
      <c r="Y270">
        <v>2</v>
      </c>
      <c r="Z270" t="s">
        <v>2596</v>
      </c>
      <c r="AA270">
        <v>2</v>
      </c>
      <c r="AB270" t="s">
        <v>123</v>
      </c>
      <c r="AC270" t="s">
        <v>2596</v>
      </c>
      <c r="AD270" t="s">
        <v>2598</v>
      </c>
      <c r="AE270" t="s">
        <v>57</v>
      </c>
      <c r="AF270" t="s">
        <v>57</v>
      </c>
      <c r="AG270" t="s">
        <v>57</v>
      </c>
      <c r="AH270" t="s">
        <v>57</v>
      </c>
      <c r="AI270" t="s">
        <v>57</v>
      </c>
      <c r="AJ270" t="s">
        <v>57</v>
      </c>
      <c r="AK270" t="s">
        <v>57</v>
      </c>
      <c r="AL270" t="s">
        <v>57</v>
      </c>
      <c r="AM270" t="s">
        <v>57</v>
      </c>
      <c r="AN270" t="s">
        <v>57</v>
      </c>
      <c r="AO270" t="s">
        <v>57</v>
      </c>
      <c r="AP270" t="s">
        <v>57</v>
      </c>
      <c r="AQ270" t="s">
        <v>57</v>
      </c>
      <c r="AR270" t="s">
        <v>57</v>
      </c>
      <c r="AS270" t="s">
        <v>57</v>
      </c>
      <c r="AT270" t="s">
        <v>57</v>
      </c>
      <c r="AU270" t="s">
        <v>175</v>
      </c>
      <c r="AV270" t="s">
        <v>57</v>
      </c>
      <c r="AW270" t="s">
        <v>57</v>
      </c>
      <c r="AX270" t="s">
        <v>57</v>
      </c>
      <c r="AY270" t="s">
        <v>57</v>
      </c>
      <c r="AZ270" t="s">
        <v>57</v>
      </c>
      <c r="BA270" t="s">
        <v>57</v>
      </c>
      <c r="BB270" t="s">
        <v>57</v>
      </c>
      <c r="BC270" t="s">
        <v>57</v>
      </c>
      <c r="BD270" t="s">
        <v>57</v>
      </c>
      <c r="BE270" t="s">
        <v>57</v>
      </c>
      <c r="BF270" t="s">
        <v>57</v>
      </c>
      <c r="BG270" t="s">
        <v>57</v>
      </c>
      <c r="BH270" t="s">
        <v>57</v>
      </c>
      <c r="BI270" t="s">
        <v>57</v>
      </c>
      <c r="BJ270" t="s">
        <v>57</v>
      </c>
      <c r="BK270" t="s">
        <v>57</v>
      </c>
      <c r="BL270" t="s">
        <v>57</v>
      </c>
      <c r="BM270" t="s">
        <v>57</v>
      </c>
      <c r="BN270" t="s">
        <v>57</v>
      </c>
      <c r="BO270" t="s">
        <v>57</v>
      </c>
      <c r="BP270" t="s">
        <v>57</v>
      </c>
      <c r="BQ270" t="s">
        <v>57</v>
      </c>
      <c r="BR270" t="s">
        <v>57</v>
      </c>
      <c r="BS270" t="s">
        <v>57</v>
      </c>
      <c r="BT270" t="s">
        <v>57</v>
      </c>
      <c r="BU270" t="s">
        <v>57</v>
      </c>
      <c r="BV270" t="s">
        <v>57</v>
      </c>
      <c r="BW270" t="s">
        <v>57</v>
      </c>
      <c r="BX270" t="s">
        <v>57</v>
      </c>
      <c r="BY270" t="s">
        <v>57</v>
      </c>
      <c r="BZ270" t="s">
        <v>57</v>
      </c>
      <c r="CA270" t="s">
        <v>57</v>
      </c>
      <c r="CB270" t="s">
        <v>57</v>
      </c>
      <c r="CC270" t="s">
        <v>57</v>
      </c>
      <c r="CD270" t="s">
        <v>57</v>
      </c>
      <c r="CE270" t="s">
        <v>57</v>
      </c>
      <c r="CF270" t="s">
        <v>57</v>
      </c>
      <c r="CG270" t="s">
        <v>57</v>
      </c>
      <c r="CH270" t="s">
        <v>57</v>
      </c>
      <c r="CI270" t="s">
        <v>57</v>
      </c>
      <c r="CJ270" t="s">
        <v>57</v>
      </c>
      <c r="CK270" t="s">
        <v>175</v>
      </c>
      <c r="CL270" t="s">
        <v>175</v>
      </c>
      <c r="CM270" t="s">
        <v>175</v>
      </c>
      <c r="CN270" t="s">
        <v>57</v>
      </c>
      <c r="CO270" t="s">
        <v>57</v>
      </c>
      <c r="CP270" t="s">
        <v>57</v>
      </c>
      <c r="CQ270" t="s">
        <v>57</v>
      </c>
      <c r="CR270" t="s">
        <v>57</v>
      </c>
      <c r="CS270" t="s">
        <v>57</v>
      </c>
      <c r="CT270" t="s">
        <v>57</v>
      </c>
      <c r="CU270" t="s">
        <v>57</v>
      </c>
      <c r="CV270" t="s">
        <v>57</v>
      </c>
      <c r="CW270" t="s">
        <v>57</v>
      </c>
      <c r="CX270" t="s">
        <v>57</v>
      </c>
      <c r="CY270" t="s">
        <v>57</v>
      </c>
      <c r="CZ270" t="s">
        <v>57</v>
      </c>
      <c r="DA270" t="s">
        <v>57</v>
      </c>
      <c r="DB270" t="s">
        <v>57</v>
      </c>
      <c r="DC270" t="s">
        <v>57</v>
      </c>
      <c r="DD270" t="s">
        <v>57</v>
      </c>
      <c r="DE270" t="s">
        <v>57</v>
      </c>
      <c r="DF270" t="s">
        <v>57</v>
      </c>
      <c r="DG270" t="s">
        <v>57</v>
      </c>
      <c r="DH270" t="s">
        <v>57</v>
      </c>
      <c r="DI270" t="s">
        <v>57</v>
      </c>
      <c r="DJ270" t="s">
        <v>57</v>
      </c>
      <c r="DK270" t="s">
        <v>175</v>
      </c>
      <c r="DL270" t="s">
        <v>57</v>
      </c>
      <c r="DM270" t="s">
        <v>57</v>
      </c>
      <c r="DN270" t="s">
        <v>57</v>
      </c>
      <c r="DO270" t="s">
        <v>57</v>
      </c>
      <c r="DP270" t="s">
        <v>57</v>
      </c>
      <c r="DQ270" t="s">
        <v>57</v>
      </c>
      <c r="DR270" t="s">
        <v>57</v>
      </c>
      <c r="DS270" t="s">
        <v>57</v>
      </c>
      <c r="DT270" t="s">
        <v>57</v>
      </c>
      <c r="DU270" t="s">
        <v>57</v>
      </c>
      <c r="DV270" t="s">
        <v>57</v>
      </c>
      <c r="DW270" t="s">
        <v>57</v>
      </c>
      <c r="DX270" t="s">
        <v>57</v>
      </c>
      <c r="DY270" t="s">
        <v>57</v>
      </c>
      <c r="DZ270" t="s">
        <v>57</v>
      </c>
      <c r="EA270" t="s">
        <v>57</v>
      </c>
      <c r="EB270" t="s">
        <v>57</v>
      </c>
      <c r="EC270" t="s">
        <v>57</v>
      </c>
      <c r="ED270" t="s">
        <v>57</v>
      </c>
      <c r="EE270" t="s">
        <v>57</v>
      </c>
      <c r="EF270" t="s">
        <v>57</v>
      </c>
      <c r="EG270" t="s">
        <v>57</v>
      </c>
      <c r="EH270" t="s">
        <v>57</v>
      </c>
      <c r="EI270" t="s">
        <v>57</v>
      </c>
      <c r="EJ270" t="s">
        <v>57</v>
      </c>
      <c r="EK270" t="s">
        <v>57</v>
      </c>
      <c r="EL270" t="s">
        <v>57</v>
      </c>
      <c r="EM270" t="s">
        <v>57</v>
      </c>
      <c r="EN270" t="s">
        <v>57</v>
      </c>
      <c r="EO270" t="s">
        <v>57</v>
      </c>
      <c r="EP270" t="s">
        <v>57</v>
      </c>
      <c r="EQ270" t="s">
        <v>57</v>
      </c>
      <c r="ER270" t="s">
        <v>57</v>
      </c>
      <c r="ES270" t="s">
        <v>57</v>
      </c>
      <c r="ET270" t="s">
        <v>57</v>
      </c>
      <c r="EU270" t="s">
        <v>57</v>
      </c>
      <c r="EV270" t="s">
        <v>57</v>
      </c>
      <c r="EW270" t="s">
        <v>175</v>
      </c>
      <c r="EX270" t="s">
        <v>175</v>
      </c>
      <c r="EY270" t="s">
        <v>175</v>
      </c>
      <c r="EZ270" t="s">
        <v>175</v>
      </c>
      <c r="FA270" t="s">
        <v>175</v>
      </c>
      <c r="FB270" t="s">
        <v>175</v>
      </c>
      <c r="FC270" t="s">
        <v>175</v>
      </c>
      <c r="FD270" t="s">
        <v>57</v>
      </c>
      <c r="FE270" t="s">
        <v>57</v>
      </c>
      <c r="FF270" t="s">
        <v>57</v>
      </c>
      <c r="FG270" t="s">
        <v>57</v>
      </c>
      <c r="FH270" t="s">
        <v>57</v>
      </c>
      <c r="FI270" t="s">
        <v>57</v>
      </c>
      <c r="FJ270" t="s">
        <v>57</v>
      </c>
      <c r="FK270" t="s">
        <v>57</v>
      </c>
      <c r="FL270" t="s">
        <v>57</v>
      </c>
      <c r="FM270" t="s">
        <v>57</v>
      </c>
      <c r="FN270" t="s">
        <v>57</v>
      </c>
      <c r="FO270" t="s">
        <v>175</v>
      </c>
      <c r="FP270" t="s">
        <v>57</v>
      </c>
      <c r="FQ270" t="s">
        <v>57</v>
      </c>
      <c r="FR270" t="s">
        <v>57</v>
      </c>
      <c r="FS270" t="s">
        <v>57</v>
      </c>
      <c r="FT270" t="s">
        <v>57</v>
      </c>
      <c r="FU270" t="s">
        <v>57</v>
      </c>
      <c r="FV270" t="s">
        <v>57</v>
      </c>
      <c r="FW270" t="s">
        <v>57</v>
      </c>
      <c r="FX270" t="s">
        <v>57</v>
      </c>
      <c r="FY270" t="s">
        <v>57</v>
      </c>
      <c r="FZ270" t="s">
        <v>57</v>
      </c>
      <c r="GA270" t="s">
        <v>57</v>
      </c>
      <c r="GB270" t="s">
        <v>57</v>
      </c>
      <c r="GC270" t="s">
        <v>57</v>
      </c>
      <c r="GD270" t="s">
        <v>57</v>
      </c>
      <c r="GE270" t="s">
        <v>57</v>
      </c>
      <c r="GF270" t="s">
        <v>57</v>
      </c>
      <c r="GG270" t="s">
        <v>175</v>
      </c>
      <c r="GH270" t="s">
        <v>57</v>
      </c>
      <c r="GI270" t="s">
        <v>57</v>
      </c>
      <c r="GJ270" t="s">
        <v>57</v>
      </c>
      <c r="GK270" t="s">
        <v>57</v>
      </c>
      <c r="GL270" t="s">
        <v>57</v>
      </c>
      <c r="GM270" t="s">
        <v>57</v>
      </c>
      <c r="GN270" t="s">
        <v>57</v>
      </c>
      <c r="GO270" t="s">
        <v>57</v>
      </c>
      <c r="GP270" t="s">
        <v>175</v>
      </c>
      <c r="GQ270" t="s">
        <v>175</v>
      </c>
      <c r="GR270" t="s">
        <v>57</v>
      </c>
      <c r="GS270" t="s">
        <v>57</v>
      </c>
      <c r="GT270" t="s">
        <v>57</v>
      </c>
      <c r="GU270" t="s">
        <v>57</v>
      </c>
      <c r="GV270" t="s">
        <v>57</v>
      </c>
      <c r="GW270" t="s">
        <v>57</v>
      </c>
      <c r="GX270" t="s">
        <v>175</v>
      </c>
      <c r="GY270" t="s">
        <v>57</v>
      </c>
      <c r="GZ270" t="s">
        <v>57</v>
      </c>
      <c r="HA270" t="s">
        <v>57</v>
      </c>
      <c r="HB270" t="s">
        <v>175</v>
      </c>
      <c r="HC270" t="s">
        <v>57</v>
      </c>
      <c r="HD270" t="s">
        <v>57</v>
      </c>
      <c r="HE270" t="s">
        <v>57</v>
      </c>
      <c r="HF270" t="s">
        <v>57</v>
      </c>
      <c r="HG270" t="s">
        <v>57</v>
      </c>
      <c r="HH270" t="s">
        <v>57</v>
      </c>
      <c r="HI270" t="s">
        <v>57</v>
      </c>
      <c r="HJ270" t="s">
        <v>57</v>
      </c>
      <c r="HK270" t="s">
        <v>57</v>
      </c>
      <c r="HL270" t="s">
        <v>57</v>
      </c>
      <c r="HM270" t="s">
        <v>57</v>
      </c>
      <c r="HN270" t="s">
        <v>57</v>
      </c>
      <c r="HO270" t="s">
        <v>57</v>
      </c>
      <c r="HP270" t="s">
        <v>57</v>
      </c>
      <c r="HQ270" t="s">
        <v>57</v>
      </c>
      <c r="HR270" t="s">
        <v>57</v>
      </c>
      <c r="HS270" t="s">
        <v>57</v>
      </c>
      <c r="HT270" t="s">
        <v>57</v>
      </c>
      <c r="HU270" t="s">
        <v>57</v>
      </c>
      <c r="HV270" t="s">
        <v>57</v>
      </c>
      <c r="HW270" t="s">
        <v>57</v>
      </c>
      <c r="HX270" t="s">
        <v>57</v>
      </c>
      <c r="HY270" t="s">
        <v>57</v>
      </c>
      <c r="HZ270" t="s">
        <v>57</v>
      </c>
      <c r="IA270" t="s">
        <v>57</v>
      </c>
      <c r="IB270" t="s">
        <v>57</v>
      </c>
      <c r="IC270" t="s">
        <v>57</v>
      </c>
      <c r="ID270" t="s">
        <v>57</v>
      </c>
      <c r="IE270" t="s">
        <v>57</v>
      </c>
      <c r="IF270" t="s">
        <v>123</v>
      </c>
      <c r="IG270" t="s">
        <v>123</v>
      </c>
      <c r="IH270" t="s">
        <v>123</v>
      </c>
      <c r="II270" t="s">
        <v>156</v>
      </c>
    </row>
    <row r="271" spans="1:243" x14ac:dyDescent="0.25">
      <c r="A271" s="201" t="str">
        <f>HYPERLINK("http://www.ofsted.gov.uk/inspection-reports/find-inspection-report/provider/ELS/143048 ","Ofsted School Webpage")</f>
        <v>Ofsted School Webpage</v>
      </c>
      <c r="B271">
        <v>143048</v>
      </c>
      <c r="C271">
        <v>3186007</v>
      </c>
      <c r="D271" t="s">
        <v>2558</v>
      </c>
      <c r="E271" t="s">
        <v>36</v>
      </c>
      <c r="F271" t="s">
        <v>166</v>
      </c>
      <c r="G271" t="s">
        <v>189</v>
      </c>
      <c r="H271" t="s">
        <v>189</v>
      </c>
      <c r="I271" t="s">
        <v>190</v>
      </c>
      <c r="J271" t="s">
        <v>2559</v>
      </c>
      <c r="K271" t="s">
        <v>142</v>
      </c>
      <c r="L271" t="s">
        <v>142</v>
      </c>
      <c r="M271" t="s">
        <v>2596</v>
      </c>
      <c r="N271" t="s">
        <v>143</v>
      </c>
      <c r="O271">
        <v>10041013</v>
      </c>
      <c r="P271" s="108">
        <v>43060</v>
      </c>
      <c r="Q271" s="108">
        <v>43062</v>
      </c>
      <c r="R271" s="108">
        <v>43091</v>
      </c>
      <c r="S271" t="s">
        <v>206</v>
      </c>
      <c r="T271" t="s">
        <v>154</v>
      </c>
      <c r="U271">
        <v>2</v>
      </c>
      <c r="V271">
        <v>2</v>
      </c>
      <c r="W271">
        <v>2</v>
      </c>
      <c r="X271">
        <v>2</v>
      </c>
      <c r="Y271">
        <v>2</v>
      </c>
      <c r="Z271" t="s">
        <v>2596</v>
      </c>
      <c r="AA271" t="s">
        <v>2596</v>
      </c>
      <c r="AB271" t="s">
        <v>123</v>
      </c>
      <c r="AC271" t="s">
        <v>2596</v>
      </c>
      <c r="AD271" t="s">
        <v>2598</v>
      </c>
      <c r="AE271" t="s">
        <v>57</v>
      </c>
      <c r="AF271" t="s">
        <v>57</v>
      </c>
      <c r="AG271" t="s">
        <v>57</v>
      </c>
      <c r="AH271" t="s">
        <v>57</v>
      </c>
      <c r="AI271" t="s">
        <v>57</v>
      </c>
      <c r="AJ271" t="s">
        <v>57</v>
      </c>
      <c r="AK271" t="s">
        <v>57</v>
      </c>
      <c r="AL271" t="s">
        <v>57</v>
      </c>
      <c r="AM271" t="s">
        <v>57</v>
      </c>
      <c r="AN271" t="s">
        <v>57</v>
      </c>
      <c r="AO271" t="s">
        <v>57</v>
      </c>
      <c r="AP271" t="s">
        <v>57</v>
      </c>
      <c r="AQ271" t="s">
        <v>57</v>
      </c>
      <c r="AR271" t="s">
        <v>57</v>
      </c>
      <c r="AS271" t="s">
        <v>57</v>
      </c>
      <c r="AT271" t="s">
        <v>57</v>
      </c>
      <c r="AU271" t="s">
        <v>57</v>
      </c>
      <c r="AV271" t="s">
        <v>57</v>
      </c>
      <c r="AW271" t="s">
        <v>57</v>
      </c>
      <c r="AX271" t="s">
        <v>57</v>
      </c>
      <c r="AY271" t="s">
        <v>175</v>
      </c>
      <c r="AZ271" t="s">
        <v>175</v>
      </c>
      <c r="BA271" t="s">
        <v>175</v>
      </c>
      <c r="BB271" t="s">
        <v>175</v>
      </c>
      <c r="BC271" t="s">
        <v>175</v>
      </c>
      <c r="BD271" t="s">
        <v>175</v>
      </c>
      <c r="BE271" t="s">
        <v>57</v>
      </c>
      <c r="BF271" t="s">
        <v>57</v>
      </c>
      <c r="BG271" t="s">
        <v>57</v>
      </c>
      <c r="BH271" t="s">
        <v>57</v>
      </c>
      <c r="BI271" t="s">
        <v>57</v>
      </c>
      <c r="BJ271" t="s">
        <v>57</v>
      </c>
      <c r="BK271" t="s">
        <v>57</v>
      </c>
      <c r="BL271" t="s">
        <v>57</v>
      </c>
      <c r="BM271" t="s">
        <v>57</v>
      </c>
      <c r="BN271" t="s">
        <v>57</v>
      </c>
      <c r="BO271" t="s">
        <v>57</v>
      </c>
      <c r="BP271" t="s">
        <v>57</v>
      </c>
      <c r="BQ271" t="s">
        <v>57</v>
      </c>
      <c r="BR271" t="s">
        <v>57</v>
      </c>
      <c r="BS271" t="s">
        <v>57</v>
      </c>
      <c r="BT271" t="s">
        <v>57</v>
      </c>
      <c r="BU271" t="s">
        <v>2596</v>
      </c>
      <c r="BV271" t="s">
        <v>57</v>
      </c>
      <c r="BW271" t="s">
        <v>57</v>
      </c>
      <c r="BX271" t="s">
        <v>57</v>
      </c>
      <c r="BY271" t="s">
        <v>57</v>
      </c>
      <c r="BZ271" t="s">
        <v>57</v>
      </c>
      <c r="CA271" t="s">
        <v>57</v>
      </c>
      <c r="CB271" t="s">
        <v>57</v>
      </c>
      <c r="CC271" t="s">
        <v>57</v>
      </c>
      <c r="CD271" t="s">
        <v>57</v>
      </c>
      <c r="CE271" t="s">
        <v>57</v>
      </c>
      <c r="CF271" t="s">
        <v>57</v>
      </c>
      <c r="CG271" t="s">
        <v>57</v>
      </c>
      <c r="CH271" t="s">
        <v>57</v>
      </c>
      <c r="CI271" t="s">
        <v>57</v>
      </c>
      <c r="CJ271" t="s">
        <v>57</v>
      </c>
      <c r="CK271" t="s">
        <v>57</v>
      </c>
      <c r="CL271" t="s">
        <v>175</v>
      </c>
      <c r="CM271" t="s">
        <v>175</v>
      </c>
      <c r="CN271" t="s">
        <v>57</v>
      </c>
      <c r="CO271" t="s">
        <v>57</v>
      </c>
      <c r="CP271" t="s">
        <v>57</v>
      </c>
      <c r="CQ271" t="s">
        <v>2596</v>
      </c>
      <c r="CR271" t="s">
        <v>57</v>
      </c>
      <c r="CS271" t="s">
        <v>57</v>
      </c>
      <c r="CT271" t="s">
        <v>57</v>
      </c>
      <c r="CU271" t="s">
        <v>57</v>
      </c>
      <c r="CV271" t="s">
        <v>57</v>
      </c>
      <c r="CW271" t="s">
        <v>57</v>
      </c>
      <c r="CX271" t="s">
        <v>57</v>
      </c>
      <c r="CY271" t="s">
        <v>57</v>
      </c>
      <c r="CZ271" t="s">
        <v>57</v>
      </c>
      <c r="DA271" t="s">
        <v>57</v>
      </c>
      <c r="DB271" t="s">
        <v>57</v>
      </c>
      <c r="DC271" t="s">
        <v>57</v>
      </c>
      <c r="DD271" t="s">
        <v>57</v>
      </c>
      <c r="DE271" t="s">
        <v>57</v>
      </c>
      <c r="DF271" t="s">
        <v>57</v>
      </c>
      <c r="DG271" t="s">
        <v>57</v>
      </c>
      <c r="DH271" t="s">
        <v>57</v>
      </c>
      <c r="DI271" t="s">
        <v>57</v>
      </c>
      <c r="DJ271" t="s">
        <v>57</v>
      </c>
      <c r="DK271" t="s">
        <v>175</v>
      </c>
      <c r="DL271" t="s">
        <v>57</v>
      </c>
      <c r="DM271" t="s">
        <v>57</v>
      </c>
      <c r="DN271" t="s">
        <v>57</v>
      </c>
      <c r="DO271" t="s">
        <v>57</v>
      </c>
      <c r="DP271" t="s">
        <v>57</v>
      </c>
      <c r="DQ271" t="s">
        <v>57</v>
      </c>
      <c r="DR271" t="s">
        <v>57</v>
      </c>
      <c r="DS271" t="s">
        <v>57</v>
      </c>
      <c r="DT271" t="s">
        <v>57</v>
      </c>
      <c r="DU271" t="s">
        <v>57</v>
      </c>
      <c r="DV271" t="s">
        <v>57</v>
      </c>
      <c r="DW271" t="s">
        <v>57</v>
      </c>
      <c r="DX271" t="s">
        <v>57</v>
      </c>
      <c r="DY271" t="s">
        <v>2596</v>
      </c>
      <c r="DZ271" t="s">
        <v>57</v>
      </c>
      <c r="EA271" t="s">
        <v>57</v>
      </c>
      <c r="EB271" t="s">
        <v>57</v>
      </c>
      <c r="EC271" t="s">
        <v>57</v>
      </c>
      <c r="ED271" t="s">
        <v>57</v>
      </c>
      <c r="EE271" t="s">
        <v>57</v>
      </c>
      <c r="EF271" t="s">
        <v>57</v>
      </c>
      <c r="EG271" t="s">
        <v>57</v>
      </c>
      <c r="EH271" t="s">
        <v>57</v>
      </c>
      <c r="EI271" t="s">
        <v>57</v>
      </c>
      <c r="EJ271" t="s">
        <v>57</v>
      </c>
      <c r="EK271" t="s">
        <v>57</v>
      </c>
      <c r="EL271" t="s">
        <v>57</v>
      </c>
      <c r="EM271" t="s">
        <v>57</v>
      </c>
      <c r="EN271" t="s">
        <v>57</v>
      </c>
      <c r="EO271" t="s">
        <v>57</v>
      </c>
      <c r="EP271" t="s">
        <v>57</v>
      </c>
      <c r="EQ271" t="s">
        <v>57</v>
      </c>
      <c r="ER271" t="s">
        <v>57</v>
      </c>
      <c r="ES271" t="s">
        <v>57</v>
      </c>
      <c r="ET271" t="s">
        <v>57</v>
      </c>
      <c r="EU271" t="s">
        <v>57</v>
      </c>
      <c r="EV271" t="s">
        <v>57</v>
      </c>
      <c r="EW271" t="s">
        <v>57</v>
      </c>
      <c r="EX271" t="s">
        <v>57</v>
      </c>
      <c r="EY271" t="s">
        <v>57</v>
      </c>
      <c r="EZ271" t="s">
        <v>57</v>
      </c>
      <c r="FA271" t="s">
        <v>57</v>
      </c>
      <c r="FB271" t="s">
        <v>57</v>
      </c>
      <c r="FC271" t="s">
        <v>57</v>
      </c>
      <c r="FD271" t="s">
        <v>57</v>
      </c>
      <c r="FE271" t="s">
        <v>57</v>
      </c>
      <c r="FF271" t="s">
        <v>57</v>
      </c>
      <c r="FG271" t="s">
        <v>57</v>
      </c>
      <c r="FH271" t="s">
        <v>57</v>
      </c>
      <c r="FI271" t="s">
        <v>57</v>
      </c>
      <c r="FJ271" t="s">
        <v>57</v>
      </c>
      <c r="FK271" t="s">
        <v>175</v>
      </c>
      <c r="FL271" t="s">
        <v>57</v>
      </c>
      <c r="FM271" t="s">
        <v>57</v>
      </c>
      <c r="FN271" t="s">
        <v>57</v>
      </c>
      <c r="FO271" t="s">
        <v>175</v>
      </c>
      <c r="FP271" t="s">
        <v>57</v>
      </c>
      <c r="FQ271" t="s">
        <v>57</v>
      </c>
      <c r="FR271" t="s">
        <v>57</v>
      </c>
      <c r="FS271" t="s">
        <v>57</v>
      </c>
      <c r="FT271" t="s">
        <v>57</v>
      </c>
      <c r="FU271" t="s">
        <v>57</v>
      </c>
      <c r="FV271" t="s">
        <v>57</v>
      </c>
      <c r="FW271" t="s">
        <v>57</v>
      </c>
      <c r="FX271" t="s">
        <v>57</v>
      </c>
      <c r="FY271" t="s">
        <v>57</v>
      </c>
      <c r="FZ271" t="s">
        <v>57</v>
      </c>
      <c r="GA271" t="s">
        <v>57</v>
      </c>
      <c r="GB271" t="s">
        <v>57</v>
      </c>
      <c r="GC271" t="s">
        <v>57</v>
      </c>
      <c r="GD271" t="s">
        <v>57</v>
      </c>
      <c r="GE271" t="s">
        <v>57</v>
      </c>
      <c r="GF271" t="s">
        <v>57</v>
      </c>
      <c r="GG271" t="s">
        <v>175</v>
      </c>
      <c r="GH271" t="s">
        <v>57</v>
      </c>
      <c r="GI271" t="s">
        <v>57</v>
      </c>
      <c r="GJ271" t="s">
        <v>57</v>
      </c>
      <c r="GK271" t="s">
        <v>57</v>
      </c>
      <c r="GL271" t="s">
        <v>57</v>
      </c>
      <c r="GM271" t="s">
        <v>57</v>
      </c>
      <c r="GN271" t="s">
        <v>57</v>
      </c>
      <c r="GO271" t="s">
        <v>57</v>
      </c>
      <c r="GP271" t="s">
        <v>175</v>
      </c>
      <c r="GQ271" t="s">
        <v>175</v>
      </c>
      <c r="GR271" t="s">
        <v>57</v>
      </c>
      <c r="GS271" t="s">
        <v>57</v>
      </c>
      <c r="GT271" t="s">
        <v>57</v>
      </c>
      <c r="GU271" t="s">
        <v>57</v>
      </c>
      <c r="GV271" t="s">
        <v>175</v>
      </c>
      <c r="GW271" t="s">
        <v>57</v>
      </c>
      <c r="GX271" t="s">
        <v>57</v>
      </c>
      <c r="GY271" t="s">
        <v>57</v>
      </c>
      <c r="GZ271" t="s">
        <v>57</v>
      </c>
      <c r="HA271" t="s">
        <v>57</v>
      </c>
      <c r="HB271" t="s">
        <v>57</v>
      </c>
      <c r="HC271" t="s">
        <v>57</v>
      </c>
      <c r="HD271" t="s">
        <v>57</v>
      </c>
      <c r="HE271" t="s">
        <v>57</v>
      </c>
      <c r="HF271" t="s">
        <v>57</v>
      </c>
      <c r="HG271" t="s">
        <v>57</v>
      </c>
      <c r="HH271" t="s">
        <v>57</v>
      </c>
      <c r="HI271" t="s">
        <v>57</v>
      </c>
      <c r="HJ271" t="s">
        <v>57</v>
      </c>
      <c r="HK271" t="s">
        <v>57</v>
      </c>
      <c r="HL271" t="s">
        <v>57</v>
      </c>
      <c r="HM271" t="s">
        <v>57</v>
      </c>
      <c r="HN271" t="s">
        <v>57</v>
      </c>
      <c r="HO271" t="s">
        <v>57</v>
      </c>
      <c r="HP271" t="s">
        <v>57</v>
      </c>
      <c r="HQ271" t="s">
        <v>57</v>
      </c>
      <c r="HR271" t="s">
        <v>57</v>
      </c>
      <c r="HS271" t="s">
        <v>57</v>
      </c>
      <c r="HT271" t="s">
        <v>57</v>
      </c>
      <c r="HU271" t="s">
        <v>57</v>
      </c>
      <c r="HV271" t="s">
        <v>57</v>
      </c>
      <c r="HW271" t="s">
        <v>57</v>
      </c>
      <c r="HX271" t="s">
        <v>57</v>
      </c>
      <c r="HY271" t="s">
        <v>57</v>
      </c>
      <c r="HZ271" t="s">
        <v>57</v>
      </c>
      <c r="IA271" t="s">
        <v>57</v>
      </c>
      <c r="IB271" t="s">
        <v>57</v>
      </c>
      <c r="IC271" t="s">
        <v>57</v>
      </c>
      <c r="ID271" t="s">
        <v>57</v>
      </c>
      <c r="IE271" t="s">
        <v>57</v>
      </c>
      <c r="IF271" t="s">
        <v>124</v>
      </c>
      <c r="IG271" t="s">
        <v>148</v>
      </c>
      <c r="IH271" t="s">
        <v>123</v>
      </c>
      <c r="II271" t="s">
        <v>156</v>
      </c>
    </row>
    <row r="272" spans="1:243" x14ac:dyDescent="0.25">
      <c r="A272" s="201" t="str">
        <f>HYPERLINK("http://www.ofsted.gov.uk/inspection-reports/find-inspection-report/provider/ELS/143049 ","Ofsted School Webpage")</f>
        <v>Ofsted School Webpage</v>
      </c>
      <c r="B272">
        <v>143049</v>
      </c>
      <c r="C272">
        <v>3926005</v>
      </c>
      <c r="D272" t="s">
        <v>2560</v>
      </c>
      <c r="E272" t="s">
        <v>36</v>
      </c>
      <c r="F272" t="s">
        <v>166</v>
      </c>
      <c r="G272" t="s">
        <v>202</v>
      </c>
      <c r="H272" t="s">
        <v>234</v>
      </c>
      <c r="I272" t="s">
        <v>789</v>
      </c>
      <c r="J272" t="s">
        <v>2561</v>
      </c>
      <c r="K272" t="s">
        <v>142</v>
      </c>
      <c r="L272" t="s">
        <v>142</v>
      </c>
      <c r="M272" t="s">
        <v>2596</v>
      </c>
      <c r="N272" t="s">
        <v>143</v>
      </c>
      <c r="O272">
        <v>10043660</v>
      </c>
      <c r="P272" s="108">
        <v>43137</v>
      </c>
      <c r="Q272" s="108">
        <v>43138</v>
      </c>
      <c r="R272" s="108">
        <v>43174</v>
      </c>
      <c r="S272" t="s">
        <v>206</v>
      </c>
      <c r="T272" t="s">
        <v>154</v>
      </c>
      <c r="U272">
        <v>2</v>
      </c>
      <c r="V272">
        <v>1</v>
      </c>
      <c r="W272">
        <v>2</v>
      </c>
      <c r="X272">
        <v>2</v>
      </c>
      <c r="Y272">
        <v>2</v>
      </c>
      <c r="Z272" t="s">
        <v>2596</v>
      </c>
      <c r="AA272" t="s">
        <v>2596</v>
      </c>
      <c r="AB272" t="s">
        <v>123</v>
      </c>
      <c r="AC272" t="s">
        <v>2596</v>
      </c>
      <c r="AD272" t="s">
        <v>2598</v>
      </c>
      <c r="AE272" t="s">
        <v>57</v>
      </c>
      <c r="AF272" t="s">
        <v>57</v>
      </c>
      <c r="AG272" t="s">
        <v>57</v>
      </c>
      <c r="AH272" t="s">
        <v>57</v>
      </c>
      <c r="AI272" t="s">
        <v>57</v>
      </c>
      <c r="AJ272" t="s">
        <v>57</v>
      </c>
      <c r="AK272" t="s">
        <v>57</v>
      </c>
      <c r="AL272" t="s">
        <v>57</v>
      </c>
      <c r="AM272" t="s">
        <v>57</v>
      </c>
      <c r="AN272" t="s">
        <v>57</v>
      </c>
      <c r="AO272" t="s">
        <v>57</v>
      </c>
      <c r="AP272" t="s">
        <v>57</v>
      </c>
      <c r="AQ272" t="s">
        <v>57</v>
      </c>
      <c r="AR272" t="s">
        <v>57</v>
      </c>
      <c r="AS272" t="s">
        <v>57</v>
      </c>
      <c r="AT272" t="s">
        <v>57</v>
      </c>
      <c r="AU272" t="s">
        <v>175</v>
      </c>
      <c r="AV272" t="s">
        <v>57</v>
      </c>
      <c r="AW272" t="s">
        <v>57</v>
      </c>
      <c r="AX272" t="s">
        <v>57</v>
      </c>
      <c r="AY272" t="s">
        <v>57</v>
      </c>
      <c r="AZ272" t="s">
        <v>57</v>
      </c>
      <c r="BA272" t="s">
        <v>57</v>
      </c>
      <c r="BB272" t="s">
        <v>57</v>
      </c>
      <c r="BC272" t="s">
        <v>175</v>
      </c>
      <c r="BD272" t="s">
        <v>175</v>
      </c>
      <c r="BE272" t="s">
        <v>57</v>
      </c>
      <c r="BF272" t="s">
        <v>57</v>
      </c>
      <c r="BG272" t="s">
        <v>57</v>
      </c>
      <c r="BH272" t="s">
        <v>57</v>
      </c>
      <c r="BI272" t="s">
        <v>57</v>
      </c>
      <c r="BJ272" t="s">
        <v>57</v>
      </c>
      <c r="BK272" t="s">
        <v>57</v>
      </c>
      <c r="BL272" t="s">
        <v>57</v>
      </c>
      <c r="BM272" t="s">
        <v>57</v>
      </c>
      <c r="BN272" t="s">
        <v>57</v>
      </c>
      <c r="BO272" t="s">
        <v>57</v>
      </c>
      <c r="BP272" t="s">
        <v>57</v>
      </c>
      <c r="BQ272" t="s">
        <v>57</v>
      </c>
      <c r="BR272" t="s">
        <v>57</v>
      </c>
      <c r="BS272" t="s">
        <v>57</v>
      </c>
      <c r="BT272" t="s">
        <v>57</v>
      </c>
      <c r="BU272" t="s">
        <v>57</v>
      </c>
      <c r="BV272" t="s">
        <v>57</v>
      </c>
      <c r="BW272" t="s">
        <v>57</v>
      </c>
      <c r="BX272" t="s">
        <v>57</v>
      </c>
      <c r="BY272" t="s">
        <v>57</v>
      </c>
      <c r="BZ272" t="s">
        <v>57</v>
      </c>
      <c r="CA272" t="s">
        <v>57</v>
      </c>
      <c r="CB272" t="s">
        <v>57</v>
      </c>
      <c r="CC272" t="s">
        <v>57</v>
      </c>
      <c r="CD272" t="s">
        <v>57</v>
      </c>
      <c r="CE272" t="s">
        <v>57</v>
      </c>
      <c r="CF272" t="s">
        <v>57</v>
      </c>
      <c r="CG272" t="s">
        <v>57</v>
      </c>
      <c r="CH272" t="s">
        <v>57</v>
      </c>
      <c r="CI272" t="s">
        <v>57</v>
      </c>
      <c r="CJ272" t="s">
        <v>57</v>
      </c>
      <c r="CK272" t="s">
        <v>175</v>
      </c>
      <c r="CL272" t="s">
        <v>175</v>
      </c>
      <c r="CM272" t="s">
        <v>175</v>
      </c>
      <c r="CN272" t="s">
        <v>57</v>
      </c>
      <c r="CO272" t="s">
        <v>57</v>
      </c>
      <c r="CP272" t="s">
        <v>57</v>
      </c>
      <c r="CQ272" t="s">
        <v>57</v>
      </c>
      <c r="CR272" t="s">
        <v>57</v>
      </c>
      <c r="CS272" t="s">
        <v>57</v>
      </c>
      <c r="CT272" t="s">
        <v>57</v>
      </c>
      <c r="CU272" t="s">
        <v>57</v>
      </c>
      <c r="CV272" t="s">
        <v>57</v>
      </c>
      <c r="CW272" t="s">
        <v>57</v>
      </c>
      <c r="CX272" t="s">
        <v>57</v>
      </c>
      <c r="CY272" t="s">
        <v>57</v>
      </c>
      <c r="CZ272" t="s">
        <v>57</v>
      </c>
      <c r="DA272" t="s">
        <v>57</v>
      </c>
      <c r="DB272" t="s">
        <v>57</v>
      </c>
      <c r="DC272" t="s">
        <v>57</v>
      </c>
      <c r="DD272" t="s">
        <v>57</v>
      </c>
      <c r="DE272" t="s">
        <v>57</v>
      </c>
      <c r="DF272" t="s">
        <v>57</v>
      </c>
      <c r="DG272" t="s">
        <v>57</v>
      </c>
      <c r="DH272" t="s">
        <v>57</v>
      </c>
      <c r="DI272" t="s">
        <v>57</v>
      </c>
      <c r="DJ272" t="s">
        <v>175</v>
      </c>
      <c r="DK272" t="s">
        <v>175</v>
      </c>
      <c r="DL272" t="s">
        <v>57</v>
      </c>
      <c r="DM272" t="s">
        <v>175</v>
      </c>
      <c r="DN272" t="s">
        <v>175</v>
      </c>
      <c r="DO272" t="s">
        <v>175</v>
      </c>
      <c r="DP272" t="s">
        <v>175</v>
      </c>
      <c r="DQ272" t="s">
        <v>175</v>
      </c>
      <c r="DR272" t="s">
        <v>175</v>
      </c>
      <c r="DS272" t="s">
        <v>175</v>
      </c>
      <c r="DT272" t="s">
        <v>175</v>
      </c>
      <c r="DU272" t="s">
        <v>175</v>
      </c>
      <c r="DV272" t="s">
        <v>175</v>
      </c>
      <c r="DW272" t="s">
        <v>175</v>
      </c>
      <c r="DX272" t="s">
        <v>175</v>
      </c>
      <c r="DY272" t="s">
        <v>175</v>
      </c>
      <c r="DZ272" t="s">
        <v>175</v>
      </c>
      <c r="EA272" t="s">
        <v>57</v>
      </c>
      <c r="EB272" t="s">
        <v>57</v>
      </c>
      <c r="EC272" t="s">
        <v>57</v>
      </c>
      <c r="ED272" t="s">
        <v>57</v>
      </c>
      <c r="EE272" t="s">
        <v>57</v>
      </c>
      <c r="EF272" t="s">
        <v>57</v>
      </c>
      <c r="EG272" t="s">
        <v>57</v>
      </c>
      <c r="EH272" t="s">
        <v>57</v>
      </c>
      <c r="EI272" t="s">
        <v>57</v>
      </c>
      <c r="EJ272" t="s">
        <v>57</v>
      </c>
      <c r="EK272" t="s">
        <v>57</v>
      </c>
      <c r="EL272" t="s">
        <v>57</v>
      </c>
      <c r="EM272" t="s">
        <v>57</v>
      </c>
      <c r="EN272" t="s">
        <v>57</v>
      </c>
      <c r="EO272" t="s">
        <v>57</v>
      </c>
      <c r="EP272" t="s">
        <v>57</v>
      </c>
      <c r="EQ272" t="s">
        <v>57</v>
      </c>
      <c r="ER272" t="s">
        <v>57</v>
      </c>
      <c r="ES272" t="s">
        <v>57</v>
      </c>
      <c r="ET272" t="s">
        <v>57</v>
      </c>
      <c r="EU272" t="s">
        <v>57</v>
      </c>
      <c r="EV272" t="s">
        <v>57</v>
      </c>
      <c r="EW272" t="s">
        <v>57</v>
      </c>
      <c r="EX272" t="s">
        <v>175</v>
      </c>
      <c r="EY272" t="s">
        <v>175</v>
      </c>
      <c r="EZ272" t="s">
        <v>175</v>
      </c>
      <c r="FA272" t="s">
        <v>175</v>
      </c>
      <c r="FB272" t="s">
        <v>175</v>
      </c>
      <c r="FC272" t="s">
        <v>175</v>
      </c>
      <c r="FD272" t="s">
        <v>57</v>
      </c>
      <c r="FE272" t="s">
        <v>57</v>
      </c>
      <c r="FF272" t="s">
        <v>57</v>
      </c>
      <c r="FG272" t="s">
        <v>57</v>
      </c>
      <c r="FH272" t="s">
        <v>57</v>
      </c>
      <c r="FI272" t="s">
        <v>57</v>
      </c>
      <c r="FJ272" t="s">
        <v>57</v>
      </c>
      <c r="FK272" t="s">
        <v>57</v>
      </c>
      <c r="FL272" t="s">
        <v>57</v>
      </c>
      <c r="FM272" t="s">
        <v>57</v>
      </c>
      <c r="FN272" t="s">
        <v>57</v>
      </c>
      <c r="FO272" t="s">
        <v>175</v>
      </c>
      <c r="FP272" t="s">
        <v>57</v>
      </c>
      <c r="FQ272" t="s">
        <v>57</v>
      </c>
      <c r="FR272" t="s">
        <v>57</v>
      </c>
      <c r="FS272" t="s">
        <v>57</v>
      </c>
      <c r="FT272" t="s">
        <v>57</v>
      </c>
      <c r="FU272" t="s">
        <v>57</v>
      </c>
      <c r="FV272" t="s">
        <v>57</v>
      </c>
      <c r="FW272" t="s">
        <v>57</v>
      </c>
      <c r="FX272" t="s">
        <v>57</v>
      </c>
      <c r="FY272" t="s">
        <v>57</v>
      </c>
      <c r="FZ272" t="s">
        <v>57</v>
      </c>
      <c r="GA272" t="s">
        <v>57</v>
      </c>
      <c r="GB272" t="s">
        <v>57</v>
      </c>
      <c r="GC272" t="s">
        <v>57</v>
      </c>
      <c r="GD272" t="s">
        <v>57</v>
      </c>
      <c r="GE272" t="s">
        <v>57</v>
      </c>
      <c r="GF272" t="s">
        <v>57</v>
      </c>
      <c r="GG272" t="s">
        <v>175</v>
      </c>
      <c r="GH272" t="s">
        <v>57</v>
      </c>
      <c r="GI272" t="s">
        <v>57</v>
      </c>
      <c r="GJ272" t="s">
        <v>57</v>
      </c>
      <c r="GK272" t="s">
        <v>57</v>
      </c>
      <c r="GL272" t="s">
        <v>175</v>
      </c>
      <c r="GM272" t="s">
        <v>175</v>
      </c>
      <c r="GN272" t="s">
        <v>57</v>
      </c>
      <c r="GO272" t="s">
        <v>57</v>
      </c>
      <c r="GP272" t="s">
        <v>57</v>
      </c>
      <c r="GQ272" t="s">
        <v>57</v>
      </c>
      <c r="GR272" t="s">
        <v>175</v>
      </c>
      <c r="GS272" t="s">
        <v>57</v>
      </c>
      <c r="GT272" t="s">
        <v>57</v>
      </c>
      <c r="GU272" t="s">
        <v>57</v>
      </c>
      <c r="GV272" t="s">
        <v>175</v>
      </c>
      <c r="GW272" t="s">
        <v>57</v>
      </c>
      <c r="GX272" t="s">
        <v>57</v>
      </c>
      <c r="GY272" t="s">
        <v>57</v>
      </c>
      <c r="GZ272" t="s">
        <v>57</v>
      </c>
      <c r="HA272" t="s">
        <v>57</v>
      </c>
      <c r="HB272" t="s">
        <v>57</v>
      </c>
      <c r="HC272" t="s">
        <v>57</v>
      </c>
      <c r="HD272" t="s">
        <v>57</v>
      </c>
      <c r="HE272" t="s">
        <v>57</v>
      </c>
      <c r="HF272" t="s">
        <v>57</v>
      </c>
      <c r="HG272" t="s">
        <v>175</v>
      </c>
      <c r="HH272" t="s">
        <v>175</v>
      </c>
      <c r="HI272" t="s">
        <v>175</v>
      </c>
      <c r="HJ272" t="s">
        <v>175</v>
      </c>
      <c r="HK272" t="s">
        <v>175</v>
      </c>
      <c r="HL272" t="s">
        <v>57</v>
      </c>
      <c r="HM272" t="s">
        <v>57</v>
      </c>
      <c r="HN272" t="s">
        <v>57</v>
      </c>
      <c r="HO272" t="s">
        <v>57</v>
      </c>
      <c r="HP272" t="s">
        <v>57</v>
      </c>
      <c r="HQ272" t="s">
        <v>57</v>
      </c>
      <c r="HR272" t="s">
        <v>57</v>
      </c>
      <c r="HS272" t="s">
        <v>57</v>
      </c>
      <c r="HT272" t="s">
        <v>57</v>
      </c>
      <c r="HU272" t="s">
        <v>57</v>
      </c>
      <c r="HV272" t="s">
        <v>57</v>
      </c>
      <c r="HW272" t="s">
        <v>57</v>
      </c>
      <c r="HX272" t="s">
        <v>57</v>
      </c>
      <c r="HY272" t="s">
        <v>57</v>
      </c>
      <c r="HZ272" t="s">
        <v>57</v>
      </c>
      <c r="IA272" t="s">
        <v>57</v>
      </c>
      <c r="IB272" t="s">
        <v>57</v>
      </c>
      <c r="IC272" t="s">
        <v>57</v>
      </c>
      <c r="ID272" t="s">
        <v>57</v>
      </c>
      <c r="IE272" t="s">
        <v>57</v>
      </c>
      <c r="IF272" t="s">
        <v>124</v>
      </c>
      <c r="IG272" t="s">
        <v>148</v>
      </c>
      <c r="IH272" t="s">
        <v>123</v>
      </c>
      <c r="II272" t="s">
        <v>156</v>
      </c>
    </row>
    <row r="273" spans="1:243" x14ac:dyDescent="0.25">
      <c r="A273" s="201" t="str">
        <f>HYPERLINK("http://www.ofsted.gov.uk/inspection-reports/find-inspection-report/provider/ELS/143106 ","Ofsted School Webpage")</f>
        <v>Ofsted School Webpage</v>
      </c>
      <c r="B273">
        <v>143106</v>
      </c>
      <c r="C273">
        <v>8856045</v>
      </c>
      <c r="D273" t="s">
        <v>2356</v>
      </c>
      <c r="E273" t="s">
        <v>37</v>
      </c>
      <c r="F273" t="s">
        <v>138</v>
      </c>
      <c r="G273" t="s">
        <v>150</v>
      </c>
      <c r="H273" t="s">
        <v>150</v>
      </c>
      <c r="I273" t="s">
        <v>842</v>
      </c>
      <c r="J273" t="s">
        <v>2357</v>
      </c>
      <c r="K273" t="s">
        <v>142</v>
      </c>
      <c r="L273" t="s">
        <v>142</v>
      </c>
      <c r="M273" t="s">
        <v>2596</v>
      </c>
      <c r="N273" t="s">
        <v>143</v>
      </c>
      <c r="O273">
        <v>10041368</v>
      </c>
      <c r="P273" s="108">
        <v>43144</v>
      </c>
      <c r="Q273" s="108">
        <v>43146</v>
      </c>
      <c r="R273" s="108">
        <v>43181</v>
      </c>
      <c r="S273" t="s">
        <v>206</v>
      </c>
      <c r="T273" t="s">
        <v>154</v>
      </c>
      <c r="U273">
        <v>2</v>
      </c>
      <c r="V273">
        <v>2</v>
      </c>
      <c r="W273">
        <v>2</v>
      </c>
      <c r="X273">
        <v>2</v>
      </c>
      <c r="Y273">
        <v>3</v>
      </c>
      <c r="Z273" t="s">
        <v>2596</v>
      </c>
      <c r="AA273" t="s">
        <v>2596</v>
      </c>
      <c r="AB273" t="s">
        <v>123</v>
      </c>
      <c r="AC273" t="s">
        <v>2596</v>
      </c>
      <c r="AD273" t="s">
        <v>2598</v>
      </c>
      <c r="AE273" t="s">
        <v>57</v>
      </c>
      <c r="AF273" t="s">
        <v>57</v>
      </c>
      <c r="AG273" t="s">
        <v>57</v>
      </c>
      <c r="AH273" t="s">
        <v>57</v>
      </c>
      <c r="AI273" t="s">
        <v>57</v>
      </c>
      <c r="AJ273" t="s">
        <v>57</v>
      </c>
      <c r="AK273" t="s">
        <v>57</v>
      </c>
      <c r="AL273" t="s">
        <v>57</v>
      </c>
      <c r="AM273" t="s">
        <v>57</v>
      </c>
      <c r="AN273" t="s">
        <v>57</v>
      </c>
      <c r="AO273" t="s">
        <v>57</v>
      </c>
      <c r="AP273" t="s">
        <v>57</v>
      </c>
      <c r="AQ273" t="s">
        <v>57</v>
      </c>
      <c r="AR273" t="s">
        <v>57</v>
      </c>
      <c r="AS273" t="s">
        <v>57</v>
      </c>
      <c r="AT273" t="s">
        <v>57</v>
      </c>
      <c r="AU273" t="s">
        <v>175</v>
      </c>
      <c r="AV273" t="s">
        <v>57</v>
      </c>
      <c r="AW273" t="s">
        <v>57</v>
      </c>
      <c r="AX273" t="s">
        <v>57</v>
      </c>
      <c r="AY273" t="s">
        <v>175</v>
      </c>
      <c r="AZ273" t="s">
        <v>175</v>
      </c>
      <c r="BA273" t="s">
        <v>175</v>
      </c>
      <c r="BB273" t="s">
        <v>175</v>
      </c>
      <c r="BC273" t="s">
        <v>175</v>
      </c>
      <c r="BD273" t="s">
        <v>175</v>
      </c>
      <c r="BE273" t="s">
        <v>57</v>
      </c>
      <c r="BF273" t="s">
        <v>57</v>
      </c>
      <c r="BG273" t="s">
        <v>57</v>
      </c>
      <c r="BH273" t="s">
        <v>57</v>
      </c>
      <c r="BI273" t="s">
        <v>57</v>
      </c>
      <c r="BJ273" t="s">
        <v>57</v>
      </c>
      <c r="BK273" t="s">
        <v>57</v>
      </c>
      <c r="BL273" t="s">
        <v>57</v>
      </c>
      <c r="BM273" t="s">
        <v>57</v>
      </c>
      <c r="BN273" t="s">
        <v>57</v>
      </c>
      <c r="BO273" t="s">
        <v>57</v>
      </c>
      <c r="BP273" t="s">
        <v>57</v>
      </c>
      <c r="BQ273" t="s">
        <v>57</v>
      </c>
      <c r="BR273" t="s">
        <v>57</v>
      </c>
      <c r="BS273" t="s">
        <v>57</v>
      </c>
      <c r="BT273" t="s">
        <v>57</v>
      </c>
      <c r="BU273" t="s">
        <v>57</v>
      </c>
      <c r="BV273" t="s">
        <v>57</v>
      </c>
      <c r="BW273" t="s">
        <v>57</v>
      </c>
      <c r="BX273" t="s">
        <v>57</v>
      </c>
      <c r="BY273" t="s">
        <v>57</v>
      </c>
      <c r="BZ273" t="s">
        <v>57</v>
      </c>
      <c r="CA273" t="s">
        <v>57</v>
      </c>
      <c r="CB273" t="s">
        <v>57</v>
      </c>
      <c r="CC273" t="s">
        <v>57</v>
      </c>
      <c r="CD273" t="s">
        <v>57</v>
      </c>
      <c r="CE273" t="s">
        <v>57</v>
      </c>
      <c r="CF273" t="s">
        <v>57</v>
      </c>
      <c r="CG273" t="s">
        <v>57</v>
      </c>
      <c r="CH273" t="s">
        <v>57</v>
      </c>
      <c r="CI273" t="s">
        <v>57</v>
      </c>
      <c r="CJ273" t="s">
        <v>57</v>
      </c>
      <c r="CK273" t="s">
        <v>175</v>
      </c>
      <c r="CL273" t="s">
        <v>175</v>
      </c>
      <c r="CM273" t="s">
        <v>175</v>
      </c>
      <c r="CN273" t="s">
        <v>57</v>
      </c>
      <c r="CO273" t="s">
        <v>57</v>
      </c>
      <c r="CP273" t="s">
        <v>57</v>
      </c>
      <c r="CQ273" t="s">
        <v>57</v>
      </c>
      <c r="CR273" t="s">
        <v>57</v>
      </c>
      <c r="CS273" t="s">
        <v>57</v>
      </c>
      <c r="CT273" t="s">
        <v>57</v>
      </c>
      <c r="CU273" t="s">
        <v>57</v>
      </c>
      <c r="CV273" t="s">
        <v>57</v>
      </c>
      <c r="CW273" t="s">
        <v>57</v>
      </c>
      <c r="CX273" t="s">
        <v>57</v>
      </c>
      <c r="CY273" t="s">
        <v>57</v>
      </c>
      <c r="CZ273" t="s">
        <v>57</v>
      </c>
      <c r="DA273" t="s">
        <v>57</v>
      </c>
      <c r="DB273" t="s">
        <v>57</v>
      </c>
      <c r="DC273" t="s">
        <v>57</v>
      </c>
      <c r="DD273" t="s">
        <v>57</v>
      </c>
      <c r="DE273" t="s">
        <v>57</v>
      </c>
      <c r="DF273" t="s">
        <v>57</v>
      </c>
      <c r="DG273" t="s">
        <v>57</v>
      </c>
      <c r="DH273" t="s">
        <v>57</v>
      </c>
      <c r="DI273" t="s">
        <v>57</v>
      </c>
      <c r="DJ273" t="s">
        <v>175</v>
      </c>
      <c r="DK273" t="s">
        <v>175</v>
      </c>
      <c r="DL273" t="s">
        <v>57</v>
      </c>
      <c r="DM273" t="s">
        <v>175</v>
      </c>
      <c r="DN273" t="s">
        <v>175</v>
      </c>
      <c r="DO273" t="s">
        <v>175</v>
      </c>
      <c r="DP273" t="s">
        <v>175</v>
      </c>
      <c r="DQ273" t="s">
        <v>175</v>
      </c>
      <c r="DR273" t="s">
        <v>175</v>
      </c>
      <c r="DS273" t="s">
        <v>175</v>
      </c>
      <c r="DT273" t="s">
        <v>175</v>
      </c>
      <c r="DU273" t="s">
        <v>175</v>
      </c>
      <c r="DV273" t="s">
        <v>175</v>
      </c>
      <c r="DW273" t="s">
        <v>175</v>
      </c>
      <c r="DX273" t="s">
        <v>175</v>
      </c>
      <c r="DY273" t="s">
        <v>175</v>
      </c>
      <c r="DZ273" t="s">
        <v>57</v>
      </c>
      <c r="EA273" t="s">
        <v>57</v>
      </c>
      <c r="EB273" t="s">
        <v>175</v>
      </c>
      <c r="EC273" t="s">
        <v>175</v>
      </c>
      <c r="ED273" t="s">
        <v>175</v>
      </c>
      <c r="EE273" t="s">
        <v>175</v>
      </c>
      <c r="EF273" t="s">
        <v>175</v>
      </c>
      <c r="EG273" t="s">
        <v>175</v>
      </c>
      <c r="EH273" t="s">
        <v>175</v>
      </c>
      <c r="EI273" t="s">
        <v>175</v>
      </c>
      <c r="EJ273" t="s">
        <v>57</v>
      </c>
      <c r="EK273" t="s">
        <v>57</v>
      </c>
      <c r="EL273" t="s">
        <v>57</v>
      </c>
      <c r="EM273" t="s">
        <v>57</v>
      </c>
      <c r="EN273" t="s">
        <v>57</v>
      </c>
      <c r="EO273" t="s">
        <v>57</v>
      </c>
      <c r="EP273" t="s">
        <v>57</v>
      </c>
      <c r="EQ273" t="s">
        <v>57</v>
      </c>
      <c r="ER273" t="s">
        <v>57</v>
      </c>
      <c r="ES273" t="s">
        <v>57</v>
      </c>
      <c r="ET273" t="s">
        <v>57</v>
      </c>
      <c r="EU273" t="s">
        <v>57</v>
      </c>
      <c r="EV273" t="s">
        <v>57</v>
      </c>
      <c r="EW273" t="s">
        <v>57</v>
      </c>
      <c r="EX273" t="s">
        <v>175</v>
      </c>
      <c r="EY273" t="s">
        <v>175</v>
      </c>
      <c r="EZ273" t="s">
        <v>175</v>
      </c>
      <c r="FA273" t="s">
        <v>175</v>
      </c>
      <c r="FB273" t="s">
        <v>175</v>
      </c>
      <c r="FC273" t="s">
        <v>175</v>
      </c>
      <c r="FD273" t="s">
        <v>175</v>
      </c>
      <c r="FE273" t="s">
        <v>57</v>
      </c>
      <c r="FF273" t="s">
        <v>57</v>
      </c>
      <c r="FG273" t="s">
        <v>57</v>
      </c>
      <c r="FH273" t="s">
        <v>57</v>
      </c>
      <c r="FI273" t="s">
        <v>57</v>
      </c>
      <c r="FJ273" t="s">
        <v>57</v>
      </c>
      <c r="FK273" t="s">
        <v>57</v>
      </c>
      <c r="FL273" t="s">
        <v>57</v>
      </c>
      <c r="FM273" t="s">
        <v>57</v>
      </c>
      <c r="FN273" t="s">
        <v>57</v>
      </c>
      <c r="FO273" t="s">
        <v>175</v>
      </c>
      <c r="FP273" t="s">
        <v>175</v>
      </c>
      <c r="FQ273" t="s">
        <v>57</v>
      </c>
      <c r="FR273" t="s">
        <v>57</v>
      </c>
      <c r="FS273" t="s">
        <v>57</v>
      </c>
      <c r="FT273" t="s">
        <v>57</v>
      </c>
      <c r="FU273" t="s">
        <v>57</v>
      </c>
      <c r="FV273" t="s">
        <v>57</v>
      </c>
      <c r="FW273" t="s">
        <v>57</v>
      </c>
      <c r="FX273" t="s">
        <v>57</v>
      </c>
      <c r="FY273" t="s">
        <v>57</v>
      </c>
      <c r="FZ273" t="s">
        <v>57</v>
      </c>
      <c r="GA273" t="s">
        <v>57</v>
      </c>
      <c r="GB273" t="s">
        <v>57</v>
      </c>
      <c r="GC273" t="s">
        <v>57</v>
      </c>
      <c r="GD273" t="s">
        <v>57</v>
      </c>
      <c r="GE273" t="s">
        <v>57</v>
      </c>
      <c r="GF273" t="s">
        <v>57</v>
      </c>
      <c r="GG273" t="s">
        <v>175</v>
      </c>
      <c r="GH273" t="s">
        <v>57</v>
      </c>
      <c r="GI273" t="s">
        <v>57</v>
      </c>
      <c r="GJ273" t="s">
        <v>57</v>
      </c>
      <c r="GK273" t="s">
        <v>57</v>
      </c>
      <c r="GL273" t="s">
        <v>57</v>
      </c>
      <c r="GM273" t="s">
        <v>175</v>
      </c>
      <c r="GN273" t="s">
        <v>57</v>
      </c>
      <c r="GO273" t="s">
        <v>57</v>
      </c>
      <c r="GP273" t="s">
        <v>57</v>
      </c>
      <c r="GQ273" t="s">
        <v>57</v>
      </c>
      <c r="GR273" t="s">
        <v>57</v>
      </c>
      <c r="GS273" t="s">
        <v>57</v>
      </c>
      <c r="GT273" t="s">
        <v>57</v>
      </c>
      <c r="GU273" t="s">
        <v>57</v>
      </c>
      <c r="GV273" t="s">
        <v>57</v>
      </c>
      <c r="GW273" t="s">
        <v>175</v>
      </c>
      <c r="GX273" t="s">
        <v>175</v>
      </c>
      <c r="GY273" t="s">
        <v>57</v>
      </c>
      <c r="GZ273" t="s">
        <v>57</v>
      </c>
      <c r="HA273" t="s">
        <v>57</v>
      </c>
      <c r="HB273" t="s">
        <v>57</v>
      </c>
      <c r="HC273" t="s">
        <v>57</v>
      </c>
      <c r="HD273" t="s">
        <v>57</v>
      </c>
      <c r="HE273" t="s">
        <v>57</v>
      </c>
      <c r="HF273" t="s">
        <v>57</v>
      </c>
      <c r="HG273" t="s">
        <v>175</v>
      </c>
      <c r="HH273" t="s">
        <v>175</v>
      </c>
      <c r="HI273" t="s">
        <v>175</v>
      </c>
      <c r="HJ273" t="s">
        <v>175</v>
      </c>
      <c r="HK273" t="s">
        <v>175</v>
      </c>
      <c r="HL273" t="s">
        <v>57</v>
      </c>
      <c r="HM273" t="s">
        <v>57</v>
      </c>
      <c r="HN273" t="s">
        <v>57</v>
      </c>
      <c r="HO273" t="s">
        <v>57</v>
      </c>
      <c r="HP273" t="s">
        <v>57</v>
      </c>
      <c r="HQ273" t="s">
        <v>57</v>
      </c>
      <c r="HR273" t="s">
        <v>57</v>
      </c>
      <c r="HS273" t="s">
        <v>57</v>
      </c>
      <c r="HT273" t="s">
        <v>57</v>
      </c>
      <c r="HU273" t="s">
        <v>57</v>
      </c>
      <c r="HV273" t="s">
        <v>57</v>
      </c>
      <c r="HW273" t="s">
        <v>57</v>
      </c>
      <c r="HX273" t="s">
        <v>57</v>
      </c>
      <c r="HY273" t="s">
        <v>57</v>
      </c>
      <c r="HZ273" t="s">
        <v>57</v>
      </c>
      <c r="IA273" t="s">
        <v>57</v>
      </c>
      <c r="IB273" t="s">
        <v>57</v>
      </c>
      <c r="IC273" t="s">
        <v>57</v>
      </c>
      <c r="ID273" t="s">
        <v>57</v>
      </c>
      <c r="IE273" t="s">
        <v>57</v>
      </c>
      <c r="IF273" t="s">
        <v>124</v>
      </c>
      <c r="IG273" t="s">
        <v>148</v>
      </c>
      <c r="IH273" t="s">
        <v>123</v>
      </c>
      <c r="II273" t="s">
        <v>156</v>
      </c>
    </row>
    <row r="274" spans="1:243" x14ac:dyDescent="0.25">
      <c r="A274" s="201" t="str">
        <f>HYPERLINK("http://www.ofsted.gov.uk/inspection-reports/find-inspection-report/provider/ELS/143174 ","Ofsted School Webpage")</f>
        <v>Ofsted School Webpage</v>
      </c>
      <c r="B274">
        <v>143174</v>
      </c>
      <c r="C274">
        <v>3306031</v>
      </c>
      <c r="D274" t="s">
        <v>2358</v>
      </c>
      <c r="E274" t="s">
        <v>36</v>
      </c>
      <c r="F274" t="s">
        <v>166</v>
      </c>
      <c r="G274" t="s">
        <v>150</v>
      </c>
      <c r="H274" t="s">
        <v>150</v>
      </c>
      <c r="I274" t="s">
        <v>167</v>
      </c>
      <c r="J274" t="s">
        <v>2359</v>
      </c>
      <c r="K274" t="s">
        <v>142</v>
      </c>
      <c r="L274" t="s">
        <v>142</v>
      </c>
      <c r="M274" t="s">
        <v>2596</v>
      </c>
      <c r="N274" t="s">
        <v>143</v>
      </c>
      <c r="O274">
        <v>10039277</v>
      </c>
      <c r="P274" s="108">
        <v>43060</v>
      </c>
      <c r="Q274" s="108">
        <v>43062</v>
      </c>
      <c r="R274" s="108">
        <v>43137</v>
      </c>
      <c r="S274" t="s">
        <v>206</v>
      </c>
      <c r="T274" t="s">
        <v>154</v>
      </c>
      <c r="U274">
        <v>4</v>
      </c>
      <c r="V274">
        <v>4</v>
      </c>
      <c r="W274">
        <v>4</v>
      </c>
      <c r="X274">
        <v>4</v>
      </c>
      <c r="Y274">
        <v>4</v>
      </c>
      <c r="Z274" t="s">
        <v>2596</v>
      </c>
      <c r="AA274">
        <v>4</v>
      </c>
      <c r="AB274" t="s">
        <v>124</v>
      </c>
      <c r="AC274" t="s">
        <v>2596</v>
      </c>
      <c r="AD274" t="s">
        <v>2599</v>
      </c>
      <c r="AE274" t="s">
        <v>58</v>
      </c>
      <c r="AF274" t="s">
        <v>57</v>
      </c>
      <c r="AG274" t="s">
        <v>58</v>
      </c>
      <c r="AH274" t="s">
        <v>57</v>
      </c>
      <c r="AI274" t="s">
        <v>58</v>
      </c>
      <c r="AJ274" t="s">
        <v>57</v>
      </c>
      <c r="AK274" t="s">
        <v>57</v>
      </c>
      <c r="AL274" t="s">
        <v>58</v>
      </c>
      <c r="AM274" t="s">
        <v>58</v>
      </c>
      <c r="AN274" t="s">
        <v>58</v>
      </c>
      <c r="AO274" t="s">
        <v>58</v>
      </c>
      <c r="AP274" t="s">
        <v>58</v>
      </c>
      <c r="AQ274" t="s">
        <v>57</v>
      </c>
      <c r="AR274" t="s">
        <v>58</v>
      </c>
      <c r="AS274" t="s">
        <v>58</v>
      </c>
      <c r="AT274" t="s">
        <v>57</v>
      </c>
      <c r="AU274" t="s">
        <v>175</v>
      </c>
      <c r="AV274" t="s">
        <v>58</v>
      </c>
      <c r="AW274" t="s">
        <v>58</v>
      </c>
      <c r="AX274" t="s">
        <v>57</v>
      </c>
      <c r="AY274" t="s">
        <v>58</v>
      </c>
      <c r="AZ274" t="s">
        <v>58</v>
      </c>
      <c r="BA274" t="s">
        <v>58</v>
      </c>
      <c r="BB274" t="s">
        <v>58</v>
      </c>
      <c r="BC274" t="s">
        <v>175</v>
      </c>
      <c r="BD274" t="s">
        <v>175</v>
      </c>
      <c r="BE274" t="s">
        <v>58</v>
      </c>
      <c r="BF274" t="s">
        <v>58</v>
      </c>
      <c r="BG274" t="s">
        <v>58</v>
      </c>
      <c r="BH274" t="s">
        <v>58</v>
      </c>
      <c r="BI274" t="s">
        <v>57</v>
      </c>
      <c r="BJ274" t="s">
        <v>58</v>
      </c>
      <c r="BK274" t="s">
        <v>58</v>
      </c>
      <c r="BL274" t="s">
        <v>57</v>
      </c>
      <c r="BM274" t="s">
        <v>57</v>
      </c>
      <c r="BN274" t="s">
        <v>58</v>
      </c>
      <c r="BO274" t="s">
        <v>58</v>
      </c>
      <c r="BP274" t="s">
        <v>57</v>
      </c>
      <c r="BQ274" t="s">
        <v>57</v>
      </c>
      <c r="BR274" t="s">
        <v>58</v>
      </c>
      <c r="BS274" t="s">
        <v>57</v>
      </c>
      <c r="BT274" t="s">
        <v>57</v>
      </c>
      <c r="BU274" t="s">
        <v>57</v>
      </c>
      <c r="BV274" t="s">
        <v>57</v>
      </c>
      <c r="BW274" t="s">
        <v>57</v>
      </c>
      <c r="BX274" t="s">
        <v>57</v>
      </c>
      <c r="BY274" t="s">
        <v>57</v>
      </c>
      <c r="BZ274" t="s">
        <v>57</v>
      </c>
      <c r="CA274" t="s">
        <v>57</v>
      </c>
      <c r="CB274" t="s">
        <v>57</v>
      </c>
      <c r="CC274" t="s">
        <v>57</v>
      </c>
      <c r="CD274" t="s">
        <v>57</v>
      </c>
      <c r="CE274" t="s">
        <v>57</v>
      </c>
      <c r="CF274" t="s">
        <v>57</v>
      </c>
      <c r="CG274" t="s">
        <v>57</v>
      </c>
      <c r="CH274" t="s">
        <v>58</v>
      </c>
      <c r="CI274" t="s">
        <v>58</v>
      </c>
      <c r="CJ274" t="s">
        <v>58</v>
      </c>
      <c r="CK274" t="s">
        <v>175</v>
      </c>
      <c r="CL274" t="s">
        <v>175</v>
      </c>
      <c r="CM274" t="s">
        <v>175</v>
      </c>
      <c r="CN274" t="s">
        <v>58</v>
      </c>
      <c r="CO274" t="s">
        <v>57</v>
      </c>
      <c r="CP274" t="s">
        <v>58</v>
      </c>
      <c r="CQ274" t="s">
        <v>57</v>
      </c>
      <c r="CR274" t="s">
        <v>57</v>
      </c>
      <c r="CS274" t="s">
        <v>58</v>
      </c>
      <c r="CT274" t="s">
        <v>58</v>
      </c>
      <c r="CU274" t="s">
        <v>58</v>
      </c>
      <c r="CV274" t="s">
        <v>57</v>
      </c>
      <c r="CW274" t="s">
        <v>57</v>
      </c>
      <c r="CX274" t="s">
        <v>57</v>
      </c>
      <c r="CY274" t="s">
        <v>57</v>
      </c>
      <c r="CZ274" t="s">
        <v>57</v>
      </c>
      <c r="DA274" t="s">
        <v>57</v>
      </c>
      <c r="DB274" t="s">
        <v>57</v>
      </c>
      <c r="DC274" t="s">
        <v>57</v>
      </c>
      <c r="DD274" t="s">
        <v>57</v>
      </c>
      <c r="DE274" t="s">
        <v>57</v>
      </c>
      <c r="DF274" t="s">
        <v>57</v>
      </c>
      <c r="DG274" t="s">
        <v>57</v>
      </c>
      <c r="DH274" t="s">
        <v>57</v>
      </c>
      <c r="DI274" t="s">
        <v>57</v>
      </c>
      <c r="DJ274" t="s">
        <v>57</v>
      </c>
      <c r="DK274" t="s">
        <v>175</v>
      </c>
      <c r="DL274" t="s">
        <v>57</v>
      </c>
      <c r="DM274" t="s">
        <v>57</v>
      </c>
      <c r="DN274" t="s">
        <v>57</v>
      </c>
      <c r="DO274" t="s">
        <v>57</v>
      </c>
      <c r="DP274" t="s">
        <v>57</v>
      </c>
      <c r="DQ274" t="s">
        <v>57</v>
      </c>
      <c r="DR274" t="s">
        <v>57</v>
      </c>
      <c r="DS274" t="s">
        <v>57</v>
      </c>
      <c r="DT274" t="s">
        <v>57</v>
      </c>
      <c r="DU274" t="s">
        <v>57</v>
      </c>
      <c r="DV274" t="s">
        <v>57</v>
      </c>
      <c r="DW274" t="s">
        <v>57</v>
      </c>
      <c r="DX274" t="s">
        <v>57</v>
      </c>
      <c r="DY274" t="s">
        <v>175</v>
      </c>
      <c r="DZ274" t="s">
        <v>57</v>
      </c>
      <c r="EA274" t="s">
        <v>57</v>
      </c>
      <c r="EB274" t="s">
        <v>57</v>
      </c>
      <c r="EC274" t="s">
        <v>57</v>
      </c>
      <c r="ED274" t="s">
        <v>57</v>
      </c>
      <c r="EE274" t="s">
        <v>57</v>
      </c>
      <c r="EF274" t="s">
        <v>57</v>
      </c>
      <c r="EG274" t="s">
        <v>57</v>
      </c>
      <c r="EH274" t="s">
        <v>57</v>
      </c>
      <c r="EI274" t="s">
        <v>57</v>
      </c>
      <c r="EJ274" t="s">
        <v>57</v>
      </c>
      <c r="EK274" t="s">
        <v>57</v>
      </c>
      <c r="EL274" t="s">
        <v>57</v>
      </c>
      <c r="EM274" t="s">
        <v>57</v>
      </c>
      <c r="EN274" t="s">
        <v>57</v>
      </c>
      <c r="EO274" t="s">
        <v>57</v>
      </c>
      <c r="EP274" t="s">
        <v>57</v>
      </c>
      <c r="EQ274" t="s">
        <v>57</v>
      </c>
      <c r="ER274" t="s">
        <v>57</v>
      </c>
      <c r="ES274" t="s">
        <v>57</v>
      </c>
      <c r="ET274" t="s">
        <v>57</v>
      </c>
      <c r="EU274" t="s">
        <v>57</v>
      </c>
      <c r="EV274" t="s">
        <v>57</v>
      </c>
      <c r="EW274" t="s">
        <v>57</v>
      </c>
      <c r="EX274" t="s">
        <v>57</v>
      </c>
      <c r="EY274" t="s">
        <v>57</v>
      </c>
      <c r="EZ274" t="s">
        <v>57</v>
      </c>
      <c r="FA274" t="s">
        <v>57</v>
      </c>
      <c r="FB274" t="s">
        <v>57</v>
      </c>
      <c r="FC274" t="s">
        <v>57</v>
      </c>
      <c r="FD274" t="s">
        <v>57</v>
      </c>
      <c r="FE274" t="s">
        <v>57</v>
      </c>
      <c r="FF274" t="s">
        <v>57</v>
      </c>
      <c r="FG274" t="s">
        <v>57</v>
      </c>
      <c r="FH274" t="s">
        <v>58</v>
      </c>
      <c r="FI274" t="s">
        <v>57</v>
      </c>
      <c r="FJ274" t="s">
        <v>57</v>
      </c>
      <c r="FK274" t="s">
        <v>58</v>
      </c>
      <c r="FL274" t="s">
        <v>57</v>
      </c>
      <c r="FM274" t="s">
        <v>57</v>
      </c>
      <c r="FN274" t="s">
        <v>57</v>
      </c>
      <c r="FO274" t="s">
        <v>175</v>
      </c>
      <c r="FP274" t="s">
        <v>57</v>
      </c>
      <c r="FQ274" t="s">
        <v>58</v>
      </c>
      <c r="FR274" t="s">
        <v>57</v>
      </c>
      <c r="FS274" t="s">
        <v>57</v>
      </c>
      <c r="FT274" t="s">
        <v>57</v>
      </c>
      <c r="FU274" t="s">
        <v>57</v>
      </c>
      <c r="FV274" t="s">
        <v>57</v>
      </c>
      <c r="FW274" t="s">
        <v>57</v>
      </c>
      <c r="FX274" t="s">
        <v>57</v>
      </c>
      <c r="FY274" t="s">
        <v>57</v>
      </c>
      <c r="FZ274" t="s">
        <v>57</v>
      </c>
      <c r="GA274" t="s">
        <v>57</v>
      </c>
      <c r="GB274" t="s">
        <v>57</v>
      </c>
      <c r="GC274" t="s">
        <v>57</v>
      </c>
      <c r="GD274" t="s">
        <v>57</v>
      </c>
      <c r="GE274" t="s">
        <v>57</v>
      </c>
      <c r="GF274" t="s">
        <v>57</v>
      </c>
      <c r="GG274" t="s">
        <v>175</v>
      </c>
      <c r="GH274" t="s">
        <v>57</v>
      </c>
      <c r="GI274" t="s">
        <v>57</v>
      </c>
      <c r="GJ274" t="s">
        <v>57</v>
      </c>
      <c r="GK274" t="s">
        <v>57</v>
      </c>
      <c r="GL274" t="s">
        <v>57</v>
      </c>
      <c r="GM274" t="s">
        <v>57</v>
      </c>
      <c r="GN274" t="s">
        <v>57</v>
      </c>
      <c r="GO274" t="s">
        <v>57</v>
      </c>
      <c r="GP274" t="s">
        <v>57</v>
      </c>
      <c r="GQ274" t="s">
        <v>57</v>
      </c>
      <c r="GR274" t="s">
        <v>57</v>
      </c>
      <c r="GS274" t="s">
        <v>57</v>
      </c>
      <c r="GT274" t="s">
        <v>57</v>
      </c>
      <c r="GU274" t="s">
        <v>57</v>
      </c>
      <c r="GV274" t="s">
        <v>175</v>
      </c>
      <c r="GW274" t="s">
        <v>57</v>
      </c>
      <c r="GX274" t="s">
        <v>175</v>
      </c>
      <c r="GY274" t="s">
        <v>57</v>
      </c>
      <c r="GZ274" t="s">
        <v>57</v>
      </c>
      <c r="HA274" t="s">
        <v>57</v>
      </c>
      <c r="HB274" t="s">
        <v>57</v>
      </c>
      <c r="HC274" t="s">
        <v>57</v>
      </c>
      <c r="HD274" t="s">
        <v>57</v>
      </c>
      <c r="HE274" t="s">
        <v>57</v>
      </c>
      <c r="HF274" t="s">
        <v>57</v>
      </c>
      <c r="HG274" t="s">
        <v>57</v>
      </c>
      <c r="HH274" t="s">
        <v>57</v>
      </c>
      <c r="HI274" t="s">
        <v>57</v>
      </c>
      <c r="HJ274" t="s">
        <v>57</v>
      </c>
      <c r="HK274" t="s">
        <v>57</v>
      </c>
      <c r="HL274" t="s">
        <v>57</v>
      </c>
      <c r="HM274" t="s">
        <v>57</v>
      </c>
      <c r="HN274" t="s">
        <v>57</v>
      </c>
      <c r="HO274" t="s">
        <v>57</v>
      </c>
      <c r="HP274" t="s">
        <v>57</v>
      </c>
      <c r="HQ274" t="s">
        <v>57</v>
      </c>
      <c r="HR274" t="s">
        <v>57</v>
      </c>
      <c r="HS274" t="s">
        <v>57</v>
      </c>
      <c r="HT274" t="s">
        <v>57</v>
      </c>
      <c r="HU274" t="s">
        <v>57</v>
      </c>
      <c r="HV274" t="s">
        <v>57</v>
      </c>
      <c r="HW274" t="s">
        <v>57</v>
      </c>
      <c r="HX274" t="s">
        <v>57</v>
      </c>
      <c r="HY274" t="s">
        <v>57</v>
      </c>
      <c r="HZ274" t="s">
        <v>57</v>
      </c>
      <c r="IA274" t="s">
        <v>57</v>
      </c>
      <c r="IB274" t="s">
        <v>58</v>
      </c>
      <c r="IC274" t="s">
        <v>58</v>
      </c>
      <c r="ID274" t="s">
        <v>58</v>
      </c>
      <c r="IE274" t="s">
        <v>58</v>
      </c>
      <c r="IF274" t="s">
        <v>124</v>
      </c>
      <c r="IG274" t="s">
        <v>148</v>
      </c>
      <c r="IH274" t="s">
        <v>123</v>
      </c>
      <c r="II274" t="s">
        <v>156</v>
      </c>
    </row>
    <row r="275" spans="1:243" x14ac:dyDescent="0.25">
      <c r="A275" s="201" t="str">
        <f>HYPERLINK("http://www.ofsted.gov.uk/inspection-reports/find-inspection-report/provider/ELS/143406 ","Ofsted School Webpage")</f>
        <v>Ofsted School Webpage</v>
      </c>
      <c r="B275">
        <v>143406</v>
      </c>
      <c r="C275">
        <v>3176005</v>
      </c>
      <c r="D275" t="s">
        <v>755</v>
      </c>
      <c r="E275" t="s">
        <v>37</v>
      </c>
      <c r="F275" t="s">
        <v>138</v>
      </c>
      <c r="G275" t="s">
        <v>189</v>
      </c>
      <c r="H275" t="s">
        <v>189</v>
      </c>
      <c r="I275" t="s">
        <v>756</v>
      </c>
      <c r="J275" t="s">
        <v>757</v>
      </c>
      <c r="K275" t="s">
        <v>142</v>
      </c>
      <c r="L275" t="s">
        <v>142</v>
      </c>
      <c r="M275" t="s">
        <v>2596</v>
      </c>
      <c r="N275" t="s">
        <v>143</v>
      </c>
      <c r="O275">
        <v>10035820</v>
      </c>
      <c r="P275" s="108">
        <v>43018</v>
      </c>
      <c r="Q275" s="108">
        <v>43020</v>
      </c>
      <c r="R275" s="108">
        <v>43077</v>
      </c>
      <c r="S275" t="s">
        <v>206</v>
      </c>
      <c r="T275" t="s">
        <v>154</v>
      </c>
      <c r="U275">
        <v>4</v>
      </c>
      <c r="V275">
        <v>4</v>
      </c>
      <c r="W275">
        <v>4</v>
      </c>
      <c r="X275">
        <v>0</v>
      </c>
      <c r="Y275">
        <v>0</v>
      </c>
      <c r="Z275" t="s">
        <v>2596</v>
      </c>
      <c r="AA275" t="s">
        <v>2596</v>
      </c>
      <c r="AB275" t="s">
        <v>124</v>
      </c>
      <c r="AC275" t="s">
        <v>2596</v>
      </c>
      <c r="AD275" t="s">
        <v>2599</v>
      </c>
      <c r="AE275" t="s">
        <v>57</v>
      </c>
      <c r="AF275" t="s">
        <v>57</v>
      </c>
      <c r="AG275" t="s">
        <v>58</v>
      </c>
      <c r="AH275" t="s">
        <v>58</v>
      </c>
      <c r="AI275" t="s">
        <v>57</v>
      </c>
      <c r="AJ275" t="s">
        <v>57</v>
      </c>
      <c r="AK275" t="s">
        <v>57</v>
      </c>
      <c r="AL275" t="s">
        <v>58</v>
      </c>
      <c r="AM275" t="s">
        <v>57</v>
      </c>
      <c r="AN275" t="s">
        <v>57</v>
      </c>
      <c r="AO275" t="s">
        <v>57</v>
      </c>
      <c r="AP275" t="s">
        <v>57</v>
      </c>
      <c r="AQ275" t="s">
        <v>57</v>
      </c>
      <c r="AR275" t="s">
        <v>57</v>
      </c>
      <c r="AS275" t="s">
        <v>57</v>
      </c>
      <c r="AT275" t="s">
        <v>57</v>
      </c>
      <c r="AU275" t="s">
        <v>175</v>
      </c>
      <c r="AV275" t="s">
        <v>57</v>
      </c>
      <c r="AW275" t="s">
        <v>57</v>
      </c>
      <c r="AX275" t="s">
        <v>57</v>
      </c>
      <c r="AY275" t="s">
        <v>57</v>
      </c>
      <c r="AZ275" t="s">
        <v>57</v>
      </c>
      <c r="BA275" t="s">
        <v>57</v>
      </c>
      <c r="BB275" t="s">
        <v>57</v>
      </c>
      <c r="BC275" t="s">
        <v>175</v>
      </c>
      <c r="BD275" t="s">
        <v>57</v>
      </c>
      <c r="BE275" t="s">
        <v>57</v>
      </c>
      <c r="BF275" t="s">
        <v>57</v>
      </c>
      <c r="BG275" t="s">
        <v>57</v>
      </c>
      <c r="BH275" t="s">
        <v>57</v>
      </c>
      <c r="BI275" t="s">
        <v>57</v>
      </c>
      <c r="BJ275" t="s">
        <v>57</v>
      </c>
      <c r="BK275" t="s">
        <v>57</v>
      </c>
      <c r="BL275" t="s">
        <v>57</v>
      </c>
      <c r="BM275" t="s">
        <v>57</v>
      </c>
      <c r="BN275" t="s">
        <v>57</v>
      </c>
      <c r="BO275" t="s">
        <v>57</v>
      </c>
      <c r="BP275" t="s">
        <v>57</v>
      </c>
      <c r="BQ275" t="s">
        <v>57</v>
      </c>
      <c r="BR275" t="s">
        <v>57</v>
      </c>
      <c r="BS275" t="s">
        <v>57</v>
      </c>
      <c r="BT275" t="s">
        <v>57</v>
      </c>
      <c r="BU275" t="s">
        <v>57</v>
      </c>
      <c r="BV275" t="s">
        <v>57</v>
      </c>
      <c r="BW275" t="s">
        <v>57</v>
      </c>
      <c r="BX275" t="s">
        <v>57</v>
      </c>
      <c r="BY275" t="s">
        <v>57</v>
      </c>
      <c r="BZ275" t="s">
        <v>57</v>
      </c>
      <c r="CA275" t="s">
        <v>57</v>
      </c>
      <c r="CB275" t="s">
        <v>57</v>
      </c>
      <c r="CC275" t="s">
        <v>57</v>
      </c>
      <c r="CD275" t="s">
        <v>57</v>
      </c>
      <c r="CE275" t="s">
        <v>57</v>
      </c>
      <c r="CF275" t="s">
        <v>57</v>
      </c>
      <c r="CG275" t="s">
        <v>57</v>
      </c>
      <c r="CH275" t="s">
        <v>58</v>
      </c>
      <c r="CI275" t="s">
        <v>58</v>
      </c>
      <c r="CJ275" t="s">
        <v>58</v>
      </c>
      <c r="CK275" t="s">
        <v>175</v>
      </c>
      <c r="CL275" t="s">
        <v>175</v>
      </c>
      <c r="CM275" t="s">
        <v>175</v>
      </c>
      <c r="CN275" t="s">
        <v>57</v>
      </c>
      <c r="CO275" t="s">
        <v>57</v>
      </c>
      <c r="CP275" t="s">
        <v>57</v>
      </c>
      <c r="CQ275" t="s">
        <v>57</v>
      </c>
      <c r="CR275" t="s">
        <v>57</v>
      </c>
      <c r="CS275" t="s">
        <v>57</v>
      </c>
      <c r="CT275" t="s">
        <v>57</v>
      </c>
      <c r="CU275" t="s">
        <v>57</v>
      </c>
      <c r="CV275" t="s">
        <v>57</v>
      </c>
      <c r="CW275" t="s">
        <v>57</v>
      </c>
      <c r="CX275" t="s">
        <v>57</v>
      </c>
      <c r="CY275" t="s">
        <v>57</v>
      </c>
      <c r="CZ275" t="s">
        <v>57</v>
      </c>
      <c r="DA275" t="s">
        <v>58</v>
      </c>
      <c r="DB275" t="s">
        <v>57</v>
      </c>
      <c r="DC275" t="s">
        <v>58</v>
      </c>
      <c r="DD275" t="s">
        <v>57</v>
      </c>
      <c r="DE275" t="s">
        <v>57</v>
      </c>
      <c r="DF275" t="s">
        <v>57</v>
      </c>
      <c r="DG275" t="s">
        <v>57</v>
      </c>
      <c r="DH275" t="s">
        <v>57</v>
      </c>
      <c r="DI275" t="s">
        <v>57</v>
      </c>
      <c r="DJ275" t="s">
        <v>57</v>
      </c>
      <c r="DK275" t="s">
        <v>175</v>
      </c>
      <c r="DL275" t="s">
        <v>57</v>
      </c>
      <c r="DM275" t="s">
        <v>175</v>
      </c>
      <c r="DN275" t="s">
        <v>175</v>
      </c>
      <c r="DO275" t="s">
        <v>175</v>
      </c>
      <c r="DP275" t="s">
        <v>175</v>
      </c>
      <c r="DQ275" t="s">
        <v>175</v>
      </c>
      <c r="DR275" t="s">
        <v>175</v>
      </c>
      <c r="DS275" t="s">
        <v>175</v>
      </c>
      <c r="DT275" t="s">
        <v>175</v>
      </c>
      <c r="DU275" t="s">
        <v>175</v>
      </c>
      <c r="DV275" t="s">
        <v>175</v>
      </c>
      <c r="DW275" t="s">
        <v>175</v>
      </c>
      <c r="DX275" t="s">
        <v>175</v>
      </c>
      <c r="DY275" t="s">
        <v>175</v>
      </c>
      <c r="DZ275" t="s">
        <v>175</v>
      </c>
      <c r="EA275" t="s">
        <v>175</v>
      </c>
      <c r="EB275" t="s">
        <v>175</v>
      </c>
      <c r="EC275" t="s">
        <v>175</v>
      </c>
      <c r="ED275" t="s">
        <v>175</v>
      </c>
      <c r="EE275" t="s">
        <v>175</v>
      </c>
      <c r="EF275" t="s">
        <v>175</v>
      </c>
      <c r="EG275" t="s">
        <v>175</v>
      </c>
      <c r="EH275" t="s">
        <v>175</v>
      </c>
      <c r="EI275" t="s">
        <v>175</v>
      </c>
      <c r="EJ275" t="s">
        <v>58</v>
      </c>
      <c r="EK275" t="s">
        <v>57</v>
      </c>
      <c r="EL275" t="s">
        <v>58</v>
      </c>
      <c r="EM275" t="s">
        <v>58</v>
      </c>
      <c r="EN275" t="s">
        <v>57</v>
      </c>
      <c r="EO275" t="s">
        <v>57</v>
      </c>
      <c r="EP275" t="s">
        <v>58</v>
      </c>
      <c r="EQ275" t="s">
        <v>57</v>
      </c>
      <c r="ER275" t="s">
        <v>57</v>
      </c>
      <c r="ES275" t="s">
        <v>57</v>
      </c>
      <c r="ET275" t="s">
        <v>57</v>
      </c>
      <c r="EU275" t="s">
        <v>57</v>
      </c>
      <c r="EV275" t="s">
        <v>57</v>
      </c>
      <c r="EW275" t="s">
        <v>175</v>
      </c>
      <c r="EX275" t="s">
        <v>175</v>
      </c>
      <c r="EY275" t="s">
        <v>175</v>
      </c>
      <c r="EZ275" t="s">
        <v>175</v>
      </c>
      <c r="FA275" t="s">
        <v>175</v>
      </c>
      <c r="FB275" t="s">
        <v>175</v>
      </c>
      <c r="FC275" t="s">
        <v>175</v>
      </c>
      <c r="FD275" t="s">
        <v>175</v>
      </c>
      <c r="FE275" t="s">
        <v>175</v>
      </c>
      <c r="FF275" t="s">
        <v>148</v>
      </c>
      <c r="FG275" t="s">
        <v>175</v>
      </c>
      <c r="FH275" t="s">
        <v>57</v>
      </c>
      <c r="FI275" t="s">
        <v>57</v>
      </c>
      <c r="FJ275" t="s">
        <v>57</v>
      </c>
      <c r="FK275" t="s">
        <v>57</v>
      </c>
      <c r="FL275" t="s">
        <v>57</v>
      </c>
      <c r="FM275" t="s">
        <v>57</v>
      </c>
      <c r="FN275" t="s">
        <v>57</v>
      </c>
      <c r="FO275" t="s">
        <v>175</v>
      </c>
      <c r="FP275" t="s">
        <v>57</v>
      </c>
      <c r="FQ275" t="s">
        <v>57</v>
      </c>
      <c r="FR275" t="s">
        <v>57</v>
      </c>
      <c r="FS275" t="s">
        <v>57</v>
      </c>
      <c r="FT275" t="s">
        <v>57</v>
      </c>
      <c r="FU275" t="s">
        <v>57</v>
      </c>
      <c r="FV275" t="s">
        <v>57</v>
      </c>
      <c r="FW275" t="s">
        <v>57</v>
      </c>
      <c r="FX275" t="s">
        <v>57</v>
      </c>
      <c r="FY275" t="s">
        <v>57</v>
      </c>
      <c r="FZ275" t="s">
        <v>57</v>
      </c>
      <c r="GA275" t="s">
        <v>57</v>
      </c>
      <c r="GB275" t="s">
        <v>57</v>
      </c>
      <c r="GC275" t="s">
        <v>57</v>
      </c>
      <c r="GD275" t="s">
        <v>57</v>
      </c>
      <c r="GE275" t="s">
        <v>57</v>
      </c>
      <c r="GF275" t="s">
        <v>57</v>
      </c>
      <c r="GG275" t="s">
        <v>175</v>
      </c>
      <c r="GH275" t="s">
        <v>57</v>
      </c>
      <c r="GI275" t="s">
        <v>57</v>
      </c>
      <c r="GJ275" t="s">
        <v>57</v>
      </c>
      <c r="GK275" t="s">
        <v>57</v>
      </c>
      <c r="GL275" t="s">
        <v>175</v>
      </c>
      <c r="GM275" t="s">
        <v>175</v>
      </c>
      <c r="GN275" t="s">
        <v>175</v>
      </c>
      <c r="GO275" t="s">
        <v>57</v>
      </c>
      <c r="GP275" t="s">
        <v>57</v>
      </c>
      <c r="GQ275" t="s">
        <v>175</v>
      </c>
      <c r="GR275" t="s">
        <v>57</v>
      </c>
      <c r="GS275" t="s">
        <v>57</v>
      </c>
      <c r="GT275" t="s">
        <v>57</v>
      </c>
      <c r="GU275" t="s">
        <v>57</v>
      </c>
      <c r="GV275" t="s">
        <v>175</v>
      </c>
      <c r="GW275" t="s">
        <v>57</v>
      </c>
      <c r="GX275" t="s">
        <v>57</v>
      </c>
      <c r="GY275" t="s">
        <v>57</v>
      </c>
      <c r="GZ275" t="s">
        <v>57</v>
      </c>
      <c r="HA275" t="s">
        <v>57</v>
      </c>
      <c r="HB275" t="s">
        <v>57</v>
      </c>
      <c r="HC275" t="s">
        <v>57</v>
      </c>
      <c r="HD275" t="s">
        <v>57</v>
      </c>
      <c r="HE275" t="s">
        <v>175</v>
      </c>
      <c r="HF275" t="s">
        <v>57</v>
      </c>
      <c r="HG275" t="s">
        <v>175</v>
      </c>
      <c r="HH275" t="s">
        <v>175</v>
      </c>
      <c r="HI275" t="s">
        <v>175</v>
      </c>
      <c r="HJ275" t="s">
        <v>175</v>
      </c>
      <c r="HK275" t="s">
        <v>175</v>
      </c>
      <c r="HL275" t="s">
        <v>57</v>
      </c>
      <c r="HM275" t="s">
        <v>57</v>
      </c>
      <c r="HN275" t="s">
        <v>57</v>
      </c>
      <c r="HO275" t="s">
        <v>57</v>
      </c>
      <c r="HP275" t="s">
        <v>57</v>
      </c>
      <c r="HQ275" t="s">
        <v>57</v>
      </c>
      <c r="HR275" t="s">
        <v>57</v>
      </c>
      <c r="HS275" t="s">
        <v>57</v>
      </c>
      <c r="HT275" t="s">
        <v>57</v>
      </c>
      <c r="HU275" t="s">
        <v>57</v>
      </c>
      <c r="HV275" t="s">
        <v>57</v>
      </c>
      <c r="HW275" t="s">
        <v>57</v>
      </c>
      <c r="HX275" t="s">
        <v>57</v>
      </c>
      <c r="HY275" t="s">
        <v>57</v>
      </c>
      <c r="HZ275" t="s">
        <v>57</v>
      </c>
      <c r="IA275" t="s">
        <v>57</v>
      </c>
      <c r="IB275" t="s">
        <v>58</v>
      </c>
      <c r="IC275" t="s">
        <v>58</v>
      </c>
      <c r="ID275" t="s">
        <v>58</v>
      </c>
      <c r="IE275" t="s">
        <v>58</v>
      </c>
      <c r="IF275" t="s">
        <v>124</v>
      </c>
      <c r="IG275" t="s">
        <v>148</v>
      </c>
      <c r="IH275" t="s">
        <v>123</v>
      </c>
      <c r="II275" t="s">
        <v>156</v>
      </c>
    </row>
    <row r="276" spans="1:243" x14ac:dyDescent="0.25">
      <c r="A276" s="201" t="str">
        <f>HYPERLINK("http://www.ofsted.gov.uk/inspection-reports/find-inspection-report/provider/ELS/143429 ","Ofsted School Webpage")</f>
        <v>Ofsted School Webpage</v>
      </c>
      <c r="B276">
        <v>143429</v>
      </c>
      <c r="C276">
        <v>8076001</v>
      </c>
      <c r="D276" t="s">
        <v>764</v>
      </c>
      <c r="E276" t="s">
        <v>36</v>
      </c>
      <c r="F276" t="s">
        <v>166</v>
      </c>
      <c r="G276" t="s">
        <v>202</v>
      </c>
      <c r="H276" t="s">
        <v>234</v>
      </c>
      <c r="I276" t="s">
        <v>765</v>
      </c>
      <c r="J276" t="s">
        <v>766</v>
      </c>
      <c r="K276" t="s">
        <v>142</v>
      </c>
      <c r="L276" t="s">
        <v>142</v>
      </c>
      <c r="M276" t="s">
        <v>2596</v>
      </c>
      <c r="N276" t="s">
        <v>143</v>
      </c>
      <c r="O276">
        <v>10040149</v>
      </c>
      <c r="P276" s="108">
        <v>43074</v>
      </c>
      <c r="Q276" s="108">
        <v>43076</v>
      </c>
      <c r="R276" s="108">
        <v>43124</v>
      </c>
      <c r="S276" t="s">
        <v>206</v>
      </c>
      <c r="T276" t="s">
        <v>154</v>
      </c>
      <c r="U276">
        <v>2</v>
      </c>
      <c r="V276">
        <v>2</v>
      </c>
      <c r="W276">
        <v>2</v>
      </c>
      <c r="X276">
        <v>2</v>
      </c>
      <c r="Y276">
        <v>2</v>
      </c>
      <c r="Z276" t="s">
        <v>2596</v>
      </c>
      <c r="AA276" t="s">
        <v>2596</v>
      </c>
      <c r="AB276" t="s">
        <v>123</v>
      </c>
      <c r="AC276" t="s">
        <v>2596</v>
      </c>
      <c r="AD276" t="s">
        <v>2598</v>
      </c>
      <c r="AE276" t="s">
        <v>57</v>
      </c>
      <c r="AF276" t="s">
        <v>57</v>
      </c>
      <c r="AG276" t="s">
        <v>57</v>
      </c>
      <c r="AH276" t="s">
        <v>57</v>
      </c>
      <c r="AI276" t="s">
        <v>57</v>
      </c>
      <c r="AJ276" t="s">
        <v>57</v>
      </c>
      <c r="AK276" t="s">
        <v>57</v>
      </c>
      <c r="AL276" t="s">
        <v>57</v>
      </c>
      <c r="AM276" t="s">
        <v>57</v>
      </c>
      <c r="AN276" t="s">
        <v>57</v>
      </c>
      <c r="AO276" t="s">
        <v>57</v>
      </c>
      <c r="AP276" t="s">
        <v>57</v>
      </c>
      <c r="AQ276" t="s">
        <v>57</v>
      </c>
      <c r="AR276" t="s">
        <v>57</v>
      </c>
      <c r="AS276" t="s">
        <v>57</v>
      </c>
      <c r="AT276" t="s">
        <v>57</v>
      </c>
      <c r="AU276" t="s">
        <v>175</v>
      </c>
      <c r="AV276" t="s">
        <v>57</v>
      </c>
      <c r="AW276" t="s">
        <v>57</v>
      </c>
      <c r="AX276" t="s">
        <v>57</v>
      </c>
      <c r="AY276" t="s">
        <v>57</v>
      </c>
      <c r="AZ276" t="s">
        <v>57</v>
      </c>
      <c r="BA276" t="s">
        <v>57</v>
      </c>
      <c r="BB276" t="s">
        <v>57</v>
      </c>
      <c r="BC276" t="s">
        <v>175</v>
      </c>
      <c r="BD276" t="s">
        <v>175</v>
      </c>
      <c r="BE276" t="s">
        <v>57</v>
      </c>
      <c r="BF276" t="s">
        <v>57</v>
      </c>
      <c r="BG276" t="s">
        <v>57</v>
      </c>
      <c r="BH276" t="s">
        <v>57</v>
      </c>
      <c r="BI276" t="s">
        <v>57</v>
      </c>
      <c r="BJ276" t="s">
        <v>57</v>
      </c>
      <c r="BK276" t="s">
        <v>57</v>
      </c>
      <c r="BL276" t="s">
        <v>57</v>
      </c>
      <c r="BM276" t="s">
        <v>57</v>
      </c>
      <c r="BN276" t="s">
        <v>57</v>
      </c>
      <c r="BO276" t="s">
        <v>57</v>
      </c>
      <c r="BP276" t="s">
        <v>57</v>
      </c>
      <c r="BQ276" t="s">
        <v>57</v>
      </c>
      <c r="BR276" t="s">
        <v>57</v>
      </c>
      <c r="BS276" t="s">
        <v>57</v>
      </c>
      <c r="BT276" t="s">
        <v>57</v>
      </c>
      <c r="BU276" t="s">
        <v>57</v>
      </c>
      <c r="BV276" t="s">
        <v>57</v>
      </c>
      <c r="BW276" t="s">
        <v>57</v>
      </c>
      <c r="BX276" t="s">
        <v>57</v>
      </c>
      <c r="BY276" t="s">
        <v>57</v>
      </c>
      <c r="BZ276" t="s">
        <v>57</v>
      </c>
      <c r="CA276" t="s">
        <v>57</v>
      </c>
      <c r="CB276" t="s">
        <v>57</v>
      </c>
      <c r="CC276" t="s">
        <v>57</v>
      </c>
      <c r="CD276" t="s">
        <v>57</v>
      </c>
      <c r="CE276" t="s">
        <v>57</v>
      </c>
      <c r="CF276" t="s">
        <v>57</v>
      </c>
      <c r="CG276" t="s">
        <v>57</v>
      </c>
      <c r="CH276" t="s">
        <v>57</v>
      </c>
      <c r="CI276" t="s">
        <v>57</v>
      </c>
      <c r="CJ276" t="s">
        <v>57</v>
      </c>
      <c r="CK276" t="s">
        <v>175</v>
      </c>
      <c r="CL276" t="s">
        <v>175</v>
      </c>
      <c r="CM276" t="s">
        <v>175</v>
      </c>
      <c r="CN276" t="s">
        <v>57</v>
      </c>
      <c r="CO276" t="s">
        <v>57</v>
      </c>
      <c r="CP276" t="s">
        <v>57</v>
      </c>
      <c r="CQ276" t="s">
        <v>57</v>
      </c>
      <c r="CR276" t="s">
        <v>57</v>
      </c>
      <c r="CS276" t="s">
        <v>57</v>
      </c>
      <c r="CT276" t="s">
        <v>57</v>
      </c>
      <c r="CU276" t="s">
        <v>57</v>
      </c>
      <c r="CV276" t="s">
        <v>57</v>
      </c>
      <c r="CW276" t="s">
        <v>57</v>
      </c>
      <c r="CX276" t="s">
        <v>57</v>
      </c>
      <c r="CY276" t="s">
        <v>57</v>
      </c>
      <c r="CZ276" t="s">
        <v>57</v>
      </c>
      <c r="DA276" t="s">
        <v>57</v>
      </c>
      <c r="DB276" t="s">
        <v>57</v>
      </c>
      <c r="DC276" t="s">
        <v>57</v>
      </c>
      <c r="DD276" t="s">
        <v>57</v>
      </c>
      <c r="DE276" t="s">
        <v>57</v>
      </c>
      <c r="DF276" t="s">
        <v>57</v>
      </c>
      <c r="DG276" t="s">
        <v>57</v>
      </c>
      <c r="DH276" t="s">
        <v>57</v>
      </c>
      <c r="DI276" t="s">
        <v>57</v>
      </c>
      <c r="DJ276" t="s">
        <v>175</v>
      </c>
      <c r="DK276" t="s">
        <v>175</v>
      </c>
      <c r="DL276" t="s">
        <v>57</v>
      </c>
      <c r="DM276" t="s">
        <v>175</v>
      </c>
      <c r="DN276" t="s">
        <v>175</v>
      </c>
      <c r="DO276" t="s">
        <v>175</v>
      </c>
      <c r="DP276" t="s">
        <v>175</v>
      </c>
      <c r="DQ276" t="s">
        <v>175</v>
      </c>
      <c r="DR276" t="s">
        <v>175</v>
      </c>
      <c r="DS276" t="s">
        <v>175</v>
      </c>
      <c r="DT276" t="s">
        <v>175</v>
      </c>
      <c r="DU276" t="s">
        <v>175</v>
      </c>
      <c r="DV276" t="s">
        <v>175</v>
      </c>
      <c r="DW276" t="s">
        <v>175</v>
      </c>
      <c r="DX276" t="s">
        <v>175</v>
      </c>
      <c r="DY276" t="s">
        <v>175</v>
      </c>
      <c r="DZ276" t="s">
        <v>175</v>
      </c>
      <c r="EA276" t="s">
        <v>57</v>
      </c>
      <c r="EB276" t="s">
        <v>57</v>
      </c>
      <c r="EC276" t="s">
        <v>57</v>
      </c>
      <c r="ED276" t="s">
        <v>57</v>
      </c>
      <c r="EE276" t="s">
        <v>57</v>
      </c>
      <c r="EF276" t="s">
        <v>57</v>
      </c>
      <c r="EG276" t="s">
        <v>57</v>
      </c>
      <c r="EH276" t="s">
        <v>175</v>
      </c>
      <c r="EI276" t="s">
        <v>57</v>
      </c>
      <c r="EJ276" t="s">
        <v>57</v>
      </c>
      <c r="EK276" t="s">
        <v>57</v>
      </c>
      <c r="EL276" t="s">
        <v>57</v>
      </c>
      <c r="EM276" t="s">
        <v>57</v>
      </c>
      <c r="EN276" t="s">
        <v>57</v>
      </c>
      <c r="EO276" t="s">
        <v>57</v>
      </c>
      <c r="EP276" t="s">
        <v>57</v>
      </c>
      <c r="EQ276" t="s">
        <v>57</v>
      </c>
      <c r="ER276" t="s">
        <v>57</v>
      </c>
      <c r="ES276" t="s">
        <v>57</v>
      </c>
      <c r="ET276" t="s">
        <v>57</v>
      </c>
      <c r="EU276" t="s">
        <v>57</v>
      </c>
      <c r="EV276" t="s">
        <v>57</v>
      </c>
      <c r="EW276" t="s">
        <v>175</v>
      </c>
      <c r="EX276" t="s">
        <v>175</v>
      </c>
      <c r="EY276" t="s">
        <v>175</v>
      </c>
      <c r="EZ276" t="s">
        <v>175</v>
      </c>
      <c r="FA276" t="s">
        <v>175</v>
      </c>
      <c r="FB276" t="s">
        <v>175</v>
      </c>
      <c r="FC276" t="s">
        <v>175</v>
      </c>
      <c r="FD276" t="s">
        <v>57</v>
      </c>
      <c r="FE276" t="s">
        <v>175</v>
      </c>
      <c r="FF276" t="s">
        <v>148</v>
      </c>
      <c r="FG276" t="s">
        <v>175</v>
      </c>
      <c r="FH276" t="s">
        <v>57</v>
      </c>
      <c r="FI276" t="s">
        <v>57</v>
      </c>
      <c r="FJ276" t="s">
        <v>57</v>
      </c>
      <c r="FK276" t="s">
        <v>57</v>
      </c>
      <c r="FL276" t="s">
        <v>57</v>
      </c>
      <c r="FM276" t="s">
        <v>57</v>
      </c>
      <c r="FN276" t="s">
        <v>57</v>
      </c>
      <c r="FO276" t="s">
        <v>175</v>
      </c>
      <c r="FP276" t="s">
        <v>57</v>
      </c>
      <c r="FQ276" t="s">
        <v>57</v>
      </c>
      <c r="FR276" t="s">
        <v>57</v>
      </c>
      <c r="FS276" t="s">
        <v>57</v>
      </c>
      <c r="FT276" t="s">
        <v>57</v>
      </c>
      <c r="FU276" t="s">
        <v>57</v>
      </c>
      <c r="FV276" t="s">
        <v>57</v>
      </c>
      <c r="FW276" t="s">
        <v>57</v>
      </c>
      <c r="FX276" t="s">
        <v>57</v>
      </c>
      <c r="FY276" t="s">
        <v>57</v>
      </c>
      <c r="FZ276" t="s">
        <v>57</v>
      </c>
      <c r="GA276" t="s">
        <v>57</v>
      </c>
      <c r="GB276" t="s">
        <v>57</v>
      </c>
      <c r="GC276" t="s">
        <v>57</v>
      </c>
      <c r="GD276" t="s">
        <v>57</v>
      </c>
      <c r="GE276" t="s">
        <v>57</v>
      </c>
      <c r="GF276" t="s">
        <v>57</v>
      </c>
      <c r="GG276" t="s">
        <v>175</v>
      </c>
      <c r="GH276" t="s">
        <v>57</v>
      </c>
      <c r="GI276" t="s">
        <v>57</v>
      </c>
      <c r="GJ276" t="s">
        <v>57</v>
      </c>
      <c r="GK276" t="s">
        <v>57</v>
      </c>
      <c r="GL276" t="s">
        <v>57</v>
      </c>
      <c r="GM276" t="s">
        <v>175</v>
      </c>
      <c r="GN276" t="s">
        <v>57</v>
      </c>
      <c r="GO276" t="s">
        <v>57</v>
      </c>
      <c r="GP276" t="s">
        <v>57</v>
      </c>
      <c r="GQ276" t="s">
        <v>57</v>
      </c>
      <c r="GR276" t="s">
        <v>57</v>
      </c>
      <c r="GS276" t="s">
        <v>57</v>
      </c>
      <c r="GT276" t="s">
        <v>57</v>
      </c>
      <c r="GU276" t="s">
        <v>57</v>
      </c>
      <c r="GV276" t="s">
        <v>57</v>
      </c>
      <c r="GW276" t="s">
        <v>175</v>
      </c>
      <c r="GX276" t="s">
        <v>175</v>
      </c>
      <c r="GY276" t="s">
        <v>57</v>
      </c>
      <c r="GZ276" t="s">
        <v>57</v>
      </c>
      <c r="HA276" t="s">
        <v>57</v>
      </c>
      <c r="HB276" t="s">
        <v>57</v>
      </c>
      <c r="HC276" t="s">
        <v>57</v>
      </c>
      <c r="HD276" t="s">
        <v>57</v>
      </c>
      <c r="HE276" t="s">
        <v>57</v>
      </c>
      <c r="HF276" t="s">
        <v>57</v>
      </c>
      <c r="HG276" t="s">
        <v>57</v>
      </c>
      <c r="HH276" t="s">
        <v>57</v>
      </c>
      <c r="HI276" t="s">
        <v>175</v>
      </c>
      <c r="HJ276" t="s">
        <v>175</v>
      </c>
      <c r="HK276" t="s">
        <v>175</v>
      </c>
      <c r="HL276" t="s">
        <v>57</v>
      </c>
      <c r="HM276" t="s">
        <v>57</v>
      </c>
      <c r="HN276" t="s">
        <v>57</v>
      </c>
      <c r="HO276" t="s">
        <v>57</v>
      </c>
      <c r="HP276" t="s">
        <v>57</v>
      </c>
      <c r="HQ276" t="s">
        <v>57</v>
      </c>
      <c r="HR276" t="s">
        <v>57</v>
      </c>
      <c r="HS276" t="s">
        <v>57</v>
      </c>
      <c r="HT276" t="s">
        <v>57</v>
      </c>
      <c r="HU276" t="s">
        <v>57</v>
      </c>
      <c r="HV276" t="s">
        <v>57</v>
      </c>
      <c r="HW276" t="s">
        <v>57</v>
      </c>
      <c r="HX276" t="s">
        <v>57</v>
      </c>
      <c r="HY276" t="s">
        <v>57</v>
      </c>
      <c r="HZ276" t="s">
        <v>57</v>
      </c>
      <c r="IA276" t="s">
        <v>57</v>
      </c>
      <c r="IB276" t="s">
        <v>57</v>
      </c>
      <c r="IC276" t="s">
        <v>57</v>
      </c>
      <c r="ID276" t="s">
        <v>57</v>
      </c>
      <c r="IE276" t="s">
        <v>57</v>
      </c>
      <c r="IF276" t="s">
        <v>124</v>
      </c>
      <c r="IG276" t="s">
        <v>148</v>
      </c>
      <c r="IH276" t="s">
        <v>123</v>
      </c>
      <c r="II276" t="s">
        <v>156</v>
      </c>
    </row>
    <row r="277" spans="1:243" x14ac:dyDescent="0.25">
      <c r="A277" s="201" t="str">
        <f>HYPERLINK("http://www.ofsted.gov.uk/inspection-reports/find-inspection-report/provider/ELS/143521 ","Ofsted School Webpage")</f>
        <v>Ofsted School Webpage</v>
      </c>
      <c r="B277">
        <v>143521</v>
      </c>
      <c r="C277">
        <v>8816066</v>
      </c>
      <c r="D277" t="s">
        <v>767</v>
      </c>
      <c r="E277" t="s">
        <v>36</v>
      </c>
      <c r="F277" t="s">
        <v>166</v>
      </c>
      <c r="G277" t="s">
        <v>177</v>
      </c>
      <c r="H277" t="s">
        <v>177</v>
      </c>
      <c r="I277" t="s">
        <v>280</v>
      </c>
      <c r="J277" t="s">
        <v>768</v>
      </c>
      <c r="K277" t="s">
        <v>142</v>
      </c>
      <c r="L277" t="s">
        <v>169</v>
      </c>
      <c r="M277" t="s">
        <v>2596</v>
      </c>
      <c r="N277" t="s">
        <v>143</v>
      </c>
      <c r="O277">
        <v>10043523</v>
      </c>
      <c r="P277" s="108">
        <v>43138</v>
      </c>
      <c r="Q277" s="108">
        <v>43140</v>
      </c>
      <c r="R277" s="108">
        <v>43171</v>
      </c>
      <c r="S277" t="s">
        <v>206</v>
      </c>
      <c r="T277" t="s">
        <v>154</v>
      </c>
      <c r="U277">
        <v>2</v>
      </c>
      <c r="V277">
        <v>2</v>
      </c>
      <c r="W277">
        <v>2</v>
      </c>
      <c r="X277">
        <v>2</v>
      </c>
      <c r="Y277">
        <v>2</v>
      </c>
      <c r="Z277" t="s">
        <v>2596</v>
      </c>
      <c r="AA277" t="s">
        <v>2596</v>
      </c>
      <c r="AB277" t="s">
        <v>123</v>
      </c>
      <c r="AC277" t="s">
        <v>2596</v>
      </c>
      <c r="AD277" t="s">
        <v>2598</v>
      </c>
      <c r="AE277" t="s">
        <v>57</v>
      </c>
      <c r="AF277" t="s">
        <v>57</v>
      </c>
      <c r="AG277" t="s">
        <v>57</v>
      </c>
      <c r="AH277" t="s">
        <v>57</v>
      </c>
      <c r="AI277" t="s">
        <v>57</v>
      </c>
      <c r="AJ277" t="s">
        <v>57</v>
      </c>
      <c r="AK277" t="s">
        <v>57</v>
      </c>
      <c r="AL277" t="s">
        <v>57</v>
      </c>
      <c r="AM277" t="s">
        <v>57</v>
      </c>
      <c r="AN277" t="s">
        <v>57</v>
      </c>
      <c r="AO277" t="s">
        <v>57</v>
      </c>
      <c r="AP277" t="s">
        <v>57</v>
      </c>
      <c r="AQ277" t="s">
        <v>57</v>
      </c>
      <c r="AR277" t="s">
        <v>57</v>
      </c>
      <c r="AS277" t="s">
        <v>57</v>
      </c>
      <c r="AT277" t="s">
        <v>57</v>
      </c>
      <c r="AU277" t="s">
        <v>57</v>
      </c>
      <c r="AV277" t="s">
        <v>57</v>
      </c>
      <c r="AW277" t="s">
        <v>57</v>
      </c>
      <c r="AX277" t="s">
        <v>57</v>
      </c>
      <c r="AY277" t="s">
        <v>57</v>
      </c>
      <c r="AZ277" t="s">
        <v>57</v>
      </c>
      <c r="BA277" t="s">
        <v>57</v>
      </c>
      <c r="BB277" t="s">
        <v>57</v>
      </c>
      <c r="BC277" t="s">
        <v>175</v>
      </c>
      <c r="BD277" t="s">
        <v>175</v>
      </c>
      <c r="BE277" t="s">
        <v>57</v>
      </c>
      <c r="BF277" t="s">
        <v>57</v>
      </c>
      <c r="BG277" t="s">
        <v>57</v>
      </c>
      <c r="BH277" t="s">
        <v>57</v>
      </c>
      <c r="BI277" t="s">
        <v>57</v>
      </c>
      <c r="BJ277" t="s">
        <v>57</v>
      </c>
      <c r="BK277" t="s">
        <v>57</v>
      </c>
      <c r="BL277" t="s">
        <v>57</v>
      </c>
      <c r="BM277" t="s">
        <v>57</v>
      </c>
      <c r="BN277" t="s">
        <v>57</v>
      </c>
      <c r="BO277" t="s">
        <v>57</v>
      </c>
      <c r="BP277" t="s">
        <v>57</v>
      </c>
      <c r="BQ277" t="s">
        <v>57</v>
      </c>
      <c r="BR277" t="s">
        <v>57</v>
      </c>
      <c r="BS277" t="s">
        <v>57</v>
      </c>
      <c r="BT277" t="s">
        <v>57</v>
      </c>
      <c r="BU277" t="s">
        <v>57</v>
      </c>
      <c r="BV277" t="s">
        <v>57</v>
      </c>
      <c r="BW277" t="s">
        <v>57</v>
      </c>
      <c r="BX277" t="s">
        <v>57</v>
      </c>
      <c r="BY277" t="s">
        <v>57</v>
      </c>
      <c r="BZ277" t="s">
        <v>57</v>
      </c>
      <c r="CA277" t="s">
        <v>57</v>
      </c>
      <c r="CB277" t="s">
        <v>57</v>
      </c>
      <c r="CC277" t="s">
        <v>57</v>
      </c>
      <c r="CD277" t="s">
        <v>57</v>
      </c>
      <c r="CE277" t="s">
        <v>57</v>
      </c>
      <c r="CF277" t="s">
        <v>57</v>
      </c>
      <c r="CG277" t="s">
        <v>57</v>
      </c>
      <c r="CH277" t="s">
        <v>57</v>
      </c>
      <c r="CI277" t="s">
        <v>57</v>
      </c>
      <c r="CJ277" t="s">
        <v>57</v>
      </c>
      <c r="CK277" t="s">
        <v>175</v>
      </c>
      <c r="CL277" t="s">
        <v>175</v>
      </c>
      <c r="CM277" t="s">
        <v>175</v>
      </c>
      <c r="CN277" t="s">
        <v>57</v>
      </c>
      <c r="CO277" t="s">
        <v>57</v>
      </c>
      <c r="CP277" t="s">
        <v>57</v>
      </c>
      <c r="CQ277" t="s">
        <v>57</v>
      </c>
      <c r="CR277" t="s">
        <v>57</v>
      </c>
      <c r="CS277" t="s">
        <v>57</v>
      </c>
      <c r="CT277" t="s">
        <v>57</v>
      </c>
      <c r="CU277" t="s">
        <v>57</v>
      </c>
      <c r="CV277" t="s">
        <v>57</v>
      </c>
      <c r="CW277" t="s">
        <v>57</v>
      </c>
      <c r="CX277" t="s">
        <v>57</v>
      </c>
      <c r="CY277" t="s">
        <v>57</v>
      </c>
      <c r="CZ277" t="s">
        <v>57</v>
      </c>
      <c r="DA277" t="s">
        <v>57</v>
      </c>
      <c r="DB277" t="s">
        <v>57</v>
      </c>
      <c r="DC277" t="s">
        <v>57</v>
      </c>
      <c r="DD277" t="s">
        <v>57</v>
      </c>
      <c r="DE277" t="s">
        <v>57</v>
      </c>
      <c r="DF277" t="s">
        <v>57</v>
      </c>
      <c r="DG277" t="s">
        <v>57</v>
      </c>
      <c r="DH277" t="s">
        <v>57</v>
      </c>
      <c r="DI277" t="s">
        <v>57</v>
      </c>
      <c r="DJ277" t="s">
        <v>57</v>
      </c>
      <c r="DK277" t="s">
        <v>175</v>
      </c>
      <c r="DL277" t="s">
        <v>57</v>
      </c>
      <c r="DM277" t="s">
        <v>175</v>
      </c>
      <c r="DN277" t="s">
        <v>175</v>
      </c>
      <c r="DO277" t="s">
        <v>175</v>
      </c>
      <c r="DP277" t="s">
        <v>175</v>
      </c>
      <c r="DQ277" t="s">
        <v>175</v>
      </c>
      <c r="DR277" t="s">
        <v>175</v>
      </c>
      <c r="DS277" t="s">
        <v>175</v>
      </c>
      <c r="DT277" t="s">
        <v>175</v>
      </c>
      <c r="DU277" t="s">
        <v>175</v>
      </c>
      <c r="DV277" t="s">
        <v>175</v>
      </c>
      <c r="DW277" t="s">
        <v>175</v>
      </c>
      <c r="DX277" t="s">
        <v>175</v>
      </c>
      <c r="DY277" t="s">
        <v>175</v>
      </c>
      <c r="DZ277" t="s">
        <v>175</v>
      </c>
      <c r="EA277" t="s">
        <v>57</v>
      </c>
      <c r="EB277" t="s">
        <v>57</v>
      </c>
      <c r="EC277" t="s">
        <v>57</v>
      </c>
      <c r="ED277" t="s">
        <v>57</v>
      </c>
      <c r="EE277" t="s">
        <v>57</v>
      </c>
      <c r="EF277" t="s">
        <v>57</v>
      </c>
      <c r="EG277" t="s">
        <v>57</v>
      </c>
      <c r="EH277" t="s">
        <v>57</v>
      </c>
      <c r="EI277" t="s">
        <v>57</v>
      </c>
      <c r="EJ277" t="s">
        <v>57</v>
      </c>
      <c r="EK277" t="s">
        <v>57</v>
      </c>
      <c r="EL277" t="s">
        <v>57</v>
      </c>
      <c r="EM277" t="s">
        <v>57</v>
      </c>
      <c r="EN277" t="s">
        <v>57</v>
      </c>
      <c r="EO277" t="s">
        <v>57</v>
      </c>
      <c r="EP277" t="s">
        <v>57</v>
      </c>
      <c r="EQ277" t="s">
        <v>57</v>
      </c>
      <c r="ER277" t="s">
        <v>57</v>
      </c>
      <c r="ES277" t="s">
        <v>57</v>
      </c>
      <c r="ET277" t="s">
        <v>57</v>
      </c>
      <c r="EU277" t="s">
        <v>57</v>
      </c>
      <c r="EV277" t="s">
        <v>57</v>
      </c>
      <c r="EW277" t="s">
        <v>175</v>
      </c>
      <c r="EX277" t="s">
        <v>175</v>
      </c>
      <c r="EY277" t="s">
        <v>175</v>
      </c>
      <c r="EZ277" t="s">
        <v>175</v>
      </c>
      <c r="FA277" t="s">
        <v>175</v>
      </c>
      <c r="FB277" t="s">
        <v>175</v>
      </c>
      <c r="FC277" t="s">
        <v>175</v>
      </c>
      <c r="FD277" t="s">
        <v>57</v>
      </c>
      <c r="FE277" t="s">
        <v>175</v>
      </c>
      <c r="FF277" t="s">
        <v>148</v>
      </c>
      <c r="FG277" t="s">
        <v>175</v>
      </c>
      <c r="FH277" t="s">
        <v>57</v>
      </c>
      <c r="FI277" t="s">
        <v>57</v>
      </c>
      <c r="FJ277" t="s">
        <v>57</v>
      </c>
      <c r="FK277" t="s">
        <v>57</v>
      </c>
      <c r="FL277" t="s">
        <v>57</v>
      </c>
      <c r="FM277" t="s">
        <v>57</v>
      </c>
      <c r="FN277" t="s">
        <v>57</v>
      </c>
      <c r="FO277" t="s">
        <v>175</v>
      </c>
      <c r="FP277" t="s">
        <v>57</v>
      </c>
      <c r="FQ277" t="s">
        <v>57</v>
      </c>
      <c r="FR277" t="s">
        <v>57</v>
      </c>
      <c r="FS277" t="s">
        <v>57</v>
      </c>
      <c r="FT277" t="s">
        <v>57</v>
      </c>
      <c r="FU277" t="s">
        <v>57</v>
      </c>
      <c r="FV277" t="s">
        <v>57</v>
      </c>
      <c r="FW277" t="s">
        <v>57</v>
      </c>
      <c r="FX277" t="s">
        <v>57</v>
      </c>
      <c r="FY277" t="s">
        <v>57</v>
      </c>
      <c r="FZ277" t="s">
        <v>57</v>
      </c>
      <c r="GA277" t="s">
        <v>57</v>
      </c>
      <c r="GB277" t="s">
        <v>57</v>
      </c>
      <c r="GC277" t="s">
        <v>57</v>
      </c>
      <c r="GD277" t="s">
        <v>57</v>
      </c>
      <c r="GE277" t="s">
        <v>57</v>
      </c>
      <c r="GF277" t="s">
        <v>57</v>
      </c>
      <c r="GG277" t="s">
        <v>175</v>
      </c>
      <c r="GH277" t="s">
        <v>57</v>
      </c>
      <c r="GI277" t="s">
        <v>57</v>
      </c>
      <c r="GJ277" t="s">
        <v>57</v>
      </c>
      <c r="GK277" t="s">
        <v>57</v>
      </c>
      <c r="GL277" t="s">
        <v>57</v>
      </c>
      <c r="GM277" t="s">
        <v>175</v>
      </c>
      <c r="GN277" t="s">
        <v>57</v>
      </c>
      <c r="GO277" t="s">
        <v>57</v>
      </c>
      <c r="GP277" t="s">
        <v>57</v>
      </c>
      <c r="GQ277" t="s">
        <v>57</v>
      </c>
      <c r="GR277" t="s">
        <v>175</v>
      </c>
      <c r="GS277" t="s">
        <v>57</v>
      </c>
      <c r="GT277" t="s">
        <v>57</v>
      </c>
      <c r="GU277" t="s">
        <v>57</v>
      </c>
      <c r="GV277" t="s">
        <v>175</v>
      </c>
      <c r="GW277" t="s">
        <v>57</v>
      </c>
      <c r="GX277" t="s">
        <v>57</v>
      </c>
      <c r="GY277" t="s">
        <v>57</v>
      </c>
      <c r="GZ277" t="s">
        <v>57</v>
      </c>
      <c r="HA277" t="s">
        <v>57</v>
      </c>
      <c r="HB277" t="s">
        <v>57</v>
      </c>
      <c r="HC277" t="s">
        <v>57</v>
      </c>
      <c r="HD277" t="s">
        <v>57</v>
      </c>
      <c r="HE277" t="s">
        <v>57</v>
      </c>
      <c r="HF277" t="s">
        <v>57</v>
      </c>
      <c r="HG277" t="s">
        <v>57</v>
      </c>
      <c r="HH277" t="s">
        <v>57</v>
      </c>
      <c r="HI277" t="s">
        <v>175</v>
      </c>
      <c r="HJ277" t="s">
        <v>175</v>
      </c>
      <c r="HK277" t="s">
        <v>175</v>
      </c>
      <c r="HL277" t="s">
        <v>57</v>
      </c>
      <c r="HM277" t="s">
        <v>57</v>
      </c>
      <c r="HN277" t="s">
        <v>57</v>
      </c>
      <c r="HO277" t="s">
        <v>57</v>
      </c>
      <c r="HP277" t="s">
        <v>57</v>
      </c>
      <c r="HQ277" t="s">
        <v>57</v>
      </c>
      <c r="HR277" t="s">
        <v>57</v>
      </c>
      <c r="HS277" t="s">
        <v>57</v>
      </c>
      <c r="HT277" t="s">
        <v>57</v>
      </c>
      <c r="HU277" t="s">
        <v>57</v>
      </c>
      <c r="HV277" t="s">
        <v>57</v>
      </c>
      <c r="HW277" t="s">
        <v>57</v>
      </c>
      <c r="HX277" t="s">
        <v>57</v>
      </c>
      <c r="HY277" t="s">
        <v>57</v>
      </c>
      <c r="HZ277" t="s">
        <v>57</v>
      </c>
      <c r="IA277" t="s">
        <v>57</v>
      </c>
      <c r="IB277" t="s">
        <v>57</v>
      </c>
      <c r="IC277" t="s">
        <v>57</v>
      </c>
      <c r="ID277" t="s">
        <v>57</v>
      </c>
      <c r="IE277" t="s">
        <v>57</v>
      </c>
      <c r="IF277" t="s">
        <v>124</v>
      </c>
      <c r="IG277" t="s">
        <v>148</v>
      </c>
      <c r="IH277" t="s">
        <v>123</v>
      </c>
      <c r="II277" t="s">
        <v>156</v>
      </c>
    </row>
    <row r="278" spans="1:243" x14ac:dyDescent="0.25">
      <c r="A278" s="201" t="str">
        <f>HYPERLINK("http://www.ofsted.gov.uk/inspection-reports/find-inspection-report/provider/ELS/143539 ","Ofsted School Webpage")</f>
        <v>Ofsted School Webpage</v>
      </c>
      <c r="B278">
        <v>143539</v>
      </c>
      <c r="C278">
        <v>8786067</v>
      </c>
      <c r="D278" t="s">
        <v>451</v>
      </c>
      <c r="E278" t="s">
        <v>37</v>
      </c>
      <c r="F278" t="s">
        <v>138</v>
      </c>
      <c r="G278" t="s">
        <v>182</v>
      </c>
      <c r="H278" t="s">
        <v>182</v>
      </c>
      <c r="I278" t="s">
        <v>323</v>
      </c>
      <c r="J278" t="s">
        <v>452</v>
      </c>
      <c r="K278" t="s">
        <v>142</v>
      </c>
      <c r="L278" t="s">
        <v>142</v>
      </c>
      <c r="M278" t="s">
        <v>2596</v>
      </c>
      <c r="N278" t="s">
        <v>143</v>
      </c>
      <c r="O278">
        <v>10033897</v>
      </c>
      <c r="P278" s="108">
        <v>42997</v>
      </c>
      <c r="Q278" s="108">
        <v>42999</v>
      </c>
      <c r="R278" s="108">
        <v>43045</v>
      </c>
      <c r="S278" t="s">
        <v>206</v>
      </c>
      <c r="T278" t="s">
        <v>154</v>
      </c>
      <c r="U278">
        <v>4</v>
      </c>
      <c r="V278">
        <v>4</v>
      </c>
      <c r="W278">
        <v>3</v>
      </c>
      <c r="X278">
        <v>3</v>
      </c>
      <c r="Y278">
        <v>3</v>
      </c>
      <c r="Z278" t="s">
        <v>2596</v>
      </c>
      <c r="AA278" t="s">
        <v>2596</v>
      </c>
      <c r="AB278" t="s">
        <v>124</v>
      </c>
      <c r="AC278" t="s">
        <v>2596</v>
      </c>
      <c r="AD278" t="s">
        <v>2599</v>
      </c>
      <c r="AE278" t="s">
        <v>57</v>
      </c>
      <c r="AF278" t="s">
        <v>58</v>
      </c>
      <c r="AG278" t="s">
        <v>58</v>
      </c>
      <c r="AH278" t="s">
        <v>58</v>
      </c>
      <c r="AI278" t="s">
        <v>58</v>
      </c>
      <c r="AJ278" t="s">
        <v>58</v>
      </c>
      <c r="AK278" t="s">
        <v>57</v>
      </c>
      <c r="AL278" t="s">
        <v>58</v>
      </c>
      <c r="AM278" t="s">
        <v>57</v>
      </c>
      <c r="AN278" t="s">
        <v>57</v>
      </c>
      <c r="AO278" t="s">
        <v>57</v>
      </c>
      <c r="AP278" t="s">
        <v>57</v>
      </c>
      <c r="AQ278" t="s">
        <v>57</v>
      </c>
      <c r="AR278" t="s">
        <v>57</v>
      </c>
      <c r="AS278" t="s">
        <v>57</v>
      </c>
      <c r="AT278" t="s">
        <v>57</v>
      </c>
      <c r="AU278" t="s">
        <v>57</v>
      </c>
      <c r="AV278" t="s">
        <v>57</v>
      </c>
      <c r="AW278" t="s">
        <v>57</v>
      </c>
      <c r="AX278" t="s">
        <v>57</v>
      </c>
      <c r="AY278" t="s">
        <v>57</v>
      </c>
      <c r="AZ278" t="s">
        <v>57</v>
      </c>
      <c r="BA278" t="s">
        <v>57</v>
      </c>
      <c r="BB278" t="s">
        <v>57</v>
      </c>
      <c r="BC278" t="s">
        <v>148</v>
      </c>
      <c r="BD278" t="s">
        <v>148</v>
      </c>
      <c r="BE278" t="s">
        <v>57</v>
      </c>
      <c r="BF278" t="s">
        <v>57</v>
      </c>
      <c r="BG278" t="s">
        <v>57</v>
      </c>
      <c r="BH278" t="s">
        <v>57</v>
      </c>
      <c r="BI278" t="s">
        <v>57</v>
      </c>
      <c r="BJ278" t="s">
        <v>57</v>
      </c>
      <c r="BK278" t="s">
        <v>57</v>
      </c>
      <c r="BL278" t="s">
        <v>57</v>
      </c>
      <c r="BM278" t="s">
        <v>57</v>
      </c>
      <c r="BN278" t="s">
        <v>57</v>
      </c>
      <c r="BO278" t="s">
        <v>57</v>
      </c>
      <c r="BP278" t="s">
        <v>57</v>
      </c>
      <c r="BQ278" t="s">
        <v>57</v>
      </c>
      <c r="BR278" t="s">
        <v>57</v>
      </c>
      <c r="BS278" t="s">
        <v>58</v>
      </c>
      <c r="BT278" t="s">
        <v>58</v>
      </c>
      <c r="BU278" t="s">
        <v>58</v>
      </c>
      <c r="BV278" t="s">
        <v>57</v>
      </c>
      <c r="BW278" t="s">
        <v>57</v>
      </c>
      <c r="BX278" t="s">
        <v>57</v>
      </c>
      <c r="BY278" t="s">
        <v>57</v>
      </c>
      <c r="BZ278" t="s">
        <v>58</v>
      </c>
      <c r="CA278" t="s">
        <v>57</v>
      </c>
      <c r="CB278" t="s">
        <v>58</v>
      </c>
      <c r="CC278" t="s">
        <v>57</v>
      </c>
      <c r="CD278" t="s">
        <v>57</v>
      </c>
      <c r="CE278" t="s">
        <v>57</v>
      </c>
      <c r="CF278" t="s">
        <v>57</v>
      </c>
      <c r="CG278" t="s">
        <v>57</v>
      </c>
      <c r="CH278" t="s">
        <v>58</v>
      </c>
      <c r="CI278" t="s">
        <v>58</v>
      </c>
      <c r="CJ278" t="s">
        <v>58</v>
      </c>
      <c r="CK278" t="s">
        <v>148</v>
      </c>
      <c r="CL278" t="s">
        <v>148</v>
      </c>
      <c r="CM278" t="s">
        <v>148</v>
      </c>
      <c r="CN278" t="s">
        <v>57</v>
      </c>
      <c r="CO278" t="s">
        <v>57</v>
      </c>
      <c r="CP278" t="s">
        <v>57</v>
      </c>
      <c r="CQ278" t="s">
        <v>57</v>
      </c>
      <c r="CR278" t="s">
        <v>57</v>
      </c>
      <c r="CS278" t="s">
        <v>57</v>
      </c>
      <c r="CT278" t="s">
        <v>57</v>
      </c>
      <c r="CU278" t="s">
        <v>57</v>
      </c>
      <c r="CV278" t="s">
        <v>57</v>
      </c>
      <c r="CW278" t="s">
        <v>57</v>
      </c>
      <c r="CX278" t="s">
        <v>57</v>
      </c>
      <c r="CY278" t="s">
        <v>57</v>
      </c>
      <c r="CZ278" t="s">
        <v>57</v>
      </c>
      <c r="DA278" t="s">
        <v>58</v>
      </c>
      <c r="DB278" t="s">
        <v>57</v>
      </c>
      <c r="DC278" t="s">
        <v>57</v>
      </c>
      <c r="DD278" t="s">
        <v>58</v>
      </c>
      <c r="DE278" t="s">
        <v>57</v>
      </c>
      <c r="DF278" t="s">
        <v>58</v>
      </c>
      <c r="DG278" t="s">
        <v>57</v>
      </c>
      <c r="DH278" t="s">
        <v>148</v>
      </c>
      <c r="DI278" t="s">
        <v>57</v>
      </c>
      <c r="DJ278" t="s">
        <v>148</v>
      </c>
      <c r="DK278" t="s">
        <v>148</v>
      </c>
      <c r="DL278" t="s">
        <v>57</v>
      </c>
      <c r="DM278" t="s">
        <v>148</v>
      </c>
      <c r="DN278" t="s">
        <v>148</v>
      </c>
      <c r="DO278" t="s">
        <v>148</v>
      </c>
      <c r="DP278" t="s">
        <v>148</v>
      </c>
      <c r="DQ278" t="s">
        <v>148</v>
      </c>
      <c r="DR278" t="s">
        <v>148</v>
      </c>
      <c r="DS278" t="s">
        <v>148</v>
      </c>
      <c r="DT278" t="s">
        <v>148</v>
      </c>
      <c r="DU278" t="s">
        <v>148</v>
      </c>
      <c r="DV278" t="s">
        <v>148</v>
      </c>
      <c r="DW278" t="s">
        <v>148</v>
      </c>
      <c r="DX278" t="s">
        <v>148</v>
      </c>
      <c r="DY278" t="s">
        <v>148</v>
      </c>
      <c r="DZ278" t="s">
        <v>148</v>
      </c>
      <c r="EA278" t="s">
        <v>58</v>
      </c>
      <c r="EB278" t="s">
        <v>58</v>
      </c>
      <c r="EC278" t="s">
        <v>58</v>
      </c>
      <c r="ED278" t="s">
        <v>58</v>
      </c>
      <c r="EE278" t="s">
        <v>58</v>
      </c>
      <c r="EF278" t="s">
        <v>58</v>
      </c>
      <c r="EG278" t="s">
        <v>58</v>
      </c>
      <c r="EH278" t="s">
        <v>58</v>
      </c>
      <c r="EI278" t="s">
        <v>57</v>
      </c>
      <c r="EJ278" t="s">
        <v>57</v>
      </c>
      <c r="EK278" t="s">
        <v>57</v>
      </c>
      <c r="EL278" t="s">
        <v>57</v>
      </c>
      <c r="EM278" t="s">
        <v>57</v>
      </c>
      <c r="EN278" t="s">
        <v>57</v>
      </c>
      <c r="EO278" t="s">
        <v>57</v>
      </c>
      <c r="EP278" t="s">
        <v>57</v>
      </c>
      <c r="EQ278" t="s">
        <v>57</v>
      </c>
      <c r="ER278" t="s">
        <v>57</v>
      </c>
      <c r="ES278" t="s">
        <v>57</v>
      </c>
      <c r="ET278" t="s">
        <v>57</v>
      </c>
      <c r="EU278" t="s">
        <v>57</v>
      </c>
      <c r="EV278" t="s">
        <v>57</v>
      </c>
      <c r="EW278" t="s">
        <v>148</v>
      </c>
      <c r="EX278" t="s">
        <v>148</v>
      </c>
      <c r="EY278" t="s">
        <v>148</v>
      </c>
      <c r="EZ278" t="s">
        <v>148</v>
      </c>
      <c r="FA278" t="s">
        <v>148</v>
      </c>
      <c r="FB278" t="s">
        <v>148</v>
      </c>
      <c r="FC278" t="s">
        <v>148</v>
      </c>
      <c r="FD278" t="s">
        <v>58</v>
      </c>
      <c r="FE278" t="s">
        <v>58</v>
      </c>
      <c r="FF278" t="s">
        <v>58</v>
      </c>
      <c r="FG278" t="s">
        <v>58</v>
      </c>
      <c r="FH278" t="s">
        <v>58</v>
      </c>
      <c r="FI278" t="s">
        <v>58</v>
      </c>
      <c r="FJ278" t="s">
        <v>57</v>
      </c>
      <c r="FK278" t="s">
        <v>57</v>
      </c>
      <c r="FL278" t="s">
        <v>58</v>
      </c>
      <c r="FM278" t="s">
        <v>58</v>
      </c>
      <c r="FN278" t="s">
        <v>58</v>
      </c>
      <c r="FO278" t="s">
        <v>148</v>
      </c>
      <c r="FP278" t="s">
        <v>57</v>
      </c>
      <c r="FQ278" t="s">
        <v>57</v>
      </c>
      <c r="FR278" t="s">
        <v>57</v>
      </c>
      <c r="FS278" t="s">
        <v>58</v>
      </c>
      <c r="FT278" t="s">
        <v>57</v>
      </c>
      <c r="FU278" t="s">
        <v>58</v>
      </c>
      <c r="FV278" t="s">
        <v>57</v>
      </c>
      <c r="FW278" t="s">
        <v>57</v>
      </c>
      <c r="FX278" t="s">
        <v>57</v>
      </c>
      <c r="FY278" t="s">
        <v>57</v>
      </c>
      <c r="FZ278" t="s">
        <v>57</v>
      </c>
      <c r="GA278" t="s">
        <v>57</v>
      </c>
      <c r="GB278" t="s">
        <v>57</v>
      </c>
      <c r="GC278" t="s">
        <v>57</v>
      </c>
      <c r="GD278" t="s">
        <v>57</v>
      </c>
      <c r="GE278" t="s">
        <v>57</v>
      </c>
      <c r="GF278" t="s">
        <v>57</v>
      </c>
      <c r="GG278" t="s">
        <v>148</v>
      </c>
      <c r="GH278" t="s">
        <v>58</v>
      </c>
      <c r="GI278" t="s">
        <v>57</v>
      </c>
      <c r="GJ278" t="s">
        <v>57</v>
      </c>
      <c r="GK278" t="s">
        <v>57</v>
      </c>
      <c r="GL278" t="s">
        <v>148</v>
      </c>
      <c r="GM278" t="s">
        <v>148</v>
      </c>
      <c r="GN278" t="s">
        <v>57</v>
      </c>
      <c r="GO278" t="s">
        <v>57</v>
      </c>
      <c r="GP278" t="s">
        <v>57</v>
      </c>
      <c r="GQ278" t="s">
        <v>57</v>
      </c>
      <c r="GR278" t="s">
        <v>148</v>
      </c>
      <c r="GS278" t="s">
        <v>57</v>
      </c>
      <c r="GT278" t="s">
        <v>57</v>
      </c>
      <c r="GU278" t="s">
        <v>57</v>
      </c>
      <c r="GV278" t="s">
        <v>148</v>
      </c>
      <c r="GW278" t="s">
        <v>57</v>
      </c>
      <c r="GX278" t="s">
        <v>148</v>
      </c>
      <c r="GY278" t="s">
        <v>57</v>
      </c>
      <c r="GZ278" t="s">
        <v>58</v>
      </c>
      <c r="HA278" t="s">
        <v>58</v>
      </c>
      <c r="HB278" t="s">
        <v>57</v>
      </c>
      <c r="HC278" t="s">
        <v>58</v>
      </c>
      <c r="HD278" t="s">
        <v>58</v>
      </c>
      <c r="HE278" t="s">
        <v>57</v>
      </c>
      <c r="HF278" t="s">
        <v>57</v>
      </c>
      <c r="HG278" t="s">
        <v>148</v>
      </c>
      <c r="HH278" t="s">
        <v>148</v>
      </c>
      <c r="HI278" t="s">
        <v>148</v>
      </c>
      <c r="HJ278" t="s">
        <v>148</v>
      </c>
      <c r="HK278" t="s">
        <v>148</v>
      </c>
      <c r="HL278" t="s">
        <v>57</v>
      </c>
      <c r="HM278" t="s">
        <v>57</v>
      </c>
      <c r="HN278" t="s">
        <v>57</v>
      </c>
      <c r="HO278" t="s">
        <v>57</v>
      </c>
      <c r="HP278" t="s">
        <v>57</v>
      </c>
      <c r="HQ278" t="s">
        <v>57</v>
      </c>
      <c r="HR278" t="s">
        <v>57</v>
      </c>
      <c r="HS278" t="s">
        <v>57</v>
      </c>
      <c r="HT278" t="s">
        <v>57</v>
      </c>
      <c r="HU278" t="s">
        <v>57</v>
      </c>
      <c r="HV278" t="s">
        <v>57</v>
      </c>
      <c r="HW278" t="s">
        <v>57</v>
      </c>
      <c r="HX278" t="s">
        <v>57</v>
      </c>
      <c r="HY278" t="s">
        <v>57</v>
      </c>
      <c r="HZ278" t="s">
        <v>57</v>
      </c>
      <c r="IA278" t="s">
        <v>57</v>
      </c>
      <c r="IB278" t="s">
        <v>58</v>
      </c>
      <c r="IC278" t="s">
        <v>58</v>
      </c>
      <c r="ID278" t="s">
        <v>58</v>
      </c>
      <c r="IE278" t="s">
        <v>58</v>
      </c>
      <c r="IF278" t="s">
        <v>124</v>
      </c>
      <c r="IG278" t="s">
        <v>155</v>
      </c>
      <c r="IH278" t="s">
        <v>123</v>
      </c>
      <c r="II278" t="s">
        <v>156</v>
      </c>
    </row>
    <row r="279" spans="1:243" x14ac:dyDescent="0.25">
      <c r="A279" s="201" t="str">
        <f>HYPERLINK("http://www.ofsted.gov.uk/inspection-reports/find-inspection-report/provider/ELS/143840 ","Ofsted School Webpage")</f>
        <v>Ofsted School Webpage</v>
      </c>
      <c r="B279">
        <v>143840</v>
      </c>
      <c r="C279">
        <v>2046017</v>
      </c>
      <c r="D279" t="s">
        <v>2539</v>
      </c>
      <c r="E279" t="s">
        <v>36</v>
      </c>
      <c r="F279" t="s">
        <v>166</v>
      </c>
      <c r="G279" t="s">
        <v>189</v>
      </c>
      <c r="H279" t="s">
        <v>189</v>
      </c>
      <c r="I279" t="s">
        <v>434</v>
      </c>
      <c r="J279" t="s">
        <v>2883</v>
      </c>
      <c r="K279" t="s">
        <v>142</v>
      </c>
      <c r="L279" t="s">
        <v>142</v>
      </c>
      <c r="M279" t="s">
        <v>2596</v>
      </c>
      <c r="N279" t="s">
        <v>143</v>
      </c>
      <c r="O279">
        <v>10038181</v>
      </c>
      <c r="P279" s="108">
        <v>43039</v>
      </c>
      <c r="Q279" s="108">
        <v>43041</v>
      </c>
      <c r="R279" s="108">
        <v>43080</v>
      </c>
      <c r="S279" t="s">
        <v>206</v>
      </c>
      <c r="T279" t="s">
        <v>154</v>
      </c>
      <c r="U279">
        <v>3</v>
      </c>
      <c r="V279">
        <v>3</v>
      </c>
      <c r="W279">
        <v>3</v>
      </c>
      <c r="X279">
        <v>3</v>
      </c>
      <c r="Y279">
        <v>3</v>
      </c>
      <c r="Z279" t="s">
        <v>2596</v>
      </c>
      <c r="AA279" t="s">
        <v>2596</v>
      </c>
      <c r="AB279" t="s">
        <v>123</v>
      </c>
      <c r="AC279" t="s">
        <v>2596</v>
      </c>
      <c r="AD279" t="s">
        <v>2599</v>
      </c>
      <c r="AE279" t="s">
        <v>58</v>
      </c>
      <c r="AF279" t="s">
        <v>57</v>
      </c>
      <c r="AG279" t="s">
        <v>57</v>
      </c>
      <c r="AH279" t="s">
        <v>57</v>
      </c>
      <c r="AI279" t="s">
        <v>58</v>
      </c>
      <c r="AJ279" t="s">
        <v>57</v>
      </c>
      <c r="AK279" t="s">
        <v>57</v>
      </c>
      <c r="AL279" t="s">
        <v>58</v>
      </c>
      <c r="AM279" t="s">
        <v>58</v>
      </c>
      <c r="AN279" t="s">
        <v>58</v>
      </c>
      <c r="AO279" t="s">
        <v>57</v>
      </c>
      <c r="AP279" t="s">
        <v>57</v>
      </c>
      <c r="AQ279" t="s">
        <v>57</v>
      </c>
      <c r="AR279" t="s">
        <v>58</v>
      </c>
      <c r="AS279" t="s">
        <v>58</v>
      </c>
      <c r="AT279" t="s">
        <v>57</v>
      </c>
      <c r="AU279" t="s">
        <v>148</v>
      </c>
      <c r="AV279" t="s">
        <v>57</v>
      </c>
      <c r="AW279" t="s">
        <v>57</v>
      </c>
      <c r="AX279" t="s">
        <v>57</v>
      </c>
      <c r="AY279" t="s">
        <v>57</v>
      </c>
      <c r="AZ279" t="s">
        <v>57</v>
      </c>
      <c r="BA279" t="s">
        <v>57</v>
      </c>
      <c r="BB279" t="s">
        <v>57</v>
      </c>
      <c r="BC279" t="s">
        <v>148</v>
      </c>
      <c r="BD279" t="s">
        <v>148</v>
      </c>
      <c r="BE279" t="s">
        <v>57</v>
      </c>
      <c r="BF279" t="s">
        <v>57</v>
      </c>
      <c r="BG279" t="s">
        <v>57</v>
      </c>
      <c r="BH279" t="s">
        <v>57</v>
      </c>
      <c r="BI279" t="s">
        <v>57</v>
      </c>
      <c r="BJ279" t="s">
        <v>57</v>
      </c>
      <c r="BK279" t="s">
        <v>160</v>
      </c>
      <c r="BL279" t="s">
        <v>57</v>
      </c>
      <c r="BM279" t="s">
        <v>57</v>
      </c>
      <c r="BN279" t="s">
        <v>57</v>
      </c>
      <c r="BO279" t="s">
        <v>57</v>
      </c>
      <c r="BP279" t="s">
        <v>57</v>
      </c>
      <c r="BQ279" t="s">
        <v>57</v>
      </c>
      <c r="BR279" t="s">
        <v>57</v>
      </c>
      <c r="BS279" t="s">
        <v>57</v>
      </c>
      <c r="BT279" t="s">
        <v>57</v>
      </c>
      <c r="BU279" t="s">
        <v>57</v>
      </c>
      <c r="BV279" t="s">
        <v>57</v>
      </c>
      <c r="BW279" t="s">
        <v>57</v>
      </c>
      <c r="BX279" t="s">
        <v>57</v>
      </c>
      <c r="BY279" t="s">
        <v>57</v>
      </c>
      <c r="BZ279" t="s">
        <v>57</v>
      </c>
      <c r="CA279" t="s">
        <v>57</v>
      </c>
      <c r="CB279" t="s">
        <v>57</v>
      </c>
      <c r="CC279" t="s">
        <v>57</v>
      </c>
      <c r="CD279" t="s">
        <v>57</v>
      </c>
      <c r="CE279" t="s">
        <v>57</v>
      </c>
      <c r="CF279" t="s">
        <v>57</v>
      </c>
      <c r="CG279" t="s">
        <v>57</v>
      </c>
      <c r="CH279" t="s">
        <v>57</v>
      </c>
      <c r="CI279" t="s">
        <v>57</v>
      </c>
      <c r="CJ279" t="s">
        <v>57</v>
      </c>
      <c r="CK279" t="s">
        <v>57</v>
      </c>
      <c r="CL279" t="s">
        <v>148</v>
      </c>
      <c r="CM279" t="s">
        <v>148</v>
      </c>
      <c r="CN279" t="s">
        <v>57</v>
      </c>
      <c r="CO279" t="s">
        <v>57</v>
      </c>
      <c r="CP279" t="s">
        <v>57</v>
      </c>
      <c r="CQ279" t="s">
        <v>57</v>
      </c>
      <c r="CR279" t="s">
        <v>57</v>
      </c>
      <c r="CS279" t="s">
        <v>57</v>
      </c>
      <c r="CT279" t="s">
        <v>57</v>
      </c>
      <c r="CU279" t="s">
        <v>57</v>
      </c>
      <c r="CV279" t="s">
        <v>57</v>
      </c>
      <c r="CW279" t="s">
        <v>57</v>
      </c>
      <c r="CX279" t="s">
        <v>57</v>
      </c>
      <c r="CY279" t="s">
        <v>57</v>
      </c>
      <c r="CZ279" t="s">
        <v>57</v>
      </c>
      <c r="DA279" t="s">
        <v>57</v>
      </c>
      <c r="DB279" t="s">
        <v>57</v>
      </c>
      <c r="DC279" t="s">
        <v>57</v>
      </c>
      <c r="DD279" t="s">
        <v>57</v>
      </c>
      <c r="DE279" t="s">
        <v>57</v>
      </c>
      <c r="DF279" t="s">
        <v>57</v>
      </c>
      <c r="DG279" t="s">
        <v>57</v>
      </c>
      <c r="DH279" t="s">
        <v>57</v>
      </c>
      <c r="DI279" t="s">
        <v>57</v>
      </c>
      <c r="DJ279" t="s">
        <v>57</v>
      </c>
      <c r="DK279" t="s">
        <v>57</v>
      </c>
      <c r="DL279" t="s">
        <v>57</v>
      </c>
      <c r="DM279" t="s">
        <v>57</v>
      </c>
      <c r="DN279" t="s">
        <v>57</v>
      </c>
      <c r="DO279" t="s">
        <v>57</v>
      </c>
      <c r="DP279" t="s">
        <v>57</v>
      </c>
      <c r="DQ279" t="s">
        <v>57</v>
      </c>
      <c r="DR279" t="s">
        <v>57</v>
      </c>
      <c r="DS279" t="s">
        <v>57</v>
      </c>
      <c r="DT279" t="s">
        <v>57</v>
      </c>
      <c r="DU279" t="s">
        <v>57</v>
      </c>
      <c r="DV279" t="s">
        <v>57</v>
      </c>
      <c r="DW279" t="s">
        <v>57</v>
      </c>
      <c r="DX279" t="s">
        <v>57</v>
      </c>
      <c r="DY279" t="s">
        <v>57</v>
      </c>
      <c r="DZ279" t="s">
        <v>57</v>
      </c>
      <c r="EA279" t="s">
        <v>57</v>
      </c>
      <c r="EB279" t="s">
        <v>57</v>
      </c>
      <c r="EC279" t="s">
        <v>57</v>
      </c>
      <c r="ED279" t="s">
        <v>57</v>
      </c>
      <c r="EE279" t="s">
        <v>57</v>
      </c>
      <c r="EF279" t="s">
        <v>57</v>
      </c>
      <c r="EG279" t="s">
        <v>57</v>
      </c>
      <c r="EH279" t="s">
        <v>148</v>
      </c>
      <c r="EI279" t="s">
        <v>57</v>
      </c>
      <c r="EJ279" t="s">
        <v>57</v>
      </c>
      <c r="EK279" t="s">
        <v>57</v>
      </c>
      <c r="EL279" t="s">
        <v>57</v>
      </c>
      <c r="EM279" t="s">
        <v>57</v>
      </c>
      <c r="EN279" t="s">
        <v>57</v>
      </c>
      <c r="EO279" t="s">
        <v>57</v>
      </c>
      <c r="EP279" t="s">
        <v>57</v>
      </c>
      <c r="EQ279" t="s">
        <v>57</v>
      </c>
      <c r="ER279" t="s">
        <v>57</v>
      </c>
      <c r="ES279" t="s">
        <v>57</v>
      </c>
      <c r="ET279" t="s">
        <v>57</v>
      </c>
      <c r="EU279" t="s">
        <v>57</v>
      </c>
      <c r="EV279" t="s">
        <v>57</v>
      </c>
      <c r="EW279" t="s">
        <v>148</v>
      </c>
      <c r="EX279" t="s">
        <v>148</v>
      </c>
      <c r="EY279" t="s">
        <v>148</v>
      </c>
      <c r="EZ279" t="s">
        <v>148</v>
      </c>
      <c r="FA279" t="s">
        <v>148</v>
      </c>
      <c r="FB279" t="s">
        <v>148</v>
      </c>
      <c r="FC279" t="s">
        <v>148</v>
      </c>
      <c r="FD279" t="s">
        <v>57</v>
      </c>
      <c r="FE279" t="s">
        <v>148</v>
      </c>
      <c r="FF279" t="s">
        <v>57</v>
      </c>
      <c r="FG279" t="s">
        <v>57</v>
      </c>
      <c r="FH279" t="s">
        <v>58</v>
      </c>
      <c r="FI279" t="s">
        <v>57</v>
      </c>
      <c r="FJ279" t="s">
        <v>57</v>
      </c>
      <c r="FK279" t="s">
        <v>58</v>
      </c>
      <c r="FL279" t="s">
        <v>58</v>
      </c>
      <c r="FM279" t="s">
        <v>57</v>
      </c>
      <c r="FN279" t="s">
        <v>58</v>
      </c>
      <c r="FO279" t="s">
        <v>148</v>
      </c>
      <c r="FP279" t="s">
        <v>57</v>
      </c>
      <c r="FQ279" t="s">
        <v>57</v>
      </c>
      <c r="FR279" t="s">
        <v>57</v>
      </c>
      <c r="FS279" t="s">
        <v>57</v>
      </c>
      <c r="FT279" t="s">
        <v>57</v>
      </c>
      <c r="FU279" t="s">
        <v>57</v>
      </c>
      <c r="FV279" t="s">
        <v>57</v>
      </c>
      <c r="FW279" t="s">
        <v>57</v>
      </c>
      <c r="FX279" t="s">
        <v>58</v>
      </c>
      <c r="FY279" t="s">
        <v>57</v>
      </c>
      <c r="FZ279" t="s">
        <v>57</v>
      </c>
      <c r="GA279" t="s">
        <v>57</v>
      </c>
      <c r="GB279" t="s">
        <v>57</v>
      </c>
      <c r="GC279" t="s">
        <v>57</v>
      </c>
      <c r="GD279" t="s">
        <v>58</v>
      </c>
      <c r="GE279" t="s">
        <v>58</v>
      </c>
      <c r="GF279" t="s">
        <v>148</v>
      </c>
      <c r="GG279" t="s">
        <v>148</v>
      </c>
      <c r="GH279" t="s">
        <v>57</v>
      </c>
      <c r="GI279" t="s">
        <v>57</v>
      </c>
      <c r="GJ279" t="s">
        <v>57</v>
      </c>
      <c r="GK279" t="s">
        <v>57</v>
      </c>
      <c r="GL279" t="s">
        <v>148</v>
      </c>
      <c r="GM279" t="s">
        <v>57</v>
      </c>
      <c r="GN279" t="s">
        <v>57</v>
      </c>
      <c r="GO279" t="s">
        <v>57</v>
      </c>
      <c r="GP279" t="s">
        <v>57</v>
      </c>
      <c r="GQ279" t="s">
        <v>148</v>
      </c>
      <c r="GR279" t="s">
        <v>57</v>
      </c>
      <c r="GS279" t="s">
        <v>57</v>
      </c>
      <c r="GT279" t="s">
        <v>57</v>
      </c>
      <c r="GU279" t="s">
        <v>57</v>
      </c>
      <c r="GV279" t="s">
        <v>57</v>
      </c>
      <c r="GW279" t="s">
        <v>148</v>
      </c>
      <c r="GX279" t="s">
        <v>57</v>
      </c>
      <c r="GY279" t="s">
        <v>57</v>
      </c>
      <c r="GZ279" t="s">
        <v>57</v>
      </c>
      <c r="HA279" t="s">
        <v>57</v>
      </c>
      <c r="HB279" t="s">
        <v>57</v>
      </c>
      <c r="HC279" t="s">
        <v>57</v>
      </c>
      <c r="HD279" t="s">
        <v>57</v>
      </c>
      <c r="HE279" t="s">
        <v>57</v>
      </c>
      <c r="HF279" t="s">
        <v>57</v>
      </c>
      <c r="HG279" t="s">
        <v>148</v>
      </c>
      <c r="HH279" t="s">
        <v>148</v>
      </c>
      <c r="HI279" t="s">
        <v>148</v>
      </c>
      <c r="HJ279" t="s">
        <v>148</v>
      </c>
      <c r="HK279" t="s">
        <v>148</v>
      </c>
      <c r="HL279" t="s">
        <v>57</v>
      </c>
      <c r="HM279" t="s">
        <v>57</v>
      </c>
      <c r="HN279" t="s">
        <v>57</v>
      </c>
      <c r="HO279" t="s">
        <v>57</v>
      </c>
      <c r="HP279" t="s">
        <v>57</v>
      </c>
      <c r="HQ279" t="s">
        <v>57</v>
      </c>
      <c r="HR279" t="s">
        <v>57</v>
      </c>
      <c r="HS279" t="s">
        <v>57</v>
      </c>
      <c r="HT279" t="s">
        <v>57</v>
      </c>
      <c r="HU279" t="s">
        <v>57</v>
      </c>
      <c r="HV279" t="s">
        <v>57</v>
      </c>
      <c r="HW279" t="s">
        <v>57</v>
      </c>
      <c r="HX279" t="s">
        <v>57</v>
      </c>
      <c r="HY279" t="s">
        <v>57</v>
      </c>
      <c r="HZ279" t="s">
        <v>57</v>
      </c>
      <c r="IA279" t="s">
        <v>57</v>
      </c>
      <c r="IB279" t="s">
        <v>58</v>
      </c>
      <c r="IC279" t="s">
        <v>58</v>
      </c>
      <c r="ID279" t="s">
        <v>58</v>
      </c>
      <c r="IE279" t="s">
        <v>57</v>
      </c>
      <c r="IF279" t="s">
        <v>124</v>
      </c>
      <c r="IG279" t="s">
        <v>155</v>
      </c>
      <c r="IH279" t="s">
        <v>123</v>
      </c>
      <c r="II279" t="s">
        <v>156</v>
      </c>
    </row>
    <row r="280" spans="1:243" x14ac:dyDescent="0.25">
      <c r="A280" s="201" t="str">
        <f>HYPERLINK("http://www.ofsted.gov.uk/inspection-reports/find-inspection-report/provider/ELS/143911 ","Ofsted School Webpage")</f>
        <v>Ofsted School Webpage</v>
      </c>
      <c r="B280">
        <v>143911</v>
      </c>
      <c r="C280">
        <v>9356004</v>
      </c>
      <c r="D280" t="s">
        <v>2012</v>
      </c>
      <c r="E280" t="s">
        <v>37</v>
      </c>
      <c r="F280" t="s">
        <v>138</v>
      </c>
      <c r="G280" t="s">
        <v>177</v>
      </c>
      <c r="H280" t="s">
        <v>177</v>
      </c>
      <c r="I280" t="s">
        <v>254</v>
      </c>
      <c r="J280" t="s">
        <v>2013</v>
      </c>
      <c r="K280" t="s">
        <v>142</v>
      </c>
      <c r="L280" t="s">
        <v>142</v>
      </c>
      <c r="M280" t="s">
        <v>2596</v>
      </c>
      <c r="N280" t="s">
        <v>143</v>
      </c>
      <c r="O280">
        <v>10038910</v>
      </c>
      <c r="P280" s="108">
        <v>43074</v>
      </c>
      <c r="Q280" s="108">
        <v>43076</v>
      </c>
      <c r="R280" s="108">
        <v>43116</v>
      </c>
      <c r="S280" t="s">
        <v>153</v>
      </c>
      <c r="T280" t="s">
        <v>154</v>
      </c>
      <c r="U280">
        <v>2</v>
      </c>
      <c r="V280">
        <v>2</v>
      </c>
      <c r="W280">
        <v>2</v>
      </c>
      <c r="X280">
        <v>2</v>
      </c>
      <c r="Y280">
        <v>2</v>
      </c>
      <c r="Z280" t="s">
        <v>2596</v>
      </c>
      <c r="AA280">
        <v>2</v>
      </c>
      <c r="AB280" t="s">
        <v>123</v>
      </c>
      <c r="AC280" t="s">
        <v>2596</v>
      </c>
      <c r="AD280" t="s">
        <v>2598</v>
      </c>
      <c r="AE280" t="s">
        <v>57</v>
      </c>
      <c r="AF280" t="s">
        <v>57</v>
      </c>
      <c r="AG280" t="s">
        <v>57</v>
      </c>
      <c r="AH280" t="s">
        <v>57</v>
      </c>
      <c r="AI280" t="s">
        <v>57</v>
      </c>
      <c r="AJ280" t="s">
        <v>57</v>
      </c>
      <c r="AK280" t="s">
        <v>57</v>
      </c>
      <c r="AL280" t="s">
        <v>57</v>
      </c>
      <c r="AM280" t="s">
        <v>57</v>
      </c>
      <c r="AN280" t="s">
        <v>57</v>
      </c>
      <c r="AO280" t="s">
        <v>57</v>
      </c>
      <c r="AP280" t="s">
        <v>57</v>
      </c>
      <c r="AQ280" t="s">
        <v>57</v>
      </c>
      <c r="AR280" t="s">
        <v>57</v>
      </c>
      <c r="AS280" t="s">
        <v>57</v>
      </c>
      <c r="AT280" t="s">
        <v>57</v>
      </c>
      <c r="AU280" t="s">
        <v>175</v>
      </c>
      <c r="AV280" t="s">
        <v>57</v>
      </c>
      <c r="AW280" t="s">
        <v>57</v>
      </c>
      <c r="AX280" t="s">
        <v>57</v>
      </c>
      <c r="AY280" t="s">
        <v>57</v>
      </c>
      <c r="AZ280" t="s">
        <v>57</v>
      </c>
      <c r="BA280" t="s">
        <v>57</v>
      </c>
      <c r="BB280" t="s">
        <v>57</v>
      </c>
      <c r="BC280" t="s">
        <v>175</v>
      </c>
      <c r="BD280" t="s">
        <v>57</v>
      </c>
      <c r="BE280" t="s">
        <v>57</v>
      </c>
      <c r="BF280" t="s">
        <v>57</v>
      </c>
      <c r="BG280" t="s">
        <v>57</v>
      </c>
      <c r="BH280" t="s">
        <v>57</v>
      </c>
      <c r="BI280" t="s">
        <v>57</v>
      </c>
      <c r="BJ280" t="s">
        <v>57</v>
      </c>
      <c r="BK280" t="s">
        <v>57</v>
      </c>
      <c r="BL280" t="s">
        <v>57</v>
      </c>
      <c r="BM280" t="s">
        <v>57</v>
      </c>
      <c r="BN280" t="s">
        <v>57</v>
      </c>
      <c r="BO280" t="s">
        <v>57</v>
      </c>
      <c r="BP280" t="s">
        <v>57</v>
      </c>
      <c r="BQ280" t="s">
        <v>57</v>
      </c>
      <c r="BR280" t="s">
        <v>57</v>
      </c>
      <c r="BS280" t="s">
        <v>57</v>
      </c>
      <c r="BT280" t="s">
        <v>57</v>
      </c>
      <c r="BU280" t="s">
        <v>57</v>
      </c>
      <c r="BV280" t="s">
        <v>57</v>
      </c>
      <c r="BW280" t="s">
        <v>57</v>
      </c>
      <c r="BX280" t="s">
        <v>57</v>
      </c>
      <c r="BY280" t="s">
        <v>57</v>
      </c>
      <c r="BZ280" t="s">
        <v>57</v>
      </c>
      <c r="CA280" t="s">
        <v>57</v>
      </c>
      <c r="CB280" t="s">
        <v>57</v>
      </c>
      <c r="CC280" t="s">
        <v>57</v>
      </c>
      <c r="CD280" t="s">
        <v>57</v>
      </c>
      <c r="CE280" t="s">
        <v>57</v>
      </c>
      <c r="CF280" t="s">
        <v>57</v>
      </c>
      <c r="CG280" t="s">
        <v>57</v>
      </c>
      <c r="CH280" t="s">
        <v>57</v>
      </c>
      <c r="CI280" t="s">
        <v>57</v>
      </c>
      <c r="CJ280" t="s">
        <v>57</v>
      </c>
      <c r="CK280" t="s">
        <v>175</v>
      </c>
      <c r="CL280" t="s">
        <v>175</v>
      </c>
      <c r="CM280" t="s">
        <v>175</v>
      </c>
      <c r="CN280" t="s">
        <v>57</v>
      </c>
      <c r="CO280" t="s">
        <v>57</v>
      </c>
      <c r="CP280" t="s">
        <v>57</v>
      </c>
      <c r="CQ280" t="s">
        <v>57</v>
      </c>
      <c r="CR280" t="s">
        <v>57</v>
      </c>
      <c r="CS280" t="s">
        <v>57</v>
      </c>
      <c r="CT280" t="s">
        <v>57</v>
      </c>
      <c r="CU280" t="s">
        <v>57</v>
      </c>
      <c r="CV280" t="s">
        <v>57</v>
      </c>
      <c r="CW280" t="s">
        <v>57</v>
      </c>
      <c r="CX280" t="s">
        <v>57</v>
      </c>
      <c r="CY280" t="s">
        <v>57</v>
      </c>
      <c r="CZ280" t="s">
        <v>57</v>
      </c>
      <c r="DA280" t="s">
        <v>57</v>
      </c>
      <c r="DB280" t="s">
        <v>57</v>
      </c>
      <c r="DC280" t="s">
        <v>57</v>
      </c>
      <c r="DD280" t="s">
        <v>57</v>
      </c>
      <c r="DE280" t="s">
        <v>57</v>
      </c>
      <c r="DF280" t="s">
        <v>57</v>
      </c>
      <c r="DG280" t="s">
        <v>57</v>
      </c>
      <c r="DH280" t="s">
        <v>57</v>
      </c>
      <c r="DI280" t="s">
        <v>57</v>
      </c>
      <c r="DJ280" t="s">
        <v>57</v>
      </c>
      <c r="DK280" t="s">
        <v>175</v>
      </c>
      <c r="DL280" t="s">
        <v>57</v>
      </c>
      <c r="DM280" t="s">
        <v>175</v>
      </c>
      <c r="DN280" t="s">
        <v>175</v>
      </c>
      <c r="DO280" t="s">
        <v>175</v>
      </c>
      <c r="DP280" t="s">
        <v>175</v>
      </c>
      <c r="DQ280" t="s">
        <v>175</v>
      </c>
      <c r="DR280" t="s">
        <v>175</v>
      </c>
      <c r="DS280" t="s">
        <v>175</v>
      </c>
      <c r="DT280" t="s">
        <v>175</v>
      </c>
      <c r="DU280" t="s">
        <v>175</v>
      </c>
      <c r="DV280" t="s">
        <v>175</v>
      </c>
      <c r="DW280" t="s">
        <v>175</v>
      </c>
      <c r="DX280" t="s">
        <v>175</v>
      </c>
      <c r="DY280" t="s">
        <v>175</v>
      </c>
      <c r="DZ280" t="s">
        <v>57</v>
      </c>
      <c r="EA280" t="s">
        <v>57</v>
      </c>
      <c r="EB280" t="s">
        <v>57</v>
      </c>
      <c r="EC280" t="s">
        <v>57</v>
      </c>
      <c r="ED280" t="s">
        <v>57</v>
      </c>
      <c r="EE280" t="s">
        <v>57</v>
      </c>
      <c r="EF280" t="s">
        <v>57</v>
      </c>
      <c r="EG280" t="s">
        <v>57</v>
      </c>
      <c r="EH280" t="s">
        <v>57</v>
      </c>
      <c r="EI280" t="s">
        <v>57</v>
      </c>
      <c r="EJ280" t="s">
        <v>57</v>
      </c>
      <c r="EK280" t="s">
        <v>57</v>
      </c>
      <c r="EL280" t="s">
        <v>57</v>
      </c>
      <c r="EM280" t="s">
        <v>57</v>
      </c>
      <c r="EN280" t="s">
        <v>57</v>
      </c>
      <c r="EO280" t="s">
        <v>57</v>
      </c>
      <c r="EP280" t="s">
        <v>57</v>
      </c>
      <c r="EQ280" t="s">
        <v>57</v>
      </c>
      <c r="ER280" t="s">
        <v>57</v>
      </c>
      <c r="ES280" t="s">
        <v>57</v>
      </c>
      <c r="ET280" t="s">
        <v>57</v>
      </c>
      <c r="EU280" t="s">
        <v>57</v>
      </c>
      <c r="EV280" t="s">
        <v>57</v>
      </c>
      <c r="EW280" t="s">
        <v>57</v>
      </c>
      <c r="EX280" t="s">
        <v>175</v>
      </c>
      <c r="EY280" t="s">
        <v>175</v>
      </c>
      <c r="EZ280" t="s">
        <v>175</v>
      </c>
      <c r="FA280" t="s">
        <v>175</v>
      </c>
      <c r="FB280" t="s">
        <v>175</v>
      </c>
      <c r="FC280" t="s">
        <v>175</v>
      </c>
      <c r="FD280" t="s">
        <v>57</v>
      </c>
      <c r="FE280" t="s">
        <v>57</v>
      </c>
      <c r="FF280" t="s">
        <v>57</v>
      </c>
      <c r="FG280" t="s">
        <v>57</v>
      </c>
      <c r="FH280" t="s">
        <v>57</v>
      </c>
      <c r="FI280" t="s">
        <v>57</v>
      </c>
      <c r="FJ280" t="s">
        <v>57</v>
      </c>
      <c r="FK280" t="s">
        <v>57</v>
      </c>
      <c r="FL280" t="s">
        <v>57</v>
      </c>
      <c r="FM280" t="s">
        <v>57</v>
      </c>
      <c r="FN280" t="s">
        <v>57</v>
      </c>
      <c r="FO280" t="s">
        <v>175</v>
      </c>
      <c r="FP280" t="s">
        <v>57</v>
      </c>
      <c r="FQ280" t="s">
        <v>57</v>
      </c>
      <c r="FR280" t="s">
        <v>57</v>
      </c>
      <c r="FS280" t="s">
        <v>57</v>
      </c>
      <c r="FT280" t="s">
        <v>57</v>
      </c>
      <c r="FU280" t="s">
        <v>57</v>
      </c>
      <c r="FV280" t="s">
        <v>57</v>
      </c>
      <c r="FW280" t="s">
        <v>57</v>
      </c>
      <c r="FX280" t="s">
        <v>57</v>
      </c>
      <c r="FY280" t="s">
        <v>57</v>
      </c>
      <c r="FZ280" t="s">
        <v>57</v>
      </c>
      <c r="GA280" t="s">
        <v>57</v>
      </c>
      <c r="GB280" t="s">
        <v>57</v>
      </c>
      <c r="GC280" t="s">
        <v>57</v>
      </c>
      <c r="GD280" t="s">
        <v>57</v>
      </c>
      <c r="GE280" t="s">
        <v>57</v>
      </c>
      <c r="GF280" t="s">
        <v>57</v>
      </c>
      <c r="GG280" t="s">
        <v>57</v>
      </c>
      <c r="GH280" t="s">
        <v>57</v>
      </c>
      <c r="GI280" t="s">
        <v>57</v>
      </c>
      <c r="GJ280" t="s">
        <v>57</v>
      </c>
      <c r="GK280" t="s">
        <v>57</v>
      </c>
      <c r="GL280" t="s">
        <v>57</v>
      </c>
      <c r="GM280" t="s">
        <v>57</v>
      </c>
      <c r="GN280" t="s">
        <v>57</v>
      </c>
      <c r="GO280" t="s">
        <v>57</v>
      </c>
      <c r="GP280" t="s">
        <v>57</v>
      </c>
      <c r="GQ280" t="s">
        <v>57</v>
      </c>
      <c r="GR280" t="s">
        <v>57</v>
      </c>
      <c r="GS280" t="s">
        <v>57</v>
      </c>
      <c r="GT280" t="s">
        <v>57</v>
      </c>
      <c r="GU280" t="s">
        <v>57</v>
      </c>
      <c r="GV280" t="s">
        <v>175</v>
      </c>
      <c r="GW280" t="s">
        <v>57</v>
      </c>
      <c r="GX280" t="s">
        <v>57</v>
      </c>
      <c r="GY280" t="s">
        <v>57</v>
      </c>
      <c r="GZ280" t="s">
        <v>57</v>
      </c>
      <c r="HA280" t="s">
        <v>57</v>
      </c>
      <c r="HB280" t="s">
        <v>57</v>
      </c>
      <c r="HC280" t="s">
        <v>57</v>
      </c>
      <c r="HD280" t="s">
        <v>57</v>
      </c>
      <c r="HE280" t="s">
        <v>57</v>
      </c>
      <c r="HF280" t="s">
        <v>57</v>
      </c>
      <c r="HG280" t="s">
        <v>57</v>
      </c>
      <c r="HH280" t="s">
        <v>57</v>
      </c>
      <c r="HI280" t="s">
        <v>57</v>
      </c>
      <c r="HJ280" t="s">
        <v>57</v>
      </c>
      <c r="HK280" t="s">
        <v>57</v>
      </c>
      <c r="HL280" t="s">
        <v>57</v>
      </c>
      <c r="HM280" t="s">
        <v>57</v>
      </c>
      <c r="HN280" t="s">
        <v>57</v>
      </c>
      <c r="HO280" t="s">
        <v>57</v>
      </c>
      <c r="HP280" t="s">
        <v>57</v>
      </c>
      <c r="HQ280" t="s">
        <v>57</v>
      </c>
      <c r="HR280" t="s">
        <v>57</v>
      </c>
      <c r="HS280" t="s">
        <v>57</v>
      </c>
      <c r="HT280" t="s">
        <v>57</v>
      </c>
      <c r="HU280" t="s">
        <v>57</v>
      </c>
      <c r="HV280" t="s">
        <v>57</v>
      </c>
      <c r="HW280" t="s">
        <v>57</v>
      </c>
      <c r="HX280" t="s">
        <v>57</v>
      </c>
      <c r="HY280" t="s">
        <v>57</v>
      </c>
      <c r="HZ280" t="s">
        <v>57</v>
      </c>
      <c r="IA280" t="s">
        <v>57</v>
      </c>
      <c r="IB280" t="s">
        <v>57</v>
      </c>
      <c r="IC280" t="s">
        <v>57</v>
      </c>
      <c r="ID280" t="s">
        <v>57</v>
      </c>
      <c r="IE280" t="s">
        <v>57</v>
      </c>
      <c r="IF280" t="s">
        <v>124</v>
      </c>
      <c r="IG280" t="s">
        <v>148</v>
      </c>
      <c r="IH280" t="s">
        <v>123</v>
      </c>
      <c r="II280" t="s">
        <v>156</v>
      </c>
    </row>
    <row r="281" spans="1:243" x14ac:dyDescent="0.25">
      <c r="A281" s="201" t="str">
        <f>HYPERLINK("http://www.ofsted.gov.uk/inspection-reports/find-inspection-report/provider/ELS/143928 ","Ofsted School Webpage")</f>
        <v>Ofsted School Webpage</v>
      </c>
      <c r="B281">
        <v>143928</v>
      </c>
      <c r="C281">
        <v>8616014</v>
      </c>
      <c r="D281" t="s">
        <v>2014</v>
      </c>
      <c r="E281" t="s">
        <v>36</v>
      </c>
      <c r="F281" t="s">
        <v>166</v>
      </c>
      <c r="G281" t="s">
        <v>150</v>
      </c>
      <c r="H281" t="s">
        <v>150</v>
      </c>
      <c r="I281" t="s">
        <v>447</v>
      </c>
      <c r="J281" t="s">
        <v>2015</v>
      </c>
      <c r="K281" t="s">
        <v>142</v>
      </c>
      <c r="L281" t="s">
        <v>142</v>
      </c>
      <c r="M281" t="s">
        <v>2596</v>
      </c>
      <c r="N281" t="s">
        <v>143</v>
      </c>
      <c r="O281">
        <v>10041369</v>
      </c>
      <c r="P281" s="108">
        <v>43130</v>
      </c>
      <c r="Q281" s="108">
        <v>43132</v>
      </c>
      <c r="R281" s="108">
        <v>43172</v>
      </c>
      <c r="S281" t="s">
        <v>206</v>
      </c>
      <c r="T281" t="s">
        <v>154</v>
      </c>
      <c r="U281">
        <v>2</v>
      </c>
      <c r="V281">
        <v>2</v>
      </c>
      <c r="W281">
        <v>2</v>
      </c>
      <c r="X281">
        <v>2</v>
      </c>
      <c r="Y281">
        <v>3</v>
      </c>
      <c r="Z281" t="s">
        <v>2596</v>
      </c>
      <c r="AA281" t="s">
        <v>2596</v>
      </c>
      <c r="AB281" t="s">
        <v>123</v>
      </c>
      <c r="AC281" t="s">
        <v>2596</v>
      </c>
      <c r="AD281" t="s">
        <v>2598</v>
      </c>
      <c r="AE281" t="s">
        <v>57</v>
      </c>
      <c r="AF281" t="s">
        <v>57</v>
      </c>
      <c r="AG281" t="s">
        <v>57</v>
      </c>
      <c r="AH281" t="s">
        <v>57</v>
      </c>
      <c r="AI281" t="s">
        <v>57</v>
      </c>
      <c r="AJ281" t="s">
        <v>57</v>
      </c>
      <c r="AK281" t="s">
        <v>57</v>
      </c>
      <c r="AL281" t="s">
        <v>57</v>
      </c>
      <c r="AM281" t="s">
        <v>57</v>
      </c>
      <c r="AN281" t="s">
        <v>57</v>
      </c>
      <c r="AO281" t="s">
        <v>57</v>
      </c>
      <c r="AP281" t="s">
        <v>57</v>
      </c>
      <c r="AQ281" t="s">
        <v>57</v>
      </c>
      <c r="AR281" t="s">
        <v>57</v>
      </c>
      <c r="AS281" t="s">
        <v>57</v>
      </c>
      <c r="AT281" t="s">
        <v>57</v>
      </c>
      <c r="AU281" t="s">
        <v>175</v>
      </c>
      <c r="AV281" t="s">
        <v>57</v>
      </c>
      <c r="AW281" t="s">
        <v>57</v>
      </c>
      <c r="AX281" t="s">
        <v>57</v>
      </c>
      <c r="AY281" t="s">
        <v>57</v>
      </c>
      <c r="AZ281" t="s">
        <v>57</v>
      </c>
      <c r="BA281" t="s">
        <v>57</v>
      </c>
      <c r="BB281" t="s">
        <v>57</v>
      </c>
      <c r="BC281" t="s">
        <v>175</v>
      </c>
      <c r="BD281" t="s">
        <v>175</v>
      </c>
      <c r="BE281" t="s">
        <v>57</v>
      </c>
      <c r="BF281" t="s">
        <v>57</v>
      </c>
      <c r="BG281" t="s">
        <v>57</v>
      </c>
      <c r="BH281" t="s">
        <v>57</v>
      </c>
      <c r="BI281" t="s">
        <v>57</v>
      </c>
      <c r="BJ281" t="s">
        <v>57</v>
      </c>
      <c r="BK281" t="s">
        <v>57</v>
      </c>
      <c r="BL281" t="s">
        <v>57</v>
      </c>
      <c r="BM281" t="s">
        <v>57</v>
      </c>
      <c r="BN281" t="s">
        <v>57</v>
      </c>
      <c r="BO281" t="s">
        <v>57</v>
      </c>
      <c r="BP281" t="s">
        <v>57</v>
      </c>
      <c r="BQ281" t="s">
        <v>57</v>
      </c>
      <c r="BR281" t="s">
        <v>57</v>
      </c>
      <c r="BS281" t="s">
        <v>57</v>
      </c>
      <c r="BT281" t="s">
        <v>57</v>
      </c>
      <c r="BU281" t="s">
        <v>57</v>
      </c>
      <c r="BV281" t="s">
        <v>57</v>
      </c>
      <c r="BW281" t="s">
        <v>57</v>
      </c>
      <c r="BX281" t="s">
        <v>57</v>
      </c>
      <c r="BY281" t="s">
        <v>57</v>
      </c>
      <c r="BZ281" t="s">
        <v>57</v>
      </c>
      <c r="CA281" t="s">
        <v>57</v>
      </c>
      <c r="CB281" t="s">
        <v>57</v>
      </c>
      <c r="CC281" t="s">
        <v>57</v>
      </c>
      <c r="CD281" t="s">
        <v>57</v>
      </c>
      <c r="CE281" t="s">
        <v>57</v>
      </c>
      <c r="CF281" t="s">
        <v>57</v>
      </c>
      <c r="CG281" t="s">
        <v>57</v>
      </c>
      <c r="CH281" t="s">
        <v>57</v>
      </c>
      <c r="CI281" t="s">
        <v>57</v>
      </c>
      <c r="CJ281" t="s">
        <v>57</v>
      </c>
      <c r="CK281" t="s">
        <v>175</v>
      </c>
      <c r="CL281" t="s">
        <v>175</v>
      </c>
      <c r="CM281" t="s">
        <v>175</v>
      </c>
      <c r="CN281" t="s">
        <v>57</v>
      </c>
      <c r="CO281" t="s">
        <v>57</v>
      </c>
      <c r="CP281" t="s">
        <v>57</v>
      </c>
      <c r="CQ281" t="s">
        <v>57</v>
      </c>
      <c r="CR281" t="s">
        <v>57</v>
      </c>
      <c r="CS281" t="s">
        <v>57</v>
      </c>
      <c r="CT281" t="s">
        <v>57</v>
      </c>
      <c r="CU281" t="s">
        <v>57</v>
      </c>
      <c r="CV281" t="s">
        <v>57</v>
      </c>
      <c r="CW281" t="s">
        <v>57</v>
      </c>
      <c r="CX281" t="s">
        <v>57</v>
      </c>
      <c r="CY281" t="s">
        <v>57</v>
      </c>
      <c r="CZ281" t="s">
        <v>57</v>
      </c>
      <c r="DA281" t="s">
        <v>57</v>
      </c>
      <c r="DB281" t="s">
        <v>57</v>
      </c>
      <c r="DC281" t="s">
        <v>57</v>
      </c>
      <c r="DD281" t="s">
        <v>57</v>
      </c>
      <c r="DE281" t="s">
        <v>57</v>
      </c>
      <c r="DF281" t="s">
        <v>57</v>
      </c>
      <c r="DG281" t="s">
        <v>57</v>
      </c>
      <c r="DH281" t="s">
        <v>57</v>
      </c>
      <c r="DI281" t="s">
        <v>57</v>
      </c>
      <c r="DJ281" t="s">
        <v>57</v>
      </c>
      <c r="DK281" t="s">
        <v>57</v>
      </c>
      <c r="DL281" t="s">
        <v>57</v>
      </c>
      <c r="DM281" t="s">
        <v>57</v>
      </c>
      <c r="DN281" t="s">
        <v>57</v>
      </c>
      <c r="DO281" t="s">
        <v>57</v>
      </c>
      <c r="DP281" t="s">
        <v>57</v>
      </c>
      <c r="DQ281" t="s">
        <v>57</v>
      </c>
      <c r="DR281" t="s">
        <v>57</v>
      </c>
      <c r="DS281" t="s">
        <v>57</v>
      </c>
      <c r="DT281" t="s">
        <v>57</v>
      </c>
      <c r="DU281" t="s">
        <v>57</v>
      </c>
      <c r="DV281" t="s">
        <v>57</v>
      </c>
      <c r="DW281" t="s">
        <v>57</v>
      </c>
      <c r="DX281" t="s">
        <v>57</v>
      </c>
      <c r="DY281" t="s">
        <v>57</v>
      </c>
      <c r="DZ281" t="s">
        <v>57</v>
      </c>
      <c r="EA281" t="s">
        <v>57</v>
      </c>
      <c r="EB281" t="s">
        <v>57</v>
      </c>
      <c r="EC281" t="s">
        <v>57</v>
      </c>
      <c r="ED281" t="s">
        <v>57</v>
      </c>
      <c r="EE281" t="s">
        <v>57</v>
      </c>
      <c r="EF281" t="s">
        <v>57</v>
      </c>
      <c r="EG281" t="s">
        <v>57</v>
      </c>
      <c r="EH281" t="s">
        <v>57</v>
      </c>
      <c r="EI281" t="s">
        <v>57</v>
      </c>
      <c r="EJ281" t="s">
        <v>57</v>
      </c>
      <c r="EK281" t="s">
        <v>57</v>
      </c>
      <c r="EL281" t="s">
        <v>57</v>
      </c>
      <c r="EM281" t="s">
        <v>57</v>
      </c>
      <c r="EN281" t="s">
        <v>57</v>
      </c>
      <c r="EO281" t="s">
        <v>57</v>
      </c>
      <c r="EP281" t="s">
        <v>57</v>
      </c>
      <c r="EQ281" t="s">
        <v>57</v>
      </c>
      <c r="ER281" t="s">
        <v>57</v>
      </c>
      <c r="ES281" t="s">
        <v>57</v>
      </c>
      <c r="ET281" t="s">
        <v>57</v>
      </c>
      <c r="EU281" t="s">
        <v>57</v>
      </c>
      <c r="EV281" t="s">
        <v>57</v>
      </c>
      <c r="EW281" t="s">
        <v>57</v>
      </c>
      <c r="EX281" t="s">
        <v>57</v>
      </c>
      <c r="EY281" t="s">
        <v>57</v>
      </c>
      <c r="EZ281" t="s">
        <v>57</v>
      </c>
      <c r="FA281" t="s">
        <v>57</v>
      </c>
      <c r="FB281" t="s">
        <v>57</v>
      </c>
      <c r="FC281" t="s">
        <v>57</v>
      </c>
      <c r="FD281" t="s">
        <v>57</v>
      </c>
      <c r="FE281" t="s">
        <v>57</v>
      </c>
      <c r="FF281" t="s">
        <v>57</v>
      </c>
      <c r="FG281" t="s">
        <v>57</v>
      </c>
      <c r="FH281" t="s">
        <v>57</v>
      </c>
      <c r="FI281" t="s">
        <v>57</v>
      </c>
      <c r="FJ281" t="s">
        <v>57</v>
      </c>
      <c r="FK281" t="s">
        <v>57</v>
      </c>
      <c r="FL281" t="s">
        <v>57</v>
      </c>
      <c r="FM281" t="s">
        <v>57</v>
      </c>
      <c r="FN281" t="s">
        <v>57</v>
      </c>
      <c r="FO281" t="s">
        <v>175</v>
      </c>
      <c r="FP281" t="s">
        <v>175</v>
      </c>
      <c r="FQ281" t="s">
        <v>57</v>
      </c>
      <c r="FR281" t="s">
        <v>57</v>
      </c>
      <c r="FS281" t="s">
        <v>57</v>
      </c>
      <c r="FT281" t="s">
        <v>57</v>
      </c>
      <c r="FU281" t="s">
        <v>57</v>
      </c>
      <c r="FV281" t="s">
        <v>57</v>
      </c>
      <c r="FW281" t="s">
        <v>57</v>
      </c>
      <c r="FX281" t="s">
        <v>57</v>
      </c>
      <c r="FY281" t="s">
        <v>57</v>
      </c>
      <c r="FZ281" t="s">
        <v>57</v>
      </c>
      <c r="GA281" t="s">
        <v>57</v>
      </c>
      <c r="GB281" t="s">
        <v>57</v>
      </c>
      <c r="GC281" t="s">
        <v>57</v>
      </c>
      <c r="GD281" t="s">
        <v>57</v>
      </c>
      <c r="GE281" t="s">
        <v>57</v>
      </c>
      <c r="GF281" t="s">
        <v>57</v>
      </c>
      <c r="GG281" t="s">
        <v>175</v>
      </c>
      <c r="GH281" t="s">
        <v>57</v>
      </c>
      <c r="GI281" t="s">
        <v>57</v>
      </c>
      <c r="GJ281" t="s">
        <v>57</v>
      </c>
      <c r="GK281" t="s">
        <v>57</v>
      </c>
      <c r="GL281" t="s">
        <v>57</v>
      </c>
      <c r="GM281" t="s">
        <v>57</v>
      </c>
      <c r="GN281" t="s">
        <v>57</v>
      </c>
      <c r="GO281" t="s">
        <v>57</v>
      </c>
      <c r="GP281" t="s">
        <v>57</v>
      </c>
      <c r="GQ281" t="s">
        <v>57</v>
      </c>
      <c r="GR281" t="s">
        <v>57</v>
      </c>
      <c r="GS281" t="s">
        <v>57</v>
      </c>
      <c r="GT281" t="s">
        <v>57</v>
      </c>
      <c r="GU281" t="s">
        <v>57</v>
      </c>
      <c r="GV281" t="s">
        <v>57</v>
      </c>
      <c r="GW281" t="s">
        <v>57</v>
      </c>
      <c r="GX281" t="s">
        <v>57</v>
      </c>
      <c r="GY281" t="s">
        <v>57</v>
      </c>
      <c r="GZ281" t="s">
        <v>57</v>
      </c>
      <c r="HA281" t="s">
        <v>57</v>
      </c>
      <c r="HB281" t="s">
        <v>57</v>
      </c>
      <c r="HC281" t="s">
        <v>57</v>
      </c>
      <c r="HD281" t="s">
        <v>57</v>
      </c>
      <c r="HE281" t="s">
        <v>57</v>
      </c>
      <c r="HF281" t="s">
        <v>57</v>
      </c>
      <c r="HG281" t="s">
        <v>57</v>
      </c>
      <c r="HH281" t="s">
        <v>57</v>
      </c>
      <c r="HI281" t="s">
        <v>175</v>
      </c>
      <c r="HJ281" t="s">
        <v>175</v>
      </c>
      <c r="HK281" t="s">
        <v>175</v>
      </c>
      <c r="HL281" t="s">
        <v>57</v>
      </c>
      <c r="HM281" t="s">
        <v>57</v>
      </c>
      <c r="HN281" t="s">
        <v>57</v>
      </c>
      <c r="HO281" t="s">
        <v>57</v>
      </c>
      <c r="HP281" t="s">
        <v>57</v>
      </c>
      <c r="HQ281" t="s">
        <v>57</v>
      </c>
      <c r="HR281" t="s">
        <v>57</v>
      </c>
      <c r="HS281" t="s">
        <v>57</v>
      </c>
      <c r="HT281" t="s">
        <v>57</v>
      </c>
      <c r="HU281" t="s">
        <v>57</v>
      </c>
      <c r="HV281" t="s">
        <v>57</v>
      </c>
      <c r="HW281" t="s">
        <v>57</v>
      </c>
      <c r="HX281" t="s">
        <v>57</v>
      </c>
      <c r="HY281" t="s">
        <v>57</v>
      </c>
      <c r="HZ281" t="s">
        <v>57</v>
      </c>
      <c r="IA281" t="s">
        <v>57</v>
      </c>
      <c r="IB281" t="s">
        <v>57</v>
      </c>
      <c r="IC281" t="s">
        <v>57</v>
      </c>
      <c r="ID281" t="s">
        <v>57</v>
      </c>
      <c r="IE281" t="s">
        <v>57</v>
      </c>
      <c r="IF281" t="s">
        <v>124</v>
      </c>
      <c r="IG281" t="s">
        <v>148</v>
      </c>
      <c r="IH281" t="s">
        <v>123</v>
      </c>
      <c r="II281" t="s">
        <v>156</v>
      </c>
    </row>
    <row r="282" spans="1:243" x14ac:dyDescent="0.25">
      <c r="A282" s="201" t="str">
        <f>HYPERLINK("http://www.ofsted.gov.uk/inspection-reports/find-inspection-report/provider/ELS/143947 ","Ofsted School Webpage")</f>
        <v>Ofsted School Webpage</v>
      </c>
      <c r="B282">
        <v>143947</v>
      </c>
      <c r="C282">
        <v>8786068</v>
      </c>
      <c r="D282" t="s">
        <v>2392</v>
      </c>
      <c r="E282" t="s">
        <v>36</v>
      </c>
      <c r="F282" t="s">
        <v>166</v>
      </c>
      <c r="G282" t="s">
        <v>182</v>
      </c>
      <c r="H282" t="s">
        <v>182</v>
      </c>
      <c r="I282" t="s">
        <v>323</v>
      </c>
      <c r="J282" t="s">
        <v>2393</v>
      </c>
      <c r="K282" t="s">
        <v>142</v>
      </c>
      <c r="L282" t="s">
        <v>142</v>
      </c>
      <c r="M282" t="s">
        <v>2596</v>
      </c>
      <c r="N282" t="s">
        <v>143</v>
      </c>
      <c r="O282">
        <v>10041384</v>
      </c>
      <c r="P282" s="108">
        <v>43116</v>
      </c>
      <c r="Q282" s="108">
        <v>43118</v>
      </c>
      <c r="R282" s="108">
        <v>43157</v>
      </c>
      <c r="S282" t="s">
        <v>206</v>
      </c>
      <c r="T282" t="s">
        <v>154</v>
      </c>
      <c r="U282">
        <v>3</v>
      </c>
      <c r="V282">
        <v>3</v>
      </c>
      <c r="W282">
        <v>2</v>
      </c>
      <c r="X282">
        <v>3</v>
      </c>
      <c r="Y282">
        <v>3</v>
      </c>
      <c r="Z282" t="s">
        <v>2596</v>
      </c>
      <c r="AA282" t="s">
        <v>2596</v>
      </c>
      <c r="AB282" t="s">
        <v>123</v>
      </c>
      <c r="AC282" t="s">
        <v>2596</v>
      </c>
      <c r="AD282" t="s">
        <v>2598</v>
      </c>
      <c r="AE282" t="s">
        <v>57</v>
      </c>
      <c r="AF282" t="s">
        <v>57</v>
      </c>
      <c r="AG282" t="s">
        <v>57</v>
      </c>
      <c r="AH282" t="s">
        <v>57</v>
      </c>
      <c r="AI282" t="s">
        <v>57</v>
      </c>
      <c r="AJ282" t="s">
        <v>57</v>
      </c>
      <c r="AK282" t="s">
        <v>57</v>
      </c>
      <c r="AL282" t="s">
        <v>57</v>
      </c>
      <c r="AM282" t="s">
        <v>57</v>
      </c>
      <c r="AN282" t="s">
        <v>57</v>
      </c>
      <c r="AO282" t="s">
        <v>57</v>
      </c>
      <c r="AP282" t="s">
        <v>57</v>
      </c>
      <c r="AQ282" t="s">
        <v>57</v>
      </c>
      <c r="AR282" t="s">
        <v>57</v>
      </c>
      <c r="AS282" t="s">
        <v>57</v>
      </c>
      <c r="AT282" t="s">
        <v>57</v>
      </c>
      <c r="AU282" t="s">
        <v>175</v>
      </c>
      <c r="AV282" t="s">
        <v>57</v>
      </c>
      <c r="AW282" t="s">
        <v>57</v>
      </c>
      <c r="AX282" t="s">
        <v>57</v>
      </c>
      <c r="AY282" t="s">
        <v>57</v>
      </c>
      <c r="AZ282" t="s">
        <v>57</v>
      </c>
      <c r="BA282" t="s">
        <v>57</v>
      </c>
      <c r="BB282" t="s">
        <v>57</v>
      </c>
      <c r="BC282" t="s">
        <v>175</v>
      </c>
      <c r="BD282" t="s">
        <v>175</v>
      </c>
      <c r="BE282" t="s">
        <v>57</v>
      </c>
      <c r="BF282" t="s">
        <v>57</v>
      </c>
      <c r="BG282" t="s">
        <v>57</v>
      </c>
      <c r="BH282" t="s">
        <v>57</v>
      </c>
      <c r="BI282" t="s">
        <v>57</v>
      </c>
      <c r="BJ282" t="s">
        <v>57</v>
      </c>
      <c r="BK282" t="s">
        <v>57</v>
      </c>
      <c r="BL282" t="s">
        <v>57</v>
      </c>
      <c r="BM282" t="s">
        <v>57</v>
      </c>
      <c r="BN282" t="s">
        <v>57</v>
      </c>
      <c r="BO282" t="s">
        <v>57</v>
      </c>
      <c r="BP282" t="s">
        <v>57</v>
      </c>
      <c r="BQ282" t="s">
        <v>57</v>
      </c>
      <c r="BR282" t="s">
        <v>57</v>
      </c>
      <c r="BS282" t="s">
        <v>57</v>
      </c>
      <c r="BT282" t="s">
        <v>57</v>
      </c>
      <c r="BU282" t="s">
        <v>57</v>
      </c>
      <c r="BV282" t="s">
        <v>57</v>
      </c>
      <c r="BW282" t="s">
        <v>57</v>
      </c>
      <c r="BX282" t="s">
        <v>57</v>
      </c>
      <c r="BY282" t="s">
        <v>57</v>
      </c>
      <c r="BZ282" t="s">
        <v>57</v>
      </c>
      <c r="CA282" t="s">
        <v>57</v>
      </c>
      <c r="CB282" t="s">
        <v>57</v>
      </c>
      <c r="CC282" t="s">
        <v>57</v>
      </c>
      <c r="CD282" t="s">
        <v>57</v>
      </c>
      <c r="CE282" t="s">
        <v>57</v>
      </c>
      <c r="CF282" t="s">
        <v>57</v>
      </c>
      <c r="CG282" t="s">
        <v>57</v>
      </c>
      <c r="CH282" t="s">
        <v>57</v>
      </c>
      <c r="CI282" t="s">
        <v>57</v>
      </c>
      <c r="CJ282" t="s">
        <v>57</v>
      </c>
      <c r="CK282" t="s">
        <v>175</v>
      </c>
      <c r="CL282" t="s">
        <v>175</v>
      </c>
      <c r="CM282" t="s">
        <v>175</v>
      </c>
      <c r="CN282" t="s">
        <v>57</v>
      </c>
      <c r="CO282" t="s">
        <v>57</v>
      </c>
      <c r="CP282" t="s">
        <v>57</v>
      </c>
      <c r="CQ282" t="s">
        <v>57</v>
      </c>
      <c r="CR282" t="s">
        <v>57</v>
      </c>
      <c r="CS282" t="s">
        <v>57</v>
      </c>
      <c r="CT282" t="s">
        <v>57</v>
      </c>
      <c r="CU282" t="s">
        <v>57</v>
      </c>
      <c r="CV282" t="s">
        <v>57</v>
      </c>
      <c r="CW282" t="s">
        <v>57</v>
      </c>
      <c r="CX282" t="s">
        <v>57</v>
      </c>
      <c r="CY282" t="s">
        <v>57</v>
      </c>
      <c r="CZ282" t="s">
        <v>57</v>
      </c>
      <c r="DA282" t="s">
        <v>57</v>
      </c>
      <c r="DB282" t="s">
        <v>57</v>
      </c>
      <c r="DC282" t="s">
        <v>57</v>
      </c>
      <c r="DD282" t="s">
        <v>57</v>
      </c>
      <c r="DE282" t="s">
        <v>57</v>
      </c>
      <c r="DF282" t="s">
        <v>57</v>
      </c>
      <c r="DG282" t="s">
        <v>57</v>
      </c>
      <c r="DH282" t="s">
        <v>57</v>
      </c>
      <c r="DI282" t="s">
        <v>57</v>
      </c>
      <c r="DJ282" t="s">
        <v>57</v>
      </c>
      <c r="DK282" t="s">
        <v>175</v>
      </c>
      <c r="DL282" t="s">
        <v>57</v>
      </c>
      <c r="DM282" t="s">
        <v>175</v>
      </c>
      <c r="DN282" t="s">
        <v>175</v>
      </c>
      <c r="DO282" t="s">
        <v>175</v>
      </c>
      <c r="DP282" t="s">
        <v>175</v>
      </c>
      <c r="DQ282" t="s">
        <v>175</v>
      </c>
      <c r="DR282" t="s">
        <v>175</v>
      </c>
      <c r="DS282" t="s">
        <v>175</v>
      </c>
      <c r="DT282" t="s">
        <v>175</v>
      </c>
      <c r="DU282" t="s">
        <v>175</v>
      </c>
      <c r="DV282" t="s">
        <v>175</v>
      </c>
      <c r="DW282" t="s">
        <v>175</v>
      </c>
      <c r="DX282" t="s">
        <v>175</v>
      </c>
      <c r="DY282" t="s">
        <v>175</v>
      </c>
      <c r="DZ282" t="s">
        <v>175</v>
      </c>
      <c r="EA282" t="s">
        <v>57</v>
      </c>
      <c r="EB282" t="s">
        <v>57</v>
      </c>
      <c r="EC282" t="s">
        <v>57</v>
      </c>
      <c r="ED282" t="s">
        <v>57</v>
      </c>
      <c r="EE282" t="s">
        <v>57</v>
      </c>
      <c r="EF282" t="s">
        <v>57</v>
      </c>
      <c r="EG282" t="s">
        <v>57</v>
      </c>
      <c r="EH282" t="s">
        <v>57</v>
      </c>
      <c r="EI282" t="s">
        <v>57</v>
      </c>
      <c r="EJ282" t="s">
        <v>57</v>
      </c>
      <c r="EK282" t="s">
        <v>57</v>
      </c>
      <c r="EL282" t="s">
        <v>57</v>
      </c>
      <c r="EM282" t="s">
        <v>57</v>
      </c>
      <c r="EN282" t="s">
        <v>57</v>
      </c>
      <c r="EO282" t="s">
        <v>57</v>
      </c>
      <c r="EP282" t="s">
        <v>57</v>
      </c>
      <c r="EQ282" t="s">
        <v>57</v>
      </c>
      <c r="ER282" t="s">
        <v>57</v>
      </c>
      <c r="ES282" t="s">
        <v>57</v>
      </c>
      <c r="ET282" t="s">
        <v>57</v>
      </c>
      <c r="EU282" t="s">
        <v>57</v>
      </c>
      <c r="EV282" t="s">
        <v>57</v>
      </c>
      <c r="EW282" t="s">
        <v>57</v>
      </c>
      <c r="EX282" t="s">
        <v>175</v>
      </c>
      <c r="EY282" t="s">
        <v>175</v>
      </c>
      <c r="EZ282" t="s">
        <v>175</v>
      </c>
      <c r="FA282" t="s">
        <v>175</v>
      </c>
      <c r="FB282" t="s">
        <v>175</v>
      </c>
      <c r="FC282" t="s">
        <v>175</v>
      </c>
      <c r="FD282" t="s">
        <v>57</v>
      </c>
      <c r="FE282" t="s">
        <v>57</v>
      </c>
      <c r="FF282" t="s">
        <v>57</v>
      </c>
      <c r="FG282" t="s">
        <v>57</v>
      </c>
      <c r="FH282" t="s">
        <v>57</v>
      </c>
      <c r="FI282" t="s">
        <v>57</v>
      </c>
      <c r="FJ282" t="s">
        <v>57</v>
      </c>
      <c r="FK282" t="s">
        <v>57</v>
      </c>
      <c r="FL282" t="s">
        <v>57</v>
      </c>
      <c r="FM282" t="s">
        <v>57</v>
      </c>
      <c r="FN282" t="s">
        <v>57</v>
      </c>
      <c r="FO282" t="s">
        <v>57</v>
      </c>
      <c r="FP282" t="s">
        <v>57</v>
      </c>
      <c r="FQ282" t="s">
        <v>57</v>
      </c>
      <c r="FR282" t="s">
        <v>57</v>
      </c>
      <c r="FS282" t="s">
        <v>57</v>
      </c>
      <c r="FT282" t="s">
        <v>57</v>
      </c>
      <c r="FU282" t="s">
        <v>57</v>
      </c>
      <c r="FV282" t="s">
        <v>57</v>
      </c>
      <c r="FW282" t="s">
        <v>57</v>
      </c>
      <c r="FX282" t="s">
        <v>57</v>
      </c>
      <c r="FY282" t="s">
        <v>57</v>
      </c>
      <c r="FZ282" t="s">
        <v>57</v>
      </c>
      <c r="GA282" t="s">
        <v>57</v>
      </c>
      <c r="GB282" t="s">
        <v>57</v>
      </c>
      <c r="GC282" t="s">
        <v>57</v>
      </c>
      <c r="GD282" t="s">
        <v>57</v>
      </c>
      <c r="GE282" t="s">
        <v>57</v>
      </c>
      <c r="GF282" t="s">
        <v>57</v>
      </c>
      <c r="GG282" t="s">
        <v>175</v>
      </c>
      <c r="GH282" t="s">
        <v>57</v>
      </c>
      <c r="GI282" t="s">
        <v>57</v>
      </c>
      <c r="GJ282" t="s">
        <v>57</v>
      </c>
      <c r="GK282" t="s">
        <v>57</v>
      </c>
      <c r="GL282" t="s">
        <v>175</v>
      </c>
      <c r="GM282" t="s">
        <v>175</v>
      </c>
      <c r="GN282" t="s">
        <v>57</v>
      </c>
      <c r="GO282" t="s">
        <v>57</v>
      </c>
      <c r="GP282" t="s">
        <v>57</v>
      </c>
      <c r="GQ282" t="s">
        <v>57</v>
      </c>
      <c r="GR282" t="s">
        <v>57</v>
      </c>
      <c r="GS282" t="s">
        <v>57</v>
      </c>
      <c r="GT282" t="s">
        <v>57</v>
      </c>
      <c r="GU282" t="s">
        <v>57</v>
      </c>
      <c r="GV282" t="s">
        <v>57</v>
      </c>
      <c r="GW282" t="s">
        <v>57</v>
      </c>
      <c r="GX282" t="s">
        <v>57</v>
      </c>
      <c r="GY282" t="s">
        <v>57</v>
      </c>
      <c r="GZ282" t="s">
        <v>57</v>
      </c>
      <c r="HA282" t="s">
        <v>57</v>
      </c>
      <c r="HB282" t="s">
        <v>57</v>
      </c>
      <c r="HC282" t="s">
        <v>57</v>
      </c>
      <c r="HD282" t="s">
        <v>57</v>
      </c>
      <c r="HE282" t="s">
        <v>57</v>
      </c>
      <c r="HF282" t="s">
        <v>57</v>
      </c>
      <c r="HG282" t="s">
        <v>175</v>
      </c>
      <c r="HH282" t="s">
        <v>57</v>
      </c>
      <c r="HI282" t="s">
        <v>175</v>
      </c>
      <c r="HJ282" t="s">
        <v>175</v>
      </c>
      <c r="HK282" t="s">
        <v>175</v>
      </c>
      <c r="HL282" t="s">
        <v>57</v>
      </c>
      <c r="HM282" t="s">
        <v>57</v>
      </c>
      <c r="HN282" t="s">
        <v>57</v>
      </c>
      <c r="HO282" t="s">
        <v>57</v>
      </c>
      <c r="HP282" t="s">
        <v>57</v>
      </c>
      <c r="HQ282" t="s">
        <v>57</v>
      </c>
      <c r="HR282" t="s">
        <v>57</v>
      </c>
      <c r="HS282" t="s">
        <v>57</v>
      </c>
      <c r="HT282" t="s">
        <v>57</v>
      </c>
      <c r="HU282" t="s">
        <v>57</v>
      </c>
      <c r="HV282" t="s">
        <v>57</v>
      </c>
      <c r="HW282" t="s">
        <v>57</v>
      </c>
      <c r="HX282" t="s">
        <v>57</v>
      </c>
      <c r="HY282" t="s">
        <v>57</v>
      </c>
      <c r="HZ282" t="s">
        <v>57</v>
      </c>
      <c r="IA282" t="s">
        <v>57</v>
      </c>
      <c r="IB282" t="s">
        <v>57</v>
      </c>
      <c r="IC282" t="s">
        <v>57</v>
      </c>
      <c r="ID282" t="s">
        <v>57</v>
      </c>
      <c r="IE282" t="s">
        <v>57</v>
      </c>
      <c r="IF282" t="s">
        <v>124</v>
      </c>
      <c r="IG282" t="s">
        <v>148</v>
      </c>
      <c r="IH282" t="s">
        <v>123</v>
      </c>
      <c r="II282" t="s">
        <v>156</v>
      </c>
    </row>
    <row r="283" spans="1:243" x14ac:dyDescent="0.25">
      <c r="A283" s="201" t="str">
        <f>HYPERLINK("http://www.ofsted.gov.uk/inspection-reports/find-inspection-report/provider/ELS/144033 ","Ofsted School Webpage")</f>
        <v>Ofsted School Webpage</v>
      </c>
      <c r="B283">
        <v>144033</v>
      </c>
      <c r="C283">
        <v>8696019</v>
      </c>
      <c r="D283" t="s">
        <v>2394</v>
      </c>
      <c r="E283" t="s">
        <v>37</v>
      </c>
      <c r="F283" t="s">
        <v>138</v>
      </c>
      <c r="G283" t="s">
        <v>139</v>
      </c>
      <c r="H283" t="s">
        <v>139</v>
      </c>
      <c r="I283" t="s">
        <v>552</v>
      </c>
      <c r="J283" t="s">
        <v>2395</v>
      </c>
      <c r="K283" t="s">
        <v>142</v>
      </c>
      <c r="L283" t="s">
        <v>142</v>
      </c>
      <c r="M283" t="s">
        <v>2596</v>
      </c>
      <c r="N283" t="s">
        <v>143</v>
      </c>
      <c r="O283">
        <v>10043102</v>
      </c>
      <c r="P283" s="108">
        <v>43074</v>
      </c>
      <c r="Q283" s="108">
        <v>43076</v>
      </c>
      <c r="R283" s="108">
        <v>43116</v>
      </c>
      <c r="S283" t="s">
        <v>206</v>
      </c>
      <c r="T283" t="s">
        <v>154</v>
      </c>
      <c r="U283">
        <v>2</v>
      </c>
      <c r="V283">
        <v>2</v>
      </c>
      <c r="W283">
        <v>2</v>
      </c>
      <c r="X283">
        <v>2</v>
      </c>
      <c r="Y283">
        <v>2</v>
      </c>
      <c r="Z283" t="s">
        <v>2596</v>
      </c>
      <c r="AA283" t="s">
        <v>2596</v>
      </c>
      <c r="AB283" t="s">
        <v>123</v>
      </c>
      <c r="AC283" t="s">
        <v>2596</v>
      </c>
      <c r="AD283" t="s">
        <v>2598</v>
      </c>
      <c r="AE283" t="s">
        <v>57</v>
      </c>
      <c r="AF283" t="s">
        <v>57</v>
      </c>
      <c r="AG283" t="s">
        <v>57</v>
      </c>
      <c r="AH283" t="s">
        <v>57</v>
      </c>
      <c r="AI283" t="s">
        <v>57</v>
      </c>
      <c r="AJ283" t="s">
        <v>57</v>
      </c>
      <c r="AK283" t="s">
        <v>57</v>
      </c>
      <c r="AL283" t="s">
        <v>57</v>
      </c>
      <c r="AM283" t="s">
        <v>57</v>
      </c>
      <c r="AN283" t="s">
        <v>57</v>
      </c>
      <c r="AO283" t="s">
        <v>57</v>
      </c>
      <c r="AP283" t="s">
        <v>57</v>
      </c>
      <c r="AQ283" t="s">
        <v>57</v>
      </c>
      <c r="AR283" t="s">
        <v>57</v>
      </c>
      <c r="AS283" t="s">
        <v>57</v>
      </c>
      <c r="AT283" t="s">
        <v>57</v>
      </c>
      <c r="AU283" t="s">
        <v>175</v>
      </c>
      <c r="AV283" t="s">
        <v>57</v>
      </c>
      <c r="AW283" t="s">
        <v>57</v>
      </c>
      <c r="AX283" t="s">
        <v>57</v>
      </c>
      <c r="AY283" t="s">
        <v>57</v>
      </c>
      <c r="AZ283" t="s">
        <v>57</v>
      </c>
      <c r="BA283" t="s">
        <v>57</v>
      </c>
      <c r="BB283" t="s">
        <v>57</v>
      </c>
      <c r="BC283" t="s">
        <v>175</v>
      </c>
      <c r="BD283" t="s">
        <v>175</v>
      </c>
      <c r="BE283" t="s">
        <v>57</v>
      </c>
      <c r="BF283" t="s">
        <v>57</v>
      </c>
      <c r="BG283" t="s">
        <v>57</v>
      </c>
      <c r="BH283" t="s">
        <v>57</v>
      </c>
      <c r="BI283" t="s">
        <v>57</v>
      </c>
      <c r="BJ283" t="s">
        <v>57</v>
      </c>
      <c r="BK283" t="s">
        <v>57</v>
      </c>
      <c r="BL283" t="s">
        <v>57</v>
      </c>
      <c r="BM283" t="s">
        <v>57</v>
      </c>
      <c r="BN283" t="s">
        <v>57</v>
      </c>
      <c r="BO283" t="s">
        <v>57</v>
      </c>
      <c r="BP283" t="s">
        <v>57</v>
      </c>
      <c r="BQ283" t="s">
        <v>57</v>
      </c>
      <c r="BR283" t="s">
        <v>57</v>
      </c>
      <c r="BS283" t="s">
        <v>57</v>
      </c>
      <c r="BT283" t="s">
        <v>57</v>
      </c>
      <c r="BU283" t="s">
        <v>57</v>
      </c>
      <c r="BV283" t="s">
        <v>57</v>
      </c>
      <c r="BW283" t="s">
        <v>57</v>
      </c>
      <c r="BX283" t="s">
        <v>57</v>
      </c>
      <c r="BY283" t="s">
        <v>57</v>
      </c>
      <c r="BZ283" t="s">
        <v>57</v>
      </c>
      <c r="CA283" t="s">
        <v>57</v>
      </c>
      <c r="CB283" t="s">
        <v>57</v>
      </c>
      <c r="CC283" t="s">
        <v>57</v>
      </c>
      <c r="CD283" t="s">
        <v>57</v>
      </c>
      <c r="CE283" t="s">
        <v>57</v>
      </c>
      <c r="CF283" t="s">
        <v>57</v>
      </c>
      <c r="CG283" t="s">
        <v>57</v>
      </c>
      <c r="CH283" t="s">
        <v>57</v>
      </c>
      <c r="CI283" t="s">
        <v>57</v>
      </c>
      <c r="CJ283" t="s">
        <v>57</v>
      </c>
      <c r="CK283" t="s">
        <v>175</v>
      </c>
      <c r="CL283" t="s">
        <v>175</v>
      </c>
      <c r="CM283" t="s">
        <v>175</v>
      </c>
      <c r="CN283" t="s">
        <v>57</v>
      </c>
      <c r="CO283" t="s">
        <v>57</v>
      </c>
      <c r="CP283" t="s">
        <v>57</v>
      </c>
      <c r="CQ283" t="s">
        <v>57</v>
      </c>
      <c r="CR283" t="s">
        <v>57</v>
      </c>
      <c r="CS283" t="s">
        <v>57</v>
      </c>
      <c r="CT283" t="s">
        <v>57</v>
      </c>
      <c r="CU283" t="s">
        <v>57</v>
      </c>
      <c r="CV283" t="s">
        <v>57</v>
      </c>
      <c r="CW283" t="s">
        <v>57</v>
      </c>
      <c r="CX283" t="s">
        <v>57</v>
      </c>
      <c r="CY283" t="s">
        <v>57</v>
      </c>
      <c r="CZ283" t="s">
        <v>57</v>
      </c>
      <c r="DA283" t="s">
        <v>57</v>
      </c>
      <c r="DB283" t="s">
        <v>57</v>
      </c>
      <c r="DC283" t="s">
        <v>57</v>
      </c>
      <c r="DD283" t="s">
        <v>57</v>
      </c>
      <c r="DE283" t="s">
        <v>57</v>
      </c>
      <c r="DF283" t="s">
        <v>57</v>
      </c>
      <c r="DG283" t="s">
        <v>57</v>
      </c>
      <c r="DH283" t="s">
        <v>57</v>
      </c>
      <c r="DI283" t="s">
        <v>57</v>
      </c>
      <c r="DJ283" t="s">
        <v>57</v>
      </c>
      <c r="DK283" t="s">
        <v>175</v>
      </c>
      <c r="DL283" t="s">
        <v>57</v>
      </c>
      <c r="DM283" t="s">
        <v>57</v>
      </c>
      <c r="DN283" t="s">
        <v>57</v>
      </c>
      <c r="DO283" t="s">
        <v>57</v>
      </c>
      <c r="DP283" t="s">
        <v>57</v>
      </c>
      <c r="DQ283" t="s">
        <v>57</v>
      </c>
      <c r="DR283" t="s">
        <v>57</v>
      </c>
      <c r="DS283" t="s">
        <v>57</v>
      </c>
      <c r="DT283" t="s">
        <v>57</v>
      </c>
      <c r="DU283" t="s">
        <v>57</v>
      </c>
      <c r="DV283" t="s">
        <v>57</v>
      </c>
      <c r="DW283" t="s">
        <v>57</v>
      </c>
      <c r="DX283" t="s">
        <v>57</v>
      </c>
      <c r="DY283" t="s">
        <v>175</v>
      </c>
      <c r="DZ283" t="s">
        <v>57</v>
      </c>
      <c r="EA283" t="s">
        <v>57</v>
      </c>
      <c r="EB283" t="s">
        <v>57</v>
      </c>
      <c r="EC283" t="s">
        <v>57</v>
      </c>
      <c r="ED283" t="s">
        <v>57</v>
      </c>
      <c r="EE283" t="s">
        <v>57</v>
      </c>
      <c r="EF283" t="s">
        <v>57</v>
      </c>
      <c r="EG283" t="s">
        <v>57</v>
      </c>
      <c r="EH283" t="s">
        <v>57</v>
      </c>
      <c r="EI283" t="s">
        <v>57</v>
      </c>
      <c r="EJ283" t="s">
        <v>57</v>
      </c>
      <c r="EK283" t="s">
        <v>57</v>
      </c>
      <c r="EL283" t="s">
        <v>57</v>
      </c>
      <c r="EM283" t="s">
        <v>57</v>
      </c>
      <c r="EN283" t="s">
        <v>57</v>
      </c>
      <c r="EO283" t="s">
        <v>57</v>
      </c>
      <c r="EP283" t="s">
        <v>57</v>
      </c>
      <c r="EQ283" t="s">
        <v>57</v>
      </c>
      <c r="ER283" t="s">
        <v>57</v>
      </c>
      <c r="ES283" t="s">
        <v>57</v>
      </c>
      <c r="ET283" t="s">
        <v>57</v>
      </c>
      <c r="EU283" t="s">
        <v>57</v>
      </c>
      <c r="EV283" t="s">
        <v>57</v>
      </c>
      <c r="EW283" t="s">
        <v>175</v>
      </c>
      <c r="EX283" t="s">
        <v>175</v>
      </c>
      <c r="EY283" t="s">
        <v>175</v>
      </c>
      <c r="EZ283" t="s">
        <v>175</v>
      </c>
      <c r="FA283" t="s">
        <v>175</v>
      </c>
      <c r="FB283" t="s">
        <v>175</v>
      </c>
      <c r="FC283" t="s">
        <v>175</v>
      </c>
      <c r="FD283" t="s">
        <v>57</v>
      </c>
      <c r="FE283" t="s">
        <v>175</v>
      </c>
      <c r="FF283" t="s">
        <v>57</v>
      </c>
      <c r="FG283" t="s">
        <v>57</v>
      </c>
      <c r="FH283" t="s">
        <v>57</v>
      </c>
      <c r="FI283" t="s">
        <v>57</v>
      </c>
      <c r="FJ283" t="s">
        <v>57</v>
      </c>
      <c r="FK283" t="s">
        <v>57</v>
      </c>
      <c r="FL283" t="s">
        <v>57</v>
      </c>
      <c r="FM283" t="s">
        <v>57</v>
      </c>
      <c r="FN283" t="s">
        <v>57</v>
      </c>
      <c r="FO283" t="s">
        <v>175</v>
      </c>
      <c r="FP283" t="s">
        <v>57</v>
      </c>
      <c r="FQ283" t="s">
        <v>57</v>
      </c>
      <c r="FR283" t="s">
        <v>57</v>
      </c>
      <c r="FS283" t="s">
        <v>57</v>
      </c>
      <c r="FT283" t="s">
        <v>57</v>
      </c>
      <c r="FU283" t="s">
        <v>57</v>
      </c>
      <c r="FV283" t="s">
        <v>57</v>
      </c>
      <c r="FW283" t="s">
        <v>57</v>
      </c>
      <c r="FX283" t="s">
        <v>57</v>
      </c>
      <c r="FY283" t="s">
        <v>57</v>
      </c>
      <c r="FZ283" t="s">
        <v>57</v>
      </c>
      <c r="GA283" t="s">
        <v>57</v>
      </c>
      <c r="GB283" t="s">
        <v>57</v>
      </c>
      <c r="GC283" t="s">
        <v>57</v>
      </c>
      <c r="GD283" t="s">
        <v>57</v>
      </c>
      <c r="GE283" t="s">
        <v>57</v>
      </c>
      <c r="GF283" t="s">
        <v>57</v>
      </c>
      <c r="GG283" t="s">
        <v>175</v>
      </c>
      <c r="GH283" t="s">
        <v>57</v>
      </c>
      <c r="GI283" t="s">
        <v>57</v>
      </c>
      <c r="GJ283" t="s">
        <v>57</v>
      </c>
      <c r="GK283" t="s">
        <v>57</v>
      </c>
      <c r="GL283" t="s">
        <v>57</v>
      </c>
      <c r="GM283" t="s">
        <v>175</v>
      </c>
      <c r="GN283" t="s">
        <v>57</v>
      </c>
      <c r="GO283" t="s">
        <v>57</v>
      </c>
      <c r="GP283" t="s">
        <v>57</v>
      </c>
      <c r="GQ283" t="s">
        <v>57</v>
      </c>
      <c r="GR283" t="s">
        <v>57</v>
      </c>
      <c r="GS283" t="s">
        <v>57</v>
      </c>
      <c r="GT283" t="s">
        <v>57</v>
      </c>
      <c r="GU283" t="s">
        <v>57</v>
      </c>
      <c r="GV283" t="s">
        <v>57</v>
      </c>
      <c r="GW283" t="s">
        <v>57</v>
      </c>
      <c r="GX283" t="s">
        <v>57</v>
      </c>
      <c r="GY283" t="s">
        <v>57</v>
      </c>
      <c r="GZ283" t="s">
        <v>57</v>
      </c>
      <c r="HA283" t="s">
        <v>57</v>
      </c>
      <c r="HB283" t="s">
        <v>57</v>
      </c>
      <c r="HC283" t="s">
        <v>57</v>
      </c>
      <c r="HD283" t="s">
        <v>57</v>
      </c>
      <c r="HE283" t="s">
        <v>57</v>
      </c>
      <c r="HF283" t="s">
        <v>57</v>
      </c>
      <c r="HG283" t="s">
        <v>57</v>
      </c>
      <c r="HH283" t="s">
        <v>57</v>
      </c>
      <c r="HI283" t="s">
        <v>175</v>
      </c>
      <c r="HJ283" t="s">
        <v>175</v>
      </c>
      <c r="HK283" t="s">
        <v>175</v>
      </c>
      <c r="HL283" t="s">
        <v>57</v>
      </c>
      <c r="HM283" t="s">
        <v>57</v>
      </c>
      <c r="HN283" t="s">
        <v>57</v>
      </c>
      <c r="HO283" t="s">
        <v>57</v>
      </c>
      <c r="HP283" t="s">
        <v>57</v>
      </c>
      <c r="HQ283" t="s">
        <v>57</v>
      </c>
      <c r="HR283" t="s">
        <v>57</v>
      </c>
      <c r="HS283" t="s">
        <v>57</v>
      </c>
      <c r="HT283" t="s">
        <v>57</v>
      </c>
      <c r="HU283" t="s">
        <v>57</v>
      </c>
      <c r="HV283" t="s">
        <v>57</v>
      </c>
      <c r="HW283" t="s">
        <v>57</v>
      </c>
      <c r="HX283" t="s">
        <v>57</v>
      </c>
      <c r="HY283" t="s">
        <v>57</v>
      </c>
      <c r="HZ283" t="s">
        <v>57</v>
      </c>
      <c r="IA283" t="s">
        <v>57</v>
      </c>
      <c r="IB283" t="s">
        <v>57</v>
      </c>
      <c r="IC283" t="s">
        <v>57</v>
      </c>
      <c r="ID283" t="s">
        <v>57</v>
      </c>
      <c r="IE283" t="s">
        <v>57</v>
      </c>
      <c r="IF283" t="s">
        <v>123</v>
      </c>
      <c r="IG283" t="s">
        <v>123</v>
      </c>
      <c r="IH283" t="s">
        <v>123</v>
      </c>
      <c r="II283" t="s">
        <v>156</v>
      </c>
    </row>
    <row r="284" spans="1:243" x14ac:dyDescent="0.25">
      <c r="A284" s="201" t="str">
        <f>HYPERLINK("http://www.ofsted.gov.uk/inspection-reports/find-inspection-report/provider/ELS/144776 ","Ofsted School Webpage")</f>
        <v>Ofsted School Webpage</v>
      </c>
      <c r="B284">
        <v>144776</v>
      </c>
      <c r="C284">
        <v>8266017</v>
      </c>
      <c r="D284" t="s">
        <v>2372</v>
      </c>
      <c r="E284" t="s">
        <v>37</v>
      </c>
      <c r="F284" t="s">
        <v>138</v>
      </c>
      <c r="G284" t="s">
        <v>139</v>
      </c>
      <c r="H284" t="s">
        <v>139</v>
      </c>
      <c r="I284" t="s">
        <v>2077</v>
      </c>
      <c r="J284" t="s">
        <v>2373</v>
      </c>
      <c r="K284" t="s">
        <v>142</v>
      </c>
      <c r="L284" t="s">
        <v>142</v>
      </c>
      <c r="M284" t="s">
        <v>2596</v>
      </c>
      <c r="N284" t="s">
        <v>143</v>
      </c>
      <c r="O284">
        <v>10045498</v>
      </c>
      <c r="P284" s="108">
        <v>43123</v>
      </c>
      <c r="Q284" s="108">
        <v>43124</v>
      </c>
      <c r="R284" s="108">
        <v>43175</v>
      </c>
      <c r="S284" t="s">
        <v>206</v>
      </c>
      <c r="T284" t="s">
        <v>154</v>
      </c>
      <c r="U284">
        <v>4</v>
      </c>
      <c r="V284">
        <v>4</v>
      </c>
      <c r="W284">
        <v>3</v>
      </c>
      <c r="X284">
        <v>4</v>
      </c>
      <c r="Y284">
        <v>4</v>
      </c>
      <c r="Z284" t="s">
        <v>2596</v>
      </c>
      <c r="AA284" t="s">
        <v>2596</v>
      </c>
      <c r="AB284" t="s">
        <v>123</v>
      </c>
      <c r="AC284" t="s">
        <v>2596</v>
      </c>
      <c r="AD284" t="s">
        <v>2599</v>
      </c>
      <c r="AE284" t="s">
        <v>58</v>
      </c>
      <c r="AF284" t="s">
        <v>57</v>
      </c>
      <c r="AG284" t="s">
        <v>57</v>
      </c>
      <c r="AH284" t="s">
        <v>57</v>
      </c>
      <c r="AI284" t="s">
        <v>57</v>
      </c>
      <c r="AJ284" t="s">
        <v>57</v>
      </c>
      <c r="AK284" t="s">
        <v>57</v>
      </c>
      <c r="AL284" t="s">
        <v>58</v>
      </c>
      <c r="AM284" t="s">
        <v>58</v>
      </c>
      <c r="AN284" t="s">
        <v>58</v>
      </c>
      <c r="AO284" t="s">
        <v>58</v>
      </c>
      <c r="AP284" t="s">
        <v>58</v>
      </c>
      <c r="AQ284" t="s">
        <v>57</v>
      </c>
      <c r="AR284" t="s">
        <v>58</v>
      </c>
      <c r="AS284" t="s">
        <v>58</v>
      </c>
      <c r="AT284" t="s">
        <v>57</v>
      </c>
      <c r="AU284" t="s">
        <v>57</v>
      </c>
      <c r="AV284" t="s">
        <v>57</v>
      </c>
      <c r="AW284" t="s">
        <v>57</v>
      </c>
      <c r="AX284" t="s">
        <v>57</v>
      </c>
      <c r="AY284" t="s">
        <v>58</v>
      </c>
      <c r="AZ284" t="s">
        <v>58</v>
      </c>
      <c r="BA284" t="s">
        <v>58</v>
      </c>
      <c r="BB284" t="s">
        <v>58</v>
      </c>
      <c r="BC284" t="s">
        <v>175</v>
      </c>
      <c r="BD284" t="s">
        <v>175</v>
      </c>
      <c r="BE284" t="s">
        <v>57</v>
      </c>
      <c r="BF284" t="s">
        <v>57</v>
      </c>
      <c r="BG284" t="s">
        <v>58</v>
      </c>
      <c r="BH284" t="s">
        <v>58</v>
      </c>
      <c r="BI284" t="s">
        <v>57</v>
      </c>
      <c r="BJ284" t="s">
        <v>58</v>
      </c>
      <c r="BK284" t="s">
        <v>58</v>
      </c>
      <c r="BL284" t="s">
        <v>57</v>
      </c>
      <c r="BM284" t="s">
        <v>57</v>
      </c>
      <c r="BN284" t="s">
        <v>58</v>
      </c>
      <c r="BO284" t="s">
        <v>57</v>
      </c>
      <c r="BP284" t="s">
        <v>57</v>
      </c>
      <c r="BQ284" t="s">
        <v>57</v>
      </c>
      <c r="BR284" t="s">
        <v>58</v>
      </c>
      <c r="BS284" t="s">
        <v>57</v>
      </c>
      <c r="BT284" t="s">
        <v>57</v>
      </c>
      <c r="BU284" t="s">
        <v>57</v>
      </c>
      <c r="BV284" t="s">
        <v>57</v>
      </c>
      <c r="BW284" t="s">
        <v>57</v>
      </c>
      <c r="BX284" t="s">
        <v>57</v>
      </c>
      <c r="BY284" t="s">
        <v>57</v>
      </c>
      <c r="BZ284" t="s">
        <v>57</v>
      </c>
      <c r="CA284" t="s">
        <v>57</v>
      </c>
      <c r="CB284" t="s">
        <v>57</v>
      </c>
      <c r="CC284" t="s">
        <v>57</v>
      </c>
      <c r="CD284" t="s">
        <v>57</v>
      </c>
      <c r="CE284" t="s">
        <v>57</v>
      </c>
      <c r="CF284" t="s">
        <v>57</v>
      </c>
      <c r="CG284" t="s">
        <v>57</v>
      </c>
      <c r="CH284" t="s">
        <v>57</v>
      </c>
      <c r="CI284" t="s">
        <v>57</v>
      </c>
      <c r="CJ284" t="s">
        <v>57</v>
      </c>
      <c r="CK284" t="s">
        <v>175</v>
      </c>
      <c r="CL284" t="s">
        <v>175</v>
      </c>
      <c r="CM284" t="s">
        <v>175</v>
      </c>
      <c r="CN284" t="s">
        <v>57</v>
      </c>
      <c r="CO284" t="s">
        <v>57</v>
      </c>
      <c r="CP284" t="s">
        <v>57</v>
      </c>
      <c r="CQ284" t="s">
        <v>57</v>
      </c>
      <c r="CR284" t="s">
        <v>57</v>
      </c>
      <c r="CS284" t="s">
        <v>57</v>
      </c>
      <c r="CT284" t="s">
        <v>57</v>
      </c>
      <c r="CU284" t="s">
        <v>57</v>
      </c>
      <c r="CV284" t="s">
        <v>57</v>
      </c>
      <c r="CW284" t="s">
        <v>57</v>
      </c>
      <c r="CX284" t="s">
        <v>57</v>
      </c>
      <c r="CY284" t="s">
        <v>57</v>
      </c>
      <c r="CZ284" t="s">
        <v>57</v>
      </c>
      <c r="DA284" t="s">
        <v>57</v>
      </c>
      <c r="DB284" t="s">
        <v>57</v>
      </c>
      <c r="DC284" t="s">
        <v>57</v>
      </c>
      <c r="DD284" t="s">
        <v>57</v>
      </c>
      <c r="DE284" t="s">
        <v>57</v>
      </c>
      <c r="DF284" t="s">
        <v>57</v>
      </c>
      <c r="DG284" t="s">
        <v>57</v>
      </c>
      <c r="DH284" t="s">
        <v>57</v>
      </c>
      <c r="DI284" t="s">
        <v>57</v>
      </c>
      <c r="DJ284" t="s">
        <v>57</v>
      </c>
      <c r="DK284" t="s">
        <v>175</v>
      </c>
      <c r="DL284" t="s">
        <v>57</v>
      </c>
      <c r="DM284" t="s">
        <v>57</v>
      </c>
      <c r="DN284" t="s">
        <v>57</v>
      </c>
      <c r="DO284" t="s">
        <v>57</v>
      </c>
      <c r="DP284" t="s">
        <v>57</v>
      </c>
      <c r="DQ284" t="s">
        <v>57</v>
      </c>
      <c r="DR284" t="s">
        <v>57</v>
      </c>
      <c r="DS284" t="s">
        <v>57</v>
      </c>
      <c r="DT284" t="s">
        <v>57</v>
      </c>
      <c r="DU284" t="s">
        <v>57</v>
      </c>
      <c r="DV284" t="s">
        <v>57</v>
      </c>
      <c r="DW284" t="s">
        <v>57</v>
      </c>
      <c r="DX284" t="s">
        <v>57</v>
      </c>
      <c r="DY284" t="s">
        <v>175</v>
      </c>
      <c r="DZ284" t="s">
        <v>175</v>
      </c>
      <c r="EA284" t="s">
        <v>57</v>
      </c>
      <c r="EB284" t="s">
        <v>57</v>
      </c>
      <c r="EC284" t="s">
        <v>57</v>
      </c>
      <c r="ED284" t="s">
        <v>57</v>
      </c>
      <c r="EE284" t="s">
        <v>57</v>
      </c>
      <c r="EF284" t="s">
        <v>57</v>
      </c>
      <c r="EG284" t="s">
        <v>57</v>
      </c>
      <c r="EH284" t="s">
        <v>57</v>
      </c>
      <c r="EI284" t="s">
        <v>57</v>
      </c>
      <c r="EJ284" t="s">
        <v>57</v>
      </c>
      <c r="EK284" t="s">
        <v>57</v>
      </c>
      <c r="EL284" t="s">
        <v>57</v>
      </c>
      <c r="EM284" t="s">
        <v>57</v>
      </c>
      <c r="EN284" t="s">
        <v>57</v>
      </c>
      <c r="EO284" t="s">
        <v>57</v>
      </c>
      <c r="EP284" t="s">
        <v>57</v>
      </c>
      <c r="EQ284" t="s">
        <v>57</v>
      </c>
      <c r="ER284" t="s">
        <v>57</v>
      </c>
      <c r="ES284" t="s">
        <v>57</v>
      </c>
      <c r="ET284" t="s">
        <v>57</v>
      </c>
      <c r="EU284" t="s">
        <v>57</v>
      </c>
      <c r="EV284" t="s">
        <v>57</v>
      </c>
      <c r="EW284" t="s">
        <v>57</v>
      </c>
      <c r="EX284" t="s">
        <v>57</v>
      </c>
      <c r="EY284" t="s">
        <v>57</v>
      </c>
      <c r="EZ284" t="s">
        <v>57</v>
      </c>
      <c r="FA284" t="s">
        <v>57</v>
      </c>
      <c r="FB284" t="s">
        <v>57</v>
      </c>
      <c r="FC284" t="s">
        <v>57</v>
      </c>
      <c r="FD284" t="s">
        <v>57</v>
      </c>
      <c r="FE284" t="s">
        <v>57</v>
      </c>
      <c r="FF284" t="s">
        <v>57</v>
      </c>
      <c r="FG284" t="s">
        <v>57</v>
      </c>
      <c r="FH284" t="s">
        <v>57</v>
      </c>
      <c r="FI284" t="s">
        <v>57</v>
      </c>
      <c r="FJ284" t="s">
        <v>57</v>
      </c>
      <c r="FK284" t="s">
        <v>58</v>
      </c>
      <c r="FL284" t="s">
        <v>57</v>
      </c>
      <c r="FM284" t="s">
        <v>57</v>
      </c>
      <c r="FN284" t="s">
        <v>57</v>
      </c>
      <c r="FO284" t="s">
        <v>57</v>
      </c>
      <c r="FP284" t="s">
        <v>57</v>
      </c>
      <c r="FQ284" t="s">
        <v>57</v>
      </c>
      <c r="FR284" t="s">
        <v>57</v>
      </c>
      <c r="FS284" t="s">
        <v>57</v>
      </c>
      <c r="FT284" t="s">
        <v>57</v>
      </c>
      <c r="FU284" t="s">
        <v>57</v>
      </c>
      <c r="FV284" t="s">
        <v>57</v>
      </c>
      <c r="FW284" t="s">
        <v>57</v>
      </c>
      <c r="FX284" t="s">
        <v>57</v>
      </c>
      <c r="FY284" t="s">
        <v>57</v>
      </c>
      <c r="FZ284" t="s">
        <v>57</v>
      </c>
      <c r="GA284" t="s">
        <v>57</v>
      </c>
      <c r="GB284" t="s">
        <v>57</v>
      </c>
      <c r="GC284" t="s">
        <v>57</v>
      </c>
      <c r="GD284" t="s">
        <v>58</v>
      </c>
      <c r="GE284" t="s">
        <v>58</v>
      </c>
      <c r="GF284" t="s">
        <v>58</v>
      </c>
      <c r="GG284" t="s">
        <v>175</v>
      </c>
      <c r="GH284" t="s">
        <v>57</v>
      </c>
      <c r="GI284" t="s">
        <v>57</v>
      </c>
      <c r="GJ284" t="s">
        <v>57</v>
      </c>
      <c r="GK284" t="s">
        <v>57</v>
      </c>
      <c r="GL284" t="s">
        <v>57</v>
      </c>
      <c r="GM284" t="s">
        <v>57</v>
      </c>
      <c r="GN284" t="s">
        <v>57</v>
      </c>
      <c r="GO284" t="s">
        <v>57</v>
      </c>
      <c r="GP284" t="s">
        <v>57</v>
      </c>
      <c r="GQ284" t="s">
        <v>58</v>
      </c>
      <c r="GR284" t="s">
        <v>57</v>
      </c>
      <c r="GS284" t="s">
        <v>57</v>
      </c>
      <c r="GT284" t="s">
        <v>57</v>
      </c>
      <c r="GU284" t="s">
        <v>57</v>
      </c>
      <c r="GV284" t="s">
        <v>57</v>
      </c>
      <c r="GW284" t="s">
        <v>57</v>
      </c>
      <c r="GX284" t="s">
        <v>57</v>
      </c>
      <c r="GY284" t="s">
        <v>57</v>
      </c>
      <c r="GZ284" t="s">
        <v>57</v>
      </c>
      <c r="HA284" t="s">
        <v>57</v>
      </c>
      <c r="HB284" t="s">
        <v>175</v>
      </c>
      <c r="HC284" t="s">
        <v>57</v>
      </c>
      <c r="HD284" t="s">
        <v>57</v>
      </c>
      <c r="HE284" t="s">
        <v>57</v>
      </c>
      <c r="HF284" t="s">
        <v>57</v>
      </c>
      <c r="HG284" t="s">
        <v>175</v>
      </c>
      <c r="HH284" t="s">
        <v>57</v>
      </c>
      <c r="HI284" t="s">
        <v>57</v>
      </c>
      <c r="HJ284" t="s">
        <v>175</v>
      </c>
      <c r="HK284" t="s">
        <v>57</v>
      </c>
      <c r="HL284" t="s">
        <v>57</v>
      </c>
      <c r="HM284" t="s">
        <v>57</v>
      </c>
      <c r="HN284" t="s">
        <v>57</v>
      </c>
      <c r="HO284" t="s">
        <v>57</v>
      </c>
      <c r="HP284" t="s">
        <v>57</v>
      </c>
      <c r="HQ284" t="s">
        <v>57</v>
      </c>
      <c r="HR284" t="s">
        <v>57</v>
      </c>
      <c r="HS284" t="s">
        <v>57</v>
      </c>
      <c r="HT284" t="s">
        <v>57</v>
      </c>
      <c r="HU284" t="s">
        <v>57</v>
      </c>
      <c r="HV284" t="s">
        <v>57</v>
      </c>
      <c r="HW284" t="s">
        <v>57</v>
      </c>
      <c r="HX284" t="s">
        <v>57</v>
      </c>
      <c r="HY284" t="s">
        <v>57</v>
      </c>
      <c r="HZ284" t="s">
        <v>57</v>
      </c>
      <c r="IA284" t="s">
        <v>57</v>
      </c>
      <c r="IB284" t="s">
        <v>58</v>
      </c>
      <c r="IC284" t="s">
        <v>58</v>
      </c>
      <c r="ID284" t="s">
        <v>58</v>
      </c>
      <c r="IE284" t="s">
        <v>58</v>
      </c>
      <c r="IF284" t="s">
        <v>124</v>
      </c>
      <c r="IG284" t="s">
        <v>148</v>
      </c>
      <c r="IH284" t="s">
        <v>123</v>
      </c>
      <c r="II284" t="s">
        <v>156</v>
      </c>
    </row>
    <row r="285" spans="1:243" x14ac:dyDescent="0.25">
      <c r="A285" s="201" t="str">
        <f>HYPERLINK("http://www.ofsted.gov.uk/inspection-reports/find-inspection-report/provider/ELS/144857 ","Ofsted School Webpage")</f>
        <v>Ofsted School Webpage</v>
      </c>
      <c r="B285">
        <v>144857</v>
      </c>
      <c r="C285">
        <v>3826008</v>
      </c>
      <c r="D285" t="s">
        <v>1902</v>
      </c>
      <c r="E285" t="s">
        <v>36</v>
      </c>
      <c r="F285" t="s">
        <v>166</v>
      </c>
      <c r="G285" t="s">
        <v>202</v>
      </c>
      <c r="H285" t="s">
        <v>203</v>
      </c>
      <c r="I285" t="s">
        <v>720</v>
      </c>
      <c r="J285" t="s">
        <v>1903</v>
      </c>
      <c r="K285" t="s">
        <v>142</v>
      </c>
      <c r="L285" t="s">
        <v>142</v>
      </c>
      <c r="M285" t="s">
        <v>2596</v>
      </c>
      <c r="N285" t="s">
        <v>143</v>
      </c>
      <c r="O285">
        <v>10044626</v>
      </c>
      <c r="P285" s="108">
        <v>43116</v>
      </c>
      <c r="Q285" s="108">
        <v>43118</v>
      </c>
      <c r="R285" s="108">
        <v>43161</v>
      </c>
      <c r="S285" t="s">
        <v>206</v>
      </c>
      <c r="T285" t="s">
        <v>154</v>
      </c>
      <c r="U285">
        <v>2</v>
      </c>
      <c r="V285">
        <v>2</v>
      </c>
      <c r="W285">
        <v>2</v>
      </c>
      <c r="X285">
        <v>2</v>
      </c>
      <c r="Y285">
        <v>2</v>
      </c>
      <c r="Z285" t="s">
        <v>2596</v>
      </c>
      <c r="AA285" t="s">
        <v>2596</v>
      </c>
      <c r="AB285" t="s">
        <v>123</v>
      </c>
      <c r="AC285" t="s">
        <v>2596</v>
      </c>
      <c r="AD285" t="s">
        <v>2598</v>
      </c>
      <c r="AE285" t="s">
        <v>57</v>
      </c>
      <c r="AF285" t="s">
        <v>57</v>
      </c>
      <c r="AG285" t="s">
        <v>57</v>
      </c>
      <c r="AH285" t="s">
        <v>57</v>
      </c>
      <c r="AI285" t="s">
        <v>57</v>
      </c>
      <c r="AJ285" t="s">
        <v>57</v>
      </c>
      <c r="AK285" t="s">
        <v>57</v>
      </c>
      <c r="AL285" t="s">
        <v>57</v>
      </c>
      <c r="AM285" t="s">
        <v>57</v>
      </c>
      <c r="AN285" t="s">
        <v>57</v>
      </c>
      <c r="AO285" t="s">
        <v>57</v>
      </c>
      <c r="AP285" t="s">
        <v>57</v>
      </c>
      <c r="AQ285" t="s">
        <v>57</v>
      </c>
      <c r="AR285" t="s">
        <v>57</v>
      </c>
      <c r="AS285" t="s">
        <v>57</v>
      </c>
      <c r="AT285" t="s">
        <v>57</v>
      </c>
      <c r="AU285" t="s">
        <v>175</v>
      </c>
      <c r="AV285" t="s">
        <v>57</v>
      </c>
      <c r="AW285" t="s">
        <v>57</v>
      </c>
      <c r="AX285" t="s">
        <v>57</v>
      </c>
      <c r="AY285" t="s">
        <v>57</v>
      </c>
      <c r="AZ285" t="s">
        <v>57</v>
      </c>
      <c r="BA285" t="s">
        <v>57</v>
      </c>
      <c r="BB285" t="s">
        <v>57</v>
      </c>
      <c r="BC285" t="s">
        <v>175</v>
      </c>
      <c r="BD285" t="s">
        <v>175</v>
      </c>
      <c r="BE285" t="s">
        <v>57</v>
      </c>
      <c r="BF285" t="s">
        <v>57</v>
      </c>
      <c r="BG285" t="s">
        <v>57</v>
      </c>
      <c r="BH285" t="s">
        <v>57</v>
      </c>
      <c r="BI285" t="s">
        <v>57</v>
      </c>
      <c r="BJ285" t="s">
        <v>57</v>
      </c>
      <c r="BK285" t="s">
        <v>57</v>
      </c>
      <c r="BL285" t="s">
        <v>57</v>
      </c>
      <c r="BM285" t="s">
        <v>57</v>
      </c>
      <c r="BN285" t="s">
        <v>57</v>
      </c>
      <c r="BO285" t="s">
        <v>57</v>
      </c>
      <c r="BP285" t="s">
        <v>57</v>
      </c>
      <c r="BQ285" t="s">
        <v>57</v>
      </c>
      <c r="BR285" t="s">
        <v>57</v>
      </c>
      <c r="BS285" t="s">
        <v>57</v>
      </c>
      <c r="BT285" t="s">
        <v>57</v>
      </c>
      <c r="BU285" t="s">
        <v>57</v>
      </c>
      <c r="BV285" t="s">
        <v>57</v>
      </c>
      <c r="BW285" t="s">
        <v>57</v>
      </c>
      <c r="BX285" t="s">
        <v>57</v>
      </c>
      <c r="BY285" t="s">
        <v>57</v>
      </c>
      <c r="BZ285" t="s">
        <v>57</v>
      </c>
      <c r="CA285" t="s">
        <v>57</v>
      </c>
      <c r="CB285" t="s">
        <v>57</v>
      </c>
      <c r="CC285" t="s">
        <v>57</v>
      </c>
      <c r="CD285" t="s">
        <v>57</v>
      </c>
      <c r="CE285" t="s">
        <v>57</v>
      </c>
      <c r="CF285" t="s">
        <v>57</v>
      </c>
      <c r="CG285" t="s">
        <v>57</v>
      </c>
      <c r="CH285" t="s">
        <v>57</v>
      </c>
      <c r="CI285" t="s">
        <v>57</v>
      </c>
      <c r="CJ285" t="s">
        <v>57</v>
      </c>
      <c r="CK285" t="s">
        <v>175</v>
      </c>
      <c r="CL285" t="s">
        <v>175</v>
      </c>
      <c r="CM285" t="s">
        <v>175</v>
      </c>
      <c r="CN285" t="s">
        <v>57</v>
      </c>
      <c r="CO285" t="s">
        <v>57</v>
      </c>
      <c r="CP285" t="s">
        <v>57</v>
      </c>
      <c r="CQ285" t="s">
        <v>57</v>
      </c>
      <c r="CR285" t="s">
        <v>57</v>
      </c>
      <c r="CS285" t="s">
        <v>57</v>
      </c>
      <c r="CT285" t="s">
        <v>57</v>
      </c>
      <c r="CU285" t="s">
        <v>57</v>
      </c>
      <c r="CV285" t="s">
        <v>57</v>
      </c>
      <c r="CW285" t="s">
        <v>57</v>
      </c>
      <c r="CX285" t="s">
        <v>57</v>
      </c>
      <c r="CY285" t="s">
        <v>57</v>
      </c>
      <c r="CZ285" t="s">
        <v>57</v>
      </c>
      <c r="DA285" t="s">
        <v>57</v>
      </c>
      <c r="DB285" t="s">
        <v>57</v>
      </c>
      <c r="DC285" t="s">
        <v>57</v>
      </c>
      <c r="DD285" t="s">
        <v>57</v>
      </c>
      <c r="DE285" t="s">
        <v>57</v>
      </c>
      <c r="DF285" t="s">
        <v>57</v>
      </c>
      <c r="DG285" t="s">
        <v>57</v>
      </c>
      <c r="DH285" t="s">
        <v>57</v>
      </c>
      <c r="DI285" t="s">
        <v>57</v>
      </c>
      <c r="DJ285" t="s">
        <v>57</v>
      </c>
      <c r="DK285" t="s">
        <v>175</v>
      </c>
      <c r="DL285" t="s">
        <v>57</v>
      </c>
      <c r="DM285" t="s">
        <v>175</v>
      </c>
      <c r="DN285" t="s">
        <v>175</v>
      </c>
      <c r="DO285" t="s">
        <v>175</v>
      </c>
      <c r="DP285" t="s">
        <v>175</v>
      </c>
      <c r="DQ285" t="s">
        <v>175</v>
      </c>
      <c r="DR285" t="s">
        <v>175</v>
      </c>
      <c r="DS285" t="s">
        <v>175</v>
      </c>
      <c r="DT285" t="s">
        <v>175</v>
      </c>
      <c r="DU285" t="s">
        <v>175</v>
      </c>
      <c r="DV285" t="s">
        <v>175</v>
      </c>
      <c r="DW285" t="s">
        <v>175</v>
      </c>
      <c r="DX285" t="s">
        <v>175</v>
      </c>
      <c r="DY285" t="s">
        <v>175</v>
      </c>
      <c r="DZ285" t="s">
        <v>175</v>
      </c>
      <c r="EA285" t="s">
        <v>57</v>
      </c>
      <c r="EB285" t="s">
        <v>57</v>
      </c>
      <c r="EC285" t="s">
        <v>57</v>
      </c>
      <c r="ED285" t="s">
        <v>57</v>
      </c>
      <c r="EE285" t="s">
        <v>57</v>
      </c>
      <c r="EF285" t="s">
        <v>57</v>
      </c>
      <c r="EG285" t="s">
        <v>57</v>
      </c>
      <c r="EH285" t="s">
        <v>57</v>
      </c>
      <c r="EI285" t="s">
        <v>57</v>
      </c>
      <c r="EJ285" t="s">
        <v>57</v>
      </c>
      <c r="EK285" t="s">
        <v>57</v>
      </c>
      <c r="EL285" t="s">
        <v>57</v>
      </c>
      <c r="EM285" t="s">
        <v>57</v>
      </c>
      <c r="EN285" t="s">
        <v>57</v>
      </c>
      <c r="EO285" t="s">
        <v>57</v>
      </c>
      <c r="EP285" t="s">
        <v>57</v>
      </c>
      <c r="EQ285" t="s">
        <v>57</v>
      </c>
      <c r="ER285" t="s">
        <v>57</v>
      </c>
      <c r="ES285" t="s">
        <v>57</v>
      </c>
      <c r="ET285" t="s">
        <v>57</v>
      </c>
      <c r="EU285" t="s">
        <v>57</v>
      </c>
      <c r="EV285" t="s">
        <v>57</v>
      </c>
      <c r="EW285" t="s">
        <v>175</v>
      </c>
      <c r="EX285" t="s">
        <v>175</v>
      </c>
      <c r="EY285" t="s">
        <v>175</v>
      </c>
      <c r="EZ285" t="s">
        <v>175</v>
      </c>
      <c r="FA285" t="s">
        <v>175</v>
      </c>
      <c r="FB285" t="s">
        <v>175</v>
      </c>
      <c r="FC285" t="s">
        <v>175</v>
      </c>
      <c r="FD285" t="s">
        <v>57</v>
      </c>
      <c r="FE285" t="s">
        <v>57</v>
      </c>
      <c r="FF285" t="s">
        <v>57</v>
      </c>
      <c r="FG285" t="s">
        <v>57</v>
      </c>
      <c r="FH285" t="s">
        <v>57</v>
      </c>
      <c r="FI285" t="s">
        <v>57</v>
      </c>
      <c r="FJ285" t="s">
        <v>57</v>
      </c>
      <c r="FK285" t="s">
        <v>57</v>
      </c>
      <c r="FL285" t="s">
        <v>57</v>
      </c>
      <c r="FM285" t="s">
        <v>57</v>
      </c>
      <c r="FN285" t="s">
        <v>57</v>
      </c>
      <c r="FO285" t="s">
        <v>175</v>
      </c>
      <c r="FP285" t="s">
        <v>57</v>
      </c>
      <c r="FQ285" t="s">
        <v>57</v>
      </c>
      <c r="FR285" t="s">
        <v>57</v>
      </c>
      <c r="FS285" t="s">
        <v>57</v>
      </c>
      <c r="FT285" t="s">
        <v>57</v>
      </c>
      <c r="FU285" t="s">
        <v>57</v>
      </c>
      <c r="FV285" t="s">
        <v>57</v>
      </c>
      <c r="FW285" t="s">
        <v>57</v>
      </c>
      <c r="FX285" t="s">
        <v>57</v>
      </c>
      <c r="FY285" t="s">
        <v>57</v>
      </c>
      <c r="FZ285" t="s">
        <v>57</v>
      </c>
      <c r="GA285" t="s">
        <v>57</v>
      </c>
      <c r="GB285" t="s">
        <v>57</v>
      </c>
      <c r="GC285" t="s">
        <v>57</v>
      </c>
      <c r="GD285" t="s">
        <v>57</v>
      </c>
      <c r="GE285" t="s">
        <v>57</v>
      </c>
      <c r="GF285" t="s">
        <v>57</v>
      </c>
      <c r="GG285" t="s">
        <v>175</v>
      </c>
      <c r="GH285" t="s">
        <v>57</v>
      </c>
      <c r="GI285" t="s">
        <v>57</v>
      </c>
      <c r="GJ285" t="s">
        <v>57</v>
      </c>
      <c r="GK285" t="s">
        <v>57</v>
      </c>
      <c r="GL285" t="s">
        <v>57</v>
      </c>
      <c r="GM285" t="s">
        <v>57</v>
      </c>
      <c r="GN285" t="s">
        <v>57</v>
      </c>
      <c r="GO285" t="s">
        <v>57</v>
      </c>
      <c r="GP285" t="s">
        <v>57</v>
      </c>
      <c r="GQ285" t="s">
        <v>57</v>
      </c>
      <c r="GR285" t="s">
        <v>57</v>
      </c>
      <c r="GS285" t="s">
        <v>57</v>
      </c>
      <c r="GT285" t="s">
        <v>57</v>
      </c>
      <c r="GU285" t="s">
        <v>57</v>
      </c>
      <c r="GV285" t="s">
        <v>57</v>
      </c>
      <c r="GW285" t="s">
        <v>57</v>
      </c>
      <c r="GX285" t="s">
        <v>57</v>
      </c>
      <c r="GY285" t="s">
        <v>57</v>
      </c>
      <c r="GZ285" t="s">
        <v>57</v>
      </c>
      <c r="HA285" t="s">
        <v>57</v>
      </c>
      <c r="HB285" t="s">
        <v>57</v>
      </c>
      <c r="HC285" t="s">
        <v>57</v>
      </c>
      <c r="HD285" t="s">
        <v>57</v>
      </c>
      <c r="HE285" t="s">
        <v>175</v>
      </c>
      <c r="HF285" t="s">
        <v>57</v>
      </c>
      <c r="HG285" t="s">
        <v>57</v>
      </c>
      <c r="HH285" t="s">
        <v>57</v>
      </c>
      <c r="HI285" t="s">
        <v>175</v>
      </c>
      <c r="HJ285" t="s">
        <v>175</v>
      </c>
      <c r="HK285" t="s">
        <v>175</v>
      </c>
      <c r="HL285" t="s">
        <v>57</v>
      </c>
      <c r="HM285" t="s">
        <v>57</v>
      </c>
      <c r="HN285" t="s">
        <v>57</v>
      </c>
      <c r="HO285" t="s">
        <v>57</v>
      </c>
      <c r="HP285" t="s">
        <v>57</v>
      </c>
      <c r="HQ285" t="s">
        <v>57</v>
      </c>
      <c r="HR285" t="s">
        <v>57</v>
      </c>
      <c r="HS285" t="s">
        <v>57</v>
      </c>
      <c r="HT285" t="s">
        <v>57</v>
      </c>
      <c r="HU285" t="s">
        <v>57</v>
      </c>
      <c r="HV285" t="s">
        <v>57</v>
      </c>
      <c r="HW285" t="s">
        <v>57</v>
      </c>
      <c r="HX285" t="s">
        <v>57</v>
      </c>
      <c r="HY285" t="s">
        <v>57</v>
      </c>
      <c r="HZ285" t="s">
        <v>57</v>
      </c>
      <c r="IA285" t="s">
        <v>57</v>
      </c>
      <c r="IB285" t="s">
        <v>57</v>
      </c>
      <c r="IC285" t="s">
        <v>57</v>
      </c>
      <c r="ID285" t="s">
        <v>57</v>
      </c>
      <c r="IE285" t="s">
        <v>57</v>
      </c>
      <c r="IF285" t="s">
        <v>124</v>
      </c>
      <c r="IG285" t="s">
        <v>148</v>
      </c>
      <c r="IH285" t="s">
        <v>123</v>
      </c>
      <c r="II285" t="s">
        <v>156</v>
      </c>
    </row>
  </sheetData>
  <sheetProtection sheet="1" objects="1" scenarios="1" autoFilter="0"/>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79998168889431442"/>
  </sheetPr>
  <dimension ref="A1:II63"/>
  <sheetViews>
    <sheetView showGridLines="0" zoomScaleNormal="100" workbookViewId="0"/>
  </sheetViews>
  <sheetFormatPr defaultRowHeight="15" x14ac:dyDescent="0.25"/>
  <cols>
    <col min="1" max="1" width="25.5703125" customWidth="1"/>
    <col min="2" max="2" width="7.28515625" bestFit="1" customWidth="1"/>
    <col min="3" max="3" width="10.85546875" bestFit="1" customWidth="1"/>
    <col min="4" max="4" width="40.140625" bestFit="1" customWidth="1"/>
    <col min="5" max="5" width="31.85546875" bestFit="1" customWidth="1"/>
    <col min="6" max="6" width="25.85546875" bestFit="1" customWidth="1"/>
    <col min="7" max="7" width="35" bestFit="1" customWidth="1"/>
    <col min="8" max="8" width="27.42578125" bestFit="1" customWidth="1"/>
    <col min="9" max="9" width="25.28515625" bestFit="1" customWidth="1"/>
    <col min="10" max="10" width="11.42578125" bestFit="1" customWidth="1"/>
    <col min="11" max="11" width="20.28515625" bestFit="1" customWidth="1"/>
    <col min="12" max="12" width="17" bestFit="1" customWidth="1"/>
    <col min="13" max="13" width="15.85546875" bestFit="1" customWidth="1"/>
    <col min="14" max="14" width="14.42578125" bestFit="1" customWidth="1"/>
    <col min="15" max="15" width="20.28515625" bestFit="1" customWidth="1"/>
    <col min="16" max="16" width="23" bestFit="1" customWidth="1"/>
    <col min="17" max="17" width="22.5703125" bestFit="1" customWidth="1"/>
    <col min="18" max="18" width="17.85546875" bestFit="1" customWidth="1"/>
    <col min="19" max="19" width="48" customWidth="1"/>
    <col min="20" max="20" width="34.42578125" bestFit="1" customWidth="1"/>
    <col min="21" max="21" width="22.42578125" bestFit="1" customWidth="1"/>
    <col min="22" max="22" width="44.140625" bestFit="1" customWidth="1"/>
    <col min="23" max="23" width="45.5703125" bestFit="1" customWidth="1"/>
    <col min="24" max="24" width="20.28515625" bestFit="1" customWidth="1"/>
    <col min="25" max="25" width="21.42578125" bestFit="1" customWidth="1"/>
    <col min="26" max="26" width="21.7109375" bestFit="1" customWidth="1"/>
    <col min="27" max="27" width="21.42578125" bestFit="1" customWidth="1"/>
    <col min="28" max="28" width="14.85546875" bestFit="1" customWidth="1"/>
    <col min="29" max="29" width="41.85546875" bestFit="1" customWidth="1"/>
    <col min="30" max="30" width="20.42578125" bestFit="1" customWidth="1"/>
    <col min="31" max="37" width="29" bestFit="1" customWidth="1"/>
    <col min="38" max="38" width="14.85546875" bestFit="1" customWidth="1"/>
    <col min="39" max="39" width="36.42578125" bestFit="1" customWidth="1"/>
    <col min="40" max="40" width="38.85546875" bestFit="1" customWidth="1"/>
    <col min="41" max="41" width="39" bestFit="1" customWidth="1"/>
    <col min="42" max="42" width="41.140625" bestFit="1" customWidth="1"/>
    <col min="43" max="43" width="41.7109375" bestFit="1" customWidth="1"/>
    <col min="44" max="44" width="36.42578125" bestFit="1" customWidth="1"/>
    <col min="45" max="45" width="38.85546875" bestFit="1" customWidth="1"/>
    <col min="46" max="46" width="39" bestFit="1" customWidth="1"/>
    <col min="47" max="47" width="38.7109375" bestFit="1" customWidth="1"/>
    <col min="48" max="48" width="39" bestFit="1" customWidth="1"/>
    <col min="49" max="49" width="41.140625" bestFit="1" customWidth="1"/>
    <col min="50" max="50" width="41.7109375" bestFit="1" customWidth="1"/>
    <col min="51" max="51" width="39" bestFit="1" customWidth="1"/>
    <col min="52" max="52" width="41.140625" bestFit="1" customWidth="1"/>
    <col min="53" max="53" width="41.7109375" bestFit="1" customWidth="1"/>
    <col min="54" max="54" width="42.28515625" bestFit="1" customWidth="1"/>
    <col min="55" max="55" width="38.5703125" bestFit="1" customWidth="1"/>
    <col min="56" max="56" width="38.85546875" bestFit="1" customWidth="1"/>
    <col min="57" max="57" width="39" bestFit="1" customWidth="1"/>
    <col min="58" max="58" width="38.42578125" bestFit="1" customWidth="1"/>
    <col min="59" max="59" width="33.85546875" bestFit="1" customWidth="1"/>
    <col min="60" max="60" width="36.42578125" bestFit="1" customWidth="1"/>
    <col min="61" max="61" width="36.5703125" bestFit="1" customWidth="1"/>
    <col min="62" max="62" width="36.28515625" bestFit="1" customWidth="1"/>
    <col min="63" max="64" width="36.5703125" bestFit="1" customWidth="1"/>
    <col min="65" max="65" width="36.140625" bestFit="1" customWidth="1"/>
    <col min="66" max="66" width="36.42578125" bestFit="1" customWidth="1"/>
    <col min="67" max="67" width="36.5703125" bestFit="1" customWidth="1"/>
    <col min="68" max="69" width="35.85546875" bestFit="1" customWidth="1"/>
    <col min="70" max="71" width="33.85546875" bestFit="1" customWidth="1"/>
    <col min="72" max="72" width="36.42578125" bestFit="1" customWidth="1"/>
    <col min="73" max="73" width="36.5703125" bestFit="1" customWidth="1"/>
    <col min="74" max="74" width="38.5703125" bestFit="1" customWidth="1"/>
    <col min="75" max="75" width="39.140625" bestFit="1" customWidth="1"/>
    <col min="76" max="76" width="39.7109375" bestFit="1" customWidth="1"/>
    <col min="77" max="77" width="39.5703125" bestFit="1" customWidth="1"/>
    <col min="78" max="78" width="39" bestFit="1" customWidth="1"/>
    <col min="79" max="79" width="39.5703125" bestFit="1" customWidth="1"/>
    <col min="80" max="80" width="40.28515625" bestFit="1" customWidth="1"/>
    <col min="81" max="81" width="36.28515625" bestFit="1" customWidth="1"/>
    <col min="82" max="82" width="36.5703125" bestFit="1" customWidth="1"/>
    <col min="83" max="83" width="38.5703125" bestFit="1" customWidth="1"/>
    <col min="84" max="84" width="39.140625" bestFit="1" customWidth="1"/>
    <col min="85" max="85" width="39.7109375" bestFit="1" customWidth="1"/>
    <col min="86" max="86" width="33.85546875" bestFit="1" customWidth="1"/>
    <col min="87" max="87" width="36.42578125" bestFit="1" customWidth="1"/>
    <col min="88" max="88" width="36.5703125" bestFit="1" customWidth="1"/>
    <col min="89" max="89" width="33.85546875" bestFit="1" customWidth="1"/>
    <col min="90" max="90" width="36.42578125" bestFit="1" customWidth="1"/>
    <col min="91" max="91" width="36.5703125" bestFit="1" customWidth="1"/>
    <col min="92" max="92" width="33.85546875" bestFit="1" customWidth="1"/>
    <col min="93" max="93" width="36.42578125" bestFit="1" customWidth="1"/>
    <col min="94" max="94" width="36.5703125" bestFit="1" customWidth="1"/>
    <col min="95" max="95" width="36.28515625" bestFit="1" customWidth="1"/>
    <col min="96" max="102" width="34.85546875" bestFit="1" customWidth="1"/>
    <col min="103" max="103" width="37.42578125" bestFit="1" customWidth="1"/>
    <col min="104" max="104" width="37.5703125" bestFit="1" customWidth="1"/>
    <col min="105" max="105" width="37.42578125" bestFit="1" customWidth="1"/>
    <col min="106" max="106" width="39.85546875" bestFit="1" customWidth="1"/>
    <col min="107" max="107" width="40" bestFit="1" customWidth="1"/>
    <col min="108" max="108" width="39.7109375" bestFit="1" customWidth="1"/>
    <col min="109" max="109" width="41.85546875" bestFit="1" customWidth="1"/>
    <col min="110" max="110" width="42.42578125" bestFit="1" customWidth="1"/>
    <col min="111" max="111" width="43" bestFit="1" customWidth="1"/>
    <col min="112" max="112" width="42.85546875" bestFit="1" customWidth="1"/>
    <col min="113" max="114" width="40" bestFit="1" customWidth="1"/>
    <col min="115" max="115" width="39.5703125" bestFit="1" customWidth="1"/>
    <col min="116" max="117" width="37.42578125" bestFit="1" customWidth="1"/>
    <col min="118" max="118" width="39.85546875" bestFit="1" customWidth="1"/>
    <col min="119" max="119" width="42" bestFit="1" customWidth="1"/>
    <col min="120" max="120" width="45.5703125" bestFit="1" customWidth="1"/>
    <col min="121" max="121" width="45.85546875" bestFit="1" customWidth="1"/>
    <col min="122" max="122" width="45.28515625" bestFit="1" customWidth="1"/>
    <col min="123" max="123" width="42.5703125" bestFit="1" customWidth="1"/>
    <col min="124" max="124" width="40" bestFit="1" customWidth="1"/>
    <col min="125" max="125" width="39.7109375" bestFit="1" customWidth="1"/>
    <col min="126" max="126" width="40" bestFit="1" customWidth="1"/>
    <col min="127" max="127" width="42.140625" bestFit="1" customWidth="1"/>
    <col min="128" max="128" width="42.7109375" bestFit="1" customWidth="1"/>
    <col min="129" max="129" width="40" bestFit="1" customWidth="1"/>
    <col min="130" max="131" width="37.42578125" bestFit="1" customWidth="1"/>
    <col min="132" max="132" width="39.85546875" bestFit="1" customWidth="1"/>
    <col min="133" max="133" width="42" bestFit="1" customWidth="1"/>
    <col min="134" max="134" width="42.5703125" bestFit="1" customWidth="1"/>
    <col min="135" max="135" width="40" bestFit="1" customWidth="1"/>
    <col min="136" max="136" width="42.140625" bestFit="1" customWidth="1"/>
    <col min="137" max="137" width="42.7109375" bestFit="1" customWidth="1"/>
    <col min="138" max="138" width="43.28515625" bestFit="1" customWidth="1"/>
    <col min="139" max="139" width="39.7109375" bestFit="1" customWidth="1"/>
    <col min="140" max="142" width="37.42578125" bestFit="1" customWidth="1"/>
    <col min="143" max="143" width="39.85546875" bestFit="1" customWidth="1"/>
    <col min="144" max="144" width="42" bestFit="1" customWidth="1"/>
    <col min="145" max="145" width="42.5703125" bestFit="1" customWidth="1"/>
    <col min="146" max="146" width="43.140625" bestFit="1" customWidth="1"/>
    <col min="147" max="147" width="43" bestFit="1" customWidth="1"/>
    <col min="148" max="148" width="42.42578125" bestFit="1" customWidth="1"/>
    <col min="149" max="149" width="43" bestFit="1" customWidth="1"/>
    <col min="150" max="150" width="43.5703125" bestFit="1" customWidth="1"/>
    <col min="151" max="151" width="44.140625" bestFit="1" customWidth="1"/>
    <col min="152" max="152" width="40" bestFit="1" customWidth="1"/>
    <col min="153" max="154" width="37.42578125" bestFit="1" customWidth="1"/>
    <col min="155" max="155" width="39.85546875" bestFit="1" customWidth="1"/>
    <col min="156" max="156" width="42" bestFit="1" customWidth="1"/>
    <col min="157" max="157" width="42.5703125" bestFit="1" customWidth="1"/>
    <col min="158" max="158" width="40" bestFit="1" customWidth="1"/>
    <col min="159" max="159" width="39.7109375" bestFit="1" customWidth="1"/>
    <col min="160" max="161" width="37.42578125" bestFit="1" customWidth="1"/>
    <col min="162" max="162" width="39.85546875" bestFit="1" customWidth="1"/>
    <col min="163" max="163" width="40" bestFit="1" customWidth="1"/>
    <col min="164" max="164" width="37.42578125" bestFit="1" customWidth="1"/>
    <col min="165" max="165" width="39.85546875" bestFit="1" customWidth="1"/>
    <col min="166" max="166" width="40" bestFit="1" customWidth="1"/>
    <col min="167" max="167" width="39.7109375" bestFit="1" customWidth="1"/>
    <col min="168" max="168" width="37.42578125" bestFit="1" customWidth="1"/>
    <col min="169" max="169" width="39.85546875" bestFit="1" customWidth="1"/>
    <col min="170" max="170" width="40" bestFit="1" customWidth="1"/>
    <col min="171" max="171" width="39.7109375" bestFit="1" customWidth="1"/>
    <col min="172" max="172" width="37.42578125" bestFit="1" customWidth="1"/>
    <col min="173" max="175" width="34.85546875" bestFit="1" customWidth="1"/>
    <col min="176" max="176" width="37.42578125" bestFit="1" customWidth="1"/>
    <col min="177" max="177" width="37.5703125" bestFit="1" customWidth="1"/>
    <col min="178" max="178" width="37.42578125" bestFit="1" customWidth="1"/>
    <col min="179" max="179" width="39.85546875" bestFit="1" customWidth="1"/>
    <col min="180" max="180" width="40" bestFit="1" customWidth="1"/>
    <col min="181" max="181" width="39.7109375" bestFit="1" customWidth="1"/>
    <col min="182" max="182" width="40" bestFit="1" customWidth="1"/>
    <col min="183" max="183" width="37.42578125" bestFit="1" customWidth="1"/>
    <col min="184" max="184" width="39.85546875" bestFit="1" customWidth="1"/>
    <col min="185" max="185" width="40" bestFit="1" customWidth="1"/>
    <col min="186" max="186" width="37.42578125" bestFit="1" customWidth="1"/>
    <col min="187" max="187" width="39.85546875" bestFit="1" customWidth="1"/>
    <col min="188" max="188" width="40" bestFit="1" customWidth="1"/>
    <col min="189" max="189" width="34.85546875" bestFit="1" customWidth="1"/>
    <col min="190" max="190" width="37.42578125" bestFit="1" customWidth="1"/>
    <col min="191" max="191" width="39.85546875" bestFit="1" customWidth="1"/>
    <col min="192" max="192" width="40" bestFit="1" customWidth="1"/>
    <col min="193" max="193" width="39.7109375" bestFit="1" customWidth="1"/>
    <col min="194" max="195" width="40" bestFit="1" customWidth="1"/>
    <col min="196" max="196" width="39.5703125" bestFit="1" customWidth="1"/>
    <col min="197" max="197" width="39.85546875" bestFit="1" customWidth="1"/>
    <col min="198" max="198" width="40" bestFit="1" customWidth="1"/>
    <col min="199" max="200" width="39.42578125" bestFit="1" customWidth="1"/>
    <col min="201" max="201" width="37.42578125" bestFit="1" customWidth="1"/>
    <col min="202" max="202" width="39.85546875" bestFit="1" customWidth="1"/>
    <col min="203" max="203" width="40" bestFit="1" customWidth="1"/>
    <col min="204" max="204" width="42.140625" bestFit="1" customWidth="1"/>
    <col min="205" max="205" width="42.7109375" bestFit="1" customWidth="1"/>
    <col min="206" max="206" width="39.7109375" bestFit="1" customWidth="1"/>
    <col min="207" max="207" width="40" bestFit="1" customWidth="1"/>
    <col min="208" max="208" width="37.42578125" bestFit="1" customWidth="1"/>
    <col min="209" max="209" width="39.85546875" bestFit="1" customWidth="1"/>
    <col min="210" max="210" width="40" bestFit="1" customWidth="1"/>
    <col min="211" max="211" width="39.7109375" bestFit="1" customWidth="1"/>
    <col min="212" max="213" width="40" bestFit="1" customWidth="1"/>
    <col min="214" max="214" width="39.5703125" bestFit="1" customWidth="1"/>
    <col min="215" max="215" width="39.85546875" bestFit="1" customWidth="1"/>
    <col min="216" max="216" width="37.42578125" bestFit="1" customWidth="1"/>
    <col min="217" max="217" width="39.85546875" bestFit="1" customWidth="1"/>
    <col min="218" max="218" width="40" bestFit="1" customWidth="1"/>
    <col min="219" max="219" width="39.7109375" bestFit="1" customWidth="1"/>
    <col min="220" max="220" width="34.85546875" bestFit="1" customWidth="1"/>
    <col min="221" max="221" width="37.42578125" bestFit="1" customWidth="1"/>
    <col min="222" max="222" width="37.5703125" bestFit="1" customWidth="1"/>
    <col min="223" max="223" width="37.28515625" bestFit="1" customWidth="1"/>
    <col min="224" max="225" width="37.5703125" bestFit="1" customWidth="1"/>
    <col min="226" max="226" width="37.140625" bestFit="1" customWidth="1"/>
    <col min="227" max="227" width="37.42578125" bestFit="1" customWidth="1"/>
    <col min="228" max="228" width="37.5703125" bestFit="1" customWidth="1"/>
    <col min="229" max="229" width="37" bestFit="1" customWidth="1"/>
    <col min="230" max="230" width="39" bestFit="1" customWidth="1"/>
    <col min="231" max="231" width="39.5703125" bestFit="1" customWidth="1"/>
    <col min="232" max="232" width="37" bestFit="1" customWidth="1"/>
    <col min="233" max="233" width="39" bestFit="1" customWidth="1"/>
    <col min="234" max="234" width="39.5703125" bestFit="1" customWidth="1"/>
    <col min="235" max="236" width="37.42578125" bestFit="1" customWidth="1"/>
    <col min="237" max="237" width="39.85546875" bestFit="1" customWidth="1"/>
    <col min="238" max="238" width="40" bestFit="1" customWidth="1"/>
    <col min="239" max="239" width="39.7109375" bestFit="1" customWidth="1"/>
    <col min="240" max="242" width="26.28515625" bestFit="1" customWidth="1"/>
    <col min="243" max="243" width="29.7109375" bestFit="1" customWidth="1"/>
  </cols>
  <sheetData>
    <row r="1" spans="1:243" s="1" customFormat="1" ht="15.75" x14ac:dyDescent="0.25">
      <c r="A1" s="194" t="s">
        <v>2850</v>
      </c>
    </row>
    <row r="2" spans="1:243" s="1" customFormat="1" x14ac:dyDescent="0.25">
      <c r="A2" s="10" t="str">
        <f>Cover!C8</f>
        <v>Inspections from 1 September 2017 to 31 March 2018, published by 31 March 2018</v>
      </c>
    </row>
    <row r="4" spans="1:243" x14ac:dyDescent="0.25">
      <c r="A4" t="s">
        <v>38</v>
      </c>
      <c r="B4" t="s">
        <v>39</v>
      </c>
      <c r="C4" t="s">
        <v>40</v>
      </c>
      <c r="D4" t="s">
        <v>2858</v>
      </c>
      <c r="E4" t="s">
        <v>2860</v>
      </c>
      <c r="F4" t="s">
        <v>2969</v>
      </c>
      <c r="G4" t="s">
        <v>127</v>
      </c>
      <c r="H4" t="s">
        <v>128</v>
      </c>
      <c r="I4" t="s">
        <v>129</v>
      </c>
      <c r="J4" t="s">
        <v>44</v>
      </c>
      <c r="K4" t="s">
        <v>62</v>
      </c>
      <c r="L4" t="s">
        <v>63</v>
      </c>
      <c r="M4" t="s">
        <v>130</v>
      </c>
      <c r="N4" t="s">
        <v>65</v>
      </c>
      <c r="O4" t="s">
        <v>45</v>
      </c>
      <c r="P4" t="s">
        <v>46</v>
      </c>
      <c r="Q4" t="s">
        <v>47</v>
      </c>
      <c r="R4" t="s">
        <v>48</v>
      </c>
      <c r="S4" t="s">
        <v>49</v>
      </c>
      <c r="T4" t="s">
        <v>131</v>
      </c>
      <c r="U4" t="s">
        <v>27</v>
      </c>
      <c r="V4" t="s">
        <v>50</v>
      </c>
      <c r="W4" t="s">
        <v>51</v>
      </c>
      <c r="X4" t="s">
        <v>52</v>
      </c>
      <c r="Y4" t="s">
        <v>53</v>
      </c>
      <c r="Z4" t="s">
        <v>54</v>
      </c>
      <c r="AA4" t="s">
        <v>55</v>
      </c>
      <c r="AB4" t="s">
        <v>56</v>
      </c>
      <c r="AC4" t="s">
        <v>132</v>
      </c>
      <c r="AD4" t="s">
        <v>2611</v>
      </c>
      <c r="AE4" t="s">
        <v>2612</v>
      </c>
      <c r="AF4" t="s">
        <v>2613</v>
      </c>
      <c r="AG4" t="s">
        <v>2614</v>
      </c>
      <c r="AH4" t="s">
        <v>2615</v>
      </c>
      <c r="AI4" t="s">
        <v>2616</v>
      </c>
      <c r="AJ4" t="s">
        <v>2617</v>
      </c>
      <c r="AK4" t="s">
        <v>2618</v>
      </c>
      <c r="AL4" t="s">
        <v>2619</v>
      </c>
      <c r="AM4" t="s">
        <v>2643</v>
      </c>
      <c r="AN4" t="s">
        <v>2644</v>
      </c>
      <c r="AO4" t="s">
        <v>2645</v>
      </c>
      <c r="AP4" t="s">
        <v>2646</v>
      </c>
      <c r="AQ4" t="s">
        <v>2647</v>
      </c>
      <c r="AR4" t="s">
        <v>2648</v>
      </c>
      <c r="AS4" t="s">
        <v>2649</v>
      </c>
      <c r="AT4" t="s">
        <v>2650</v>
      </c>
      <c r="AU4" t="s">
        <v>2651</v>
      </c>
      <c r="AV4" t="s">
        <v>2652</v>
      </c>
      <c r="AW4" t="s">
        <v>2653</v>
      </c>
      <c r="AX4" t="s">
        <v>2654</v>
      </c>
      <c r="AY4" t="s">
        <v>2655</v>
      </c>
      <c r="AZ4" t="s">
        <v>2656</v>
      </c>
      <c r="BA4" t="s">
        <v>2657</v>
      </c>
      <c r="BB4" t="s">
        <v>2658</v>
      </c>
      <c r="BC4" t="s">
        <v>2659</v>
      </c>
      <c r="BD4" t="s">
        <v>2660</v>
      </c>
      <c r="BE4" t="s">
        <v>2661</v>
      </c>
      <c r="BF4" t="s">
        <v>2662</v>
      </c>
      <c r="BG4" t="s">
        <v>2663</v>
      </c>
      <c r="BH4" t="s">
        <v>2664</v>
      </c>
      <c r="BI4" t="s">
        <v>2665</v>
      </c>
      <c r="BJ4" t="s">
        <v>2666</v>
      </c>
      <c r="BK4" t="s">
        <v>2667</v>
      </c>
      <c r="BL4" t="s">
        <v>2668</v>
      </c>
      <c r="BM4" t="s">
        <v>2669</v>
      </c>
      <c r="BN4" t="s">
        <v>2670</v>
      </c>
      <c r="BO4" t="s">
        <v>2671</v>
      </c>
      <c r="BP4" t="s">
        <v>2672</v>
      </c>
      <c r="BQ4" t="s">
        <v>2673</v>
      </c>
      <c r="BR4" t="s">
        <v>2674</v>
      </c>
      <c r="BS4" t="s">
        <v>2675</v>
      </c>
      <c r="BT4" t="s">
        <v>2676</v>
      </c>
      <c r="BU4" t="s">
        <v>2677</v>
      </c>
      <c r="BV4" t="s">
        <v>2678</v>
      </c>
      <c r="BW4" t="s">
        <v>2679</v>
      </c>
      <c r="BX4" t="s">
        <v>2680</v>
      </c>
      <c r="BY4" t="s">
        <v>2681</v>
      </c>
      <c r="BZ4" t="s">
        <v>2682</v>
      </c>
      <c r="CA4" t="s">
        <v>2683</v>
      </c>
      <c r="CB4" t="s">
        <v>2684</v>
      </c>
      <c r="CC4" t="s">
        <v>2685</v>
      </c>
      <c r="CD4" t="s">
        <v>2686</v>
      </c>
      <c r="CE4" t="s">
        <v>2687</v>
      </c>
      <c r="CF4" t="s">
        <v>2688</v>
      </c>
      <c r="CG4" t="s">
        <v>2689</v>
      </c>
      <c r="CH4" t="s">
        <v>2690</v>
      </c>
      <c r="CI4" t="s">
        <v>2691</v>
      </c>
      <c r="CJ4" t="s">
        <v>2692</v>
      </c>
      <c r="CK4" t="s">
        <v>2693</v>
      </c>
      <c r="CL4" t="s">
        <v>2694</v>
      </c>
      <c r="CM4" t="s">
        <v>2695</v>
      </c>
      <c r="CN4" t="s">
        <v>2696</v>
      </c>
      <c r="CO4" t="s">
        <v>2697</v>
      </c>
      <c r="CP4" t="s">
        <v>2698</v>
      </c>
      <c r="CQ4" t="s">
        <v>2699</v>
      </c>
      <c r="CR4" t="s">
        <v>2700</v>
      </c>
      <c r="CS4" t="s">
        <v>2701</v>
      </c>
      <c r="CT4" t="s">
        <v>2702</v>
      </c>
      <c r="CU4" t="s">
        <v>2703</v>
      </c>
      <c r="CV4" t="s">
        <v>2704</v>
      </c>
      <c r="CW4" t="s">
        <v>2705</v>
      </c>
      <c r="CX4" t="s">
        <v>2706</v>
      </c>
      <c r="CY4" t="s">
        <v>2707</v>
      </c>
      <c r="CZ4" t="s">
        <v>2708</v>
      </c>
      <c r="DA4" t="s">
        <v>2709</v>
      </c>
      <c r="DB4" t="s">
        <v>2710</v>
      </c>
      <c r="DC4" t="s">
        <v>2711</v>
      </c>
      <c r="DD4" t="s">
        <v>2712</v>
      </c>
      <c r="DE4" t="s">
        <v>2713</v>
      </c>
      <c r="DF4" t="s">
        <v>2714</v>
      </c>
      <c r="DG4" t="s">
        <v>2715</v>
      </c>
      <c r="DH4" t="s">
        <v>2716</v>
      </c>
      <c r="DI4" t="s">
        <v>2717</v>
      </c>
      <c r="DJ4" t="s">
        <v>2718</v>
      </c>
      <c r="DK4" t="s">
        <v>2719</v>
      </c>
      <c r="DL4" t="s">
        <v>2720</v>
      </c>
      <c r="DM4" t="s">
        <v>2721</v>
      </c>
      <c r="DN4" t="s">
        <v>2722</v>
      </c>
      <c r="DO4" t="s">
        <v>2723</v>
      </c>
      <c r="DP4" t="s">
        <v>2724</v>
      </c>
      <c r="DQ4" t="s">
        <v>2725</v>
      </c>
      <c r="DR4" t="s">
        <v>2726</v>
      </c>
      <c r="DS4" t="s">
        <v>2727</v>
      </c>
      <c r="DT4" t="s">
        <v>2728</v>
      </c>
      <c r="DU4" t="s">
        <v>2729</v>
      </c>
      <c r="DV4" t="s">
        <v>2730</v>
      </c>
      <c r="DW4" t="s">
        <v>2731</v>
      </c>
      <c r="DX4" t="s">
        <v>2732</v>
      </c>
      <c r="DY4" t="s">
        <v>2733</v>
      </c>
      <c r="DZ4" t="s">
        <v>2734</v>
      </c>
      <c r="EA4" t="s">
        <v>2735</v>
      </c>
      <c r="EB4" t="s">
        <v>2736</v>
      </c>
      <c r="EC4" t="s">
        <v>2737</v>
      </c>
      <c r="ED4" t="s">
        <v>2738</v>
      </c>
      <c r="EE4" t="s">
        <v>2739</v>
      </c>
      <c r="EF4" t="s">
        <v>2740</v>
      </c>
      <c r="EG4" t="s">
        <v>2741</v>
      </c>
      <c r="EH4" t="s">
        <v>2742</v>
      </c>
      <c r="EI4" t="s">
        <v>2743</v>
      </c>
      <c r="EJ4" t="s">
        <v>2744</v>
      </c>
      <c r="EK4" t="s">
        <v>2745</v>
      </c>
      <c r="EL4" t="s">
        <v>2746</v>
      </c>
      <c r="EM4" t="s">
        <v>2747</v>
      </c>
      <c r="EN4" t="s">
        <v>2748</v>
      </c>
      <c r="EO4" t="s">
        <v>2749</v>
      </c>
      <c r="EP4" t="s">
        <v>2750</v>
      </c>
      <c r="EQ4" t="s">
        <v>2751</v>
      </c>
      <c r="ER4" t="s">
        <v>2752</v>
      </c>
      <c r="ES4" t="s">
        <v>2753</v>
      </c>
      <c r="ET4" t="s">
        <v>2754</v>
      </c>
      <c r="EU4" t="s">
        <v>2755</v>
      </c>
      <c r="EV4" t="s">
        <v>2756</v>
      </c>
      <c r="EW4" t="s">
        <v>2757</v>
      </c>
      <c r="EX4" t="s">
        <v>2758</v>
      </c>
      <c r="EY4" t="s">
        <v>2759</v>
      </c>
      <c r="EZ4" t="s">
        <v>2760</v>
      </c>
      <c r="FA4" t="s">
        <v>2761</v>
      </c>
      <c r="FB4" t="s">
        <v>2762</v>
      </c>
      <c r="FC4" t="s">
        <v>2763</v>
      </c>
      <c r="FD4" t="s">
        <v>2764</v>
      </c>
      <c r="FE4" t="s">
        <v>2765</v>
      </c>
      <c r="FF4" t="s">
        <v>2766</v>
      </c>
      <c r="FG4" t="s">
        <v>2767</v>
      </c>
      <c r="FH4" t="s">
        <v>2768</v>
      </c>
      <c r="FI4" t="s">
        <v>2769</v>
      </c>
      <c r="FJ4" t="s">
        <v>2770</v>
      </c>
      <c r="FK4" t="s">
        <v>2771</v>
      </c>
      <c r="FL4" t="s">
        <v>2772</v>
      </c>
      <c r="FM4" t="s">
        <v>2773</v>
      </c>
      <c r="FN4" t="s">
        <v>2774</v>
      </c>
      <c r="FO4" t="s">
        <v>2775</v>
      </c>
      <c r="FP4" t="s">
        <v>2776</v>
      </c>
      <c r="FQ4" t="s">
        <v>2777</v>
      </c>
      <c r="FR4" t="s">
        <v>2778</v>
      </c>
      <c r="FS4" t="s">
        <v>2779</v>
      </c>
      <c r="FT4" t="s">
        <v>2780</v>
      </c>
      <c r="FU4" t="s">
        <v>2781</v>
      </c>
      <c r="FV4" t="s">
        <v>2782</v>
      </c>
      <c r="FW4" t="s">
        <v>2783</v>
      </c>
      <c r="FX4" t="s">
        <v>2784</v>
      </c>
      <c r="FY4" t="s">
        <v>2785</v>
      </c>
      <c r="FZ4" t="s">
        <v>2786</v>
      </c>
      <c r="GA4" t="s">
        <v>2787</v>
      </c>
      <c r="GB4" t="s">
        <v>2788</v>
      </c>
      <c r="GC4" t="s">
        <v>2789</v>
      </c>
      <c r="GD4" t="s">
        <v>2790</v>
      </c>
      <c r="GE4" t="s">
        <v>2791</v>
      </c>
      <c r="GF4" t="s">
        <v>2792</v>
      </c>
      <c r="GG4" t="s">
        <v>2793</v>
      </c>
      <c r="GH4" t="s">
        <v>2794</v>
      </c>
      <c r="GI4" t="s">
        <v>2795</v>
      </c>
      <c r="GJ4" t="s">
        <v>2796</v>
      </c>
      <c r="GK4" t="s">
        <v>2797</v>
      </c>
      <c r="GL4" t="s">
        <v>2798</v>
      </c>
      <c r="GM4" t="s">
        <v>2799</v>
      </c>
      <c r="GN4" t="s">
        <v>2800</v>
      </c>
      <c r="GO4" t="s">
        <v>2801</v>
      </c>
      <c r="GP4" t="s">
        <v>2802</v>
      </c>
      <c r="GQ4" t="s">
        <v>2803</v>
      </c>
      <c r="GR4" t="s">
        <v>2804</v>
      </c>
      <c r="GS4" t="s">
        <v>2805</v>
      </c>
      <c r="GT4" t="s">
        <v>2806</v>
      </c>
      <c r="GU4" t="s">
        <v>2807</v>
      </c>
      <c r="GV4" t="s">
        <v>2808</v>
      </c>
      <c r="GW4" t="s">
        <v>2809</v>
      </c>
      <c r="GX4" t="s">
        <v>2810</v>
      </c>
      <c r="GY4" t="s">
        <v>2811</v>
      </c>
      <c r="GZ4" t="s">
        <v>2812</v>
      </c>
      <c r="HA4" t="s">
        <v>2813</v>
      </c>
      <c r="HB4" t="s">
        <v>2814</v>
      </c>
      <c r="HC4" t="s">
        <v>2815</v>
      </c>
      <c r="HD4" t="s">
        <v>2816</v>
      </c>
      <c r="HE4" t="s">
        <v>2817</v>
      </c>
      <c r="HF4" t="s">
        <v>2818</v>
      </c>
      <c r="HG4" t="s">
        <v>2819</v>
      </c>
      <c r="HH4" t="s">
        <v>2820</v>
      </c>
      <c r="HI4" t="s">
        <v>2821</v>
      </c>
      <c r="HJ4" t="s">
        <v>2822</v>
      </c>
      <c r="HK4" t="s">
        <v>2823</v>
      </c>
      <c r="HL4" t="s">
        <v>2824</v>
      </c>
      <c r="HM4" t="s">
        <v>2825</v>
      </c>
      <c r="HN4" t="s">
        <v>2826</v>
      </c>
      <c r="HO4" t="s">
        <v>2827</v>
      </c>
      <c r="HP4" t="s">
        <v>2828</v>
      </c>
      <c r="HQ4" t="s">
        <v>2829</v>
      </c>
      <c r="HR4" t="s">
        <v>2830</v>
      </c>
      <c r="HS4" t="s">
        <v>2831</v>
      </c>
      <c r="HT4" t="s">
        <v>2832</v>
      </c>
      <c r="HU4" t="s">
        <v>2833</v>
      </c>
      <c r="HV4" t="s">
        <v>2834</v>
      </c>
      <c r="HW4" t="s">
        <v>2835</v>
      </c>
      <c r="HX4" t="s">
        <v>2836</v>
      </c>
      <c r="HY4" t="s">
        <v>2837</v>
      </c>
      <c r="HZ4" t="s">
        <v>2838</v>
      </c>
      <c r="IA4" t="s">
        <v>2839</v>
      </c>
      <c r="IB4" t="s">
        <v>2840</v>
      </c>
      <c r="IC4" t="s">
        <v>2841</v>
      </c>
      <c r="ID4" t="s">
        <v>2842</v>
      </c>
      <c r="IE4" t="s">
        <v>2843</v>
      </c>
      <c r="IF4" t="s">
        <v>133</v>
      </c>
      <c r="IG4" t="s">
        <v>134</v>
      </c>
      <c r="IH4" t="s">
        <v>135</v>
      </c>
      <c r="II4" t="s">
        <v>136</v>
      </c>
    </row>
    <row r="5" spans="1:243" x14ac:dyDescent="0.25">
      <c r="A5" s="111" t="str">
        <f>HYPERLINK("http://www.ofsted.gov.uk/inspection-reports/find-inspection-report/provider/ELS/101086 ","Ofsted School Webpage")</f>
        <v>Ofsted School Webpage</v>
      </c>
      <c r="B5">
        <v>101086</v>
      </c>
      <c r="C5">
        <v>2126390</v>
      </c>
      <c r="D5" t="s">
        <v>1454</v>
      </c>
      <c r="E5" t="s">
        <v>36</v>
      </c>
      <c r="F5" t="s">
        <v>166</v>
      </c>
      <c r="G5" t="s">
        <v>189</v>
      </c>
      <c r="H5" t="s">
        <v>189</v>
      </c>
      <c r="I5" t="s">
        <v>391</v>
      </c>
      <c r="J5" t="s">
        <v>1455</v>
      </c>
      <c r="K5" t="s">
        <v>142</v>
      </c>
      <c r="L5" t="s">
        <v>142</v>
      </c>
      <c r="M5" t="s">
        <v>2596</v>
      </c>
      <c r="N5" t="s">
        <v>143</v>
      </c>
      <c r="O5">
        <v>10048460</v>
      </c>
      <c r="P5" s="108">
        <v>43159</v>
      </c>
      <c r="Q5" s="108">
        <v>43159</v>
      </c>
      <c r="R5" s="108">
        <v>43187</v>
      </c>
      <c r="S5" t="s">
        <v>144</v>
      </c>
      <c r="T5" t="s">
        <v>145</v>
      </c>
      <c r="U5" t="s">
        <v>2596</v>
      </c>
      <c r="V5" t="s">
        <v>2596</v>
      </c>
      <c r="W5" t="s">
        <v>2596</v>
      </c>
      <c r="X5" t="s">
        <v>2596</v>
      </c>
      <c r="Y5" t="s">
        <v>2596</v>
      </c>
      <c r="Z5" t="s">
        <v>2596</v>
      </c>
      <c r="AA5" t="s">
        <v>2596</v>
      </c>
      <c r="AB5" t="s">
        <v>2596</v>
      </c>
      <c r="AC5" t="s">
        <v>146</v>
      </c>
      <c r="AD5" t="s">
        <v>2596</v>
      </c>
      <c r="AE5" t="s">
        <v>57</v>
      </c>
      <c r="AF5" t="s">
        <v>147</v>
      </c>
      <c r="AG5" t="s">
        <v>57</v>
      </c>
      <c r="AH5" t="s">
        <v>147</v>
      </c>
      <c r="AI5" t="s">
        <v>57</v>
      </c>
      <c r="AJ5" t="s">
        <v>57</v>
      </c>
      <c r="AK5" t="s">
        <v>147</v>
      </c>
      <c r="AL5" t="s">
        <v>57</v>
      </c>
      <c r="AM5" t="s">
        <v>57</v>
      </c>
      <c r="AN5" t="s">
        <v>57</v>
      </c>
      <c r="AO5" t="s">
        <v>57</v>
      </c>
      <c r="AP5" t="s">
        <v>57</v>
      </c>
      <c r="AQ5" t="s">
        <v>57</v>
      </c>
      <c r="AR5" t="s">
        <v>57</v>
      </c>
      <c r="AS5" t="s">
        <v>57</v>
      </c>
      <c r="AT5" t="s">
        <v>147</v>
      </c>
      <c r="AU5" t="s">
        <v>147</v>
      </c>
      <c r="AV5" t="s">
        <v>147</v>
      </c>
      <c r="AW5" t="s">
        <v>147</v>
      </c>
      <c r="AX5" t="s">
        <v>147</v>
      </c>
      <c r="AY5" t="s">
        <v>57</v>
      </c>
      <c r="AZ5" t="s">
        <v>57</v>
      </c>
      <c r="BA5" t="s">
        <v>57</v>
      </c>
      <c r="BB5" t="s">
        <v>57</v>
      </c>
      <c r="BC5" t="s">
        <v>147</v>
      </c>
      <c r="BD5" t="s">
        <v>147</v>
      </c>
      <c r="BE5" t="s">
        <v>147</v>
      </c>
      <c r="BF5" t="s">
        <v>147</v>
      </c>
      <c r="BG5" t="s">
        <v>57</v>
      </c>
      <c r="BH5" t="s">
        <v>57</v>
      </c>
      <c r="BI5" t="s">
        <v>147</v>
      </c>
      <c r="BJ5" t="s">
        <v>57</v>
      </c>
      <c r="BK5" t="s">
        <v>57</v>
      </c>
      <c r="BL5" t="s">
        <v>147</v>
      </c>
      <c r="BM5" t="s">
        <v>147</v>
      </c>
      <c r="BN5" t="s">
        <v>147</v>
      </c>
      <c r="BO5" t="s">
        <v>147</v>
      </c>
      <c r="BP5" t="s">
        <v>147</v>
      </c>
      <c r="BQ5" t="s">
        <v>147</v>
      </c>
      <c r="BR5" t="s">
        <v>147</v>
      </c>
      <c r="BS5" t="s">
        <v>147</v>
      </c>
      <c r="BT5" t="s">
        <v>147</v>
      </c>
      <c r="BU5" t="s">
        <v>147</v>
      </c>
      <c r="BV5" t="s">
        <v>147</v>
      </c>
      <c r="BW5" t="s">
        <v>147</v>
      </c>
      <c r="BX5" t="s">
        <v>147</v>
      </c>
      <c r="BY5" t="s">
        <v>147</v>
      </c>
      <c r="BZ5" t="s">
        <v>147</v>
      </c>
      <c r="CA5" t="s">
        <v>147</v>
      </c>
      <c r="CB5" t="s">
        <v>147</v>
      </c>
      <c r="CC5" t="s">
        <v>147</v>
      </c>
      <c r="CD5" t="s">
        <v>147</v>
      </c>
      <c r="CE5" t="s">
        <v>147</v>
      </c>
      <c r="CF5" t="s">
        <v>147</v>
      </c>
      <c r="CG5" t="s">
        <v>147</v>
      </c>
      <c r="CH5" t="s">
        <v>57</v>
      </c>
      <c r="CI5" t="s">
        <v>57</v>
      </c>
      <c r="CJ5" t="s">
        <v>57</v>
      </c>
      <c r="CK5" t="s">
        <v>175</v>
      </c>
      <c r="CL5" t="s">
        <v>175</v>
      </c>
      <c r="CM5" t="s">
        <v>175</v>
      </c>
      <c r="CN5" t="s">
        <v>57</v>
      </c>
      <c r="CO5" t="s">
        <v>147</v>
      </c>
      <c r="CP5" t="s">
        <v>57</v>
      </c>
      <c r="CQ5" t="s">
        <v>57</v>
      </c>
      <c r="CR5" t="s">
        <v>147</v>
      </c>
      <c r="CS5" t="s">
        <v>57</v>
      </c>
      <c r="CT5" t="s">
        <v>147</v>
      </c>
      <c r="CU5" t="s">
        <v>147</v>
      </c>
      <c r="CV5" t="s">
        <v>147</v>
      </c>
      <c r="CW5" t="s">
        <v>147</v>
      </c>
      <c r="CX5" t="s">
        <v>57</v>
      </c>
      <c r="CY5" t="s">
        <v>57</v>
      </c>
      <c r="CZ5" t="s">
        <v>57</v>
      </c>
      <c r="DA5" t="s">
        <v>147</v>
      </c>
      <c r="DB5" t="s">
        <v>147</v>
      </c>
      <c r="DC5" t="s">
        <v>147</v>
      </c>
      <c r="DD5" t="s">
        <v>147</v>
      </c>
      <c r="DE5" t="s">
        <v>147</v>
      </c>
      <c r="DF5" t="s">
        <v>147</v>
      </c>
      <c r="DG5" t="s">
        <v>147</v>
      </c>
      <c r="DH5" t="s">
        <v>147</v>
      </c>
      <c r="DI5" t="s">
        <v>147</v>
      </c>
      <c r="DJ5" t="s">
        <v>147</v>
      </c>
      <c r="DK5" t="s">
        <v>147</v>
      </c>
      <c r="DL5" t="s">
        <v>147</v>
      </c>
      <c r="DM5" t="s">
        <v>147</v>
      </c>
      <c r="DN5" t="s">
        <v>147</v>
      </c>
      <c r="DO5" t="s">
        <v>147</v>
      </c>
      <c r="DP5" t="s">
        <v>147</v>
      </c>
      <c r="DQ5" t="s">
        <v>147</v>
      </c>
      <c r="DR5" t="s">
        <v>147</v>
      </c>
      <c r="DS5" t="s">
        <v>147</v>
      </c>
      <c r="DT5" t="s">
        <v>147</v>
      </c>
      <c r="DU5" t="s">
        <v>147</v>
      </c>
      <c r="DV5" t="s">
        <v>147</v>
      </c>
      <c r="DW5" t="s">
        <v>147</v>
      </c>
      <c r="DX5" t="s">
        <v>147</v>
      </c>
      <c r="DY5" t="s">
        <v>175</v>
      </c>
      <c r="DZ5" t="s">
        <v>147</v>
      </c>
      <c r="EA5" t="s">
        <v>147</v>
      </c>
      <c r="EB5" t="s">
        <v>147</v>
      </c>
      <c r="EC5" t="s">
        <v>147</v>
      </c>
      <c r="ED5" t="s">
        <v>147</v>
      </c>
      <c r="EE5" t="s">
        <v>147</v>
      </c>
      <c r="EF5" t="s">
        <v>147</v>
      </c>
      <c r="EG5" t="s">
        <v>147</v>
      </c>
      <c r="EH5" t="s">
        <v>147</v>
      </c>
      <c r="EI5" t="s">
        <v>147</v>
      </c>
      <c r="EJ5" t="s">
        <v>147</v>
      </c>
      <c r="EK5" t="s">
        <v>147</v>
      </c>
      <c r="EL5" t="s">
        <v>147</v>
      </c>
      <c r="EM5" t="s">
        <v>147</v>
      </c>
      <c r="EN5" t="s">
        <v>147</v>
      </c>
      <c r="EO5" t="s">
        <v>147</v>
      </c>
      <c r="EP5" t="s">
        <v>147</v>
      </c>
      <c r="EQ5" t="s">
        <v>147</v>
      </c>
      <c r="ER5" t="s">
        <v>147</v>
      </c>
      <c r="ES5" t="s">
        <v>147</v>
      </c>
      <c r="ET5" t="s">
        <v>147</v>
      </c>
      <c r="EU5" t="s">
        <v>147</v>
      </c>
      <c r="EV5" t="s">
        <v>147</v>
      </c>
      <c r="EW5" t="s">
        <v>147</v>
      </c>
      <c r="EX5" t="s">
        <v>147</v>
      </c>
      <c r="EY5" t="s">
        <v>147</v>
      </c>
      <c r="EZ5" t="s">
        <v>147</v>
      </c>
      <c r="FA5" t="s">
        <v>147</v>
      </c>
      <c r="FB5" t="s">
        <v>147</v>
      </c>
      <c r="FC5" t="s">
        <v>147</v>
      </c>
      <c r="FD5" t="s">
        <v>147</v>
      </c>
      <c r="FE5" t="s">
        <v>147</v>
      </c>
      <c r="FF5" t="s">
        <v>147</v>
      </c>
      <c r="FG5" t="s">
        <v>147</v>
      </c>
      <c r="FH5" t="s">
        <v>57</v>
      </c>
      <c r="FI5" t="s">
        <v>147</v>
      </c>
      <c r="FJ5" t="s">
        <v>147</v>
      </c>
      <c r="FK5" t="s">
        <v>57</v>
      </c>
      <c r="FL5" t="s">
        <v>147</v>
      </c>
      <c r="FM5" t="s">
        <v>147</v>
      </c>
      <c r="FN5" t="s">
        <v>147</v>
      </c>
      <c r="FO5" t="s">
        <v>147</v>
      </c>
      <c r="FP5" t="s">
        <v>147</v>
      </c>
      <c r="FQ5" t="s">
        <v>147</v>
      </c>
      <c r="FR5" t="s">
        <v>147</v>
      </c>
      <c r="FS5" t="s">
        <v>147</v>
      </c>
      <c r="FT5" t="s">
        <v>147</v>
      </c>
      <c r="FU5" t="s">
        <v>147</v>
      </c>
      <c r="FV5" t="s">
        <v>147</v>
      </c>
      <c r="FW5" t="s">
        <v>147</v>
      </c>
      <c r="FX5" t="s">
        <v>147</v>
      </c>
      <c r="FY5" t="s">
        <v>147</v>
      </c>
      <c r="FZ5" t="s">
        <v>147</v>
      </c>
      <c r="GA5" t="s">
        <v>147</v>
      </c>
      <c r="GB5" t="s">
        <v>147</v>
      </c>
      <c r="GC5" t="s">
        <v>147</v>
      </c>
      <c r="GD5" t="s">
        <v>147</v>
      </c>
      <c r="GE5" t="s">
        <v>147</v>
      </c>
      <c r="GF5" t="s">
        <v>147</v>
      </c>
      <c r="GG5" t="s">
        <v>147</v>
      </c>
      <c r="GH5" t="s">
        <v>57</v>
      </c>
      <c r="GI5" t="s">
        <v>147</v>
      </c>
      <c r="GJ5" t="s">
        <v>57</v>
      </c>
      <c r="GK5" t="s">
        <v>147</v>
      </c>
      <c r="GL5" t="s">
        <v>147</v>
      </c>
      <c r="GM5" t="s">
        <v>147</v>
      </c>
      <c r="GN5" t="s">
        <v>147</v>
      </c>
      <c r="GO5" t="s">
        <v>147</v>
      </c>
      <c r="GP5" t="s">
        <v>147</v>
      </c>
      <c r="GQ5" t="s">
        <v>147</v>
      </c>
      <c r="GR5" t="s">
        <v>147</v>
      </c>
      <c r="GS5" t="s">
        <v>147</v>
      </c>
      <c r="GT5" t="s">
        <v>147</v>
      </c>
      <c r="GU5" t="s">
        <v>147</v>
      </c>
      <c r="GV5" t="s">
        <v>147</v>
      </c>
      <c r="GW5" t="s">
        <v>147</v>
      </c>
      <c r="GX5" t="s">
        <v>147</v>
      </c>
      <c r="GY5" t="s">
        <v>147</v>
      </c>
      <c r="GZ5" t="s">
        <v>57</v>
      </c>
      <c r="HA5" t="s">
        <v>147</v>
      </c>
      <c r="HB5" t="s">
        <v>147</v>
      </c>
      <c r="HC5" t="s">
        <v>57</v>
      </c>
      <c r="HD5" t="s">
        <v>147</v>
      </c>
      <c r="HE5" t="s">
        <v>147</v>
      </c>
      <c r="HF5" t="s">
        <v>147</v>
      </c>
      <c r="HG5" t="s">
        <v>147</v>
      </c>
      <c r="HH5" t="s">
        <v>147</v>
      </c>
      <c r="HI5" t="s">
        <v>147</v>
      </c>
      <c r="HJ5" t="s">
        <v>147</v>
      </c>
      <c r="HK5" t="s">
        <v>147</v>
      </c>
      <c r="HL5" t="s">
        <v>147</v>
      </c>
      <c r="HM5" t="s">
        <v>147</v>
      </c>
      <c r="HN5" t="s">
        <v>147</v>
      </c>
      <c r="HO5" t="s">
        <v>147</v>
      </c>
      <c r="HP5" t="s">
        <v>147</v>
      </c>
      <c r="HQ5" t="s">
        <v>147</v>
      </c>
      <c r="HR5" t="s">
        <v>147</v>
      </c>
      <c r="HS5" t="s">
        <v>147</v>
      </c>
      <c r="HT5" t="s">
        <v>147</v>
      </c>
      <c r="HU5" t="s">
        <v>147</v>
      </c>
      <c r="HV5" t="s">
        <v>147</v>
      </c>
      <c r="HW5" t="s">
        <v>147</v>
      </c>
      <c r="HX5" t="s">
        <v>147</v>
      </c>
      <c r="HY5" t="s">
        <v>147</v>
      </c>
      <c r="HZ5" t="s">
        <v>147</v>
      </c>
      <c r="IA5" t="s">
        <v>147</v>
      </c>
      <c r="IB5" t="s">
        <v>57</v>
      </c>
      <c r="IC5" t="s">
        <v>57</v>
      </c>
      <c r="ID5" t="s">
        <v>57</v>
      </c>
      <c r="IE5" t="s">
        <v>57</v>
      </c>
      <c r="IF5" t="s">
        <v>124</v>
      </c>
      <c r="IG5" t="s">
        <v>148</v>
      </c>
      <c r="IH5" t="s">
        <v>123</v>
      </c>
      <c r="II5" t="s">
        <v>156</v>
      </c>
    </row>
    <row r="6" spans="1:243" x14ac:dyDescent="0.25">
      <c r="A6" s="111" t="str">
        <f>HYPERLINK("http://www.ofsted.gov.uk/inspection-reports/find-inspection-report/provider/ELS/101388 ","Ofsted School Webpage")</f>
        <v>Ofsted School Webpage</v>
      </c>
      <c r="B6">
        <v>101388</v>
      </c>
      <c r="C6">
        <v>3026092</v>
      </c>
      <c r="D6" t="s">
        <v>273</v>
      </c>
      <c r="E6" t="s">
        <v>36</v>
      </c>
      <c r="F6" t="s">
        <v>166</v>
      </c>
      <c r="G6" t="s">
        <v>189</v>
      </c>
      <c r="H6" t="s">
        <v>189</v>
      </c>
      <c r="I6" t="s">
        <v>268</v>
      </c>
      <c r="J6" t="s">
        <v>274</v>
      </c>
      <c r="K6" t="s">
        <v>142</v>
      </c>
      <c r="L6" t="s">
        <v>275</v>
      </c>
      <c r="M6" t="s">
        <v>2596</v>
      </c>
      <c r="N6" t="s">
        <v>143</v>
      </c>
      <c r="O6">
        <v>10039751</v>
      </c>
      <c r="P6" s="108">
        <v>42991</v>
      </c>
      <c r="Q6" s="108">
        <v>42991</v>
      </c>
      <c r="R6" s="108">
        <v>43045</v>
      </c>
      <c r="S6" t="s">
        <v>144</v>
      </c>
      <c r="T6" t="s">
        <v>145</v>
      </c>
      <c r="U6" t="s">
        <v>2596</v>
      </c>
      <c r="V6" t="s">
        <v>2596</v>
      </c>
      <c r="W6" t="s">
        <v>2596</v>
      </c>
      <c r="X6" t="s">
        <v>2596</v>
      </c>
      <c r="Y6" t="s">
        <v>2596</v>
      </c>
      <c r="Z6" t="s">
        <v>2596</v>
      </c>
      <c r="AA6" t="s">
        <v>2596</v>
      </c>
      <c r="AB6" t="s">
        <v>2596</v>
      </c>
      <c r="AC6" t="s">
        <v>174</v>
      </c>
      <c r="AD6" t="s">
        <v>2596</v>
      </c>
      <c r="AE6" t="s">
        <v>58</v>
      </c>
      <c r="AF6" t="s">
        <v>57</v>
      </c>
      <c r="AG6" t="s">
        <v>57</v>
      </c>
      <c r="AH6" t="s">
        <v>57</v>
      </c>
      <c r="AI6" t="s">
        <v>147</v>
      </c>
      <c r="AJ6" t="s">
        <v>58</v>
      </c>
      <c r="AK6" t="s">
        <v>147</v>
      </c>
      <c r="AL6" t="s">
        <v>58</v>
      </c>
      <c r="AM6" t="s">
        <v>58</v>
      </c>
      <c r="AN6" t="s">
        <v>58</v>
      </c>
      <c r="AO6" t="s">
        <v>147</v>
      </c>
      <c r="AP6" t="s">
        <v>147</v>
      </c>
      <c r="AQ6" t="s">
        <v>147</v>
      </c>
      <c r="AR6" t="s">
        <v>147</v>
      </c>
      <c r="AS6" t="s">
        <v>147</v>
      </c>
      <c r="AT6" t="s">
        <v>147</v>
      </c>
      <c r="AU6" t="s">
        <v>175</v>
      </c>
      <c r="AV6" t="s">
        <v>57</v>
      </c>
      <c r="AW6" t="s">
        <v>57</v>
      </c>
      <c r="AX6" t="s">
        <v>57</v>
      </c>
      <c r="AY6" t="s">
        <v>57</v>
      </c>
      <c r="AZ6" t="s">
        <v>57</v>
      </c>
      <c r="BA6" t="s">
        <v>57</v>
      </c>
      <c r="BB6" t="s">
        <v>57</v>
      </c>
      <c r="BC6" t="s">
        <v>175</v>
      </c>
      <c r="BD6" t="s">
        <v>147</v>
      </c>
      <c r="BE6" t="s">
        <v>147</v>
      </c>
      <c r="BF6" t="s">
        <v>147</v>
      </c>
      <c r="BG6" t="s">
        <v>58</v>
      </c>
      <c r="BH6" t="s">
        <v>58</v>
      </c>
      <c r="BI6" t="s">
        <v>147</v>
      </c>
      <c r="BJ6" t="s">
        <v>147</v>
      </c>
      <c r="BK6" t="s">
        <v>57</v>
      </c>
      <c r="BL6" t="s">
        <v>147</v>
      </c>
      <c r="BM6" t="s">
        <v>147</v>
      </c>
      <c r="BN6" t="s">
        <v>58</v>
      </c>
      <c r="BO6" t="s">
        <v>147</v>
      </c>
      <c r="BP6" t="s">
        <v>147</v>
      </c>
      <c r="BQ6" t="s">
        <v>147</v>
      </c>
      <c r="BR6" t="s">
        <v>147</v>
      </c>
      <c r="BS6" t="s">
        <v>57</v>
      </c>
      <c r="BT6" t="s">
        <v>147</v>
      </c>
      <c r="BU6" t="s">
        <v>57</v>
      </c>
      <c r="BV6" t="s">
        <v>147</v>
      </c>
      <c r="BW6" t="s">
        <v>147</v>
      </c>
      <c r="BX6" t="s">
        <v>147</v>
      </c>
      <c r="BY6" t="s">
        <v>147</v>
      </c>
      <c r="BZ6" t="s">
        <v>57</v>
      </c>
      <c r="CA6" t="s">
        <v>57</v>
      </c>
      <c r="CB6" t="s">
        <v>147</v>
      </c>
      <c r="CC6" t="s">
        <v>147</v>
      </c>
      <c r="CD6" t="s">
        <v>147</v>
      </c>
      <c r="CE6" t="s">
        <v>147</v>
      </c>
      <c r="CF6" t="s">
        <v>147</v>
      </c>
      <c r="CG6" t="s">
        <v>147</v>
      </c>
      <c r="CH6" t="s">
        <v>57</v>
      </c>
      <c r="CI6" t="s">
        <v>57</v>
      </c>
      <c r="CJ6" t="s">
        <v>57</v>
      </c>
      <c r="CK6" t="s">
        <v>57</v>
      </c>
      <c r="CL6" t="s">
        <v>175</v>
      </c>
      <c r="CM6" t="s">
        <v>175</v>
      </c>
      <c r="CN6" t="s">
        <v>147</v>
      </c>
      <c r="CO6" t="s">
        <v>147</v>
      </c>
      <c r="CP6" t="s">
        <v>147</v>
      </c>
      <c r="CQ6" t="s">
        <v>147</v>
      </c>
      <c r="CR6" t="s">
        <v>147</v>
      </c>
      <c r="CS6" t="s">
        <v>147</v>
      </c>
      <c r="CT6" t="s">
        <v>147</v>
      </c>
      <c r="CU6" t="s">
        <v>147</v>
      </c>
      <c r="CV6" t="s">
        <v>147</v>
      </c>
      <c r="CW6" t="s">
        <v>147</v>
      </c>
      <c r="CX6" t="s">
        <v>147</v>
      </c>
      <c r="CY6" t="s">
        <v>147</v>
      </c>
      <c r="CZ6" t="s">
        <v>147</v>
      </c>
      <c r="DA6" t="s">
        <v>57</v>
      </c>
      <c r="DB6" t="s">
        <v>57</v>
      </c>
      <c r="DC6" t="s">
        <v>57</v>
      </c>
      <c r="DD6" t="s">
        <v>57</v>
      </c>
      <c r="DE6" t="s">
        <v>57</v>
      </c>
      <c r="DF6" t="s">
        <v>57</v>
      </c>
      <c r="DG6" t="s">
        <v>57</v>
      </c>
      <c r="DH6" t="s">
        <v>57</v>
      </c>
      <c r="DI6" t="s">
        <v>57</v>
      </c>
      <c r="DJ6" t="s">
        <v>57</v>
      </c>
      <c r="DK6" t="s">
        <v>57</v>
      </c>
      <c r="DL6" t="s">
        <v>57</v>
      </c>
      <c r="DM6" t="s">
        <v>175</v>
      </c>
      <c r="DN6" t="s">
        <v>175</v>
      </c>
      <c r="DO6" t="s">
        <v>175</v>
      </c>
      <c r="DP6" t="s">
        <v>175</v>
      </c>
      <c r="DQ6" t="s">
        <v>175</v>
      </c>
      <c r="DR6" t="s">
        <v>175</v>
      </c>
      <c r="DS6" t="s">
        <v>175</v>
      </c>
      <c r="DT6" t="s">
        <v>175</v>
      </c>
      <c r="DU6" t="s">
        <v>175</v>
      </c>
      <c r="DV6" t="s">
        <v>175</v>
      </c>
      <c r="DW6" t="s">
        <v>175</v>
      </c>
      <c r="DX6" t="s">
        <v>175</v>
      </c>
      <c r="DY6" t="s">
        <v>175</v>
      </c>
      <c r="DZ6" t="s">
        <v>175</v>
      </c>
      <c r="EA6" t="s">
        <v>57</v>
      </c>
      <c r="EB6" t="s">
        <v>57</v>
      </c>
      <c r="EC6" t="s">
        <v>57</v>
      </c>
      <c r="ED6" t="s">
        <v>57</v>
      </c>
      <c r="EE6" t="s">
        <v>57</v>
      </c>
      <c r="EF6" t="s">
        <v>57</v>
      </c>
      <c r="EG6" t="s">
        <v>57</v>
      </c>
      <c r="EH6" t="s">
        <v>57</v>
      </c>
      <c r="EI6" t="s">
        <v>57</v>
      </c>
      <c r="EJ6" t="s">
        <v>57</v>
      </c>
      <c r="EK6" t="s">
        <v>57</v>
      </c>
      <c r="EL6" t="s">
        <v>57</v>
      </c>
      <c r="EM6" t="s">
        <v>2596</v>
      </c>
      <c r="EN6" t="s">
        <v>57</v>
      </c>
      <c r="EO6" t="s">
        <v>57</v>
      </c>
      <c r="EP6" t="s">
        <v>57</v>
      </c>
      <c r="EQ6" t="s">
        <v>57</v>
      </c>
      <c r="ER6" t="s">
        <v>57</v>
      </c>
      <c r="ES6" t="s">
        <v>57</v>
      </c>
      <c r="ET6" t="s">
        <v>57</v>
      </c>
      <c r="EU6" t="s">
        <v>57</v>
      </c>
      <c r="EV6" t="s">
        <v>57</v>
      </c>
      <c r="EW6" t="s">
        <v>57</v>
      </c>
      <c r="EX6" t="s">
        <v>175</v>
      </c>
      <c r="EY6" t="s">
        <v>175</v>
      </c>
      <c r="EZ6" t="s">
        <v>175</v>
      </c>
      <c r="FA6" t="s">
        <v>175</v>
      </c>
      <c r="FB6" t="s">
        <v>175</v>
      </c>
      <c r="FC6" t="s">
        <v>175</v>
      </c>
      <c r="FD6" t="s">
        <v>57</v>
      </c>
      <c r="FE6" t="s">
        <v>57</v>
      </c>
      <c r="FF6" t="s">
        <v>57</v>
      </c>
      <c r="FG6" t="s">
        <v>57</v>
      </c>
      <c r="FH6" t="s">
        <v>147</v>
      </c>
      <c r="FI6" t="s">
        <v>147</v>
      </c>
      <c r="FJ6" t="s">
        <v>175</v>
      </c>
      <c r="FK6" t="s">
        <v>147</v>
      </c>
      <c r="FL6" t="s">
        <v>147</v>
      </c>
      <c r="FM6" t="s">
        <v>147</v>
      </c>
      <c r="FN6" t="s">
        <v>147</v>
      </c>
      <c r="FO6" t="s">
        <v>175</v>
      </c>
      <c r="FP6" t="s">
        <v>147</v>
      </c>
      <c r="FQ6" t="s">
        <v>147</v>
      </c>
      <c r="FR6" t="s">
        <v>147</v>
      </c>
      <c r="FS6" t="s">
        <v>147</v>
      </c>
      <c r="FT6" t="s">
        <v>147</v>
      </c>
      <c r="FU6" t="s">
        <v>147</v>
      </c>
      <c r="FV6" t="s">
        <v>147</v>
      </c>
      <c r="FW6" t="s">
        <v>147</v>
      </c>
      <c r="FX6" t="s">
        <v>147</v>
      </c>
      <c r="FY6" t="s">
        <v>147</v>
      </c>
      <c r="FZ6" t="s">
        <v>147</v>
      </c>
      <c r="GA6" t="s">
        <v>147</v>
      </c>
      <c r="GB6" t="s">
        <v>147</v>
      </c>
      <c r="GC6" t="s">
        <v>147</v>
      </c>
      <c r="GD6" t="s">
        <v>147</v>
      </c>
      <c r="GE6" t="s">
        <v>147</v>
      </c>
      <c r="GF6" t="s">
        <v>147</v>
      </c>
      <c r="GG6" t="s">
        <v>175</v>
      </c>
      <c r="GH6" t="s">
        <v>58</v>
      </c>
      <c r="GI6" t="s">
        <v>147</v>
      </c>
      <c r="GJ6" t="s">
        <v>147</v>
      </c>
      <c r="GK6" t="s">
        <v>57</v>
      </c>
      <c r="GL6" t="s">
        <v>147</v>
      </c>
      <c r="GM6" t="s">
        <v>147</v>
      </c>
      <c r="GN6" t="s">
        <v>58</v>
      </c>
      <c r="GO6" t="s">
        <v>57</v>
      </c>
      <c r="GP6" t="s">
        <v>175</v>
      </c>
      <c r="GQ6" t="s">
        <v>175</v>
      </c>
      <c r="GR6" t="s">
        <v>147</v>
      </c>
      <c r="GS6" t="s">
        <v>147</v>
      </c>
      <c r="GT6" t="s">
        <v>147</v>
      </c>
      <c r="GU6" t="s">
        <v>147</v>
      </c>
      <c r="GV6" t="s">
        <v>147</v>
      </c>
      <c r="GW6" t="s">
        <v>147</v>
      </c>
      <c r="GX6" t="s">
        <v>147</v>
      </c>
      <c r="GY6" t="s">
        <v>147</v>
      </c>
      <c r="GZ6" t="s">
        <v>147</v>
      </c>
      <c r="HA6" t="s">
        <v>147</v>
      </c>
      <c r="HB6" t="s">
        <v>147</v>
      </c>
      <c r="HC6" t="s">
        <v>147</v>
      </c>
      <c r="HD6" t="s">
        <v>147</v>
      </c>
      <c r="HE6" t="s">
        <v>147</v>
      </c>
      <c r="HF6" t="s">
        <v>147</v>
      </c>
      <c r="HG6" t="s">
        <v>147</v>
      </c>
      <c r="HH6" t="s">
        <v>147</v>
      </c>
      <c r="HI6" t="s">
        <v>147</v>
      </c>
      <c r="HJ6" t="s">
        <v>147</v>
      </c>
      <c r="HK6" t="s">
        <v>147</v>
      </c>
      <c r="HL6" t="s">
        <v>147</v>
      </c>
      <c r="HM6" t="s">
        <v>147</v>
      </c>
      <c r="HN6" t="s">
        <v>147</v>
      </c>
      <c r="HO6" t="s">
        <v>147</v>
      </c>
      <c r="HP6" t="s">
        <v>147</v>
      </c>
      <c r="HQ6" t="s">
        <v>147</v>
      </c>
      <c r="HR6" t="s">
        <v>147</v>
      </c>
      <c r="HS6" t="s">
        <v>147</v>
      </c>
      <c r="HT6" t="s">
        <v>147</v>
      </c>
      <c r="HU6" t="s">
        <v>147</v>
      </c>
      <c r="HV6" t="s">
        <v>2596</v>
      </c>
      <c r="HW6" t="s">
        <v>147</v>
      </c>
      <c r="HX6" t="s">
        <v>147</v>
      </c>
      <c r="HY6" t="s">
        <v>147</v>
      </c>
      <c r="HZ6" t="s">
        <v>147</v>
      </c>
      <c r="IA6" t="s">
        <v>147</v>
      </c>
      <c r="IB6" t="s">
        <v>58</v>
      </c>
      <c r="IC6" t="s">
        <v>58</v>
      </c>
      <c r="ID6" t="s">
        <v>58</v>
      </c>
      <c r="IE6" t="s">
        <v>57</v>
      </c>
      <c r="IF6" t="s">
        <v>124</v>
      </c>
      <c r="IG6" t="s">
        <v>148</v>
      </c>
      <c r="IH6" t="s">
        <v>123</v>
      </c>
      <c r="II6" t="s">
        <v>156</v>
      </c>
    </row>
    <row r="7" spans="1:243" x14ac:dyDescent="0.25">
      <c r="A7" s="111" t="str">
        <f>HYPERLINK("http://www.ofsted.gov.uk/inspection-reports/find-inspection-report/provider/ELS/101695 ","Ofsted School Webpage")</f>
        <v>Ofsted School Webpage</v>
      </c>
      <c r="B7">
        <v>101695</v>
      </c>
      <c r="C7">
        <v>3056077</v>
      </c>
      <c r="D7" t="s">
        <v>1916</v>
      </c>
      <c r="E7" t="s">
        <v>36</v>
      </c>
      <c r="F7" t="s">
        <v>166</v>
      </c>
      <c r="G7" t="s">
        <v>189</v>
      </c>
      <c r="H7" t="s">
        <v>189</v>
      </c>
      <c r="I7" t="s">
        <v>540</v>
      </c>
      <c r="J7" t="s">
        <v>1917</v>
      </c>
      <c r="K7" t="s">
        <v>142</v>
      </c>
      <c r="L7" t="s">
        <v>180</v>
      </c>
      <c r="M7" t="s">
        <v>2596</v>
      </c>
      <c r="N7" t="s">
        <v>143</v>
      </c>
      <c r="O7">
        <v>10043252</v>
      </c>
      <c r="P7" s="108">
        <v>43138</v>
      </c>
      <c r="Q7" s="108">
        <v>43138</v>
      </c>
      <c r="R7" s="108">
        <v>43179</v>
      </c>
      <c r="S7" t="s">
        <v>2635</v>
      </c>
      <c r="T7" t="s">
        <v>145</v>
      </c>
      <c r="U7" t="s">
        <v>2596</v>
      </c>
      <c r="V7" t="s">
        <v>2596</v>
      </c>
      <c r="W7" t="s">
        <v>2596</v>
      </c>
      <c r="X7" t="s">
        <v>2596</v>
      </c>
      <c r="Y7" t="s">
        <v>2596</v>
      </c>
      <c r="Z7" t="s">
        <v>2596</v>
      </c>
      <c r="AA7" t="s">
        <v>2596</v>
      </c>
      <c r="AB7" t="s">
        <v>2596</v>
      </c>
      <c r="AC7" t="s">
        <v>174</v>
      </c>
      <c r="AD7" t="s">
        <v>2596</v>
      </c>
      <c r="AE7" t="s">
        <v>147</v>
      </c>
      <c r="AF7" t="s">
        <v>147</v>
      </c>
      <c r="AG7" t="s">
        <v>58</v>
      </c>
      <c r="AH7" t="s">
        <v>147</v>
      </c>
      <c r="AI7" t="s">
        <v>57</v>
      </c>
      <c r="AJ7" t="s">
        <v>147</v>
      </c>
      <c r="AK7" t="s">
        <v>57</v>
      </c>
      <c r="AL7" t="s">
        <v>58</v>
      </c>
      <c r="AM7" t="s">
        <v>147</v>
      </c>
      <c r="AN7" t="s">
        <v>147</v>
      </c>
      <c r="AO7" t="s">
        <v>147</v>
      </c>
      <c r="AP7" t="s">
        <v>147</v>
      </c>
      <c r="AQ7" t="s">
        <v>147</v>
      </c>
      <c r="AR7" t="s">
        <v>147</v>
      </c>
      <c r="AS7" t="s">
        <v>147</v>
      </c>
      <c r="AT7" t="s">
        <v>147</v>
      </c>
      <c r="AU7" t="s">
        <v>147</v>
      </c>
      <c r="AV7" t="s">
        <v>2596</v>
      </c>
      <c r="AW7" t="s">
        <v>147</v>
      </c>
      <c r="AX7" t="s">
        <v>147</v>
      </c>
      <c r="AY7" t="s">
        <v>147</v>
      </c>
      <c r="AZ7" t="s">
        <v>147</v>
      </c>
      <c r="BA7" t="s">
        <v>147</v>
      </c>
      <c r="BB7" t="s">
        <v>147</v>
      </c>
      <c r="BC7" t="s">
        <v>147</v>
      </c>
      <c r="BD7" t="s">
        <v>147</v>
      </c>
      <c r="BE7" t="s">
        <v>147</v>
      </c>
      <c r="BF7" t="s">
        <v>147</v>
      </c>
      <c r="BG7" t="s">
        <v>147</v>
      </c>
      <c r="BH7" t="s">
        <v>147</v>
      </c>
      <c r="BI7" t="s">
        <v>147</v>
      </c>
      <c r="BJ7" t="s">
        <v>147</v>
      </c>
      <c r="BK7" t="s">
        <v>147</v>
      </c>
      <c r="BL7" t="s">
        <v>147</v>
      </c>
      <c r="BM7" t="s">
        <v>2596</v>
      </c>
      <c r="BN7" t="s">
        <v>147</v>
      </c>
      <c r="BO7" t="s">
        <v>147</v>
      </c>
      <c r="BP7" t="s">
        <v>147</v>
      </c>
      <c r="BQ7" t="s">
        <v>147</v>
      </c>
      <c r="BR7" t="s">
        <v>147</v>
      </c>
      <c r="BS7" t="s">
        <v>147</v>
      </c>
      <c r="BT7" t="s">
        <v>147</v>
      </c>
      <c r="BU7" t="s">
        <v>147</v>
      </c>
      <c r="BV7" t="s">
        <v>147</v>
      </c>
      <c r="BW7" t="s">
        <v>147</v>
      </c>
      <c r="BX7" t="s">
        <v>147</v>
      </c>
      <c r="BY7" t="s">
        <v>147</v>
      </c>
      <c r="BZ7" t="s">
        <v>147</v>
      </c>
      <c r="CA7" t="s">
        <v>147</v>
      </c>
      <c r="CB7" t="s">
        <v>147</v>
      </c>
      <c r="CC7" t="s">
        <v>147</v>
      </c>
      <c r="CD7" t="s">
        <v>147</v>
      </c>
      <c r="CE7" t="s">
        <v>147</v>
      </c>
      <c r="CF7" t="s">
        <v>147</v>
      </c>
      <c r="CG7" t="s">
        <v>147</v>
      </c>
      <c r="CH7" t="s">
        <v>58</v>
      </c>
      <c r="CI7" t="s">
        <v>58</v>
      </c>
      <c r="CJ7" t="s">
        <v>58</v>
      </c>
      <c r="CK7" t="s">
        <v>58</v>
      </c>
      <c r="CL7" t="s">
        <v>58</v>
      </c>
      <c r="CM7" t="s">
        <v>58</v>
      </c>
      <c r="CN7" t="s">
        <v>57</v>
      </c>
      <c r="CO7" t="s">
        <v>57</v>
      </c>
      <c r="CP7" t="s">
        <v>57</v>
      </c>
      <c r="CQ7" t="s">
        <v>57</v>
      </c>
      <c r="CR7" t="s">
        <v>147</v>
      </c>
      <c r="CS7" t="s">
        <v>147</v>
      </c>
      <c r="CT7" t="s">
        <v>147</v>
      </c>
      <c r="CU7" t="s">
        <v>147</v>
      </c>
      <c r="CV7" t="s">
        <v>147</v>
      </c>
      <c r="CW7" t="s">
        <v>147</v>
      </c>
      <c r="CX7" t="s">
        <v>147</v>
      </c>
      <c r="CY7" t="s">
        <v>147</v>
      </c>
      <c r="CZ7" t="s">
        <v>147</v>
      </c>
      <c r="DA7" t="s">
        <v>147</v>
      </c>
      <c r="DB7" t="s">
        <v>147</v>
      </c>
      <c r="DC7" t="s">
        <v>147</v>
      </c>
      <c r="DD7" t="s">
        <v>147</v>
      </c>
      <c r="DE7" t="s">
        <v>147</v>
      </c>
      <c r="DF7" t="s">
        <v>147</v>
      </c>
      <c r="DG7" t="s">
        <v>147</v>
      </c>
      <c r="DH7" t="s">
        <v>147</v>
      </c>
      <c r="DI7" t="s">
        <v>147</v>
      </c>
      <c r="DJ7" t="s">
        <v>147</v>
      </c>
      <c r="DK7" t="s">
        <v>147</v>
      </c>
      <c r="DL7" t="s">
        <v>147</v>
      </c>
      <c r="DM7" t="s">
        <v>147</v>
      </c>
      <c r="DN7" t="s">
        <v>147</v>
      </c>
      <c r="DO7" t="s">
        <v>147</v>
      </c>
      <c r="DP7" t="s">
        <v>147</v>
      </c>
      <c r="DQ7" t="s">
        <v>147</v>
      </c>
      <c r="DR7" t="s">
        <v>147</v>
      </c>
      <c r="DS7" t="s">
        <v>147</v>
      </c>
      <c r="DT7" t="s">
        <v>147</v>
      </c>
      <c r="DU7" t="s">
        <v>147</v>
      </c>
      <c r="DV7" t="s">
        <v>147</v>
      </c>
      <c r="DW7" t="s">
        <v>147</v>
      </c>
      <c r="DX7" t="s">
        <v>147</v>
      </c>
      <c r="DY7" t="s">
        <v>147</v>
      </c>
      <c r="DZ7" t="s">
        <v>147</v>
      </c>
      <c r="EA7" t="s">
        <v>147</v>
      </c>
      <c r="EB7" t="s">
        <v>147</v>
      </c>
      <c r="EC7" t="s">
        <v>147</v>
      </c>
      <c r="ED7" t="s">
        <v>147</v>
      </c>
      <c r="EE7" t="s">
        <v>147</v>
      </c>
      <c r="EF7" t="s">
        <v>147</v>
      </c>
      <c r="EG7" t="s">
        <v>147</v>
      </c>
      <c r="EH7" t="s">
        <v>147</v>
      </c>
      <c r="EI7" t="s">
        <v>147</v>
      </c>
      <c r="EJ7" t="s">
        <v>2596</v>
      </c>
      <c r="EK7" t="s">
        <v>147</v>
      </c>
      <c r="EL7" t="s">
        <v>147</v>
      </c>
      <c r="EM7" t="s">
        <v>147</v>
      </c>
      <c r="EN7" t="s">
        <v>147</v>
      </c>
      <c r="EO7" t="s">
        <v>147</v>
      </c>
      <c r="EP7" t="s">
        <v>147</v>
      </c>
      <c r="EQ7" t="s">
        <v>147</v>
      </c>
      <c r="ER7" t="s">
        <v>147</v>
      </c>
      <c r="ES7" t="s">
        <v>147</v>
      </c>
      <c r="ET7" t="s">
        <v>147</v>
      </c>
      <c r="EU7" t="s">
        <v>147</v>
      </c>
      <c r="EV7" t="s">
        <v>147</v>
      </c>
      <c r="EW7" t="s">
        <v>147</v>
      </c>
      <c r="EX7" t="s">
        <v>147</v>
      </c>
      <c r="EY7" t="s">
        <v>147</v>
      </c>
      <c r="EZ7" t="s">
        <v>147</v>
      </c>
      <c r="FA7" t="s">
        <v>147</v>
      </c>
      <c r="FB7" t="s">
        <v>147</v>
      </c>
      <c r="FC7" t="s">
        <v>147</v>
      </c>
      <c r="FD7" t="s">
        <v>147</v>
      </c>
      <c r="FE7" t="s">
        <v>147</v>
      </c>
      <c r="FF7" t="s">
        <v>147</v>
      </c>
      <c r="FG7" t="s">
        <v>147</v>
      </c>
      <c r="FH7" t="s">
        <v>57</v>
      </c>
      <c r="FI7" t="s">
        <v>57</v>
      </c>
      <c r="FJ7" t="s">
        <v>57</v>
      </c>
      <c r="FK7" t="s">
        <v>57</v>
      </c>
      <c r="FL7" t="s">
        <v>57</v>
      </c>
      <c r="FM7" t="s">
        <v>57</v>
      </c>
      <c r="FN7" t="s">
        <v>57</v>
      </c>
      <c r="FO7" t="s">
        <v>175</v>
      </c>
      <c r="FP7" t="s">
        <v>57</v>
      </c>
      <c r="FQ7" t="s">
        <v>57</v>
      </c>
      <c r="FR7" t="s">
        <v>57</v>
      </c>
      <c r="FS7" t="s">
        <v>57</v>
      </c>
      <c r="FT7" t="s">
        <v>57</v>
      </c>
      <c r="FU7" t="s">
        <v>57</v>
      </c>
      <c r="FV7" t="s">
        <v>57</v>
      </c>
      <c r="FW7" t="s">
        <v>57</v>
      </c>
      <c r="FX7" t="s">
        <v>57</v>
      </c>
      <c r="FY7" t="s">
        <v>57</v>
      </c>
      <c r="FZ7" t="s">
        <v>57</v>
      </c>
      <c r="GA7" t="s">
        <v>57</v>
      </c>
      <c r="GB7" t="s">
        <v>57</v>
      </c>
      <c r="GC7" t="s">
        <v>57</v>
      </c>
      <c r="GD7" t="s">
        <v>57</v>
      </c>
      <c r="GE7" t="s">
        <v>57</v>
      </c>
      <c r="GF7" t="s">
        <v>57</v>
      </c>
      <c r="GG7" t="s">
        <v>58</v>
      </c>
      <c r="GH7" t="s">
        <v>147</v>
      </c>
      <c r="GI7" t="s">
        <v>147</v>
      </c>
      <c r="GJ7" t="s">
        <v>147</v>
      </c>
      <c r="GK7" t="s">
        <v>147</v>
      </c>
      <c r="GL7" t="s">
        <v>147</v>
      </c>
      <c r="GM7" t="s">
        <v>147</v>
      </c>
      <c r="GN7" t="s">
        <v>147</v>
      </c>
      <c r="GO7" t="s">
        <v>147</v>
      </c>
      <c r="GP7" t="s">
        <v>147</v>
      </c>
      <c r="GQ7" t="s">
        <v>147</v>
      </c>
      <c r="GR7" t="s">
        <v>147</v>
      </c>
      <c r="GS7" t="s">
        <v>147</v>
      </c>
      <c r="GT7" t="s">
        <v>147</v>
      </c>
      <c r="GU7" t="s">
        <v>147</v>
      </c>
      <c r="GV7" t="s">
        <v>147</v>
      </c>
      <c r="GW7" t="s">
        <v>2596</v>
      </c>
      <c r="GX7" t="s">
        <v>147</v>
      </c>
      <c r="GY7" t="s">
        <v>147</v>
      </c>
      <c r="GZ7" t="s">
        <v>147</v>
      </c>
      <c r="HA7" t="s">
        <v>147</v>
      </c>
      <c r="HB7" t="s">
        <v>147</v>
      </c>
      <c r="HC7" t="s">
        <v>147</v>
      </c>
      <c r="HD7" t="s">
        <v>147</v>
      </c>
      <c r="HE7" t="s">
        <v>147</v>
      </c>
      <c r="HF7" t="s">
        <v>147</v>
      </c>
      <c r="HG7" t="s">
        <v>147</v>
      </c>
      <c r="HH7" t="s">
        <v>147</v>
      </c>
      <c r="HI7" t="s">
        <v>147</v>
      </c>
      <c r="HJ7" t="s">
        <v>147</v>
      </c>
      <c r="HK7" t="s">
        <v>2596</v>
      </c>
      <c r="HL7" t="s">
        <v>57</v>
      </c>
      <c r="HM7" t="s">
        <v>57</v>
      </c>
      <c r="HN7" t="s">
        <v>57</v>
      </c>
      <c r="HO7" t="s">
        <v>57</v>
      </c>
      <c r="HP7" t="s">
        <v>57</v>
      </c>
      <c r="HQ7" t="s">
        <v>57</v>
      </c>
      <c r="HR7" t="s">
        <v>57</v>
      </c>
      <c r="HS7" t="s">
        <v>57</v>
      </c>
      <c r="HT7" t="s">
        <v>57</v>
      </c>
      <c r="HU7" t="s">
        <v>2596</v>
      </c>
      <c r="HV7" t="s">
        <v>57</v>
      </c>
      <c r="HW7" t="s">
        <v>57</v>
      </c>
      <c r="HX7" t="s">
        <v>57</v>
      </c>
      <c r="HY7" t="s">
        <v>57</v>
      </c>
      <c r="HZ7" t="s">
        <v>57</v>
      </c>
      <c r="IA7" t="s">
        <v>57</v>
      </c>
      <c r="IB7" t="s">
        <v>58</v>
      </c>
      <c r="IC7" t="s">
        <v>58</v>
      </c>
      <c r="ID7" t="s">
        <v>58</v>
      </c>
      <c r="IE7" t="s">
        <v>58</v>
      </c>
      <c r="IF7" t="s">
        <v>123</v>
      </c>
      <c r="IG7" t="s">
        <v>123</v>
      </c>
      <c r="IH7" t="s">
        <v>123</v>
      </c>
      <c r="II7" t="s">
        <v>156</v>
      </c>
    </row>
    <row r="8" spans="1:243" x14ac:dyDescent="0.25">
      <c r="A8" s="111" t="str">
        <f>HYPERLINK("http://www.ofsted.gov.uk/inspection-reports/find-inspection-report/provider/ELS/101958 ","Ofsted School Webpage")</f>
        <v>Ofsted School Webpage</v>
      </c>
      <c r="B8">
        <v>101958</v>
      </c>
      <c r="C8">
        <v>3076070</v>
      </c>
      <c r="D8" t="s">
        <v>2491</v>
      </c>
      <c r="E8" t="s">
        <v>36</v>
      </c>
      <c r="F8" t="s">
        <v>166</v>
      </c>
      <c r="G8" t="s">
        <v>189</v>
      </c>
      <c r="H8" t="s">
        <v>189</v>
      </c>
      <c r="I8" t="s">
        <v>584</v>
      </c>
      <c r="J8" t="s">
        <v>2492</v>
      </c>
      <c r="K8" t="s">
        <v>142</v>
      </c>
      <c r="L8" t="s">
        <v>142</v>
      </c>
      <c r="M8" t="s">
        <v>2596</v>
      </c>
      <c r="N8" t="s">
        <v>143</v>
      </c>
      <c r="O8">
        <v>10044930</v>
      </c>
      <c r="P8" s="108">
        <v>43115</v>
      </c>
      <c r="Q8" s="108">
        <v>43115</v>
      </c>
      <c r="R8" s="108">
        <v>43166</v>
      </c>
      <c r="S8" t="s">
        <v>144</v>
      </c>
      <c r="T8" t="s">
        <v>145</v>
      </c>
      <c r="U8" t="s">
        <v>2596</v>
      </c>
      <c r="V8" t="s">
        <v>2596</v>
      </c>
      <c r="W8" t="s">
        <v>2596</v>
      </c>
      <c r="X8" t="s">
        <v>2596</v>
      </c>
      <c r="Y8" t="s">
        <v>2596</v>
      </c>
      <c r="Z8" t="s">
        <v>2596</v>
      </c>
      <c r="AA8" t="s">
        <v>2596</v>
      </c>
      <c r="AB8" t="s">
        <v>2596</v>
      </c>
      <c r="AC8" t="s">
        <v>174</v>
      </c>
      <c r="AD8" t="s">
        <v>2596</v>
      </c>
      <c r="AE8" t="s">
        <v>147</v>
      </c>
      <c r="AF8" t="s">
        <v>58</v>
      </c>
      <c r="AG8" t="s">
        <v>58</v>
      </c>
      <c r="AH8" t="s">
        <v>57</v>
      </c>
      <c r="AI8" t="s">
        <v>58</v>
      </c>
      <c r="AJ8" t="s">
        <v>57</v>
      </c>
      <c r="AK8" t="s">
        <v>57</v>
      </c>
      <c r="AL8" t="s">
        <v>58</v>
      </c>
      <c r="AM8" t="s">
        <v>147</v>
      </c>
      <c r="AN8" t="s">
        <v>147</v>
      </c>
      <c r="AO8" t="s">
        <v>147</v>
      </c>
      <c r="AP8" t="s">
        <v>147</v>
      </c>
      <c r="AQ8" t="s">
        <v>147</v>
      </c>
      <c r="AR8" t="s">
        <v>58</v>
      </c>
      <c r="AS8" t="s">
        <v>147</v>
      </c>
      <c r="AT8" t="s">
        <v>147</v>
      </c>
      <c r="AU8" t="s">
        <v>147</v>
      </c>
      <c r="AV8" t="s">
        <v>58</v>
      </c>
      <c r="AW8" t="s">
        <v>147</v>
      </c>
      <c r="AX8" t="s">
        <v>58</v>
      </c>
      <c r="AY8" t="s">
        <v>147</v>
      </c>
      <c r="AZ8" t="s">
        <v>147</v>
      </c>
      <c r="BA8" t="s">
        <v>147</v>
      </c>
      <c r="BB8" t="s">
        <v>147</v>
      </c>
      <c r="BC8" t="s">
        <v>147</v>
      </c>
      <c r="BD8" t="s">
        <v>147</v>
      </c>
      <c r="BE8" t="s">
        <v>147</v>
      </c>
      <c r="BF8" t="s">
        <v>147</v>
      </c>
      <c r="BG8" t="s">
        <v>147</v>
      </c>
      <c r="BH8" t="s">
        <v>147</v>
      </c>
      <c r="BI8" t="s">
        <v>147</v>
      </c>
      <c r="BJ8" t="s">
        <v>147</v>
      </c>
      <c r="BK8" t="s">
        <v>147</v>
      </c>
      <c r="BL8" t="s">
        <v>147</v>
      </c>
      <c r="BM8" t="s">
        <v>147</v>
      </c>
      <c r="BN8" t="s">
        <v>147</v>
      </c>
      <c r="BO8" t="s">
        <v>147</v>
      </c>
      <c r="BP8" t="s">
        <v>147</v>
      </c>
      <c r="BQ8" t="s">
        <v>147</v>
      </c>
      <c r="BR8" t="s">
        <v>147</v>
      </c>
      <c r="BS8" t="s">
        <v>58</v>
      </c>
      <c r="BT8" t="s">
        <v>147</v>
      </c>
      <c r="BU8" t="s">
        <v>58</v>
      </c>
      <c r="BV8" t="s">
        <v>147</v>
      </c>
      <c r="BW8" t="s">
        <v>147</v>
      </c>
      <c r="BX8" t="s">
        <v>147</v>
      </c>
      <c r="BY8" t="s">
        <v>147</v>
      </c>
      <c r="BZ8" t="s">
        <v>147</v>
      </c>
      <c r="CA8" t="s">
        <v>58</v>
      </c>
      <c r="CB8" t="s">
        <v>147</v>
      </c>
      <c r="CC8" t="s">
        <v>147</v>
      </c>
      <c r="CD8" t="s">
        <v>147</v>
      </c>
      <c r="CE8" t="s">
        <v>147</v>
      </c>
      <c r="CF8" t="s">
        <v>147</v>
      </c>
      <c r="CG8" t="s">
        <v>147</v>
      </c>
      <c r="CH8" t="s">
        <v>58</v>
      </c>
      <c r="CI8" t="s">
        <v>58</v>
      </c>
      <c r="CJ8" t="s">
        <v>58</v>
      </c>
      <c r="CK8" t="s">
        <v>175</v>
      </c>
      <c r="CL8" t="s">
        <v>175</v>
      </c>
      <c r="CM8" t="s">
        <v>175</v>
      </c>
      <c r="CN8" t="s">
        <v>58</v>
      </c>
      <c r="CO8" t="s">
        <v>58</v>
      </c>
      <c r="CP8" t="s">
        <v>147</v>
      </c>
      <c r="CQ8" t="s">
        <v>147</v>
      </c>
      <c r="CR8" t="s">
        <v>58</v>
      </c>
      <c r="CS8" t="s">
        <v>58</v>
      </c>
      <c r="CT8" t="s">
        <v>147</v>
      </c>
      <c r="CU8" t="s">
        <v>147</v>
      </c>
      <c r="CV8" t="s">
        <v>147</v>
      </c>
      <c r="CW8" t="s">
        <v>147</v>
      </c>
      <c r="CX8" t="s">
        <v>147</v>
      </c>
      <c r="CY8" t="s">
        <v>147</v>
      </c>
      <c r="CZ8" t="s">
        <v>147</v>
      </c>
      <c r="DA8" t="s">
        <v>57</v>
      </c>
      <c r="DB8" t="s">
        <v>147</v>
      </c>
      <c r="DC8" t="s">
        <v>147</v>
      </c>
      <c r="DD8" t="s">
        <v>57</v>
      </c>
      <c r="DE8" t="s">
        <v>147</v>
      </c>
      <c r="DF8" t="s">
        <v>57</v>
      </c>
      <c r="DG8" t="s">
        <v>147</v>
      </c>
      <c r="DH8" t="s">
        <v>147</v>
      </c>
      <c r="DI8" t="s">
        <v>147</v>
      </c>
      <c r="DJ8" t="s">
        <v>147</v>
      </c>
      <c r="DK8" t="s">
        <v>147</v>
      </c>
      <c r="DL8" t="s">
        <v>57</v>
      </c>
      <c r="DM8" t="s">
        <v>147</v>
      </c>
      <c r="DN8" t="s">
        <v>147</v>
      </c>
      <c r="DO8" t="s">
        <v>147</v>
      </c>
      <c r="DP8" t="s">
        <v>147</v>
      </c>
      <c r="DQ8" t="s">
        <v>147</v>
      </c>
      <c r="DR8" t="s">
        <v>147</v>
      </c>
      <c r="DS8" t="s">
        <v>147</v>
      </c>
      <c r="DT8" t="s">
        <v>147</v>
      </c>
      <c r="DU8" t="s">
        <v>147</v>
      </c>
      <c r="DV8" t="s">
        <v>147</v>
      </c>
      <c r="DW8" t="s">
        <v>147</v>
      </c>
      <c r="DX8" t="s">
        <v>147</v>
      </c>
      <c r="DY8" t="s">
        <v>147</v>
      </c>
      <c r="DZ8" t="s">
        <v>147</v>
      </c>
      <c r="EA8" t="s">
        <v>147</v>
      </c>
      <c r="EB8" t="s">
        <v>147</v>
      </c>
      <c r="EC8" t="s">
        <v>147</v>
      </c>
      <c r="ED8" t="s">
        <v>147</v>
      </c>
      <c r="EE8" t="s">
        <v>147</v>
      </c>
      <c r="EF8" t="s">
        <v>147</v>
      </c>
      <c r="EG8" t="s">
        <v>147</v>
      </c>
      <c r="EH8" t="s">
        <v>147</v>
      </c>
      <c r="EI8" t="s">
        <v>147</v>
      </c>
      <c r="EJ8" t="s">
        <v>147</v>
      </c>
      <c r="EK8" t="s">
        <v>147</v>
      </c>
      <c r="EL8" t="s">
        <v>147</v>
      </c>
      <c r="EM8" t="s">
        <v>147</v>
      </c>
      <c r="EN8" t="s">
        <v>147</v>
      </c>
      <c r="EO8" t="s">
        <v>147</v>
      </c>
      <c r="EP8" t="s">
        <v>147</v>
      </c>
      <c r="EQ8" t="s">
        <v>147</v>
      </c>
      <c r="ER8" t="s">
        <v>147</v>
      </c>
      <c r="ES8" t="s">
        <v>147</v>
      </c>
      <c r="ET8" t="s">
        <v>147</v>
      </c>
      <c r="EU8" t="s">
        <v>147</v>
      </c>
      <c r="EV8" t="s">
        <v>147</v>
      </c>
      <c r="EW8" t="s">
        <v>147</v>
      </c>
      <c r="EX8" t="s">
        <v>147</v>
      </c>
      <c r="EY8" t="s">
        <v>147</v>
      </c>
      <c r="EZ8" t="s">
        <v>147</v>
      </c>
      <c r="FA8" t="s">
        <v>147</v>
      </c>
      <c r="FB8" t="s">
        <v>147</v>
      </c>
      <c r="FC8" t="s">
        <v>147</v>
      </c>
      <c r="FD8" t="s">
        <v>147</v>
      </c>
      <c r="FE8" t="s">
        <v>147</v>
      </c>
      <c r="FF8" t="s">
        <v>147</v>
      </c>
      <c r="FG8" t="s">
        <v>147</v>
      </c>
      <c r="FH8" t="s">
        <v>58</v>
      </c>
      <c r="FI8" t="s">
        <v>147</v>
      </c>
      <c r="FJ8" t="s">
        <v>147</v>
      </c>
      <c r="FK8" t="s">
        <v>58</v>
      </c>
      <c r="FL8" t="s">
        <v>147</v>
      </c>
      <c r="FM8" t="s">
        <v>147</v>
      </c>
      <c r="FN8" t="s">
        <v>147</v>
      </c>
      <c r="FO8" t="s">
        <v>147</v>
      </c>
      <c r="FP8" t="s">
        <v>147</v>
      </c>
      <c r="FQ8" t="s">
        <v>147</v>
      </c>
      <c r="FR8" t="s">
        <v>147</v>
      </c>
      <c r="FS8" t="s">
        <v>147</v>
      </c>
      <c r="FT8" t="s">
        <v>147</v>
      </c>
      <c r="FU8" t="s">
        <v>147</v>
      </c>
      <c r="FV8" t="s">
        <v>58</v>
      </c>
      <c r="FW8" t="s">
        <v>147</v>
      </c>
      <c r="FX8" t="s">
        <v>58</v>
      </c>
      <c r="FY8" t="s">
        <v>57</v>
      </c>
      <c r="FZ8" t="s">
        <v>147</v>
      </c>
      <c r="GA8" t="s">
        <v>147</v>
      </c>
      <c r="GB8" t="s">
        <v>147</v>
      </c>
      <c r="GC8" t="s">
        <v>147</v>
      </c>
      <c r="GD8" t="s">
        <v>147</v>
      </c>
      <c r="GE8" t="s">
        <v>147</v>
      </c>
      <c r="GF8" t="s">
        <v>147</v>
      </c>
      <c r="GG8" t="s">
        <v>175</v>
      </c>
      <c r="GH8" t="s">
        <v>57</v>
      </c>
      <c r="GI8" t="s">
        <v>147</v>
      </c>
      <c r="GJ8" t="s">
        <v>147</v>
      </c>
      <c r="GK8" t="s">
        <v>57</v>
      </c>
      <c r="GL8" t="s">
        <v>147</v>
      </c>
      <c r="GM8" t="s">
        <v>147</v>
      </c>
      <c r="GN8" t="s">
        <v>147</v>
      </c>
      <c r="GO8" t="s">
        <v>147</v>
      </c>
      <c r="GP8" t="s">
        <v>147</v>
      </c>
      <c r="GQ8" t="s">
        <v>147</v>
      </c>
      <c r="GR8" t="s">
        <v>147</v>
      </c>
      <c r="GS8" t="s">
        <v>147</v>
      </c>
      <c r="GT8" t="s">
        <v>147</v>
      </c>
      <c r="GU8" t="s">
        <v>147</v>
      </c>
      <c r="GV8" t="s">
        <v>147</v>
      </c>
      <c r="GW8" t="s">
        <v>147</v>
      </c>
      <c r="GX8" t="s">
        <v>147</v>
      </c>
      <c r="GY8" t="s">
        <v>147</v>
      </c>
      <c r="GZ8" t="s">
        <v>147</v>
      </c>
      <c r="HA8" t="s">
        <v>147</v>
      </c>
      <c r="HB8" t="s">
        <v>147</v>
      </c>
      <c r="HC8" t="s">
        <v>147</v>
      </c>
      <c r="HD8" t="s">
        <v>147</v>
      </c>
      <c r="HE8" t="s">
        <v>147</v>
      </c>
      <c r="HF8" t="s">
        <v>147</v>
      </c>
      <c r="HG8" t="s">
        <v>147</v>
      </c>
      <c r="HH8" t="s">
        <v>147</v>
      </c>
      <c r="HI8" t="s">
        <v>147</v>
      </c>
      <c r="HJ8" t="s">
        <v>147</v>
      </c>
      <c r="HK8" t="s">
        <v>147</v>
      </c>
      <c r="HL8" t="s">
        <v>57</v>
      </c>
      <c r="HM8" t="s">
        <v>147</v>
      </c>
      <c r="HN8" t="s">
        <v>147</v>
      </c>
      <c r="HO8" t="s">
        <v>147</v>
      </c>
      <c r="HP8" t="s">
        <v>147</v>
      </c>
      <c r="HQ8" t="s">
        <v>147</v>
      </c>
      <c r="HR8" t="s">
        <v>57</v>
      </c>
      <c r="HS8" t="s">
        <v>147</v>
      </c>
      <c r="HT8" t="s">
        <v>147</v>
      </c>
      <c r="HU8" t="s">
        <v>147</v>
      </c>
      <c r="HV8" t="s">
        <v>147</v>
      </c>
      <c r="HW8" t="s">
        <v>147</v>
      </c>
      <c r="HX8" t="s">
        <v>147</v>
      </c>
      <c r="HY8" t="s">
        <v>147</v>
      </c>
      <c r="HZ8" t="s">
        <v>147</v>
      </c>
      <c r="IA8" t="s">
        <v>147</v>
      </c>
      <c r="IB8" t="s">
        <v>58</v>
      </c>
      <c r="IC8" t="s">
        <v>58</v>
      </c>
      <c r="ID8" t="s">
        <v>58</v>
      </c>
      <c r="IE8" t="s">
        <v>58</v>
      </c>
      <c r="IF8" t="s">
        <v>124</v>
      </c>
      <c r="IG8" t="s">
        <v>148</v>
      </c>
      <c r="IH8" t="s">
        <v>123</v>
      </c>
      <c r="II8" t="s">
        <v>363</v>
      </c>
    </row>
    <row r="9" spans="1:243" x14ac:dyDescent="0.25">
      <c r="A9" s="111" t="str">
        <f>HYPERLINK("http://www.ofsted.gov.uk/inspection-reports/find-inspection-report/provider/ELS/103578 ","Ofsted School Webpage")</f>
        <v>Ofsted School Webpage</v>
      </c>
      <c r="B9">
        <v>103578</v>
      </c>
      <c r="C9">
        <v>3306064</v>
      </c>
      <c r="D9" t="s">
        <v>2115</v>
      </c>
      <c r="E9" t="s">
        <v>36</v>
      </c>
      <c r="F9" t="s">
        <v>166</v>
      </c>
      <c r="G9" t="s">
        <v>150</v>
      </c>
      <c r="H9" t="s">
        <v>150</v>
      </c>
      <c r="I9" t="s">
        <v>167</v>
      </c>
      <c r="J9" t="s">
        <v>2116</v>
      </c>
      <c r="K9" t="s">
        <v>142</v>
      </c>
      <c r="L9" t="s">
        <v>142</v>
      </c>
      <c r="M9" t="s">
        <v>2596</v>
      </c>
      <c r="N9" t="s">
        <v>143</v>
      </c>
      <c r="O9">
        <v>10044187</v>
      </c>
      <c r="P9" s="108">
        <v>43144</v>
      </c>
      <c r="Q9" s="108">
        <v>43144</v>
      </c>
      <c r="R9" s="108">
        <v>43171</v>
      </c>
      <c r="S9" t="s">
        <v>144</v>
      </c>
      <c r="T9" t="s">
        <v>145</v>
      </c>
      <c r="U9" t="s">
        <v>2596</v>
      </c>
      <c r="V9" t="s">
        <v>2596</v>
      </c>
      <c r="W9" t="s">
        <v>2596</v>
      </c>
      <c r="X9" t="s">
        <v>2596</v>
      </c>
      <c r="Y9" t="s">
        <v>2596</v>
      </c>
      <c r="Z9" t="s">
        <v>2596</v>
      </c>
      <c r="AA9" t="s">
        <v>2596</v>
      </c>
      <c r="AB9" t="s">
        <v>2596</v>
      </c>
      <c r="AC9" t="s">
        <v>174</v>
      </c>
      <c r="AD9" t="s">
        <v>2596</v>
      </c>
      <c r="AE9" t="s">
        <v>147</v>
      </c>
      <c r="AF9" t="s">
        <v>147</v>
      </c>
      <c r="AG9" t="s">
        <v>57</v>
      </c>
      <c r="AH9" t="s">
        <v>147</v>
      </c>
      <c r="AI9" t="s">
        <v>147</v>
      </c>
      <c r="AJ9" t="s">
        <v>57</v>
      </c>
      <c r="AK9" t="s">
        <v>147</v>
      </c>
      <c r="AL9" t="s">
        <v>58</v>
      </c>
      <c r="AM9" t="s">
        <v>147</v>
      </c>
      <c r="AN9" t="s">
        <v>147</v>
      </c>
      <c r="AO9" t="s">
        <v>147</v>
      </c>
      <c r="AP9" t="s">
        <v>147</v>
      </c>
      <c r="AQ9" t="s">
        <v>147</v>
      </c>
      <c r="AR9" t="s">
        <v>147</v>
      </c>
      <c r="AS9" t="s">
        <v>147</v>
      </c>
      <c r="AT9" t="s">
        <v>147</v>
      </c>
      <c r="AU9" t="s">
        <v>147</v>
      </c>
      <c r="AV9" t="s">
        <v>147</v>
      </c>
      <c r="AW9" t="s">
        <v>147</v>
      </c>
      <c r="AX9" t="s">
        <v>147</v>
      </c>
      <c r="AY9" t="s">
        <v>147</v>
      </c>
      <c r="AZ9" t="s">
        <v>147</v>
      </c>
      <c r="BA9" t="s">
        <v>147</v>
      </c>
      <c r="BB9" t="s">
        <v>147</v>
      </c>
      <c r="BC9" t="s">
        <v>147</v>
      </c>
      <c r="BD9" t="s">
        <v>147</v>
      </c>
      <c r="BE9" t="s">
        <v>147</v>
      </c>
      <c r="BF9" t="s">
        <v>147</v>
      </c>
      <c r="BG9" t="s">
        <v>58</v>
      </c>
      <c r="BH9" t="s">
        <v>58</v>
      </c>
      <c r="BI9" t="s">
        <v>147</v>
      </c>
      <c r="BJ9" t="s">
        <v>57</v>
      </c>
      <c r="BK9" t="s">
        <v>57</v>
      </c>
      <c r="BL9" t="s">
        <v>147</v>
      </c>
      <c r="BM9" t="s">
        <v>147</v>
      </c>
      <c r="BN9" t="s">
        <v>57</v>
      </c>
      <c r="BO9" t="s">
        <v>147</v>
      </c>
      <c r="BP9" t="s">
        <v>147</v>
      </c>
      <c r="BQ9" t="s">
        <v>147</v>
      </c>
      <c r="BR9" t="s">
        <v>147</v>
      </c>
      <c r="BS9" t="s">
        <v>147</v>
      </c>
      <c r="BT9" t="s">
        <v>147</v>
      </c>
      <c r="BU9" t="s">
        <v>147</v>
      </c>
      <c r="BV9" t="s">
        <v>147</v>
      </c>
      <c r="BW9" t="s">
        <v>147</v>
      </c>
      <c r="BX9" t="s">
        <v>147</v>
      </c>
      <c r="BY9" t="s">
        <v>147</v>
      </c>
      <c r="BZ9" t="s">
        <v>147</v>
      </c>
      <c r="CA9" t="s">
        <v>147</v>
      </c>
      <c r="CB9" t="s">
        <v>147</v>
      </c>
      <c r="CC9" t="s">
        <v>147</v>
      </c>
      <c r="CD9" t="s">
        <v>147</v>
      </c>
      <c r="CE9" t="s">
        <v>147</v>
      </c>
      <c r="CF9" t="s">
        <v>147</v>
      </c>
      <c r="CG9" t="s">
        <v>147</v>
      </c>
      <c r="CH9" t="s">
        <v>57</v>
      </c>
      <c r="CI9" t="s">
        <v>57</v>
      </c>
      <c r="CJ9" t="s">
        <v>57</v>
      </c>
      <c r="CK9" t="s">
        <v>175</v>
      </c>
      <c r="CL9" t="s">
        <v>175</v>
      </c>
      <c r="CM9" t="s">
        <v>175</v>
      </c>
      <c r="CN9" t="s">
        <v>147</v>
      </c>
      <c r="CO9" t="s">
        <v>147</v>
      </c>
      <c r="CP9" t="s">
        <v>147</v>
      </c>
      <c r="CQ9" t="s">
        <v>147</v>
      </c>
      <c r="CR9" t="s">
        <v>147</v>
      </c>
      <c r="CS9" t="s">
        <v>147</v>
      </c>
      <c r="CT9" t="s">
        <v>147</v>
      </c>
      <c r="CU9" t="s">
        <v>147</v>
      </c>
      <c r="CV9" t="s">
        <v>147</v>
      </c>
      <c r="CW9" t="s">
        <v>147</v>
      </c>
      <c r="CX9" t="s">
        <v>57</v>
      </c>
      <c r="CY9" t="s">
        <v>57</v>
      </c>
      <c r="CZ9" t="s">
        <v>147</v>
      </c>
      <c r="DA9" t="s">
        <v>147</v>
      </c>
      <c r="DB9" t="s">
        <v>147</v>
      </c>
      <c r="DC9" t="s">
        <v>147</v>
      </c>
      <c r="DD9" t="s">
        <v>147</v>
      </c>
      <c r="DE9" t="s">
        <v>147</v>
      </c>
      <c r="DF9" t="s">
        <v>147</v>
      </c>
      <c r="DG9" t="s">
        <v>147</v>
      </c>
      <c r="DH9" t="s">
        <v>147</v>
      </c>
      <c r="DI9" t="s">
        <v>147</v>
      </c>
      <c r="DJ9" t="s">
        <v>147</v>
      </c>
      <c r="DK9" t="s">
        <v>147</v>
      </c>
      <c r="DL9" t="s">
        <v>147</v>
      </c>
      <c r="DM9" t="s">
        <v>147</v>
      </c>
      <c r="DN9" t="s">
        <v>147</v>
      </c>
      <c r="DO9" t="s">
        <v>147</v>
      </c>
      <c r="DP9" t="s">
        <v>147</v>
      </c>
      <c r="DQ9" t="s">
        <v>147</v>
      </c>
      <c r="DR9" t="s">
        <v>147</v>
      </c>
      <c r="DS9" t="s">
        <v>147</v>
      </c>
      <c r="DT9" t="s">
        <v>147</v>
      </c>
      <c r="DU9" t="s">
        <v>147</v>
      </c>
      <c r="DV9" t="s">
        <v>147</v>
      </c>
      <c r="DW9" t="s">
        <v>147</v>
      </c>
      <c r="DX9" t="s">
        <v>147</v>
      </c>
      <c r="DY9" t="s">
        <v>147</v>
      </c>
      <c r="DZ9" t="s">
        <v>147</v>
      </c>
      <c r="EA9" t="s">
        <v>147</v>
      </c>
      <c r="EB9" t="s">
        <v>147</v>
      </c>
      <c r="EC9" t="s">
        <v>147</v>
      </c>
      <c r="ED9" t="s">
        <v>147</v>
      </c>
      <c r="EE9" t="s">
        <v>147</v>
      </c>
      <c r="EF9" t="s">
        <v>147</v>
      </c>
      <c r="EG9" t="s">
        <v>147</v>
      </c>
      <c r="EH9" t="s">
        <v>147</v>
      </c>
      <c r="EI9" t="s">
        <v>147</v>
      </c>
      <c r="EJ9" t="s">
        <v>147</v>
      </c>
      <c r="EK9" t="s">
        <v>147</v>
      </c>
      <c r="EL9" t="s">
        <v>147</v>
      </c>
      <c r="EM9" t="s">
        <v>147</v>
      </c>
      <c r="EN9" t="s">
        <v>147</v>
      </c>
      <c r="EO9" t="s">
        <v>147</v>
      </c>
      <c r="EP9" t="s">
        <v>147</v>
      </c>
      <c r="EQ9" t="s">
        <v>147</v>
      </c>
      <c r="ER9" t="s">
        <v>147</v>
      </c>
      <c r="ES9" t="s">
        <v>147</v>
      </c>
      <c r="ET9" t="s">
        <v>147</v>
      </c>
      <c r="EU9" t="s">
        <v>147</v>
      </c>
      <c r="EV9" t="s">
        <v>147</v>
      </c>
      <c r="EW9" t="s">
        <v>147</v>
      </c>
      <c r="EX9" t="s">
        <v>147</v>
      </c>
      <c r="EY9" t="s">
        <v>147</v>
      </c>
      <c r="EZ9" t="s">
        <v>147</v>
      </c>
      <c r="FA9" t="s">
        <v>147</v>
      </c>
      <c r="FB9" t="s">
        <v>147</v>
      </c>
      <c r="FC9" t="s">
        <v>147</v>
      </c>
      <c r="FD9" t="s">
        <v>147</v>
      </c>
      <c r="FE9" t="s">
        <v>147</v>
      </c>
      <c r="FF9" t="s">
        <v>147</v>
      </c>
      <c r="FG9" t="s">
        <v>147</v>
      </c>
      <c r="FH9" t="s">
        <v>147</v>
      </c>
      <c r="FI9" t="s">
        <v>147</v>
      </c>
      <c r="FJ9" t="s">
        <v>147</v>
      </c>
      <c r="FK9" t="s">
        <v>147</v>
      </c>
      <c r="FL9" t="s">
        <v>147</v>
      </c>
      <c r="FM9" t="s">
        <v>147</v>
      </c>
      <c r="FN9" t="s">
        <v>147</v>
      </c>
      <c r="FO9" t="s">
        <v>147</v>
      </c>
      <c r="FP9" t="s">
        <v>147</v>
      </c>
      <c r="FQ9" t="s">
        <v>147</v>
      </c>
      <c r="FR9" t="s">
        <v>147</v>
      </c>
      <c r="FS9" t="s">
        <v>147</v>
      </c>
      <c r="FT9" t="s">
        <v>147</v>
      </c>
      <c r="FU9" t="s">
        <v>147</v>
      </c>
      <c r="FV9" t="s">
        <v>147</v>
      </c>
      <c r="FW9" t="s">
        <v>147</v>
      </c>
      <c r="FX9" t="s">
        <v>147</v>
      </c>
      <c r="FY9" t="s">
        <v>147</v>
      </c>
      <c r="FZ9" t="s">
        <v>147</v>
      </c>
      <c r="GA9" t="s">
        <v>147</v>
      </c>
      <c r="GB9" t="s">
        <v>147</v>
      </c>
      <c r="GC9" t="s">
        <v>147</v>
      </c>
      <c r="GD9" t="s">
        <v>147</v>
      </c>
      <c r="GE9" t="s">
        <v>147</v>
      </c>
      <c r="GF9" t="s">
        <v>147</v>
      </c>
      <c r="GG9" t="s">
        <v>147</v>
      </c>
      <c r="GH9" t="s">
        <v>57</v>
      </c>
      <c r="GI9" t="s">
        <v>147</v>
      </c>
      <c r="GJ9" t="s">
        <v>147</v>
      </c>
      <c r="GK9" t="s">
        <v>57</v>
      </c>
      <c r="GL9" t="s">
        <v>147</v>
      </c>
      <c r="GM9" t="s">
        <v>147</v>
      </c>
      <c r="GN9" t="s">
        <v>147</v>
      </c>
      <c r="GO9" t="s">
        <v>147</v>
      </c>
      <c r="GP9" t="s">
        <v>147</v>
      </c>
      <c r="GQ9" t="s">
        <v>147</v>
      </c>
      <c r="GR9" t="s">
        <v>147</v>
      </c>
      <c r="GS9" t="s">
        <v>147</v>
      </c>
      <c r="GT9" t="s">
        <v>147</v>
      </c>
      <c r="GU9" t="s">
        <v>147</v>
      </c>
      <c r="GV9" t="s">
        <v>147</v>
      </c>
      <c r="GW9" t="s">
        <v>147</v>
      </c>
      <c r="GX9" t="s">
        <v>147</v>
      </c>
      <c r="GY9" t="s">
        <v>147</v>
      </c>
      <c r="GZ9" t="s">
        <v>147</v>
      </c>
      <c r="HA9" t="s">
        <v>147</v>
      </c>
      <c r="HB9" t="s">
        <v>147</v>
      </c>
      <c r="HC9" t="s">
        <v>147</v>
      </c>
      <c r="HD9" t="s">
        <v>147</v>
      </c>
      <c r="HE9" t="s">
        <v>147</v>
      </c>
      <c r="HF9" t="s">
        <v>147</v>
      </c>
      <c r="HG9" t="s">
        <v>147</v>
      </c>
      <c r="HH9" t="s">
        <v>147</v>
      </c>
      <c r="HI9" t="s">
        <v>147</v>
      </c>
      <c r="HJ9" t="s">
        <v>147</v>
      </c>
      <c r="HK9" t="s">
        <v>147</v>
      </c>
      <c r="HL9" t="s">
        <v>147</v>
      </c>
      <c r="HM9" t="s">
        <v>147</v>
      </c>
      <c r="HN9" t="s">
        <v>147</v>
      </c>
      <c r="HO9" t="s">
        <v>147</v>
      </c>
      <c r="HP9" t="s">
        <v>147</v>
      </c>
      <c r="HQ9" t="s">
        <v>147</v>
      </c>
      <c r="HR9" t="s">
        <v>147</v>
      </c>
      <c r="HS9" t="s">
        <v>147</v>
      </c>
      <c r="HT9" t="s">
        <v>147</v>
      </c>
      <c r="HU9" t="s">
        <v>147</v>
      </c>
      <c r="HV9" t="s">
        <v>147</v>
      </c>
      <c r="HW9" t="s">
        <v>147</v>
      </c>
      <c r="HX9" t="s">
        <v>147</v>
      </c>
      <c r="HY9" t="s">
        <v>147</v>
      </c>
      <c r="HZ9" t="s">
        <v>147</v>
      </c>
      <c r="IA9" t="s">
        <v>147</v>
      </c>
      <c r="IB9" t="s">
        <v>58</v>
      </c>
      <c r="IC9" t="s">
        <v>58</v>
      </c>
      <c r="ID9" t="s">
        <v>58</v>
      </c>
      <c r="IE9" t="s">
        <v>147</v>
      </c>
      <c r="IF9" t="s">
        <v>124</v>
      </c>
      <c r="IG9" t="s">
        <v>148</v>
      </c>
      <c r="IH9" t="s">
        <v>123</v>
      </c>
      <c r="II9" t="s">
        <v>156</v>
      </c>
    </row>
    <row r="10" spans="1:243" x14ac:dyDescent="0.25">
      <c r="A10" s="111" t="str">
        <f>HYPERLINK("http://www.ofsted.gov.uk/inspection-reports/find-inspection-report/provider/ELS/105997 ","Ofsted School Webpage")</f>
        <v>Ofsted School Webpage</v>
      </c>
      <c r="B10">
        <v>105997</v>
      </c>
      <c r="C10">
        <v>3516012</v>
      </c>
      <c r="D10" t="s">
        <v>2087</v>
      </c>
      <c r="E10" t="s">
        <v>36</v>
      </c>
      <c r="F10" t="s">
        <v>166</v>
      </c>
      <c r="G10" t="s">
        <v>162</v>
      </c>
      <c r="H10" t="s">
        <v>162</v>
      </c>
      <c r="I10" t="s">
        <v>409</v>
      </c>
      <c r="J10" t="s">
        <v>2088</v>
      </c>
      <c r="K10" t="s">
        <v>142</v>
      </c>
      <c r="L10" t="s">
        <v>142</v>
      </c>
      <c r="M10" t="s">
        <v>2596</v>
      </c>
      <c r="N10" t="s">
        <v>143</v>
      </c>
      <c r="O10">
        <v>10043701</v>
      </c>
      <c r="P10" s="108">
        <v>43047</v>
      </c>
      <c r="Q10" s="108">
        <v>43047</v>
      </c>
      <c r="R10" s="108">
        <v>43073</v>
      </c>
      <c r="S10" t="s">
        <v>144</v>
      </c>
      <c r="T10" t="s">
        <v>145</v>
      </c>
      <c r="U10" t="s">
        <v>2596</v>
      </c>
      <c r="V10" t="s">
        <v>2596</v>
      </c>
      <c r="W10" t="s">
        <v>2596</v>
      </c>
      <c r="X10" t="s">
        <v>2596</v>
      </c>
      <c r="Y10" t="s">
        <v>2596</v>
      </c>
      <c r="Z10" t="s">
        <v>2596</v>
      </c>
      <c r="AA10" t="s">
        <v>2596</v>
      </c>
      <c r="AB10" t="s">
        <v>2596</v>
      </c>
      <c r="AC10" t="s">
        <v>174</v>
      </c>
      <c r="AD10" t="s">
        <v>2596</v>
      </c>
      <c r="AE10" t="s">
        <v>147</v>
      </c>
      <c r="AF10" t="s">
        <v>147</v>
      </c>
      <c r="AG10" t="s">
        <v>147</v>
      </c>
      <c r="AH10" t="s">
        <v>147</v>
      </c>
      <c r="AI10" t="s">
        <v>147</v>
      </c>
      <c r="AJ10" t="s">
        <v>147</v>
      </c>
      <c r="AK10" t="s">
        <v>147</v>
      </c>
      <c r="AL10" t="s">
        <v>58</v>
      </c>
      <c r="AM10" t="s">
        <v>147</v>
      </c>
      <c r="AN10" t="s">
        <v>147</v>
      </c>
      <c r="AO10" t="s">
        <v>147</v>
      </c>
      <c r="AP10" t="s">
        <v>147</v>
      </c>
      <c r="AQ10" t="s">
        <v>147</v>
      </c>
      <c r="AR10" t="s">
        <v>147</v>
      </c>
      <c r="AS10" t="s">
        <v>147</v>
      </c>
      <c r="AT10" t="s">
        <v>147</v>
      </c>
      <c r="AU10" t="s">
        <v>147</v>
      </c>
      <c r="AV10" t="s">
        <v>147</v>
      </c>
      <c r="AW10" t="s">
        <v>147</v>
      </c>
      <c r="AX10" t="s">
        <v>147</v>
      </c>
      <c r="AY10" t="s">
        <v>147</v>
      </c>
      <c r="AZ10" t="s">
        <v>147</v>
      </c>
      <c r="BA10" t="s">
        <v>147</v>
      </c>
      <c r="BB10" t="s">
        <v>147</v>
      </c>
      <c r="BC10" t="s">
        <v>147</v>
      </c>
      <c r="BD10" t="s">
        <v>147</v>
      </c>
      <c r="BE10" t="s">
        <v>147</v>
      </c>
      <c r="BF10" t="s">
        <v>147</v>
      </c>
      <c r="BG10" t="s">
        <v>58</v>
      </c>
      <c r="BH10" t="s">
        <v>147</v>
      </c>
      <c r="BI10" t="s">
        <v>147</v>
      </c>
      <c r="BJ10" t="s">
        <v>147</v>
      </c>
      <c r="BK10" t="s">
        <v>147</v>
      </c>
      <c r="BL10" t="s">
        <v>147</v>
      </c>
      <c r="BM10" t="s">
        <v>147</v>
      </c>
      <c r="BN10" t="s">
        <v>58</v>
      </c>
      <c r="BO10" t="s">
        <v>147</v>
      </c>
      <c r="BP10" t="s">
        <v>147</v>
      </c>
      <c r="BQ10" t="s">
        <v>147</v>
      </c>
      <c r="BR10" t="s">
        <v>147</v>
      </c>
      <c r="BS10" t="s">
        <v>147</v>
      </c>
      <c r="BT10" t="s">
        <v>147</v>
      </c>
      <c r="BU10" t="s">
        <v>147</v>
      </c>
      <c r="BV10" t="s">
        <v>147</v>
      </c>
      <c r="BW10" t="s">
        <v>147</v>
      </c>
      <c r="BX10" t="s">
        <v>147</v>
      </c>
      <c r="BY10" t="s">
        <v>147</v>
      </c>
      <c r="BZ10" t="s">
        <v>147</v>
      </c>
      <c r="CA10" t="s">
        <v>147</v>
      </c>
      <c r="CB10" t="s">
        <v>147</v>
      </c>
      <c r="CC10" t="s">
        <v>147</v>
      </c>
      <c r="CD10" t="s">
        <v>147</v>
      </c>
      <c r="CE10" t="s">
        <v>147</v>
      </c>
      <c r="CF10" t="s">
        <v>147</v>
      </c>
      <c r="CG10" t="s">
        <v>147</v>
      </c>
      <c r="CH10" t="s">
        <v>147</v>
      </c>
      <c r="CI10" t="s">
        <v>147</v>
      </c>
      <c r="CJ10" t="s">
        <v>147</v>
      </c>
      <c r="CK10" t="s">
        <v>147</v>
      </c>
      <c r="CL10" t="s">
        <v>147</v>
      </c>
      <c r="CM10" t="s">
        <v>147</v>
      </c>
      <c r="CN10" t="s">
        <v>147</v>
      </c>
      <c r="CO10" t="s">
        <v>147</v>
      </c>
      <c r="CP10" t="s">
        <v>147</v>
      </c>
      <c r="CQ10" t="s">
        <v>147</v>
      </c>
      <c r="CR10" t="s">
        <v>147</v>
      </c>
      <c r="CS10" t="s">
        <v>147</v>
      </c>
      <c r="CT10" t="s">
        <v>147</v>
      </c>
      <c r="CU10" t="s">
        <v>147</v>
      </c>
      <c r="CV10" t="s">
        <v>147</v>
      </c>
      <c r="CW10" t="s">
        <v>147</v>
      </c>
      <c r="CX10" t="s">
        <v>147</v>
      </c>
      <c r="CY10" t="s">
        <v>147</v>
      </c>
      <c r="CZ10" t="s">
        <v>147</v>
      </c>
      <c r="DA10" t="s">
        <v>147</v>
      </c>
      <c r="DB10" t="s">
        <v>147</v>
      </c>
      <c r="DC10" t="s">
        <v>147</v>
      </c>
      <c r="DD10" t="s">
        <v>147</v>
      </c>
      <c r="DE10" t="s">
        <v>147</v>
      </c>
      <c r="DF10" t="s">
        <v>147</v>
      </c>
      <c r="DG10" t="s">
        <v>147</v>
      </c>
      <c r="DH10" t="s">
        <v>147</v>
      </c>
      <c r="DI10" t="s">
        <v>147</v>
      </c>
      <c r="DJ10" t="s">
        <v>147</v>
      </c>
      <c r="DK10" t="s">
        <v>147</v>
      </c>
      <c r="DL10" t="s">
        <v>147</v>
      </c>
      <c r="DM10" t="s">
        <v>147</v>
      </c>
      <c r="DN10" t="s">
        <v>147</v>
      </c>
      <c r="DO10" t="s">
        <v>147</v>
      </c>
      <c r="DP10" t="s">
        <v>147</v>
      </c>
      <c r="DQ10" t="s">
        <v>147</v>
      </c>
      <c r="DR10" t="s">
        <v>147</v>
      </c>
      <c r="DS10" t="s">
        <v>147</v>
      </c>
      <c r="DT10" t="s">
        <v>147</v>
      </c>
      <c r="DU10" t="s">
        <v>147</v>
      </c>
      <c r="DV10" t="s">
        <v>147</v>
      </c>
      <c r="DW10" t="s">
        <v>147</v>
      </c>
      <c r="DX10" t="s">
        <v>147</v>
      </c>
      <c r="DY10" t="s">
        <v>147</v>
      </c>
      <c r="DZ10" t="s">
        <v>147</v>
      </c>
      <c r="EA10" t="s">
        <v>147</v>
      </c>
      <c r="EB10" t="s">
        <v>147</v>
      </c>
      <c r="EC10" t="s">
        <v>147</v>
      </c>
      <c r="ED10" t="s">
        <v>147</v>
      </c>
      <c r="EE10" t="s">
        <v>147</v>
      </c>
      <c r="EF10" t="s">
        <v>147</v>
      </c>
      <c r="EG10" t="s">
        <v>147</v>
      </c>
      <c r="EH10" t="s">
        <v>147</v>
      </c>
      <c r="EI10" t="s">
        <v>147</v>
      </c>
      <c r="EJ10" t="s">
        <v>147</v>
      </c>
      <c r="EK10" t="s">
        <v>147</v>
      </c>
      <c r="EL10" t="s">
        <v>147</v>
      </c>
      <c r="EM10" t="s">
        <v>147</v>
      </c>
      <c r="EN10" t="s">
        <v>147</v>
      </c>
      <c r="EO10" t="s">
        <v>147</v>
      </c>
      <c r="EP10" t="s">
        <v>147</v>
      </c>
      <c r="EQ10" t="s">
        <v>147</v>
      </c>
      <c r="ER10" t="s">
        <v>147</v>
      </c>
      <c r="ES10" t="s">
        <v>147</v>
      </c>
      <c r="ET10" t="s">
        <v>147</v>
      </c>
      <c r="EU10" t="s">
        <v>147</v>
      </c>
      <c r="EV10" t="s">
        <v>147</v>
      </c>
      <c r="EW10" t="s">
        <v>147</v>
      </c>
      <c r="EX10" t="s">
        <v>147</v>
      </c>
      <c r="EY10" t="s">
        <v>147</v>
      </c>
      <c r="EZ10" t="s">
        <v>147</v>
      </c>
      <c r="FA10" t="s">
        <v>147</v>
      </c>
      <c r="FB10" t="s">
        <v>147</v>
      </c>
      <c r="FC10" t="s">
        <v>147</v>
      </c>
      <c r="FD10" t="s">
        <v>147</v>
      </c>
      <c r="FE10" t="s">
        <v>147</v>
      </c>
      <c r="FF10" t="s">
        <v>147</v>
      </c>
      <c r="FG10" t="s">
        <v>147</v>
      </c>
      <c r="FH10" t="s">
        <v>147</v>
      </c>
      <c r="FI10" t="s">
        <v>147</v>
      </c>
      <c r="FJ10" t="s">
        <v>147</v>
      </c>
      <c r="FK10" t="s">
        <v>147</v>
      </c>
      <c r="FL10" t="s">
        <v>57</v>
      </c>
      <c r="FM10" t="s">
        <v>147</v>
      </c>
      <c r="FN10" t="s">
        <v>57</v>
      </c>
      <c r="FO10" t="s">
        <v>147</v>
      </c>
      <c r="FP10" t="s">
        <v>147</v>
      </c>
      <c r="FQ10" t="s">
        <v>147</v>
      </c>
      <c r="FR10" t="s">
        <v>147</v>
      </c>
      <c r="FS10" t="s">
        <v>147</v>
      </c>
      <c r="FT10" t="s">
        <v>147</v>
      </c>
      <c r="FU10" t="s">
        <v>147</v>
      </c>
      <c r="FV10" t="s">
        <v>147</v>
      </c>
      <c r="FW10" t="s">
        <v>147</v>
      </c>
      <c r="FX10" t="s">
        <v>147</v>
      </c>
      <c r="FY10" t="s">
        <v>147</v>
      </c>
      <c r="FZ10" t="s">
        <v>147</v>
      </c>
      <c r="GA10" t="s">
        <v>147</v>
      </c>
      <c r="GB10" t="s">
        <v>147</v>
      </c>
      <c r="GC10" t="s">
        <v>147</v>
      </c>
      <c r="GD10" t="s">
        <v>147</v>
      </c>
      <c r="GE10" t="s">
        <v>147</v>
      </c>
      <c r="GF10" t="s">
        <v>147</v>
      </c>
      <c r="GG10" t="s">
        <v>147</v>
      </c>
      <c r="GH10" t="s">
        <v>147</v>
      </c>
      <c r="GI10" t="s">
        <v>147</v>
      </c>
      <c r="GJ10" t="s">
        <v>147</v>
      </c>
      <c r="GK10" t="s">
        <v>147</v>
      </c>
      <c r="GL10" t="s">
        <v>147</v>
      </c>
      <c r="GM10" t="s">
        <v>147</v>
      </c>
      <c r="GN10" t="s">
        <v>147</v>
      </c>
      <c r="GO10" t="s">
        <v>147</v>
      </c>
      <c r="GP10" t="s">
        <v>147</v>
      </c>
      <c r="GQ10" t="s">
        <v>147</v>
      </c>
      <c r="GR10" t="s">
        <v>147</v>
      </c>
      <c r="GS10" t="s">
        <v>147</v>
      </c>
      <c r="GT10" t="s">
        <v>147</v>
      </c>
      <c r="GU10" t="s">
        <v>147</v>
      </c>
      <c r="GV10" t="s">
        <v>147</v>
      </c>
      <c r="GW10" t="s">
        <v>147</v>
      </c>
      <c r="GX10" t="s">
        <v>147</v>
      </c>
      <c r="GY10" t="s">
        <v>147</v>
      </c>
      <c r="GZ10" t="s">
        <v>147</v>
      </c>
      <c r="HA10" t="s">
        <v>147</v>
      </c>
      <c r="HB10" t="s">
        <v>147</v>
      </c>
      <c r="HC10" t="s">
        <v>147</v>
      </c>
      <c r="HD10" t="s">
        <v>147</v>
      </c>
      <c r="HE10" t="s">
        <v>147</v>
      </c>
      <c r="HF10" t="s">
        <v>147</v>
      </c>
      <c r="HG10" t="s">
        <v>147</v>
      </c>
      <c r="HH10" t="s">
        <v>147</v>
      </c>
      <c r="HI10" t="s">
        <v>147</v>
      </c>
      <c r="HJ10" t="s">
        <v>147</v>
      </c>
      <c r="HK10" t="s">
        <v>147</v>
      </c>
      <c r="HL10" t="s">
        <v>147</v>
      </c>
      <c r="HM10" t="s">
        <v>147</v>
      </c>
      <c r="HN10" t="s">
        <v>147</v>
      </c>
      <c r="HO10" t="s">
        <v>147</v>
      </c>
      <c r="HP10" t="s">
        <v>147</v>
      </c>
      <c r="HQ10" t="s">
        <v>147</v>
      </c>
      <c r="HR10" t="s">
        <v>147</v>
      </c>
      <c r="HS10" t="s">
        <v>147</v>
      </c>
      <c r="HT10" t="s">
        <v>147</v>
      </c>
      <c r="HU10" t="s">
        <v>147</v>
      </c>
      <c r="HV10" t="s">
        <v>147</v>
      </c>
      <c r="HW10" t="s">
        <v>147</v>
      </c>
      <c r="HX10" t="s">
        <v>147</v>
      </c>
      <c r="HY10" t="s">
        <v>147</v>
      </c>
      <c r="HZ10" t="s">
        <v>147</v>
      </c>
      <c r="IA10" t="s">
        <v>147</v>
      </c>
      <c r="IB10" t="s">
        <v>58</v>
      </c>
      <c r="IC10" t="s">
        <v>58</v>
      </c>
      <c r="ID10" t="s">
        <v>58</v>
      </c>
      <c r="IE10" t="s">
        <v>57</v>
      </c>
      <c r="IF10" t="s">
        <v>124</v>
      </c>
      <c r="IG10" t="s">
        <v>148</v>
      </c>
      <c r="IH10" t="s">
        <v>123</v>
      </c>
      <c r="II10" t="s">
        <v>156</v>
      </c>
    </row>
    <row r="11" spans="1:243" x14ac:dyDescent="0.25">
      <c r="A11" s="111" t="str">
        <f>HYPERLINK("http://www.ofsted.gov.uk/inspection-reports/find-inspection-report/provider/ELS/106003 ","Ofsted School Webpage")</f>
        <v>Ofsted School Webpage</v>
      </c>
      <c r="B11">
        <v>106003</v>
      </c>
      <c r="C11">
        <v>3556027</v>
      </c>
      <c r="D11" t="s">
        <v>2256</v>
      </c>
      <c r="E11" t="s">
        <v>36</v>
      </c>
      <c r="F11" t="s">
        <v>166</v>
      </c>
      <c r="G11" t="s">
        <v>162</v>
      </c>
      <c r="H11" t="s">
        <v>162</v>
      </c>
      <c r="I11" t="s">
        <v>804</v>
      </c>
      <c r="J11" t="s">
        <v>2257</v>
      </c>
      <c r="K11" t="s">
        <v>776</v>
      </c>
      <c r="L11" t="s">
        <v>275</v>
      </c>
      <c r="M11" t="s">
        <v>2596</v>
      </c>
      <c r="N11" t="s">
        <v>143</v>
      </c>
      <c r="O11">
        <v>10043704</v>
      </c>
      <c r="P11" s="108">
        <v>43061</v>
      </c>
      <c r="Q11" s="108">
        <v>43061</v>
      </c>
      <c r="R11" s="108">
        <v>43109</v>
      </c>
      <c r="S11" t="s">
        <v>144</v>
      </c>
      <c r="T11" t="s">
        <v>145</v>
      </c>
      <c r="U11" t="s">
        <v>2596</v>
      </c>
      <c r="V11" t="s">
        <v>2596</v>
      </c>
      <c r="W11" t="s">
        <v>2596</v>
      </c>
      <c r="X11" t="s">
        <v>2596</v>
      </c>
      <c r="Y11" t="s">
        <v>2596</v>
      </c>
      <c r="Z11" t="s">
        <v>2596</v>
      </c>
      <c r="AA11" t="s">
        <v>2596</v>
      </c>
      <c r="AB11" t="s">
        <v>2596</v>
      </c>
      <c r="AC11" t="s">
        <v>146</v>
      </c>
      <c r="AD11" t="s">
        <v>2596</v>
      </c>
      <c r="AE11" t="s">
        <v>57</v>
      </c>
      <c r="AF11" t="s">
        <v>57</v>
      </c>
      <c r="AG11" t="s">
        <v>57</v>
      </c>
      <c r="AH11" t="s">
        <v>57</v>
      </c>
      <c r="AI11" t="s">
        <v>147</v>
      </c>
      <c r="AJ11" t="s">
        <v>57</v>
      </c>
      <c r="AK11" t="s">
        <v>147</v>
      </c>
      <c r="AL11" t="s">
        <v>57</v>
      </c>
      <c r="AM11" t="s">
        <v>57</v>
      </c>
      <c r="AN11" t="s">
        <v>57</v>
      </c>
      <c r="AO11" t="s">
        <v>147</v>
      </c>
      <c r="AP11" t="s">
        <v>147</v>
      </c>
      <c r="AQ11" t="s">
        <v>147</v>
      </c>
      <c r="AR11" t="s">
        <v>57</v>
      </c>
      <c r="AS11" t="s">
        <v>147</v>
      </c>
      <c r="AT11" t="s">
        <v>147</v>
      </c>
      <c r="AU11" t="s">
        <v>147</v>
      </c>
      <c r="AV11" t="s">
        <v>57</v>
      </c>
      <c r="AW11" t="s">
        <v>147</v>
      </c>
      <c r="AX11" t="s">
        <v>57</v>
      </c>
      <c r="AY11" t="s">
        <v>147</v>
      </c>
      <c r="AZ11" t="s">
        <v>147</v>
      </c>
      <c r="BA11" t="s">
        <v>147</v>
      </c>
      <c r="BB11" t="s">
        <v>147</v>
      </c>
      <c r="BC11" t="s">
        <v>147</v>
      </c>
      <c r="BD11" t="s">
        <v>147</v>
      </c>
      <c r="BE11" t="s">
        <v>147</v>
      </c>
      <c r="BF11" t="s">
        <v>147</v>
      </c>
      <c r="BG11" t="s">
        <v>147</v>
      </c>
      <c r="BH11" t="s">
        <v>147</v>
      </c>
      <c r="BI11" t="s">
        <v>147</v>
      </c>
      <c r="BJ11" t="s">
        <v>147</v>
      </c>
      <c r="BK11" t="s">
        <v>147</v>
      </c>
      <c r="BL11" t="s">
        <v>147</v>
      </c>
      <c r="BM11" t="s">
        <v>147</v>
      </c>
      <c r="BN11" t="s">
        <v>147</v>
      </c>
      <c r="BO11" t="s">
        <v>147</v>
      </c>
      <c r="BP11" t="s">
        <v>147</v>
      </c>
      <c r="BQ11" t="s">
        <v>147</v>
      </c>
      <c r="BR11" t="s">
        <v>147</v>
      </c>
      <c r="BS11" t="s">
        <v>57</v>
      </c>
      <c r="BT11" t="s">
        <v>57</v>
      </c>
      <c r="BU11" t="s">
        <v>57</v>
      </c>
      <c r="BV11" t="s">
        <v>147</v>
      </c>
      <c r="BW11" t="s">
        <v>147</v>
      </c>
      <c r="BX11" t="s">
        <v>147</v>
      </c>
      <c r="BY11" t="s">
        <v>147</v>
      </c>
      <c r="BZ11" t="s">
        <v>147</v>
      </c>
      <c r="CA11" t="s">
        <v>57</v>
      </c>
      <c r="CB11" t="s">
        <v>147</v>
      </c>
      <c r="CC11" t="s">
        <v>147</v>
      </c>
      <c r="CD11" t="s">
        <v>147</v>
      </c>
      <c r="CE11" t="s">
        <v>147</v>
      </c>
      <c r="CF11" t="s">
        <v>147</v>
      </c>
      <c r="CG11" t="s">
        <v>147</v>
      </c>
      <c r="CH11" t="s">
        <v>57</v>
      </c>
      <c r="CI11" t="s">
        <v>57</v>
      </c>
      <c r="CJ11" t="s">
        <v>57</v>
      </c>
      <c r="CK11" t="s">
        <v>175</v>
      </c>
      <c r="CL11" t="s">
        <v>175</v>
      </c>
      <c r="CM11" t="s">
        <v>175</v>
      </c>
      <c r="CN11" t="s">
        <v>147</v>
      </c>
      <c r="CO11" t="s">
        <v>147</v>
      </c>
      <c r="CP11" t="s">
        <v>147</v>
      </c>
      <c r="CQ11" t="s">
        <v>147</v>
      </c>
      <c r="CR11" t="s">
        <v>147</v>
      </c>
      <c r="CS11" t="s">
        <v>147</v>
      </c>
      <c r="CT11" t="s">
        <v>147</v>
      </c>
      <c r="CU11" t="s">
        <v>147</v>
      </c>
      <c r="CV11" t="s">
        <v>147</v>
      </c>
      <c r="CW11" t="s">
        <v>147</v>
      </c>
      <c r="CX11" t="s">
        <v>147</v>
      </c>
      <c r="CY11" t="s">
        <v>147</v>
      </c>
      <c r="CZ11" t="s">
        <v>147</v>
      </c>
      <c r="DA11" t="s">
        <v>57</v>
      </c>
      <c r="DB11" t="s">
        <v>57</v>
      </c>
      <c r="DC11" t="s">
        <v>57</v>
      </c>
      <c r="DD11" t="s">
        <v>57</v>
      </c>
      <c r="DE11" t="s">
        <v>57</v>
      </c>
      <c r="DF11" t="s">
        <v>57</v>
      </c>
      <c r="DG11" t="s">
        <v>57</v>
      </c>
      <c r="DH11" t="s">
        <v>57</v>
      </c>
      <c r="DI11" t="s">
        <v>57</v>
      </c>
      <c r="DJ11" t="s">
        <v>57</v>
      </c>
      <c r="DK11" t="s">
        <v>175</v>
      </c>
      <c r="DL11" t="s">
        <v>57</v>
      </c>
      <c r="DM11" t="s">
        <v>175</v>
      </c>
      <c r="DN11" t="s">
        <v>175</v>
      </c>
      <c r="DO11" t="s">
        <v>175</v>
      </c>
      <c r="DP11" t="s">
        <v>175</v>
      </c>
      <c r="DQ11" t="s">
        <v>175</v>
      </c>
      <c r="DR11" t="s">
        <v>175</v>
      </c>
      <c r="DS11" t="s">
        <v>175</v>
      </c>
      <c r="DT11" t="s">
        <v>175</v>
      </c>
      <c r="DU11" t="s">
        <v>175</v>
      </c>
      <c r="DV11" t="s">
        <v>175</v>
      </c>
      <c r="DW11" t="s">
        <v>175</v>
      </c>
      <c r="DX11" t="s">
        <v>175</v>
      </c>
      <c r="DY11" t="s">
        <v>175</v>
      </c>
      <c r="DZ11" t="s">
        <v>175</v>
      </c>
      <c r="EA11" t="s">
        <v>175</v>
      </c>
      <c r="EB11" t="s">
        <v>175</v>
      </c>
      <c r="EC11" t="s">
        <v>175</v>
      </c>
      <c r="ED11" t="s">
        <v>175</v>
      </c>
      <c r="EE11" t="s">
        <v>175</v>
      </c>
      <c r="EF11" t="s">
        <v>175</v>
      </c>
      <c r="EG11" t="s">
        <v>175</v>
      </c>
      <c r="EH11" t="s">
        <v>175</v>
      </c>
      <c r="EI11" t="s">
        <v>175</v>
      </c>
      <c r="EJ11" t="s">
        <v>57</v>
      </c>
      <c r="EK11" t="s">
        <v>57</v>
      </c>
      <c r="EL11" t="s">
        <v>57</v>
      </c>
      <c r="EM11" t="s">
        <v>57</v>
      </c>
      <c r="EN11" t="s">
        <v>57</v>
      </c>
      <c r="EO11" t="s">
        <v>57</v>
      </c>
      <c r="EP11" t="s">
        <v>57</v>
      </c>
      <c r="EQ11" t="s">
        <v>57</v>
      </c>
      <c r="ER11" t="s">
        <v>57</v>
      </c>
      <c r="ES11" t="s">
        <v>57</v>
      </c>
      <c r="ET11" t="s">
        <v>57</v>
      </c>
      <c r="EU11" t="s">
        <v>57</v>
      </c>
      <c r="EV11" t="s">
        <v>57</v>
      </c>
      <c r="EW11" t="s">
        <v>57</v>
      </c>
      <c r="EX11" t="s">
        <v>175</v>
      </c>
      <c r="EY11" t="s">
        <v>175</v>
      </c>
      <c r="EZ11" t="s">
        <v>175</v>
      </c>
      <c r="FA11" t="s">
        <v>175</v>
      </c>
      <c r="FB11" t="s">
        <v>175</v>
      </c>
      <c r="FC11" t="s">
        <v>175</v>
      </c>
      <c r="FD11" t="s">
        <v>175</v>
      </c>
      <c r="FE11" t="s">
        <v>175</v>
      </c>
      <c r="FF11" t="s">
        <v>175</v>
      </c>
      <c r="FG11" t="s">
        <v>175</v>
      </c>
      <c r="FH11" t="s">
        <v>147</v>
      </c>
      <c r="FI11" t="s">
        <v>147</v>
      </c>
      <c r="FJ11" t="s">
        <v>147</v>
      </c>
      <c r="FK11" t="s">
        <v>147</v>
      </c>
      <c r="FL11" t="s">
        <v>147</v>
      </c>
      <c r="FM11" t="s">
        <v>147</v>
      </c>
      <c r="FN11" t="s">
        <v>147</v>
      </c>
      <c r="FO11" t="s">
        <v>147</v>
      </c>
      <c r="FP11" t="s">
        <v>147</v>
      </c>
      <c r="FQ11" t="s">
        <v>147</v>
      </c>
      <c r="FR11" t="s">
        <v>147</v>
      </c>
      <c r="FS11" t="s">
        <v>147</v>
      </c>
      <c r="FT11" t="s">
        <v>147</v>
      </c>
      <c r="FU11" t="s">
        <v>147</v>
      </c>
      <c r="FV11" t="s">
        <v>147</v>
      </c>
      <c r="FW11" t="s">
        <v>147</v>
      </c>
      <c r="FX11" t="s">
        <v>147</v>
      </c>
      <c r="FY11" t="s">
        <v>147</v>
      </c>
      <c r="FZ11" t="s">
        <v>147</v>
      </c>
      <c r="GA11" t="s">
        <v>147</v>
      </c>
      <c r="GB11" t="s">
        <v>147</v>
      </c>
      <c r="GC11" t="s">
        <v>147</v>
      </c>
      <c r="GD11" t="s">
        <v>147</v>
      </c>
      <c r="GE11" t="s">
        <v>147</v>
      </c>
      <c r="GF11" t="s">
        <v>147</v>
      </c>
      <c r="GG11" t="s">
        <v>147</v>
      </c>
      <c r="GH11" t="s">
        <v>57</v>
      </c>
      <c r="GI11" t="s">
        <v>147</v>
      </c>
      <c r="GJ11" t="s">
        <v>147</v>
      </c>
      <c r="GK11" t="s">
        <v>57</v>
      </c>
      <c r="GL11" t="s">
        <v>147</v>
      </c>
      <c r="GM11" t="s">
        <v>147</v>
      </c>
      <c r="GN11" t="s">
        <v>147</v>
      </c>
      <c r="GO11" t="s">
        <v>147</v>
      </c>
      <c r="GP11" t="s">
        <v>147</v>
      </c>
      <c r="GQ11" t="s">
        <v>147</v>
      </c>
      <c r="GR11" t="s">
        <v>147</v>
      </c>
      <c r="GS11" t="s">
        <v>147</v>
      </c>
      <c r="GT11" t="s">
        <v>147</v>
      </c>
      <c r="GU11" t="s">
        <v>147</v>
      </c>
      <c r="GV11" t="s">
        <v>147</v>
      </c>
      <c r="GW11" t="s">
        <v>147</v>
      </c>
      <c r="GX11" t="s">
        <v>147</v>
      </c>
      <c r="GY11" t="s">
        <v>147</v>
      </c>
      <c r="GZ11" t="s">
        <v>147</v>
      </c>
      <c r="HA11" t="s">
        <v>147</v>
      </c>
      <c r="HB11" t="s">
        <v>147</v>
      </c>
      <c r="HC11" t="s">
        <v>147</v>
      </c>
      <c r="HD11" t="s">
        <v>147</v>
      </c>
      <c r="HE11" t="s">
        <v>147</v>
      </c>
      <c r="HF11" t="s">
        <v>147</v>
      </c>
      <c r="HG11" t="s">
        <v>147</v>
      </c>
      <c r="HH11" t="s">
        <v>147</v>
      </c>
      <c r="HI11" t="s">
        <v>147</v>
      </c>
      <c r="HJ11" t="s">
        <v>147</v>
      </c>
      <c r="HK11" t="s">
        <v>147</v>
      </c>
      <c r="HL11" t="s">
        <v>147</v>
      </c>
      <c r="HM11" t="s">
        <v>147</v>
      </c>
      <c r="HN11" t="s">
        <v>147</v>
      </c>
      <c r="HO11" t="s">
        <v>147</v>
      </c>
      <c r="HP11" t="s">
        <v>147</v>
      </c>
      <c r="HQ11" t="s">
        <v>147</v>
      </c>
      <c r="HR11" t="s">
        <v>147</v>
      </c>
      <c r="HS11" t="s">
        <v>147</v>
      </c>
      <c r="HT11" t="s">
        <v>147</v>
      </c>
      <c r="HU11" t="s">
        <v>147</v>
      </c>
      <c r="HV11" t="s">
        <v>147</v>
      </c>
      <c r="HW11" t="s">
        <v>147</v>
      </c>
      <c r="HX11" t="s">
        <v>147</v>
      </c>
      <c r="HY11" t="s">
        <v>147</v>
      </c>
      <c r="HZ11" t="s">
        <v>147</v>
      </c>
      <c r="IA11" t="s">
        <v>147</v>
      </c>
      <c r="IB11" t="s">
        <v>57</v>
      </c>
      <c r="IC11" t="s">
        <v>57</v>
      </c>
      <c r="ID11" t="s">
        <v>57</v>
      </c>
      <c r="IE11" t="s">
        <v>57</v>
      </c>
      <c r="IF11" t="s">
        <v>124</v>
      </c>
      <c r="IG11" t="s">
        <v>148</v>
      </c>
      <c r="IH11" t="s">
        <v>123</v>
      </c>
      <c r="II11" t="s">
        <v>156</v>
      </c>
    </row>
    <row r="12" spans="1:243" x14ac:dyDescent="0.25">
      <c r="A12" s="111" t="str">
        <f>HYPERLINK("http://www.ofsted.gov.uk/inspection-reports/find-inspection-report/provider/ELS/107461 ","Ofsted School Webpage")</f>
        <v>Ofsted School Webpage</v>
      </c>
      <c r="B12">
        <v>107461</v>
      </c>
      <c r="C12">
        <v>3806110</v>
      </c>
      <c r="D12" t="s">
        <v>2156</v>
      </c>
      <c r="E12" t="s">
        <v>36</v>
      </c>
      <c r="F12" t="s">
        <v>166</v>
      </c>
      <c r="G12" t="s">
        <v>202</v>
      </c>
      <c r="H12" t="s">
        <v>203</v>
      </c>
      <c r="I12" t="s">
        <v>295</v>
      </c>
      <c r="J12" t="s">
        <v>2157</v>
      </c>
      <c r="K12" t="s">
        <v>142</v>
      </c>
      <c r="L12" t="s">
        <v>169</v>
      </c>
      <c r="M12" t="s">
        <v>2596</v>
      </c>
      <c r="N12" t="s">
        <v>143</v>
      </c>
      <c r="O12">
        <v>10041417</v>
      </c>
      <c r="P12" s="108">
        <v>43041</v>
      </c>
      <c r="Q12" s="108">
        <v>43041</v>
      </c>
      <c r="R12" s="108">
        <v>43082</v>
      </c>
      <c r="S12" t="s">
        <v>144</v>
      </c>
      <c r="T12" t="s">
        <v>145</v>
      </c>
      <c r="U12" t="s">
        <v>2596</v>
      </c>
      <c r="V12" t="s">
        <v>2596</v>
      </c>
      <c r="W12" t="s">
        <v>2596</v>
      </c>
      <c r="X12" t="s">
        <v>2596</v>
      </c>
      <c r="Y12" t="s">
        <v>2596</v>
      </c>
      <c r="Z12" t="s">
        <v>2596</v>
      </c>
      <c r="AA12" t="s">
        <v>2596</v>
      </c>
      <c r="AB12" t="s">
        <v>2596</v>
      </c>
      <c r="AC12" t="s">
        <v>146</v>
      </c>
      <c r="AD12" t="s">
        <v>2596</v>
      </c>
      <c r="AE12" t="s">
        <v>147</v>
      </c>
      <c r="AF12" t="s">
        <v>147</v>
      </c>
      <c r="AG12" t="s">
        <v>57</v>
      </c>
      <c r="AH12" t="s">
        <v>147</v>
      </c>
      <c r="AI12" t="s">
        <v>147</v>
      </c>
      <c r="AJ12" t="s">
        <v>147</v>
      </c>
      <c r="AK12" t="s">
        <v>147</v>
      </c>
      <c r="AL12" t="s">
        <v>57</v>
      </c>
      <c r="AM12" t="s">
        <v>147</v>
      </c>
      <c r="AN12" t="s">
        <v>147</v>
      </c>
      <c r="AO12" t="s">
        <v>147</v>
      </c>
      <c r="AP12" t="s">
        <v>147</v>
      </c>
      <c r="AQ12" t="s">
        <v>147</v>
      </c>
      <c r="AR12" t="s">
        <v>147</v>
      </c>
      <c r="AS12" t="s">
        <v>147</v>
      </c>
      <c r="AT12" t="s">
        <v>147</v>
      </c>
      <c r="AU12" t="s">
        <v>147</v>
      </c>
      <c r="AV12" t="s">
        <v>147</v>
      </c>
      <c r="AW12" t="s">
        <v>147</v>
      </c>
      <c r="AX12" t="s">
        <v>147</v>
      </c>
      <c r="AY12" t="s">
        <v>147</v>
      </c>
      <c r="AZ12" t="s">
        <v>147</v>
      </c>
      <c r="BA12" t="s">
        <v>147</v>
      </c>
      <c r="BB12" t="s">
        <v>147</v>
      </c>
      <c r="BC12" t="s">
        <v>147</v>
      </c>
      <c r="BD12" t="s">
        <v>147</v>
      </c>
      <c r="BE12" t="s">
        <v>147</v>
      </c>
      <c r="BF12" t="s">
        <v>147</v>
      </c>
      <c r="BG12" t="s">
        <v>147</v>
      </c>
      <c r="BH12" t="s">
        <v>147</v>
      </c>
      <c r="BI12" t="s">
        <v>147</v>
      </c>
      <c r="BJ12" t="s">
        <v>147</v>
      </c>
      <c r="BK12" t="s">
        <v>147</v>
      </c>
      <c r="BL12" t="s">
        <v>147</v>
      </c>
      <c r="BM12" t="s">
        <v>147</v>
      </c>
      <c r="BN12" t="s">
        <v>147</v>
      </c>
      <c r="BO12" t="s">
        <v>147</v>
      </c>
      <c r="BP12" t="s">
        <v>147</v>
      </c>
      <c r="BQ12" t="s">
        <v>147</v>
      </c>
      <c r="BR12" t="s">
        <v>147</v>
      </c>
      <c r="BS12" t="s">
        <v>147</v>
      </c>
      <c r="BT12" t="s">
        <v>147</v>
      </c>
      <c r="BU12" t="s">
        <v>147</v>
      </c>
      <c r="BV12" t="s">
        <v>147</v>
      </c>
      <c r="BW12" t="s">
        <v>147</v>
      </c>
      <c r="BX12" t="s">
        <v>147</v>
      </c>
      <c r="BY12" t="s">
        <v>147</v>
      </c>
      <c r="BZ12" t="s">
        <v>147</v>
      </c>
      <c r="CA12" t="s">
        <v>147</v>
      </c>
      <c r="CB12" t="s">
        <v>147</v>
      </c>
      <c r="CC12" t="s">
        <v>147</v>
      </c>
      <c r="CD12" t="s">
        <v>147</v>
      </c>
      <c r="CE12" t="s">
        <v>147</v>
      </c>
      <c r="CF12" t="s">
        <v>147</v>
      </c>
      <c r="CG12" t="s">
        <v>147</v>
      </c>
      <c r="CH12" t="s">
        <v>57</v>
      </c>
      <c r="CI12" t="s">
        <v>57</v>
      </c>
      <c r="CJ12" t="s">
        <v>57</v>
      </c>
      <c r="CK12" t="s">
        <v>175</v>
      </c>
      <c r="CL12" t="s">
        <v>175</v>
      </c>
      <c r="CM12" t="s">
        <v>175</v>
      </c>
      <c r="CN12" t="s">
        <v>147</v>
      </c>
      <c r="CO12" t="s">
        <v>147</v>
      </c>
      <c r="CP12" t="s">
        <v>147</v>
      </c>
      <c r="CQ12" t="s">
        <v>147</v>
      </c>
      <c r="CR12" t="s">
        <v>147</v>
      </c>
      <c r="CS12" t="s">
        <v>147</v>
      </c>
      <c r="CT12" t="s">
        <v>147</v>
      </c>
      <c r="CU12" t="s">
        <v>147</v>
      </c>
      <c r="CV12" t="s">
        <v>147</v>
      </c>
      <c r="CW12" t="s">
        <v>147</v>
      </c>
      <c r="CX12" t="s">
        <v>147</v>
      </c>
      <c r="CY12" t="s">
        <v>147</v>
      </c>
      <c r="CZ12" t="s">
        <v>147</v>
      </c>
      <c r="DA12" t="s">
        <v>147</v>
      </c>
      <c r="DB12" t="s">
        <v>147</v>
      </c>
      <c r="DC12" t="s">
        <v>147</v>
      </c>
      <c r="DD12" t="s">
        <v>147</v>
      </c>
      <c r="DE12" t="s">
        <v>147</v>
      </c>
      <c r="DF12" t="s">
        <v>147</v>
      </c>
      <c r="DG12" t="s">
        <v>147</v>
      </c>
      <c r="DH12" t="s">
        <v>147</v>
      </c>
      <c r="DI12" t="s">
        <v>147</v>
      </c>
      <c r="DJ12" t="s">
        <v>147</v>
      </c>
      <c r="DK12" t="s">
        <v>147</v>
      </c>
      <c r="DL12" t="s">
        <v>147</v>
      </c>
      <c r="DM12" t="s">
        <v>147</v>
      </c>
      <c r="DN12" t="s">
        <v>147</v>
      </c>
      <c r="DO12" t="s">
        <v>147</v>
      </c>
      <c r="DP12" t="s">
        <v>147</v>
      </c>
      <c r="DQ12" t="s">
        <v>147</v>
      </c>
      <c r="DR12" t="s">
        <v>147</v>
      </c>
      <c r="DS12" t="s">
        <v>147</v>
      </c>
      <c r="DT12" t="s">
        <v>147</v>
      </c>
      <c r="DU12" t="s">
        <v>147</v>
      </c>
      <c r="DV12" t="s">
        <v>147</v>
      </c>
      <c r="DW12" t="s">
        <v>147</v>
      </c>
      <c r="DX12" t="s">
        <v>147</v>
      </c>
      <c r="DY12" t="s">
        <v>147</v>
      </c>
      <c r="DZ12" t="s">
        <v>147</v>
      </c>
      <c r="EA12" t="s">
        <v>147</v>
      </c>
      <c r="EB12" t="s">
        <v>147</v>
      </c>
      <c r="EC12" t="s">
        <v>147</v>
      </c>
      <c r="ED12" t="s">
        <v>147</v>
      </c>
      <c r="EE12" t="s">
        <v>147</v>
      </c>
      <c r="EF12" t="s">
        <v>147</v>
      </c>
      <c r="EG12" t="s">
        <v>147</v>
      </c>
      <c r="EH12" t="s">
        <v>147</v>
      </c>
      <c r="EI12" t="s">
        <v>147</v>
      </c>
      <c r="EJ12" t="s">
        <v>147</v>
      </c>
      <c r="EK12" t="s">
        <v>147</v>
      </c>
      <c r="EL12" t="s">
        <v>147</v>
      </c>
      <c r="EM12" t="s">
        <v>147</v>
      </c>
      <c r="EN12" t="s">
        <v>147</v>
      </c>
      <c r="EO12" t="s">
        <v>147</v>
      </c>
      <c r="EP12" t="s">
        <v>147</v>
      </c>
      <c r="EQ12" t="s">
        <v>147</v>
      </c>
      <c r="ER12" t="s">
        <v>147</v>
      </c>
      <c r="ES12" t="s">
        <v>147</v>
      </c>
      <c r="ET12" t="s">
        <v>147</v>
      </c>
      <c r="EU12" t="s">
        <v>147</v>
      </c>
      <c r="EV12" t="s">
        <v>147</v>
      </c>
      <c r="EW12" t="s">
        <v>147</v>
      </c>
      <c r="EX12" t="s">
        <v>147</v>
      </c>
      <c r="EY12" t="s">
        <v>147</v>
      </c>
      <c r="EZ12" t="s">
        <v>147</v>
      </c>
      <c r="FA12" t="s">
        <v>147</v>
      </c>
      <c r="FB12" t="s">
        <v>147</v>
      </c>
      <c r="FC12" t="s">
        <v>147</v>
      </c>
      <c r="FD12" t="s">
        <v>147</v>
      </c>
      <c r="FE12" t="s">
        <v>147</v>
      </c>
      <c r="FF12" t="s">
        <v>147</v>
      </c>
      <c r="FG12" t="s">
        <v>147</v>
      </c>
      <c r="FH12" t="s">
        <v>147</v>
      </c>
      <c r="FI12" t="s">
        <v>147</v>
      </c>
      <c r="FJ12" t="s">
        <v>147</v>
      </c>
      <c r="FK12" t="s">
        <v>147</v>
      </c>
      <c r="FL12" t="s">
        <v>147</v>
      </c>
      <c r="FM12" t="s">
        <v>147</v>
      </c>
      <c r="FN12" t="s">
        <v>147</v>
      </c>
      <c r="FO12" t="s">
        <v>147</v>
      </c>
      <c r="FP12" t="s">
        <v>147</v>
      </c>
      <c r="FQ12" t="s">
        <v>147</v>
      </c>
      <c r="FR12" t="s">
        <v>147</v>
      </c>
      <c r="FS12" t="s">
        <v>147</v>
      </c>
      <c r="FT12" t="s">
        <v>147</v>
      </c>
      <c r="FU12" t="s">
        <v>147</v>
      </c>
      <c r="FV12" t="s">
        <v>147</v>
      </c>
      <c r="FW12" t="s">
        <v>147</v>
      </c>
      <c r="FX12" t="s">
        <v>147</v>
      </c>
      <c r="FY12" t="s">
        <v>147</v>
      </c>
      <c r="FZ12" t="s">
        <v>147</v>
      </c>
      <c r="GA12" t="s">
        <v>147</v>
      </c>
      <c r="GB12" t="s">
        <v>147</v>
      </c>
      <c r="GC12" t="s">
        <v>147</v>
      </c>
      <c r="GD12" t="s">
        <v>147</v>
      </c>
      <c r="GE12" t="s">
        <v>147</v>
      </c>
      <c r="GF12" t="s">
        <v>147</v>
      </c>
      <c r="GG12" t="s">
        <v>147</v>
      </c>
      <c r="GH12" t="s">
        <v>147</v>
      </c>
      <c r="GI12" t="s">
        <v>147</v>
      </c>
      <c r="GJ12" t="s">
        <v>147</v>
      </c>
      <c r="GK12" t="s">
        <v>147</v>
      </c>
      <c r="GL12" t="s">
        <v>147</v>
      </c>
      <c r="GM12" t="s">
        <v>147</v>
      </c>
      <c r="GN12" t="s">
        <v>147</v>
      </c>
      <c r="GO12" t="s">
        <v>147</v>
      </c>
      <c r="GP12" t="s">
        <v>147</v>
      </c>
      <c r="GQ12" t="s">
        <v>147</v>
      </c>
      <c r="GR12" t="s">
        <v>147</v>
      </c>
      <c r="GS12" t="s">
        <v>57</v>
      </c>
      <c r="GT12" t="s">
        <v>57</v>
      </c>
      <c r="GU12" t="s">
        <v>57</v>
      </c>
      <c r="GV12" t="s">
        <v>57</v>
      </c>
      <c r="GW12" t="s">
        <v>57</v>
      </c>
      <c r="GX12" t="s">
        <v>57</v>
      </c>
      <c r="GY12" t="s">
        <v>147</v>
      </c>
      <c r="GZ12" t="s">
        <v>147</v>
      </c>
      <c r="HA12" t="s">
        <v>147</v>
      </c>
      <c r="HB12" t="s">
        <v>147</v>
      </c>
      <c r="HC12" t="s">
        <v>147</v>
      </c>
      <c r="HD12" t="s">
        <v>147</v>
      </c>
      <c r="HE12" t="s">
        <v>147</v>
      </c>
      <c r="HF12" t="s">
        <v>147</v>
      </c>
      <c r="HG12" t="s">
        <v>147</v>
      </c>
      <c r="HH12" t="s">
        <v>147</v>
      </c>
      <c r="HI12" t="s">
        <v>147</v>
      </c>
      <c r="HJ12" t="s">
        <v>147</v>
      </c>
      <c r="HK12" t="s">
        <v>147</v>
      </c>
      <c r="HL12" t="s">
        <v>147</v>
      </c>
      <c r="HM12" t="s">
        <v>147</v>
      </c>
      <c r="HN12" t="s">
        <v>147</v>
      </c>
      <c r="HO12" t="s">
        <v>147</v>
      </c>
      <c r="HP12" t="s">
        <v>147</v>
      </c>
      <c r="HQ12" t="s">
        <v>147</v>
      </c>
      <c r="HR12" t="s">
        <v>147</v>
      </c>
      <c r="HS12" t="s">
        <v>147</v>
      </c>
      <c r="HT12" t="s">
        <v>147</v>
      </c>
      <c r="HU12" t="s">
        <v>147</v>
      </c>
      <c r="HV12" t="s">
        <v>147</v>
      </c>
      <c r="HW12" t="s">
        <v>147</v>
      </c>
      <c r="HX12" t="s">
        <v>147</v>
      </c>
      <c r="HY12" t="s">
        <v>147</v>
      </c>
      <c r="HZ12" t="s">
        <v>147</v>
      </c>
      <c r="IA12" t="s">
        <v>147</v>
      </c>
      <c r="IB12" t="s">
        <v>57</v>
      </c>
      <c r="IC12" t="s">
        <v>57</v>
      </c>
      <c r="ID12" t="s">
        <v>57</v>
      </c>
      <c r="IE12" t="s">
        <v>57</v>
      </c>
      <c r="IF12" t="s">
        <v>124</v>
      </c>
      <c r="IG12" t="s">
        <v>148</v>
      </c>
      <c r="IH12" t="s">
        <v>123</v>
      </c>
      <c r="II12" t="s">
        <v>156</v>
      </c>
    </row>
    <row r="13" spans="1:243" x14ac:dyDescent="0.25">
      <c r="A13" s="111" t="str">
        <f>HYPERLINK("http://www.ofsted.gov.uk/inspection-reports/find-inspection-report/provider/ELS/107792 ","Ofsted School Webpage")</f>
        <v>Ofsted School Webpage</v>
      </c>
      <c r="B13">
        <v>107792</v>
      </c>
      <c r="C13">
        <v>3826015</v>
      </c>
      <c r="D13" t="s">
        <v>2470</v>
      </c>
      <c r="E13" t="s">
        <v>36</v>
      </c>
      <c r="F13" t="s">
        <v>166</v>
      </c>
      <c r="G13" t="s">
        <v>202</v>
      </c>
      <c r="H13" t="s">
        <v>203</v>
      </c>
      <c r="I13" t="s">
        <v>720</v>
      </c>
      <c r="J13" t="s">
        <v>2471</v>
      </c>
      <c r="K13" t="s">
        <v>142</v>
      </c>
      <c r="L13" t="s">
        <v>180</v>
      </c>
      <c r="M13" t="s">
        <v>2596</v>
      </c>
      <c r="N13" t="s">
        <v>143</v>
      </c>
      <c r="O13">
        <v>10040369</v>
      </c>
      <c r="P13" s="108">
        <v>43069</v>
      </c>
      <c r="Q13" s="108">
        <v>43070</v>
      </c>
      <c r="R13" s="108">
        <v>43115</v>
      </c>
      <c r="S13" t="s">
        <v>144</v>
      </c>
      <c r="T13" t="s">
        <v>145</v>
      </c>
      <c r="U13" t="s">
        <v>2596</v>
      </c>
      <c r="V13" t="s">
        <v>2596</v>
      </c>
      <c r="W13" t="s">
        <v>2596</v>
      </c>
      <c r="X13" t="s">
        <v>2596</v>
      </c>
      <c r="Y13" t="s">
        <v>2596</v>
      </c>
      <c r="Z13" t="s">
        <v>2596</v>
      </c>
      <c r="AA13" t="s">
        <v>2596</v>
      </c>
      <c r="AB13" t="s">
        <v>2596</v>
      </c>
      <c r="AC13" t="s">
        <v>174</v>
      </c>
      <c r="AD13" t="s">
        <v>2596</v>
      </c>
      <c r="AE13" t="s">
        <v>147</v>
      </c>
      <c r="AF13" t="s">
        <v>147</v>
      </c>
      <c r="AG13" t="s">
        <v>58</v>
      </c>
      <c r="AH13" t="s">
        <v>57</v>
      </c>
      <c r="AI13" t="s">
        <v>147</v>
      </c>
      <c r="AJ13" t="s">
        <v>57</v>
      </c>
      <c r="AK13" t="s">
        <v>147</v>
      </c>
      <c r="AL13" t="s">
        <v>58</v>
      </c>
      <c r="AM13" t="s">
        <v>147</v>
      </c>
      <c r="AN13" t="s">
        <v>147</v>
      </c>
      <c r="AO13" t="s">
        <v>147</v>
      </c>
      <c r="AP13" t="s">
        <v>147</v>
      </c>
      <c r="AQ13" t="s">
        <v>147</v>
      </c>
      <c r="AR13" t="s">
        <v>58</v>
      </c>
      <c r="AS13" t="s">
        <v>147</v>
      </c>
      <c r="AT13" t="s">
        <v>147</v>
      </c>
      <c r="AU13" t="s">
        <v>147</v>
      </c>
      <c r="AV13" t="s">
        <v>147</v>
      </c>
      <c r="AW13" t="s">
        <v>147</v>
      </c>
      <c r="AX13" t="s">
        <v>147</v>
      </c>
      <c r="AY13" t="s">
        <v>58</v>
      </c>
      <c r="AZ13" t="s">
        <v>58</v>
      </c>
      <c r="BA13" t="s">
        <v>58</v>
      </c>
      <c r="BB13" t="s">
        <v>58</v>
      </c>
      <c r="BC13" t="s">
        <v>147</v>
      </c>
      <c r="BD13" t="s">
        <v>147</v>
      </c>
      <c r="BE13" t="s">
        <v>147</v>
      </c>
      <c r="BF13" t="s">
        <v>147</v>
      </c>
      <c r="BG13" t="s">
        <v>58</v>
      </c>
      <c r="BH13" t="s">
        <v>58</v>
      </c>
      <c r="BI13" t="s">
        <v>57</v>
      </c>
      <c r="BJ13" t="s">
        <v>58</v>
      </c>
      <c r="BK13" t="s">
        <v>58</v>
      </c>
      <c r="BL13" t="s">
        <v>57</v>
      </c>
      <c r="BM13" t="s">
        <v>57</v>
      </c>
      <c r="BN13" t="s">
        <v>58</v>
      </c>
      <c r="BO13" t="s">
        <v>57</v>
      </c>
      <c r="BP13" t="s">
        <v>57</v>
      </c>
      <c r="BQ13" t="s">
        <v>57</v>
      </c>
      <c r="BR13" t="s">
        <v>58</v>
      </c>
      <c r="BS13" t="s">
        <v>147</v>
      </c>
      <c r="BT13" t="s">
        <v>147</v>
      </c>
      <c r="BU13" t="s">
        <v>147</v>
      </c>
      <c r="BV13" t="s">
        <v>147</v>
      </c>
      <c r="BW13" t="s">
        <v>147</v>
      </c>
      <c r="BX13" t="s">
        <v>147</v>
      </c>
      <c r="BY13" t="s">
        <v>147</v>
      </c>
      <c r="BZ13" t="s">
        <v>147</v>
      </c>
      <c r="CA13" t="s">
        <v>147</v>
      </c>
      <c r="CB13" t="s">
        <v>147</v>
      </c>
      <c r="CC13" t="s">
        <v>147</v>
      </c>
      <c r="CD13" t="s">
        <v>147</v>
      </c>
      <c r="CE13" t="s">
        <v>147</v>
      </c>
      <c r="CF13" t="s">
        <v>147</v>
      </c>
      <c r="CG13" t="s">
        <v>147</v>
      </c>
      <c r="CH13" t="s">
        <v>58</v>
      </c>
      <c r="CI13" t="s">
        <v>58</v>
      </c>
      <c r="CJ13" t="s">
        <v>58</v>
      </c>
      <c r="CK13" t="s">
        <v>147</v>
      </c>
      <c r="CL13" t="s">
        <v>147</v>
      </c>
      <c r="CM13" t="s">
        <v>147</v>
      </c>
      <c r="CN13" t="s">
        <v>58</v>
      </c>
      <c r="CO13" t="s">
        <v>58</v>
      </c>
      <c r="CP13" t="s">
        <v>58</v>
      </c>
      <c r="CQ13" t="s">
        <v>58</v>
      </c>
      <c r="CR13" t="s">
        <v>57</v>
      </c>
      <c r="CS13" t="s">
        <v>147</v>
      </c>
      <c r="CT13" t="s">
        <v>147</v>
      </c>
      <c r="CU13" t="s">
        <v>147</v>
      </c>
      <c r="CV13" t="s">
        <v>57</v>
      </c>
      <c r="CW13" t="s">
        <v>147</v>
      </c>
      <c r="CX13" t="s">
        <v>147</v>
      </c>
      <c r="CY13" t="s">
        <v>147</v>
      </c>
      <c r="CZ13" t="s">
        <v>147</v>
      </c>
      <c r="DA13" t="s">
        <v>57</v>
      </c>
      <c r="DB13" t="s">
        <v>57</v>
      </c>
      <c r="DC13" t="s">
        <v>57</v>
      </c>
      <c r="DD13" t="s">
        <v>57</v>
      </c>
      <c r="DE13" t="s">
        <v>57</v>
      </c>
      <c r="DF13" t="s">
        <v>57</v>
      </c>
      <c r="DG13" t="s">
        <v>57</v>
      </c>
      <c r="DH13" t="s">
        <v>57</v>
      </c>
      <c r="DI13" t="s">
        <v>57</v>
      </c>
      <c r="DJ13" t="s">
        <v>57</v>
      </c>
      <c r="DK13" t="s">
        <v>175</v>
      </c>
      <c r="DL13" t="s">
        <v>57</v>
      </c>
      <c r="DM13" t="s">
        <v>175</v>
      </c>
      <c r="DN13" t="s">
        <v>175</v>
      </c>
      <c r="DO13" t="s">
        <v>175</v>
      </c>
      <c r="DP13" t="s">
        <v>175</v>
      </c>
      <c r="DQ13" t="s">
        <v>175</v>
      </c>
      <c r="DR13" t="s">
        <v>175</v>
      </c>
      <c r="DS13" t="s">
        <v>175</v>
      </c>
      <c r="DT13" t="s">
        <v>175</v>
      </c>
      <c r="DU13" t="s">
        <v>175</v>
      </c>
      <c r="DV13" t="s">
        <v>175</v>
      </c>
      <c r="DW13" t="s">
        <v>175</v>
      </c>
      <c r="DX13" t="s">
        <v>175</v>
      </c>
      <c r="DY13" t="s">
        <v>175</v>
      </c>
      <c r="DZ13" t="s">
        <v>175</v>
      </c>
      <c r="EA13" t="s">
        <v>57</v>
      </c>
      <c r="EB13" t="s">
        <v>57</v>
      </c>
      <c r="EC13" t="s">
        <v>57</v>
      </c>
      <c r="ED13" t="s">
        <v>57</v>
      </c>
      <c r="EE13" t="s">
        <v>57</v>
      </c>
      <c r="EF13" t="s">
        <v>57</v>
      </c>
      <c r="EG13" t="s">
        <v>57</v>
      </c>
      <c r="EH13" t="s">
        <v>57</v>
      </c>
      <c r="EI13" t="s">
        <v>57</v>
      </c>
      <c r="EJ13" t="s">
        <v>57</v>
      </c>
      <c r="EK13" t="s">
        <v>57</v>
      </c>
      <c r="EL13" t="s">
        <v>57</v>
      </c>
      <c r="EM13" t="s">
        <v>57</v>
      </c>
      <c r="EN13" t="s">
        <v>57</v>
      </c>
      <c r="EO13" t="s">
        <v>57</v>
      </c>
      <c r="EP13" t="s">
        <v>57</v>
      </c>
      <c r="EQ13" t="s">
        <v>57</v>
      </c>
      <c r="ER13" t="s">
        <v>57</v>
      </c>
      <c r="ES13" t="s">
        <v>57</v>
      </c>
      <c r="ET13" t="s">
        <v>57</v>
      </c>
      <c r="EU13" t="s">
        <v>57</v>
      </c>
      <c r="EV13" t="s">
        <v>57</v>
      </c>
      <c r="EW13" t="s">
        <v>57</v>
      </c>
      <c r="EX13" t="s">
        <v>175</v>
      </c>
      <c r="EY13" t="s">
        <v>175</v>
      </c>
      <c r="EZ13" t="s">
        <v>175</v>
      </c>
      <c r="FA13" t="s">
        <v>175</v>
      </c>
      <c r="FB13" t="s">
        <v>175</v>
      </c>
      <c r="FC13" t="s">
        <v>175</v>
      </c>
      <c r="FD13" t="s">
        <v>57</v>
      </c>
      <c r="FE13" t="s">
        <v>57</v>
      </c>
      <c r="FF13" t="s">
        <v>57</v>
      </c>
      <c r="FG13" t="s">
        <v>57</v>
      </c>
      <c r="FH13" t="s">
        <v>147</v>
      </c>
      <c r="FI13" t="s">
        <v>147</v>
      </c>
      <c r="FJ13" t="s">
        <v>147</v>
      </c>
      <c r="FK13" t="s">
        <v>147</v>
      </c>
      <c r="FL13" t="s">
        <v>147</v>
      </c>
      <c r="FM13" t="s">
        <v>147</v>
      </c>
      <c r="FN13" t="s">
        <v>147</v>
      </c>
      <c r="FO13" t="s">
        <v>147</v>
      </c>
      <c r="FP13" t="s">
        <v>147</v>
      </c>
      <c r="FQ13" t="s">
        <v>147</v>
      </c>
      <c r="FR13" t="s">
        <v>147</v>
      </c>
      <c r="FS13" t="s">
        <v>147</v>
      </c>
      <c r="FT13" t="s">
        <v>147</v>
      </c>
      <c r="FU13" t="s">
        <v>147</v>
      </c>
      <c r="FV13" t="s">
        <v>147</v>
      </c>
      <c r="FW13" t="s">
        <v>147</v>
      </c>
      <c r="FX13" t="s">
        <v>147</v>
      </c>
      <c r="FY13" t="s">
        <v>147</v>
      </c>
      <c r="FZ13" t="s">
        <v>147</v>
      </c>
      <c r="GA13" t="s">
        <v>147</v>
      </c>
      <c r="GB13" t="s">
        <v>147</v>
      </c>
      <c r="GC13" t="s">
        <v>147</v>
      </c>
      <c r="GD13" t="s">
        <v>147</v>
      </c>
      <c r="GE13" t="s">
        <v>147</v>
      </c>
      <c r="GF13" t="s">
        <v>147</v>
      </c>
      <c r="GG13" t="s">
        <v>175</v>
      </c>
      <c r="GH13" t="s">
        <v>57</v>
      </c>
      <c r="GI13" t="s">
        <v>147</v>
      </c>
      <c r="GJ13" t="s">
        <v>147</v>
      </c>
      <c r="GK13" t="s">
        <v>57</v>
      </c>
      <c r="GL13" t="s">
        <v>147</v>
      </c>
      <c r="GM13" t="s">
        <v>147</v>
      </c>
      <c r="GN13" t="s">
        <v>147</v>
      </c>
      <c r="GO13" t="s">
        <v>147</v>
      </c>
      <c r="GP13" t="s">
        <v>175</v>
      </c>
      <c r="GQ13" t="s">
        <v>175</v>
      </c>
      <c r="GR13" t="s">
        <v>147</v>
      </c>
      <c r="GS13" t="s">
        <v>147</v>
      </c>
      <c r="GT13" t="s">
        <v>147</v>
      </c>
      <c r="GU13" t="s">
        <v>147</v>
      </c>
      <c r="GV13" t="s">
        <v>147</v>
      </c>
      <c r="GW13" t="s">
        <v>147</v>
      </c>
      <c r="GX13" t="s">
        <v>147</v>
      </c>
      <c r="GY13" t="s">
        <v>147</v>
      </c>
      <c r="GZ13" t="s">
        <v>147</v>
      </c>
      <c r="HA13" t="s">
        <v>147</v>
      </c>
      <c r="HB13" t="s">
        <v>147</v>
      </c>
      <c r="HC13" t="s">
        <v>147</v>
      </c>
      <c r="HD13" t="s">
        <v>147</v>
      </c>
      <c r="HE13" t="s">
        <v>147</v>
      </c>
      <c r="HF13" t="s">
        <v>147</v>
      </c>
      <c r="HG13" t="s">
        <v>147</v>
      </c>
      <c r="HH13" t="s">
        <v>147</v>
      </c>
      <c r="HI13" t="s">
        <v>147</v>
      </c>
      <c r="HJ13" t="s">
        <v>147</v>
      </c>
      <c r="HK13" t="s">
        <v>147</v>
      </c>
      <c r="HL13" t="s">
        <v>147</v>
      </c>
      <c r="HM13" t="s">
        <v>147</v>
      </c>
      <c r="HN13" t="s">
        <v>147</v>
      </c>
      <c r="HO13" t="s">
        <v>147</v>
      </c>
      <c r="HP13" t="s">
        <v>147</v>
      </c>
      <c r="HQ13" t="s">
        <v>147</v>
      </c>
      <c r="HR13" t="s">
        <v>147</v>
      </c>
      <c r="HS13" t="s">
        <v>147</v>
      </c>
      <c r="HT13" t="s">
        <v>147</v>
      </c>
      <c r="HU13" t="s">
        <v>147</v>
      </c>
      <c r="HV13" t="s">
        <v>147</v>
      </c>
      <c r="HW13" t="s">
        <v>147</v>
      </c>
      <c r="HX13" t="s">
        <v>147</v>
      </c>
      <c r="HY13" t="s">
        <v>147</v>
      </c>
      <c r="HZ13" t="s">
        <v>147</v>
      </c>
      <c r="IA13" t="s">
        <v>147</v>
      </c>
      <c r="IB13" t="s">
        <v>58</v>
      </c>
      <c r="IC13" t="s">
        <v>58</v>
      </c>
      <c r="ID13" t="s">
        <v>58</v>
      </c>
      <c r="IE13" t="s">
        <v>58</v>
      </c>
      <c r="IF13" t="s">
        <v>124</v>
      </c>
      <c r="IG13" t="s">
        <v>148</v>
      </c>
      <c r="IH13" t="s">
        <v>123</v>
      </c>
      <c r="II13" t="s">
        <v>156</v>
      </c>
    </row>
    <row r="14" spans="1:243" x14ac:dyDescent="0.25">
      <c r="A14" s="111" t="str">
        <f>HYPERLINK("http://www.ofsted.gov.uk/inspection-reports/find-inspection-report/provider/ELS/107793 ","Ofsted School Webpage")</f>
        <v>Ofsted School Webpage</v>
      </c>
      <c r="B14">
        <v>107793</v>
      </c>
      <c r="C14">
        <v>3826016</v>
      </c>
      <c r="D14" t="s">
        <v>2188</v>
      </c>
      <c r="E14" t="s">
        <v>36</v>
      </c>
      <c r="F14" t="s">
        <v>166</v>
      </c>
      <c r="G14" t="s">
        <v>202</v>
      </c>
      <c r="H14" t="s">
        <v>203</v>
      </c>
      <c r="I14" t="s">
        <v>720</v>
      </c>
      <c r="J14" t="s">
        <v>2884</v>
      </c>
      <c r="K14" t="s">
        <v>142</v>
      </c>
      <c r="L14" t="s">
        <v>180</v>
      </c>
      <c r="M14" t="s">
        <v>2596</v>
      </c>
      <c r="N14" t="s">
        <v>143</v>
      </c>
      <c r="O14">
        <v>10044497</v>
      </c>
      <c r="P14" s="108">
        <v>43124</v>
      </c>
      <c r="Q14" s="108">
        <v>43124</v>
      </c>
      <c r="R14" s="108">
        <v>43179</v>
      </c>
      <c r="S14" t="s">
        <v>144</v>
      </c>
      <c r="T14" t="s">
        <v>145</v>
      </c>
      <c r="U14" t="s">
        <v>2596</v>
      </c>
      <c r="V14" t="s">
        <v>2596</v>
      </c>
      <c r="W14" t="s">
        <v>2596</v>
      </c>
      <c r="X14" t="s">
        <v>2596</v>
      </c>
      <c r="Y14" t="s">
        <v>2596</v>
      </c>
      <c r="Z14" t="s">
        <v>2596</v>
      </c>
      <c r="AA14" t="s">
        <v>2596</v>
      </c>
      <c r="AB14" t="s">
        <v>2596</v>
      </c>
      <c r="AC14" t="s">
        <v>174</v>
      </c>
      <c r="AD14" t="s">
        <v>2596</v>
      </c>
      <c r="AE14" t="s">
        <v>57</v>
      </c>
      <c r="AF14" t="s">
        <v>147</v>
      </c>
      <c r="AG14" t="s">
        <v>58</v>
      </c>
      <c r="AH14" t="s">
        <v>58</v>
      </c>
      <c r="AI14" t="s">
        <v>147</v>
      </c>
      <c r="AJ14" t="s">
        <v>147</v>
      </c>
      <c r="AK14" t="s">
        <v>147</v>
      </c>
      <c r="AL14" t="s">
        <v>58</v>
      </c>
      <c r="AM14" t="s">
        <v>57</v>
      </c>
      <c r="AN14" t="s">
        <v>57</v>
      </c>
      <c r="AO14" t="s">
        <v>57</v>
      </c>
      <c r="AP14" t="s">
        <v>57</v>
      </c>
      <c r="AQ14" t="s">
        <v>147</v>
      </c>
      <c r="AR14" t="s">
        <v>147</v>
      </c>
      <c r="AS14" t="s">
        <v>147</v>
      </c>
      <c r="AT14" t="s">
        <v>147</v>
      </c>
      <c r="AU14" t="s">
        <v>147</v>
      </c>
      <c r="AV14" t="s">
        <v>147</v>
      </c>
      <c r="AW14" t="s">
        <v>147</v>
      </c>
      <c r="AX14" t="s">
        <v>147</v>
      </c>
      <c r="AY14" t="s">
        <v>147</v>
      </c>
      <c r="AZ14" t="s">
        <v>147</v>
      </c>
      <c r="BA14" t="s">
        <v>147</v>
      </c>
      <c r="BB14" t="s">
        <v>147</v>
      </c>
      <c r="BC14" t="s">
        <v>147</v>
      </c>
      <c r="BD14" t="s">
        <v>147</v>
      </c>
      <c r="BE14" t="s">
        <v>147</v>
      </c>
      <c r="BF14" t="s">
        <v>147</v>
      </c>
      <c r="BG14" t="s">
        <v>147</v>
      </c>
      <c r="BH14" t="s">
        <v>58</v>
      </c>
      <c r="BI14" t="s">
        <v>58</v>
      </c>
      <c r="BJ14" t="s">
        <v>58</v>
      </c>
      <c r="BK14" t="s">
        <v>58</v>
      </c>
      <c r="BL14" t="s">
        <v>58</v>
      </c>
      <c r="BM14" t="s">
        <v>57</v>
      </c>
      <c r="BN14" t="s">
        <v>58</v>
      </c>
      <c r="BO14" t="s">
        <v>147</v>
      </c>
      <c r="BP14" t="s">
        <v>147</v>
      </c>
      <c r="BQ14" t="s">
        <v>147</v>
      </c>
      <c r="BR14" t="s">
        <v>147</v>
      </c>
      <c r="BS14" t="s">
        <v>147</v>
      </c>
      <c r="BT14" t="s">
        <v>147</v>
      </c>
      <c r="BU14" t="s">
        <v>147</v>
      </c>
      <c r="BV14" t="s">
        <v>147</v>
      </c>
      <c r="BW14" t="s">
        <v>147</v>
      </c>
      <c r="BX14" t="s">
        <v>147</v>
      </c>
      <c r="BY14" t="s">
        <v>147</v>
      </c>
      <c r="BZ14" t="s">
        <v>147</v>
      </c>
      <c r="CA14" t="s">
        <v>147</v>
      </c>
      <c r="CB14" t="s">
        <v>147</v>
      </c>
      <c r="CC14" t="s">
        <v>147</v>
      </c>
      <c r="CD14" t="s">
        <v>147</v>
      </c>
      <c r="CE14" t="s">
        <v>147</v>
      </c>
      <c r="CF14" t="s">
        <v>147</v>
      </c>
      <c r="CG14" t="s">
        <v>147</v>
      </c>
      <c r="CH14" t="s">
        <v>58</v>
      </c>
      <c r="CI14" t="s">
        <v>58</v>
      </c>
      <c r="CJ14" t="s">
        <v>58</v>
      </c>
      <c r="CK14" t="s">
        <v>147</v>
      </c>
      <c r="CL14" t="s">
        <v>175</v>
      </c>
      <c r="CM14" t="s">
        <v>175</v>
      </c>
      <c r="CN14" t="s">
        <v>147</v>
      </c>
      <c r="CO14" t="s">
        <v>147</v>
      </c>
      <c r="CP14" t="s">
        <v>147</v>
      </c>
      <c r="CQ14" t="s">
        <v>147</v>
      </c>
      <c r="CR14" t="s">
        <v>147</v>
      </c>
      <c r="CS14" t="s">
        <v>57</v>
      </c>
      <c r="CT14" t="s">
        <v>57</v>
      </c>
      <c r="CU14" t="s">
        <v>57</v>
      </c>
      <c r="CV14" t="s">
        <v>57</v>
      </c>
      <c r="CW14" t="s">
        <v>57</v>
      </c>
      <c r="CX14" t="s">
        <v>57</v>
      </c>
      <c r="CY14" t="s">
        <v>57</v>
      </c>
      <c r="CZ14" t="s">
        <v>57</v>
      </c>
      <c r="DA14" t="s">
        <v>58</v>
      </c>
      <c r="DB14" t="s">
        <v>57</v>
      </c>
      <c r="DC14" t="s">
        <v>58</v>
      </c>
      <c r="DD14" t="s">
        <v>57</v>
      </c>
      <c r="DE14" t="s">
        <v>57</v>
      </c>
      <c r="DF14" t="s">
        <v>57</v>
      </c>
      <c r="DG14" t="s">
        <v>57</v>
      </c>
      <c r="DH14" t="s">
        <v>57</v>
      </c>
      <c r="DI14" t="s">
        <v>57</v>
      </c>
      <c r="DJ14" t="s">
        <v>57</v>
      </c>
      <c r="DK14" t="s">
        <v>175</v>
      </c>
      <c r="DL14" t="s">
        <v>57</v>
      </c>
      <c r="DM14" t="s">
        <v>175</v>
      </c>
      <c r="DN14" t="s">
        <v>175</v>
      </c>
      <c r="DO14" t="s">
        <v>175</v>
      </c>
      <c r="DP14" t="s">
        <v>175</v>
      </c>
      <c r="DQ14" t="s">
        <v>175</v>
      </c>
      <c r="DR14" t="s">
        <v>175</v>
      </c>
      <c r="DS14" t="s">
        <v>175</v>
      </c>
      <c r="DT14" t="s">
        <v>175</v>
      </c>
      <c r="DU14" t="s">
        <v>175</v>
      </c>
      <c r="DV14" t="s">
        <v>175</v>
      </c>
      <c r="DW14" t="s">
        <v>175</v>
      </c>
      <c r="DX14" t="s">
        <v>175</v>
      </c>
      <c r="DY14" t="s">
        <v>175</v>
      </c>
      <c r="DZ14" t="s">
        <v>175</v>
      </c>
      <c r="EA14" t="s">
        <v>57</v>
      </c>
      <c r="EB14" t="s">
        <v>57</v>
      </c>
      <c r="EC14" t="s">
        <v>57</v>
      </c>
      <c r="ED14" t="s">
        <v>57</v>
      </c>
      <c r="EE14" t="s">
        <v>57</v>
      </c>
      <c r="EF14" t="s">
        <v>57</v>
      </c>
      <c r="EG14" t="s">
        <v>57</v>
      </c>
      <c r="EH14" t="s">
        <v>57</v>
      </c>
      <c r="EI14" t="s">
        <v>57</v>
      </c>
      <c r="EJ14" t="s">
        <v>57</v>
      </c>
      <c r="EK14" t="s">
        <v>57</v>
      </c>
      <c r="EL14" t="s">
        <v>58</v>
      </c>
      <c r="EM14" t="s">
        <v>58</v>
      </c>
      <c r="EN14" t="s">
        <v>57</v>
      </c>
      <c r="EO14" t="s">
        <v>57</v>
      </c>
      <c r="EP14" t="s">
        <v>58</v>
      </c>
      <c r="EQ14" t="s">
        <v>57</v>
      </c>
      <c r="ER14" t="s">
        <v>57</v>
      </c>
      <c r="ES14" t="s">
        <v>57</v>
      </c>
      <c r="ET14" t="s">
        <v>57</v>
      </c>
      <c r="EU14" t="s">
        <v>57</v>
      </c>
      <c r="EV14" t="s">
        <v>58</v>
      </c>
      <c r="EW14" t="s">
        <v>175</v>
      </c>
      <c r="EX14" t="s">
        <v>175</v>
      </c>
      <c r="EY14" t="s">
        <v>175</v>
      </c>
      <c r="EZ14" t="s">
        <v>175</v>
      </c>
      <c r="FA14" t="s">
        <v>175</v>
      </c>
      <c r="FB14" t="s">
        <v>175</v>
      </c>
      <c r="FC14" t="s">
        <v>175</v>
      </c>
      <c r="FD14" t="s">
        <v>175</v>
      </c>
      <c r="FE14" t="s">
        <v>175</v>
      </c>
      <c r="FF14" t="s">
        <v>175</v>
      </c>
      <c r="FG14" t="s">
        <v>175</v>
      </c>
      <c r="FH14" t="s">
        <v>147</v>
      </c>
      <c r="FI14" t="s">
        <v>147</v>
      </c>
      <c r="FJ14" t="s">
        <v>147</v>
      </c>
      <c r="FK14" t="s">
        <v>147</v>
      </c>
      <c r="FL14" t="s">
        <v>147</v>
      </c>
      <c r="FM14" t="s">
        <v>147</v>
      </c>
      <c r="FN14" t="s">
        <v>147</v>
      </c>
      <c r="FO14" t="s">
        <v>147</v>
      </c>
      <c r="FP14" t="s">
        <v>147</v>
      </c>
      <c r="FQ14" t="s">
        <v>147</v>
      </c>
      <c r="FR14" t="s">
        <v>147</v>
      </c>
      <c r="FS14" t="s">
        <v>147</v>
      </c>
      <c r="FT14" t="s">
        <v>147</v>
      </c>
      <c r="FU14" t="s">
        <v>147</v>
      </c>
      <c r="FV14" t="s">
        <v>147</v>
      </c>
      <c r="FW14" t="s">
        <v>147</v>
      </c>
      <c r="FX14" t="s">
        <v>147</v>
      </c>
      <c r="FY14" t="s">
        <v>147</v>
      </c>
      <c r="FZ14" t="s">
        <v>147</v>
      </c>
      <c r="GA14" t="s">
        <v>147</v>
      </c>
      <c r="GB14" t="s">
        <v>147</v>
      </c>
      <c r="GC14" t="s">
        <v>147</v>
      </c>
      <c r="GD14" t="s">
        <v>147</v>
      </c>
      <c r="GE14" t="s">
        <v>147</v>
      </c>
      <c r="GF14" t="s">
        <v>147</v>
      </c>
      <c r="GG14" t="s">
        <v>147</v>
      </c>
      <c r="GH14" t="s">
        <v>147</v>
      </c>
      <c r="GI14" t="s">
        <v>147</v>
      </c>
      <c r="GJ14" t="s">
        <v>147</v>
      </c>
      <c r="GK14" t="s">
        <v>147</v>
      </c>
      <c r="GL14" t="s">
        <v>147</v>
      </c>
      <c r="GM14" t="s">
        <v>147</v>
      </c>
      <c r="GN14" t="s">
        <v>147</v>
      </c>
      <c r="GO14" t="s">
        <v>147</v>
      </c>
      <c r="GP14" t="s">
        <v>147</v>
      </c>
      <c r="GQ14" t="s">
        <v>147</v>
      </c>
      <c r="GR14" t="s">
        <v>147</v>
      </c>
      <c r="GS14" t="s">
        <v>147</v>
      </c>
      <c r="GT14" t="s">
        <v>147</v>
      </c>
      <c r="GU14" t="s">
        <v>147</v>
      </c>
      <c r="GV14" t="s">
        <v>147</v>
      </c>
      <c r="GW14" t="s">
        <v>147</v>
      </c>
      <c r="GX14" t="s">
        <v>147</v>
      </c>
      <c r="GY14" t="s">
        <v>147</v>
      </c>
      <c r="GZ14" t="s">
        <v>147</v>
      </c>
      <c r="HA14" t="s">
        <v>147</v>
      </c>
      <c r="HB14" t="s">
        <v>147</v>
      </c>
      <c r="HC14" t="s">
        <v>147</v>
      </c>
      <c r="HD14" t="s">
        <v>147</v>
      </c>
      <c r="HE14" t="s">
        <v>147</v>
      </c>
      <c r="HF14" t="s">
        <v>147</v>
      </c>
      <c r="HG14" t="s">
        <v>147</v>
      </c>
      <c r="HH14" t="s">
        <v>147</v>
      </c>
      <c r="HI14" t="s">
        <v>147</v>
      </c>
      <c r="HJ14" t="s">
        <v>147</v>
      </c>
      <c r="HK14" t="s">
        <v>147</v>
      </c>
      <c r="HL14" t="s">
        <v>147</v>
      </c>
      <c r="HM14" t="s">
        <v>147</v>
      </c>
      <c r="HN14" t="s">
        <v>147</v>
      </c>
      <c r="HO14" t="s">
        <v>147</v>
      </c>
      <c r="HP14" t="s">
        <v>147</v>
      </c>
      <c r="HQ14" t="s">
        <v>147</v>
      </c>
      <c r="HR14" t="s">
        <v>147</v>
      </c>
      <c r="HS14" t="s">
        <v>147</v>
      </c>
      <c r="HT14" t="s">
        <v>147</v>
      </c>
      <c r="HU14" t="s">
        <v>147</v>
      </c>
      <c r="HV14" t="s">
        <v>147</v>
      </c>
      <c r="HW14" t="s">
        <v>147</v>
      </c>
      <c r="HX14" t="s">
        <v>147</v>
      </c>
      <c r="HY14" t="s">
        <v>147</v>
      </c>
      <c r="HZ14" t="s">
        <v>147</v>
      </c>
      <c r="IA14" t="s">
        <v>147</v>
      </c>
      <c r="IB14" t="s">
        <v>58</v>
      </c>
      <c r="IC14" t="s">
        <v>58</v>
      </c>
      <c r="ID14" t="s">
        <v>58</v>
      </c>
      <c r="IE14" t="s">
        <v>58</v>
      </c>
      <c r="IF14" t="s">
        <v>124</v>
      </c>
      <c r="IG14" t="s">
        <v>148</v>
      </c>
      <c r="IH14" t="s">
        <v>123</v>
      </c>
      <c r="II14" t="s">
        <v>156</v>
      </c>
    </row>
    <row r="15" spans="1:243" x14ac:dyDescent="0.25">
      <c r="A15" s="111" t="str">
        <f>HYPERLINK("http://www.ofsted.gov.uk/inspection-reports/find-inspection-report/provider/ELS/109342 ","Ofsted School Webpage")</f>
        <v>Ofsted School Webpage</v>
      </c>
      <c r="B15">
        <v>109342</v>
      </c>
      <c r="C15">
        <v>8016008</v>
      </c>
      <c r="D15" t="s">
        <v>316</v>
      </c>
      <c r="E15" t="s">
        <v>37</v>
      </c>
      <c r="F15" t="s">
        <v>138</v>
      </c>
      <c r="G15" t="s">
        <v>182</v>
      </c>
      <c r="H15" t="s">
        <v>182</v>
      </c>
      <c r="I15" t="s">
        <v>317</v>
      </c>
      <c r="J15" t="s">
        <v>318</v>
      </c>
      <c r="K15" t="s">
        <v>142</v>
      </c>
      <c r="L15" t="s">
        <v>142</v>
      </c>
      <c r="M15" t="s">
        <v>2596</v>
      </c>
      <c r="N15" t="s">
        <v>143</v>
      </c>
      <c r="O15">
        <v>10040215</v>
      </c>
      <c r="P15" s="108">
        <v>43018</v>
      </c>
      <c r="Q15" s="108">
        <v>43018</v>
      </c>
      <c r="R15" s="108">
        <v>43045</v>
      </c>
      <c r="S15" t="s">
        <v>144</v>
      </c>
      <c r="T15" t="s">
        <v>145</v>
      </c>
      <c r="U15" t="s">
        <v>2596</v>
      </c>
      <c r="V15" t="s">
        <v>2596</v>
      </c>
      <c r="W15" t="s">
        <v>2596</v>
      </c>
      <c r="X15" t="s">
        <v>2596</v>
      </c>
      <c r="Y15" t="s">
        <v>2596</v>
      </c>
      <c r="Z15" t="s">
        <v>2596</v>
      </c>
      <c r="AA15" t="s">
        <v>2596</v>
      </c>
      <c r="AB15" t="s">
        <v>2596</v>
      </c>
      <c r="AC15" t="s">
        <v>146</v>
      </c>
      <c r="AD15" t="s">
        <v>2596</v>
      </c>
      <c r="AE15" t="s">
        <v>147</v>
      </c>
      <c r="AF15" t="s">
        <v>147</v>
      </c>
      <c r="AG15" t="s">
        <v>147</v>
      </c>
      <c r="AH15" t="s">
        <v>147</v>
      </c>
      <c r="AI15" t="s">
        <v>147</v>
      </c>
      <c r="AJ15" t="s">
        <v>147</v>
      </c>
      <c r="AK15" t="s">
        <v>147</v>
      </c>
      <c r="AL15" t="s">
        <v>57</v>
      </c>
      <c r="AM15" t="s">
        <v>147</v>
      </c>
      <c r="AN15" t="s">
        <v>147</v>
      </c>
      <c r="AO15" t="s">
        <v>147</v>
      </c>
      <c r="AP15" t="s">
        <v>147</v>
      </c>
      <c r="AQ15" t="s">
        <v>147</v>
      </c>
      <c r="AR15" t="s">
        <v>57</v>
      </c>
      <c r="AS15" t="s">
        <v>147</v>
      </c>
      <c r="AT15" t="s">
        <v>147</v>
      </c>
      <c r="AU15" t="s">
        <v>147</v>
      </c>
      <c r="AV15" t="s">
        <v>147</v>
      </c>
      <c r="AW15" t="s">
        <v>147</v>
      </c>
      <c r="AX15" t="s">
        <v>147</v>
      </c>
      <c r="AY15" t="s">
        <v>57</v>
      </c>
      <c r="AZ15" t="s">
        <v>57</v>
      </c>
      <c r="BA15" t="s">
        <v>57</v>
      </c>
      <c r="BB15" t="s">
        <v>57</v>
      </c>
      <c r="BC15" t="s">
        <v>147</v>
      </c>
      <c r="BD15" t="s">
        <v>147</v>
      </c>
      <c r="BE15" t="s">
        <v>147</v>
      </c>
      <c r="BF15" t="s">
        <v>147</v>
      </c>
      <c r="BG15" t="s">
        <v>57</v>
      </c>
      <c r="BH15" t="s">
        <v>57</v>
      </c>
      <c r="BI15" t="s">
        <v>147</v>
      </c>
      <c r="BJ15" t="s">
        <v>57</v>
      </c>
      <c r="BK15" t="s">
        <v>147</v>
      </c>
      <c r="BL15" t="s">
        <v>147</v>
      </c>
      <c r="BM15" t="s">
        <v>57</v>
      </c>
      <c r="BN15" t="s">
        <v>57</v>
      </c>
      <c r="BO15" t="s">
        <v>147</v>
      </c>
      <c r="BP15" t="s">
        <v>147</v>
      </c>
      <c r="BQ15" t="s">
        <v>147</v>
      </c>
      <c r="BR15" t="s">
        <v>147</v>
      </c>
      <c r="BS15" t="s">
        <v>147</v>
      </c>
      <c r="BT15" t="s">
        <v>147</v>
      </c>
      <c r="BU15" t="s">
        <v>147</v>
      </c>
      <c r="BV15" t="s">
        <v>147</v>
      </c>
      <c r="BW15" t="s">
        <v>147</v>
      </c>
      <c r="BX15" t="s">
        <v>147</v>
      </c>
      <c r="BY15" t="s">
        <v>147</v>
      </c>
      <c r="BZ15" t="s">
        <v>147</v>
      </c>
      <c r="CA15" t="s">
        <v>147</v>
      </c>
      <c r="CB15" t="s">
        <v>147</v>
      </c>
      <c r="CC15" t="s">
        <v>147</v>
      </c>
      <c r="CD15" t="s">
        <v>147</v>
      </c>
      <c r="CE15" t="s">
        <v>147</v>
      </c>
      <c r="CF15" t="s">
        <v>147</v>
      </c>
      <c r="CG15" t="s">
        <v>147</v>
      </c>
      <c r="CH15" t="s">
        <v>147</v>
      </c>
      <c r="CI15" t="s">
        <v>147</v>
      </c>
      <c r="CJ15" t="s">
        <v>147</v>
      </c>
      <c r="CK15" t="s">
        <v>147</v>
      </c>
      <c r="CL15" t="s">
        <v>147</v>
      </c>
      <c r="CM15" t="s">
        <v>175</v>
      </c>
      <c r="CN15" t="s">
        <v>147</v>
      </c>
      <c r="CO15" t="s">
        <v>147</v>
      </c>
      <c r="CP15" t="s">
        <v>147</v>
      </c>
      <c r="CQ15" t="s">
        <v>147</v>
      </c>
      <c r="CR15" t="s">
        <v>147</v>
      </c>
      <c r="CS15" t="s">
        <v>147</v>
      </c>
      <c r="CT15" t="s">
        <v>147</v>
      </c>
      <c r="CU15" t="s">
        <v>147</v>
      </c>
      <c r="CV15" t="s">
        <v>147</v>
      </c>
      <c r="CW15" t="s">
        <v>57</v>
      </c>
      <c r="CX15" t="s">
        <v>147</v>
      </c>
      <c r="CY15" t="s">
        <v>147</v>
      </c>
      <c r="CZ15" t="s">
        <v>147</v>
      </c>
      <c r="DA15" t="s">
        <v>147</v>
      </c>
      <c r="DB15" t="s">
        <v>147</v>
      </c>
      <c r="DC15" t="s">
        <v>147</v>
      </c>
      <c r="DD15" t="s">
        <v>147</v>
      </c>
      <c r="DE15" t="s">
        <v>147</v>
      </c>
      <c r="DF15" t="s">
        <v>147</v>
      </c>
      <c r="DG15" t="s">
        <v>147</v>
      </c>
      <c r="DH15" t="s">
        <v>147</v>
      </c>
      <c r="DI15" t="s">
        <v>147</v>
      </c>
      <c r="DJ15" t="s">
        <v>147</v>
      </c>
      <c r="DK15" t="s">
        <v>147</v>
      </c>
      <c r="DL15" t="s">
        <v>147</v>
      </c>
      <c r="DM15" t="s">
        <v>147</v>
      </c>
      <c r="DN15" t="s">
        <v>147</v>
      </c>
      <c r="DO15" t="s">
        <v>147</v>
      </c>
      <c r="DP15" t="s">
        <v>147</v>
      </c>
      <c r="DQ15" t="s">
        <v>147</v>
      </c>
      <c r="DR15" t="s">
        <v>147</v>
      </c>
      <c r="DS15" t="s">
        <v>147</v>
      </c>
      <c r="DT15" t="s">
        <v>147</v>
      </c>
      <c r="DU15" t="s">
        <v>147</v>
      </c>
      <c r="DV15" t="s">
        <v>147</v>
      </c>
      <c r="DW15" t="s">
        <v>147</v>
      </c>
      <c r="DX15" t="s">
        <v>147</v>
      </c>
      <c r="DY15" t="s">
        <v>147</v>
      </c>
      <c r="DZ15" t="s">
        <v>147</v>
      </c>
      <c r="EA15" t="s">
        <v>147</v>
      </c>
      <c r="EB15" t="s">
        <v>147</v>
      </c>
      <c r="EC15" t="s">
        <v>147</v>
      </c>
      <c r="ED15" t="s">
        <v>147</v>
      </c>
      <c r="EE15" t="s">
        <v>147</v>
      </c>
      <c r="EF15" t="s">
        <v>147</v>
      </c>
      <c r="EG15" t="s">
        <v>147</v>
      </c>
      <c r="EH15" t="s">
        <v>147</v>
      </c>
      <c r="EI15" t="s">
        <v>147</v>
      </c>
      <c r="EJ15" t="s">
        <v>147</v>
      </c>
      <c r="EK15" t="s">
        <v>147</v>
      </c>
      <c r="EL15" t="s">
        <v>147</v>
      </c>
      <c r="EM15" t="s">
        <v>147</v>
      </c>
      <c r="EN15" t="s">
        <v>147</v>
      </c>
      <c r="EO15" t="s">
        <v>147</v>
      </c>
      <c r="EP15" t="s">
        <v>147</v>
      </c>
      <c r="EQ15" t="s">
        <v>147</v>
      </c>
      <c r="ER15" t="s">
        <v>147</v>
      </c>
      <c r="ES15" t="s">
        <v>147</v>
      </c>
      <c r="ET15" t="s">
        <v>147</v>
      </c>
      <c r="EU15" t="s">
        <v>147</v>
      </c>
      <c r="EV15" t="s">
        <v>147</v>
      </c>
      <c r="EW15" t="s">
        <v>147</v>
      </c>
      <c r="EX15" t="s">
        <v>147</v>
      </c>
      <c r="EY15" t="s">
        <v>147</v>
      </c>
      <c r="EZ15" t="s">
        <v>147</v>
      </c>
      <c r="FA15" t="s">
        <v>147</v>
      </c>
      <c r="FB15" t="s">
        <v>147</v>
      </c>
      <c r="FC15" t="s">
        <v>147</v>
      </c>
      <c r="FD15" t="s">
        <v>147</v>
      </c>
      <c r="FE15" t="s">
        <v>147</v>
      </c>
      <c r="FF15" t="s">
        <v>147</v>
      </c>
      <c r="FG15" t="s">
        <v>147</v>
      </c>
      <c r="FH15" t="s">
        <v>147</v>
      </c>
      <c r="FI15" t="s">
        <v>147</v>
      </c>
      <c r="FJ15" t="s">
        <v>147</v>
      </c>
      <c r="FK15" t="s">
        <v>147</v>
      </c>
      <c r="FL15" t="s">
        <v>147</v>
      </c>
      <c r="FM15" t="s">
        <v>147</v>
      </c>
      <c r="FN15" t="s">
        <v>147</v>
      </c>
      <c r="FO15" t="s">
        <v>147</v>
      </c>
      <c r="FP15" t="s">
        <v>147</v>
      </c>
      <c r="FQ15" t="s">
        <v>147</v>
      </c>
      <c r="FR15" t="s">
        <v>147</v>
      </c>
      <c r="FS15" t="s">
        <v>147</v>
      </c>
      <c r="FT15" t="s">
        <v>147</v>
      </c>
      <c r="FU15" t="s">
        <v>147</v>
      </c>
      <c r="FV15" t="s">
        <v>147</v>
      </c>
      <c r="FW15" t="s">
        <v>147</v>
      </c>
      <c r="FX15" t="s">
        <v>147</v>
      </c>
      <c r="FY15" t="s">
        <v>147</v>
      </c>
      <c r="FZ15" t="s">
        <v>147</v>
      </c>
      <c r="GA15" t="s">
        <v>147</v>
      </c>
      <c r="GB15" t="s">
        <v>147</v>
      </c>
      <c r="GC15" t="s">
        <v>147</v>
      </c>
      <c r="GD15" t="s">
        <v>147</v>
      </c>
      <c r="GE15" t="s">
        <v>147</v>
      </c>
      <c r="GF15" t="s">
        <v>147</v>
      </c>
      <c r="GG15" t="s">
        <v>147</v>
      </c>
      <c r="GH15" t="s">
        <v>147</v>
      </c>
      <c r="GI15" t="s">
        <v>147</v>
      </c>
      <c r="GJ15" t="s">
        <v>147</v>
      </c>
      <c r="GK15" t="s">
        <v>147</v>
      </c>
      <c r="GL15" t="s">
        <v>147</v>
      </c>
      <c r="GM15" t="s">
        <v>147</v>
      </c>
      <c r="GN15" t="s">
        <v>147</v>
      </c>
      <c r="GO15" t="s">
        <v>147</v>
      </c>
      <c r="GP15" t="s">
        <v>147</v>
      </c>
      <c r="GQ15" t="s">
        <v>147</v>
      </c>
      <c r="GR15" t="s">
        <v>147</v>
      </c>
      <c r="GS15" t="s">
        <v>147</v>
      </c>
      <c r="GT15" t="s">
        <v>147</v>
      </c>
      <c r="GU15" t="s">
        <v>147</v>
      </c>
      <c r="GV15" t="s">
        <v>147</v>
      </c>
      <c r="GW15" t="s">
        <v>147</v>
      </c>
      <c r="GX15" t="s">
        <v>147</v>
      </c>
      <c r="GY15" t="s">
        <v>147</v>
      </c>
      <c r="GZ15" t="s">
        <v>147</v>
      </c>
      <c r="HA15" t="s">
        <v>147</v>
      </c>
      <c r="HB15" t="s">
        <v>147</v>
      </c>
      <c r="HC15" t="s">
        <v>147</v>
      </c>
      <c r="HD15" t="s">
        <v>147</v>
      </c>
      <c r="HE15" t="s">
        <v>147</v>
      </c>
      <c r="HF15" t="s">
        <v>147</v>
      </c>
      <c r="HG15" t="s">
        <v>147</v>
      </c>
      <c r="HH15" t="s">
        <v>147</v>
      </c>
      <c r="HI15" t="s">
        <v>147</v>
      </c>
      <c r="HJ15" t="s">
        <v>147</v>
      </c>
      <c r="HK15" t="s">
        <v>147</v>
      </c>
      <c r="HL15" t="s">
        <v>147</v>
      </c>
      <c r="HM15" t="s">
        <v>147</v>
      </c>
      <c r="HN15" t="s">
        <v>147</v>
      </c>
      <c r="HO15" t="s">
        <v>147</v>
      </c>
      <c r="HP15" t="s">
        <v>147</v>
      </c>
      <c r="HQ15" t="s">
        <v>147</v>
      </c>
      <c r="HR15" t="s">
        <v>147</v>
      </c>
      <c r="HS15" t="s">
        <v>147</v>
      </c>
      <c r="HT15" t="s">
        <v>147</v>
      </c>
      <c r="HU15" t="s">
        <v>147</v>
      </c>
      <c r="HV15" t="s">
        <v>147</v>
      </c>
      <c r="HW15" t="s">
        <v>147</v>
      </c>
      <c r="HX15" t="s">
        <v>147</v>
      </c>
      <c r="HY15" t="s">
        <v>147</v>
      </c>
      <c r="HZ15" t="s">
        <v>147</v>
      </c>
      <c r="IA15" t="s">
        <v>147</v>
      </c>
      <c r="IB15" t="s">
        <v>57</v>
      </c>
      <c r="IC15" t="s">
        <v>57</v>
      </c>
      <c r="ID15" t="s">
        <v>57</v>
      </c>
      <c r="IE15" t="s">
        <v>147</v>
      </c>
      <c r="IF15" t="s">
        <v>124</v>
      </c>
      <c r="IG15" t="s">
        <v>148</v>
      </c>
      <c r="IH15" t="s">
        <v>160</v>
      </c>
      <c r="II15" t="s">
        <v>156</v>
      </c>
    </row>
    <row r="16" spans="1:243" x14ac:dyDescent="0.25">
      <c r="A16" s="111" t="str">
        <f>HYPERLINK("http://www.ofsted.gov.uk/inspection-reports/find-inspection-report/provider/ELS/113023 ","Ofsted School Webpage")</f>
        <v>Ofsted School Webpage</v>
      </c>
      <c r="B16">
        <v>113023</v>
      </c>
      <c r="C16">
        <v>8306020</v>
      </c>
      <c r="D16" t="s">
        <v>319</v>
      </c>
      <c r="E16" t="s">
        <v>36</v>
      </c>
      <c r="F16" t="s">
        <v>166</v>
      </c>
      <c r="G16" t="s">
        <v>171</v>
      </c>
      <c r="H16" t="s">
        <v>171</v>
      </c>
      <c r="I16" t="s">
        <v>320</v>
      </c>
      <c r="J16" t="s">
        <v>321</v>
      </c>
      <c r="K16" t="s">
        <v>142</v>
      </c>
      <c r="L16" t="s">
        <v>142</v>
      </c>
      <c r="M16" t="s">
        <v>2596</v>
      </c>
      <c r="N16" t="s">
        <v>143</v>
      </c>
      <c r="O16">
        <v>10043874</v>
      </c>
      <c r="P16" s="108">
        <v>43047</v>
      </c>
      <c r="Q16" s="108">
        <v>43047</v>
      </c>
      <c r="R16" s="108">
        <v>43066</v>
      </c>
      <c r="S16" t="s">
        <v>144</v>
      </c>
      <c r="T16" t="s">
        <v>145</v>
      </c>
      <c r="U16" t="s">
        <v>2596</v>
      </c>
      <c r="V16" t="s">
        <v>2596</v>
      </c>
      <c r="W16" t="s">
        <v>2596</v>
      </c>
      <c r="X16" t="s">
        <v>2596</v>
      </c>
      <c r="Y16" t="s">
        <v>2596</v>
      </c>
      <c r="Z16" t="s">
        <v>2596</v>
      </c>
      <c r="AA16" t="s">
        <v>2596</v>
      </c>
      <c r="AB16" t="s">
        <v>2596</v>
      </c>
      <c r="AC16" t="s">
        <v>146</v>
      </c>
      <c r="AD16" t="s">
        <v>2596</v>
      </c>
      <c r="AE16" t="s">
        <v>147</v>
      </c>
      <c r="AF16" t="s">
        <v>147</v>
      </c>
      <c r="AG16" t="s">
        <v>57</v>
      </c>
      <c r="AH16" t="s">
        <v>57</v>
      </c>
      <c r="AI16" t="s">
        <v>147</v>
      </c>
      <c r="AJ16" t="s">
        <v>147</v>
      </c>
      <c r="AK16" t="s">
        <v>57</v>
      </c>
      <c r="AL16" t="s">
        <v>57</v>
      </c>
      <c r="AM16" t="s">
        <v>147</v>
      </c>
      <c r="AN16" t="s">
        <v>147</v>
      </c>
      <c r="AO16" t="s">
        <v>147</v>
      </c>
      <c r="AP16" t="s">
        <v>147</v>
      </c>
      <c r="AQ16" t="s">
        <v>147</v>
      </c>
      <c r="AR16" t="s">
        <v>147</v>
      </c>
      <c r="AS16" t="s">
        <v>147</v>
      </c>
      <c r="AT16" t="s">
        <v>147</v>
      </c>
      <c r="AU16" t="s">
        <v>175</v>
      </c>
      <c r="AV16" t="s">
        <v>147</v>
      </c>
      <c r="AW16" t="s">
        <v>147</v>
      </c>
      <c r="AX16" t="s">
        <v>147</v>
      </c>
      <c r="AY16" t="s">
        <v>175</v>
      </c>
      <c r="AZ16" t="s">
        <v>175</v>
      </c>
      <c r="BA16" t="s">
        <v>175</v>
      </c>
      <c r="BB16" t="s">
        <v>175</v>
      </c>
      <c r="BC16" t="s">
        <v>147</v>
      </c>
      <c r="BD16" t="s">
        <v>147</v>
      </c>
      <c r="BE16" t="s">
        <v>147</v>
      </c>
      <c r="BF16" t="s">
        <v>147</v>
      </c>
      <c r="BG16" t="s">
        <v>147</v>
      </c>
      <c r="BH16" t="s">
        <v>147</v>
      </c>
      <c r="BI16" t="s">
        <v>147</v>
      </c>
      <c r="BJ16" t="s">
        <v>147</v>
      </c>
      <c r="BK16" t="s">
        <v>147</v>
      </c>
      <c r="BL16" t="s">
        <v>147</v>
      </c>
      <c r="BM16" t="s">
        <v>147</v>
      </c>
      <c r="BN16" t="s">
        <v>147</v>
      </c>
      <c r="BO16" t="s">
        <v>147</v>
      </c>
      <c r="BP16" t="s">
        <v>147</v>
      </c>
      <c r="BQ16" t="s">
        <v>147</v>
      </c>
      <c r="BR16" t="s">
        <v>147</v>
      </c>
      <c r="BS16" t="s">
        <v>147</v>
      </c>
      <c r="BT16" t="s">
        <v>147</v>
      </c>
      <c r="BU16" t="s">
        <v>147</v>
      </c>
      <c r="BV16" t="s">
        <v>147</v>
      </c>
      <c r="BW16" t="s">
        <v>147</v>
      </c>
      <c r="BX16" t="s">
        <v>147</v>
      </c>
      <c r="BY16" t="s">
        <v>147</v>
      </c>
      <c r="BZ16" t="s">
        <v>147</v>
      </c>
      <c r="CA16" t="s">
        <v>147</v>
      </c>
      <c r="CB16" t="s">
        <v>147</v>
      </c>
      <c r="CC16" t="s">
        <v>147</v>
      </c>
      <c r="CD16" t="s">
        <v>147</v>
      </c>
      <c r="CE16" t="s">
        <v>147</v>
      </c>
      <c r="CF16" t="s">
        <v>147</v>
      </c>
      <c r="CG16" t="s">
        <v>147</v>
      </c>
      <c r="CH16" t="s">
        <v>57</v>
      </c>
      <c r="CI16" t="s">
        <v>57</v>
      </c>
      <c r="CJ16" t="s">
        <v>57</v>
      </c>
      <c r="CK16" t="s">
        <v>175</v>
      </c>
      <c r="CL16" t="s">
        <v>175</v>
      </c>
      <c r="CM16" t="s">
        <v>175</v>
      </c>
      <c r="CN16" t="s">
        <v>147</v>
      </c>
      <c r="CO16" t="s">
        <v>147</v>
      </c>
      <c r="CP16" t="s">
        <v>147</v>
      </c>
      <c r="CQ16" t="s">
        <v>147</v>
      </c>
      <c r="CR16" t="s">
        <v>147</v>
      </c>
      <c r="CS16" t="s">
        <v>147</v>
      </c>
      <c r="CT16" t="s">
        <v>147</v>
      </c>
      <c r="CU16" t="s">
        <v>147</v>
      </c>
      <c r="CV16" t="s">
        <v>147</v>
      </c>
      <c r="CW16" t="s">
        <v>147</v>
      </c>
      <c r="CX16" t="s">
        <v>147</v>
      </c>
      <c r="CY16" t="s">
        <v>147</v>
      </c>
      <c r="CZ16" t="s">
        <v>147</v>
      </c>
      <c r="DA16" t="s">
        <v>57</v>
      </c>
      <c r="DB16" t="s">
        <v>147</v>
      </c>
      <c r="DC16" t="s">
        <v>57</v>
      </c>
      <c r="DD16" t="s">
        <v>147</v>
      </c>
      <c r="DE16" t="s">
        <v>147</v>
      </c>
      <c r="DF16" t="s">
        <v>147</v>
      </c>
      <c r="DG16" t="s">
        <v>147</v>
      </c>
      <c r="DH16" t="s">
        <v>147</v>
      </c>
      <c r="DI16" t="s">
        <v>147</v>
      </c>
      <c r="DJ16" t="s">
        <v>147</v>
      </c>
      <c r="DK16" t="s">
        <v>147</v>
      </c>
      <c r="DL16" t="s">
        <v>147</v>
      </c>
      <c r="DM16" t="s">
        <v>147</v>
      </c>
      <c r="DN16" t="s">
        <v>147</v>
      </c>
      <c r="DO16" t="s">
        <v>147</v>
      </c>
      <c r="DP16" t="s">
        <v>147</v>
      </c>
      <c r="DQ16" t="s">
        <v>147</v>
      </c>
      <c r="DR16" t="s">
        <v>147</v>
      </c>
      <c r="DS16" t="s">
        <v>147</v>
      </c>
      <c r="DT16" t="s">
        <v>147</v>
      </c>
      <c r="DU16" t="s">
        <v>147</v>
      </c>
      <c r="DV16" t="s">
        <v>147</v>
      </c>
      <c r="DW16" t="s">
        <v>147</v>
      </c>
      <c r="DX16" t="s">
        <v>147</v>
      </c>
      <c r="DY16" t="s">
        <v>147</v>
      </c>
      <c r="DZ16" t="s">
        <v>147</v>
      </c>
      <c r="EA16" t="s">
        <v>57</v>
      </c>
      <c r="EB16" t="s">
        <v>57</v>
      </c>
      <c r="EC16" t="s">
        <v>57</v>
      </c>
      <c r="ED16" t="s">
        <v>57</v>
      </c>
      <c r="EE16" t="s">
        <v>57</v>
      </c>
      <c r="EF16" t="s">
        <v>57</v>
      </c>
      <c r="EG16" t="s">
        <v>57</v>
      </c>
      <c r="EH16" t="s">
        <v>57</v>
      </c>
      <c r="EI16" t="s">
        <v>57</v>
      </c>
      <c r="EJ16" t="s">
        <v>57</v>
      </c>
      <c r="EK16" t="s">
        <v>147</v>
      </c>
      <c r="EL16" t="s">
        <v>57</v>
      </c>
      <c r="EM16" t="s">
        <v>57</v>
      </c>
      <c r="EN16" t="s">
        <v>147</v>
      </c>
      <c r="EO16" t="s">
        <v>147</v>
      </c>
      <c r="EP16" t="s">
        <v>57</v>
      </c>
      <c r="EQ16" t="s">
        <v>147</v>
      </c>
      <c r="ER16" t="s">
        <v>147</v>
      </c>
      <c r="ES16" t="s">
        <v>147</v>
      </c>
      <c r="ET16" t="s">
        <v>147</v>
      </c>
      <c r="EU16" t="s">
        <v>147</v>
      </c>
      <c r="EV16" t="s">
        <v>147</v>
      </c>
      <c r="EW16" t="s">
        <v>147</v>
      </c>
      <c r="EX16" t="s">
        <v>147</v>
      </c>
      <c r="EY16" t="s">
        <v>147</v>
      </c>
      <c r="EZ16" t="s">
        <v>147</v>
      </c>
      <c r="FA16" t="s">
        <v>147</v>
      </c>
      <c r="FB16" t="s">
        <v>147</v>
      </c>
      <c r="FC16" t="s">
        <v>147</v>
      </c>
      <c r="FD16" t="s">
        <v>147</v>
      </c>
      <c r="FE16" t="s">
        <v>57</v>
      </c>
      <c r="FF16" t="s">
        <v>57</v>
      </c>
      <c r="FG16" t="s">
        <v>57</v>
      </c>
      <c r="FH16" t="s">
        <v>147</v>
      </c>
      <c r="FI16" t="s">
        <v>147</v>
      </c>
      <c r="FJ16" t="s">
        <v>147</v>
      </c>
      <c r="FK16" t="s">
        <v>175</v>
      </c>
      <c r="FL16" t="s">
        <v>147</v>
      </c>
      <c r="FM16" t="s">
        <v>147</v>
      </c>
      <c r="FN16" t="s">
        <v>147</v>
      </c>
      <c r="FO16" t="s">
        <v>175</v>
      </c>
      <c r="FP16" t="s">
        <v>147</v>
      </c>
      <c r="FQ16" t="s">
        <v>147</v>
      </c>
      <c r="FR16" t="s">
        <v>147</v>
      </c>
      <c r="FS16" t="s">
        <v>147</v>
      </c>
      <c r="FT16" t="s">
        <v>147</v>
      </c>
      <c r="FU16" t="s">
        <v>147</v>
      </c>
      <c r="FV16" t="s">
        <v>147</v>
      </c>
      <c r="FW16" t="s">
        <v>147</v>
      </c>
      <c r="FX16" t="s">
        <v>147</v>
      </c>
      <c r="FY16" t="s">
        <v>147</v>
      </c>
      <c r="FZ16" t="s">
        <v>147</v>
      </c>
      <c r="GA16" t="s">
        <v>147</v>
      </c>
      <c r="GB16" t="s">
        <v>147</v>
      </c>
      <c r="GC16" t="s">
        <v>147</v>
      </c>
      <c r="GD16" t="s">
        <v>147</v>
      </c>
      <c r="GE16" t="s">
        <v>147</v>
      </c>
      <c r="GF16" t="s">
        <v>147</v>
      </c>
      <c r="GG16" t="s">
        <v>175</v>
      </c>
      <c r="GH16" t="s">
        <v>147</v>
      </c>
      <c r="GI16" t="s">
        <v>147</v>
      </c>
      <c r="GJ16" t="s">
        <v>147</v>
      </c>
      <c r="GK16" t="s">
        <v>57</v>
      </c>
      <c r="GL16" t="s">
        <v>147</v>
      </c>
      <c r="GM16" t="s">
        <v>147</v>
      </c>
      <c r="GN16" t="s">
        <v>147</v>
      </c>
      <c r="GO16" t="s">
        <v>147</v>
      </c>
      <c r="GP16" t="s">
        <v>147</v>
      </c>
      <c r="GQ16" t="s">
        <v>147</v>
      </c>
      <c r="GR16" t="s">
        <v>147</v>
      </c>
      <c r="GS16" t="s">
        <v>147</v>
      </c>
      <c r="GT16" t="s">
        <v>147</v>
      </c>
      <c r="GU16" t="s">
        <v>147</v>
      </c>
      <c r="GV16" t="s">
        <v>147</v>
      </c>
      <c r="GW16" t="s">
        <v>147</v>
      </c>
      <c r="GX16" t="s">
        <v>147</v>
      </c>
      <c r="GY16" t="s">
        <v>147</v>
      </c>
      <c r="GZ16" t="s">
        <v>147</v>
      </c>
      <c r="HA16" t="s">
        <v>147</v>
      </c>
      <c r="HB16" t="s">
        <v>147</v>
      </c>
      <c r="HC16" t="s">
        <v>147</v>
      </c>
      <c r="HD16" t="s">
        <v>147</v>
      </c>
      <c r="HE16" t="s">
        <v>147</v>
      </c>
      <c r="HF16" t="s">
        <v>147</v>
      </c>
      <c r="HG16" t="s">
        <v>147</v>
      </c>
      <c r="HH16" t="s">
        <v>147</v>
      </c>
      <c r="HI16" t="s">
        <v>147</v>
      </c>
      <c r="HJ16" t="s">
        <v>147</v>
      </c>
      <c r="HK16" t="s">
        <v>147</v>
      </c>
      <c r="HL16" t="s">
        <v>57</v>
      </c>
      <c r="HM16" t="s">
        <v>147</v>
      </c>
      <c r="HN16" t="s">
        <v>147</v>
      </c>
      <c r="HO16" t="s">
        <v>147</v>
      </c>
      <c r="HP16" t="s">
        <v>147</v>
      </c>
      <c r="HQ16" t="s">
        <v>147</v>
      </c>
      <c r="HR16" t="s">
        <v>147</v>
      </c>
      <c r="HS16" t="s">
        <v>147</v>
      </c>
      <c r="HT16" t="s">
        <v>147</v>
      </c>
      <c r="HU16" t="s">
        <v>147</v>
      </c>
      <c r="HV16" t="s">
        <v>147</v>
      </c>
      <c r="HW16" t="s">
        <v>147</v>
      </c>
      <c r="HX16" t="s">
        <v>57</v>
      </c>
      <c r="HY16" t="s">
        <v>57</v>
      </c>
      <c r="HZ16" t="s">
        <v>57</v>
      </c>
      <c r="IA16" t="s">
        <v>57</v>
      </c>
      <c r="IB16" t="s">
        <v>57</v>
      </c>
      <c r="IC16" t="s">
        <v>57</v>
      </c>
      <c r="ID16" t="s">
        <v>57</v>
      </c>
      <c r="IE16" t="s">
        <v>57</v>
      </c>
      <c r="IF16" t="s">
        <v>124</v>
      </c>
      <c r="IG16" t="s">
        <v>148</v>
      </c>
      <c r="IH16" t="s">
        <v>123</v>
      </c>
      <c r="II16" t="s">
        <v>156</v>
      </c>
    </row>
    <row r="17" spans="1:243" x14ac:dyDescent="0.25">
      <c r="A17" s="111" t="str">
        <f>HYPERLINK("http://www.ofsted.gov.uk/inspection-reports/find-inspection-report/provider/ELS/114656 ","Ofsted School Webpage")</f>
        <v>Ofsted School Webpage</v>
      </c>
      <c r="B17">
        <v>114656</v>
      </c>
      <c r="C17">
        <v>8456031</v>
      </c>
      <c r="D17" t="s">
        <v>1563</v>
      </c>
      <c r="E17" t="s">
        <v>36</v>
      </c>
      <c r="F17" t="s">
        <v>166</v>
      </c>
      <c r="G17" t="s">
        <v>139</v>
      </c>
      <c r="H17" t="s">
        <v>139</v>
      </c>
      <c r="I17" t="s">
        <v>394</v>
      </c>
      <c r="J17" t="s">
        <v>1564</v>
      </c>
      <c r="K17" t="s">
        <v>142</v>
      </c>
      <c r="L17" t="s">
        <v>142</v>
      </c>
      <c r="M17" t="s">
        <v>2596</v>
      </c>
      <c r="N17" t="s">
        <v>143</v>
      </c>
      <c r="O17">
        <v>10047033</v>
      </c>
      <c r="P17" s="108">
        <v>43130</v>
      </c>
      <c r="Q17" s="108">
        <v>43131</v>
      </c>
      <c r="R17" s="108">
        <v>43165</v>
      </c>
      <c r="S17" t="s">
        <v>2635</v>
      </c>
      <c r="T17" t="s">
        <v>145</v>
      </c>
      <c r="U17" t="s">
        <v>2596</v>
      </c>
      <c r="V17" t="s">
        <v>2596</v>
      </c>
      <c r="W17" t="s">
        <v>2596</v>
      </c>
      <c r="X17" t="s">
        <v>2596</v>
      </c>
      <c r="Y17" t="s">
        <v>2596</v>
      </c>
      <c r="Z17" t="s">
        <v>2596</v>
      </c>
      <c r="AA17" t="s">
        <v>2596</v>
      </c>
      <c r="AB17" t="s">
        <v>2596</v>
      </c>
      <c r="AC17" t="s">
        <v>174</v>
      </c>
      <c r="AD17" t="s">
        <v>2596</v>
      </c>
      <c r="AE17" t="s">
        <v>147</v>
      </c>
      <c r="AF17" t="s">
        <v>147</v>
      </c>
      <c r="AG17" t="s">
        <v>58</v>
      </c>
      <c r="AH17" t="s">
        <v>147</v>
      </c>
      <c r="AI17" t="s">
        <v>147</v>
      </c>
      <c r="AJ17" t="s">
        <v>147</v>
      </c>
      <c r="AK17" t="s">
        <v>147</v>
      </c>
      <c r="AL17" t="s">
        <v>58</v>
      </c>
      <c r="AM17" t="s">
        <v>147</v>
      </c>
      <c r="AN17" t="s">
        <v>147</v>
      </c>
      <c r="AO17" t="s">
        <v>147</v>
      </c>
      <c r="AP17" t="s">
        <v>147</v>
      </c>
      <c r="AQ17" t="s">
        <v>147</v>
      </c>
      <c r="AR17" t="s">
        <v>147</v>
      </c>
      <c r="AS17" t="s">
        <v>147</v>
      </c>
      <c r="AT17" t="s">
        <v>147</v>
      </c>
      <c r="AU17" t="s">
        <v>147</v>
      </c>
      <c r="AV17" t="s">
        <v>147</v>
      </c>
      <c r="AW17" t="s">
        <v>147</v>
      </c>
      <c r="AX17" t="s">
        <v>147</v>
      </c>
      <c r="AY17" t="s">
        <v>147</v>
      </c>
      <c r="AZ17" t="s">
        <v>147</v>
      </c>
      <c r="BA17" t="s">
        <v>147</v>
      </c>
      <c r="BB17" t="s">
        <v>147</v>
      </c>
      <c r="BC17" t="s">
        <v>147</v>
      </c>
      <c r="BD17" t="s">
        <v>147</v>
      </c>
      <c r="BE17" t="s">
        <v>147</v>
      </c>
      <c r="BF17" t="s">
        <v>147</v>
      </c>
      <c r="BG17" t="s">
        <v>58</v>
      </c>
      <c r="BH17" t="s">
        <v>57</v>
      </c>
      <c r="BI17" t="s">
        <v>147</v>
      </c>
      <c r="BJ17" t="s">
        <v>57</v>
      </c>
      <c r="BK17" t="s">
        <v>58</v>
      </c>
      <c r="BL17" t="s">
        <v>147</v>
      </c>
      <c r="BM17" t="s">
        <v>147</v>
      </c>
      <c r="BN17" t="s">
        <v>57</v>
      </c>
      <c r="BO17" t="s">
        <v>147</v>
      </c>
      <c r="BP17" t="s">
        <v>147</v>
      </c>
      <c r="BQ17" t="s">
        <v>147</v>
      </c>
      <c r="BR17" t="s">
        <v>57</v>
      </c>
      <c r="BS17" t="s">
        <v>147</v>
      </c>
      <c r="BT17" t="s">
        <v>147</v>
      </c>
      <c r="BU17" t="s">
        <v>147</v>
      </c>
      <c r="BV17" t="s">
        <v>147</v>
      </c>
      <c r="BW17" t="s">
        <v>147</v>
      </c>
      <c r="BX17" t="s">
        <v>147</v>
      </c>
      <c r="BY17" t="s">
        <v>147</v>
      </c>
      <c r="BZ17" t="s">
        <v>147</v>
      </c>
      <c r="CA17" t="s">
        <v>147</v>
      </c>
      <c r="CB17" t="s">
        <v>147</v>
      </c>
      <c r="CC17" t="s">
        <v>147</v>
      </c>
      <c r="CD17" t="s">
        <v>147</v>
      </c>
      <c r="CE17" t="s">
        <v>147</v>
      </c>
      <c r="CF17" t="s">
        <v>147</v>
      </c>
      <c r="CG17" t="s">
        <v>147</v>
      </c>
      <c r="CH17" t="s">
        <v>58</v>
      </c>
      <c r="CI17" t="s">
        <v>58</v>
      </c>
      <c r="CJ17" t="s">
        <v>58</v>
      </c>
      <c r="CK17" t="s">
        <v>58</v>
      </c>
      <c r="CL17" t="s">
        <v>58</v>
      </c>
      <c r="CM17" t="s">
        <v>58</v>
      </c>
      <c r="CN17" t="s">
        <v>58</v>
      </c>
      <c r="CO17" t="s">
        <v>57</v>
      </c>
      <c r="CP17" t="s">
        <v>58</v>
      </c>
      <c r="CQ17" t="s">
        <v>147</v>
      </c>
      <c r="CR17" t="s">
        <v>58</v>
      </c>
      <c r="CS17" t="s">
        <v>147</v>
      </c>
      <c r="CT17" t="s">
        <v>147</v>
      </c>
      <c r="CU17" t="s">
        <v>147</v>
      </c>
      <c r="CV17" t="s">
        <v>147</v>
      </c>
      <c r="CW17" t="s">
        <v>147</v>
      </c>
      <c r="CX17" t="s">
        <v>57</v>
      </c>
      <c r="CY17" t="s">
        <v>57</v>
      </c>
      <c r="CZ17" t="s">
        <v>57</v>
      </c>
      <c r="DA17" t="s">
        <v>147</v>
      </c>
      <c r="DB17" t="s">
        <v>147</v>
      </c>
      <c r="DC17" t="s">
        <v>147</v>
      </c>
      <c r="DD17" t="s">
        <v>147</v>
      </c>
      <c r="DE17" t="s">
        <v>147</v>
      </c>
      <c r="DF17" t="s">
        <v>147</v>
      </c>
      <c r="DG17" t="s">
        <v>147</v>
      </c>
      <c r="DH17" t="s">
        <v>147</v>
      </c>
      <c r="DI17" t="s">
        <v>147</v>
      </c>
      <c r="DJ17" t="s">
        <v>147</v>
      </c>
      <c r="DK17" t="s">
        <v>147</v>
      </c>
      <c r="DL17" t="s">
        <v>147</v>
      </c>
      <c r="DM17" t="s">
        <v>147</v>
      </c>
      <c r="DN17" t="s">
        <v>147</v>
      </c>
      <c r="DO17" t="s">
        <v>147</v>
      </c>
      <c r="DP17" t="s">
        <v>147</v>
      </c>
      <c r="DQ17" t="s">
        <v>147</v>
      </c>
      <c r="DR17" t="s">
        <v>147</v>
      </c>
      <c r="DS17" t="s">
        <v>147</v>
      </c>
      <c r="DT17" t="s">
        <v>147</v>
      </c>
      <c r="DU17" t="s">
        <v>147</v>
      </c>
      <c r="DV17" t="s">
        <v>147</v>
      </c>
      <c r="DW17" t="s">
        <v>147</v>
      </c>
      <c r="DX17" t="s">
        <v>147</v>
      </c>
      <c r="DY17" t="s">
        <v>147</v>
      </c>
      <c r="DZ17" t="s">
        <v>147</v>
      </c>
      <c r="EA17" t="s">
        <v>147</v>
      </c>
      <c r="EB17" t="s">
        <v>147</v>
      </c>
      <c r="EC17" t="s">
        <v>147</v>
      </c>
      <c r="ED17" t="s">
        <v>147</v>
      </c>
      <c r="EE17" t="s">
        <v>147</v>
      </c>
      <c r="EF17" t="s">
        <v>147</v>
      </c>
      <c r="EG17" t="s">
        <v>147</v>
      </c>
      <c r="EH17" t="s">
        <v>147</v>
      </c>
      <c r="EI17" t="s">
        <v>147</v>
      </c>
      <c r="EJ17" t="s">
        <v>147</v>
      </c>
      <c r="EK17" t="s">
        <v>147</v>
      </c>
      <c r="EL17" t="s">
        <v>147</v>
      </c>
      <c r="EM17" t="s">
        <v>147</v>
      </c>
      <c r="EN17" t="s">
        <v>147</v>
      </c>
      <c r="EO17" t="s">
        <v>147</v>
      </c>
      <c r="EP17" t="s">
        <v>147</v>
      </c>
      <c r="EQ17" t="s">
        <v>147</v>
      </c>
      <c r="ER17" t="s">
        <v>147</v>
      </c>
      <c r="ES17" t="s">
        <v>147</v>
      </c>
      <c r="ET17" t="s">
        <v>147</v>
      </c>
      <c r="EU17" t="s">
        <v>147</v>
      </c>
      <c r="EV17" t="s">
        <v>147</v>
      </c>
      <c r="EW17" t="s">
        <v>147</v>
      </c>
      <c r="EX17" t="s">
        <v>147</v>
      </c>
      <c r="EY17" t="s">
        <v>147</v>
      </c>
      <c r="EZ17" t="s">
        <v>147</v>
      </c>
      <c r="FA17" t="s">
        <v>147</v>
      </c>
      <c r="FB17" t="s">
        <v>147</v>
      </c>
      <c r="FC17" t="s">
        <v>147</v>
      </c>
      <c r="FD17" t="s">
        <v>147</v>
      </c>
      <c r="FE17" t="s">
        <v>147</v>
      </c>
      <c r="FF17" t="s">
        <v>147</v>
      </c>
      <c r="FG17" t="s">
        <v>147</v>
      </c>
      <c r="FH17" t="s">
        <v>147</v>
      </c>
      <c r="FI17" t="s">
        <v>147</v>
      </c>
      <c r="FJ17" t="s">
        <v>147</v>
      </c>
      <c r="FK17" t="s">
        <v>147</v>
      </c>
      <c r="FL17" t="s">
        <v>147</v>
      </c>
      <c r="FM17" t="s">
        <v>147</v>
      </c>
      <c r="FN17" t="s">
        <v>147</v>
      </c>
      <c r="FO17" t="s">
        <v>147</v>
      </c>
      <c r="FP17" t="s">
        <v>147</v>
      </c>
      <c r="FQ17" t="s">
        <v>147</v>
      </c>
      <c r="FR17" t="s">
        <v>147</v>
      </c>
      <c r="FS17" t="s">
        <v>147</v>
      </c>
      <c r="FT17" t="s">
        <v>147</v>
      </c>
      <c r="FU17" t="s">
        <v>147</v>
      </c>
      <c r="FV17" t="s">
        <v>147</v>
      </c>
      <c r="FW17" t="s">
        <v>147</v>
      </c>
      <c r="FX17" t="s">
        <v>147</v>
      </c>
      <c r="FY17" t="s">
        <v>147</v>
      </c>
      <c r="FZ17" t="s">
        <v>147</v>
      </c>
      <c r="GA17" t="s">
        <v>147</v>
      </c>
      <c r="GB17" t="s">
        <v>147</v>
      </c>
      <c r="GC17" t="s">
        <v>147</v>
      </c>
      <c r="GD17" t="s">
        <v>147</v>
      </c>
      <c r="GE17" t="s">
        <v>147</v>
      </c>
      <c r="GF17" t="s">
        <v>147</v>
      </c>
      <c r="GG17" t="s">
        <v>147</v>
      </c>
      <c r="GH17" t="s">
        <v>147</v>
      </c>
      <c r="GI17" t="s">
        <v>147</v>
      </c>
      <c r="GJ17" t="s">
        <v>147</v>
      </c>
      <c r="GK17" t="s">
        <v>147</v>
      </c>
      <c r="GL17" t="s">
        <v>147</v>
      </c>
      <c r="GM17" t="s">
        <v>147</v>
      </c>
      <c r="GN17" t="s">
        <v>147</v>
      </c>
      <c r="GO17" t="s">
        <v>147</v>
      </c>
      <c r="GP17" t="s">
        <v>147</v>
      </c>
      <c r="GQ17" t="s">
        <v>147</v>
      </c>
      <c r="GR17" t="s">
        <v>147</v>
      </c>
      <c r="GS17" t="s">
        <v>147</v>
      </c>
      <c r="GT17" t="s">
        <v>147</v>
      </c>
      <c r="GU17" t="s">
        <v>147</v>
      </c>
      <c r="GV17" t="s">
        <v>147</v>
      </c>
      <c r="GW17" t="s">
        <v>147</v>
      </c>
      <c r="GX17" t="s">
        <v>147</v>
      </c>
      <c r="GY17" t="s">
        <v>147</v>
      </c>
      <c r="GZ17" t="s">
        <v>147</v>
      </c>
      <c r="HA17" t="s">
        <v>147</v>
      </c>
      <c r="HB17" t="s">
        <v>147</v>
      </c>
      <c r="HC17" t="s">
        <v>147</v>
      </c>
      <c r="HD17" t="s">
        <v>147</v>
      </c>
      <c r="HE17" t="s">
        <v>147</v>
      </c>
      <c r="HF17" t="s">
        <v>147</v>
      </c>
      <c r="HG17" t="s">
        <v>147</v>
      </c>
      <c r="HH17" t="s">
        <v>147</v>
      </c>
      <c r="HI17" t="s">
        <v>147</v>
      </c>
      <c r="HJ17" t="s">
        <v>147</v>
      </c>
      <c r="HK17" t="s">
        <v>147</v>
      </c>
      <c r="HL17" t="s">
        <v>147</v>
      </c>
      <c r="HM17" t="s">
        <v>147</v>
      </c>
      <c r="HN17" t="s">
        <v>147</v>
      </c>
      <c r="HO17" t="s">
        <v>147</v>
      </c>
      <c r="HP17" t="s">
        <v>147</v>
      </c>
      <c r="HQ17" t="s">
        <v>147</v>
      </c>
      <c r="HR17" t="s">
        <v>147</v>
      </c>
      <c r="HS17" t="s">
        <v>147</v>
      </c>
      <c r="HT17" t="s">
        <v>147</v>
      </c>
      <c r="HU17" t="s">
        <v>147</v>
      </c>
      <c r="HV17" t="s">
        <v>147</v>
      </c>
      <c r="HW17" t="s">
        <v>147</v>
      </c>
      <c r="HX17" t="s">
        <v>147</v>
      </c>
      <c r="HY17" t="s">
        <v>147</v>
      </c>
      <c r="HZ17" t="s">
        <v>147</v>
      </c>
      <c r="IA17" t="s">
        <v>147</v>
      </c>
      <c r="IB17" t="s">
        <v>58</v>
      </c>
      <c r="IC17" t="s">
        <v>58</v>
      </c>
      <c r="ID17" t="s">
        <v>58</v>
      </c>
      <c r="IE17" t="s">
        <v>58</v>
      </c>
      <c r="IF17" t="s">
        <v>123</v>
      </c>
      <c r="IG17" t="s">
        <v>123</v>
      </c>
      <c r="IH17" t="s">
        <v>123</v>
      </c>
      <c r="II17" t="s">
        <v>2596</v>
      </c>
    </row>
    <row r="18" spans="1:243" x14ac:dyDescent="0.25">
      <c r="A18" s="111" t="str">
        <f>HYPERLINK("http://www.ofsted.gov.uk/inspection-reports/find-inspection-report/provider/ELS/115426 ","Ofsted School Webpage")</f>
        <v>Ofsted School Webpage</v>
      </c>
      <c r="B18">
        <v>115426</v>
      </c>
      <c r="C18">
        <v>8816032</v>
      </c>
      <c r="D18" t="s">
        <v>279</v>
      </c>
      <c r="E18" t="s">
        <v>37</v>
      </c>
      <c r="F18" t="s">
        <v>138</v>
      </c>
      <c r="G18" t="s">
        <v>177</v>
      </c>
      <c r="H18" t="s">
        <v>177</v>
      </c>
      <c r="I18" t="s">
        <v>280</v>
      </c>
      <c r="J18" t="s">
        <v>281</v>
      </c>
      <c r="K18" t="s">
        <v>142</v>
      </c>
      <c r="L18" t="s">
        <v>142</v>
      </c>
      <c r="M18" t="s">
        <v>2596</v>
      </c>
      <c r="N18" t="s">
        <v>143</v>
      </c>
      <c r="O18">
        <v>10039953</v>
      </c>
      <c r="P18" s="108">
        <v>43019</v>
      </c>
      <c r="Q18" s="108">
        <v>43019</v>
      </c>
      <c r="R18" s="108">
        <v>43048</v>
      </c>
      <c r="S18" t="s">
        <v>144</v>
      </c>
      <c r="T18" t="s">
        <v>145</v>
      </c>
      <c r="U18" t="s">
        <v>2596</v>
      </c>
      <c r="V18" t="s">
        <v>2596</v>
      </c>
      <c r="W18" t="s">
        <v>2596</v>
      </c>
      <c r="X18" t="s">
        <v>2596</v>
      </c>
      <c r="Y18" t="s">
        <v>2596</v>
      </c>
      <c r="Z18" t="s">
        <v>2596</v>
      </c>
      <c r="AA18" t="s">
        <v>2596</v>
      </c>
      <c r="AB18" t="s">
        <v>2596</v>
      </c>
      <c r="AC18" t="s">
        <v>174</v>
      </c>
      <c r="AD18" t="s">
        <v>2596</v>
      </c>
      <c r="AE18" t="s">
        <v>147</v>
      </c>
      <c r="AF18" t="s">
        <v>147</v>
      </c>
      <c r="AG18" t="s">
        <v>147</v>
      </c>
      <c r="AH18" t="s">
        <v>147</v>
      </c>
      <c r="AI18" t="s">
        <v>147</v>
      </c>
      <c r="AJ18" t="s">
        <v>147</v>
      </c>
      <c r="AK18" t="s">
        <v>147</v>
      </c>
      <c r="AL18" t="s">
        <v>58</v>
      </c>
      <c r="AM18" t="s">
        <v>147</v>
      </c>
      <c r="AN18" t="s">
        <v>147</v>
      </c>
      <c r="AO18" t="s">
        <v>147</v>
      </c>
      <c r="AP18" t="s">
        <v>147</v>
      </c>
      <c r="AQ18" t="s">
        <v>147</v>
      </c>
      <c r="AR18" t="s">
        <v>147</v>
      </c>
      <c r="AS18" t="s">
        <v>147</v>
      </c>
      <c r="AT18" t="s">
        <v>147</v>
      </c>
      <c r="AU18" t="s">
        <v>147</v>
      </c>
      <c r="AV18" t="s">
        <v>147</v>
      </c>
      <c r="AW18" t="s">
        <v>147</v>
      </c>
      <c r="AX18" t="s">
        <v>147</v>
      </c>
      <c r="AY18" t="s">
        <v>147</v>
      </c>
      <c r="AZ18" t="s">
        <v>147</v>
      </c>
      <c r="BA18" t="s">
        <v>147</v>
      </c>
      <c r="BB18" t="s">
        <v>147</v>
      </c>
      <c r="BC18" t="s">
        <v>147</v>
      </c>
      <c r="BD18" t="s">
        <v>147</v>
      </c>
      <c r="BE18" t="s">
        <v>147</v>
      </c>
      <c r="BF18" t="s">
        <v>147</v>
      </c>
      <c r="BG18" t="s">
        <v>147</v>
      </c>
      <c r="BH18" t="s">
        <v>147</v>
      </c>
      <c r="BI18" t="s">
        <v>147</v>
      </c>
      <c r="BJ18" t="s">
        <v>147</v>
      </c>
      <c r="BK18" t="s">
        <v>147</v>
      </c>
      <c r="BL18" t="s">
        <v>147</v>
      </c>
      <c r="BM18" t="s">
        <v>147</v>
      </c>
      <c r="BN18" t="s">
        <v>147</v>
      </c>
      <c r="BO18" t="s">
        <v>147</v>
      </c>
      <c r="BP18" t="s">
        <v>147</v>
      </c>
      <c r="BQ18" t="s">
        <v>147</v>
      </c>
      <c r="BR18" t="s">
        <v>147</v>
      </c>
      <c r="BS18" t="s">
        <v>147</v>
      </c>
      <c r="BT18" t="s">
        <v>147</v>
      </c>
      <c r="BU18" t="s">
        <v>147</v>
      </c>
      <c r="BV18" t="s">
        <v>147</v>
      </c>
      <c r="BW18" t="s">
        <v>147</v>
      </c>
      <c r="BX18" t="s">
        <v>147</v>
      </c>
      <c r="BY18" t="s">
        <v>147</v>
      </c>
      <c r="BZ18" t="s">
        <v>147</v>
      </c>
      <c r="CA18" t="s">
        <v>147</v>
      </c>
      <c r="CB18" t="s">
        <v>147</v>
      </c>
      <c r="CC18" t="s">
        <v>147</v>
      </c>
      <c r="CD18" t="s">
        <v>147</v>
      </c>
      <c r="CE18" t="s">
        <v>147</v>
      </c>
      <c r="CF18" t="s">
        <v>147</v>
      </c>
      <c r="CG18" t="s">
        <v>147</v>
      </c>
      <c r="CH18" t="s">
        <v>147</v>
      </c>
      <c r="CI18" t="s">
        <v>147</v>
      </c>
      <c r="CJ18" t="s">
        <v>147</v>
      </c>
      <c r="CK18" t="s">
        <v>58</v>
      </c>
      <c r="CL18" t="s">
        <v>58</v>
      </c>
      <c r="CM18" t="s">
        <v>58</v>
      </c>
      <c r="CN18" t="s">
        <v>58</v>
      </c>
      <c r="CO18" t="s">
        <v>57</v>
      </c>
      <c r="CP18" t="s">
        <v>58</v>
      </c>
      <c r="CQ18" t="s">
        <v>57</v>
      </c>
      <c r="CR18" t="s">
        <v>147</v>
      </c>
      <c r="CS18" t="s">
        <v>147</v>
      </c>
      <c r="CT18" t="s">
        <v>147</v>
      </c>
      <c r="CU18" t="s">
        <v>147</v>
      </c>
      <c r="CV18" t="s">
        <v>147</v>
      </c>
      <c r="CW18" t="s">
        <v>147</v>
      </c>
      <c r="CX18" t="s">
        <v>147</v>
      </c>
      <c r="CY18" t="s">
        <v>147</v>
      </c>
      <c r="CZ18" t="s">
        <v>147</v>
      </c>
      <c r="DA18" t="s">
        <v>147</v>
      </c>
      <c r="DB18" t="s">
        <v>147</v>
      </c>
      <c r="DC18" t="s">
        <v>147</v>
      </c>
      <c r="DD18" t="s">
        <v>147</v>
      </c>
      <c r="DE18" t="s">
        <v>147</v>
      </c>
      <c r="DF18" t="s">
        <v>147</v>
      </c>
      <c r="DG18" t="s">
        <v>147</v>
      </c>
      <c r="DH18" t="s">
        <v>147</v>
      </c>
      <c r="DI18" t="s">
        <v>147</v>
      </c>
      <c r="DJ18" t="s">
        <v>147</v>
      </c>
      <c r="DK18" t="s">
        <v>147</v>
      </c>
      <c r="DL18" t="s">
        <v>147</v>
      </c>
      <c r="DM18" t="s">
        <v>147</v>
      </c>
      <c r="DN18" t="s">
        <v>147</v>
      </c>
      <c r="DO18" t="s">
        <v>147</v>
      </c>
      <c r="DP18" t="s">
        <v>147</v>
      </c>
      <c r="DQ18" t="s">
        <v>147</v>
      </c>
      <c r="DR18" t="s">
        <v>147</v>
      </c>
      <c r="DS18" t="s">
        <v>147</v>
      </c>
      <c r="DT18" t="s">
        <v>147</v>
      </c>
      <c r="DU18" t="s">
        <v>147</v>
      </c>
      <c r="DV18" t="s">
        <v>147</v>
      </c>
      <c r="DW18" t="s">
        <v>147</v>
      </c>
      <c r="DX18" t="s">
        <v>147</v>
      </c>
      <c r="DY18" t="s">
        <v>147</v>
      </c>
      <c r="DZ18" t="s">
        <v>147</v>
      </c>
      <c r="EA18" t="s">
        <v>147</v>
      </c>
      <c r="EB18" t="s">
        <v>147</v>
      </c>
      <c r="EC18" t="s">
        <v>147</v>
      </c>
      <c r="ED18" t="s">
        <v>147</v>
      </c>
      <c r="EE18" t="s">
        <v>147</v>
      </c>
      <c r="EF18" t="s">
        <v>147</v>
      </c>
      <c r="EG18" t="s">
        <v>147</v>
      </c>
      <c r="EH18" t="s">
        <v>147</v>
      </c>
      <c r="EI18" t="s">
        <v>147</v>
      </c>
      <c r="EJ18" t="s">
        <v>147</v>
      </c>
      <c r="EK18" t="s">
        <v>147</v>
      </c>
      <c r="EL18" t="s">
        <v>147</v>
      </c>
      <c r="EM18" t="s">
        <v>147</v>
      </c>
      <c r="EN18" t="s">
        <v>147</v>
      </c>
      <c r="EO18" t="s">
        <v>147</v>
      </c>
      <c r="EP18" t="s">
        <v>147</v>
      </c>
      <c r="EQ18" t="s">
        <v>147</v>
      </c>
      <c r="ER18" t="s">
        <v>147</v>
      </c>
      <c r="ES18" t="s">
        <v>147</v>
      </c>
      <c r="ET18" t="s">
        <v>147</v>
      </c>
      <c r="EU18" t="s">
        <v>147</v>
      </c>
      <c r="EV18" t="s">
        <v>147</v>
      </c>
      <c r="EW18" t="s">
        <v>147</v>
      </c>
      <c r="EX18" t="s">
        <v>147</v>
      </c>
      <c r="EY18" t="s">
        <v>147</v>
      </c>
      <c r="EZ18" t="s">
        <v>147</v>
      </c>
      <c r="FA18" t="s">
        <v>147</v>
      </c>
      <c r="FB18" t="s">
        <v>147</v>
      </c>
      <c r="FC18" t="s">
        <v>147</v>
      </c>
      <c r="FD18" t="s">
        <v>147</v>
      </c>
      <c r="FE18" t="s">
        <v>147</v>
      </c>
      <c r="FF18" t="s">
        <v>147</v>
      </c>
      <c r="FG18" t="s">
        <v>147</v>
      </c>
      <c r="FH18" t="s">
        <v>147</v>
      </c>
      <c r="FI18" t="s">
        <v>147</v>
      </c>
      <c r="FJ18" t="s">
        <v>147</v>
      </c>
      <c r="FK18" t="s">
        <v>147</v>
      </c>
      <c r="FL18" t="s">
        <v>147</v>
      </c>
      <c r="FM18" t="s">
        <v>147</v>
      </c>
      <c r="FN18" t="s">
        <v>147</v>
      </c>
      <c r="FO18" t="s">
        <v>147</v>
      </c>
      <c r="FP18" t="s">
        <v>147</v>
      </c>
      <c r="FQ18" t="s">
        <v>147</v>
      </c>
      <c r="FR18" t="s">
        <v>147</v>
      </c>
      <c r="FS18" t="s">
        <v>147</v>
      </c>
      <c r="FT18" t="s">
        <v>147</v>
      </c>
      <c r="FU18" t="s">
        <v>147</v>
      </c>
      <c r="FV18" t="s">
        <v>147</v>
      </c>
      <c r="FW18" t="s">
        <v>147</v>
      </c>
      <c r="FX18" t="s">
        <v>147</v>
      </c>
      <c r="FY18" t="s">
        <v>147</v>
      </c>
      <c r="FZ18" t="s">
        <v>147</v>
      </c>
      <c r="GA18" t="s">
        <v>147</v>
      </c>
      <c r="GB18" t="s">
        <v>147</v>
      </c>
      <c r="GC18" t="s">
        <v>147</v>
      </c>
      <c r="GD18" t="s">
        <v>147</v>
      </c>
      <c r="GE18" t="s">
        <v>147</v>
      </c>
      <c r="GF18" t="s">
        <v>147</v>
      </c>
      <c r="GG18" t="s">
        <v>147</v>
      </c>
      <c r="GH18" t="s">
        <v>147</v>
      </c>
      <c r="GI18" t="s">
        <v>147</v>
      </c>
      <c r="GJ18" t="s">
        <v>147</v>
      </c>
      <c r="GK18" t="s">
        <v>147</v>
      </c>
      <c r="GL18" t="s">
        <v>147</v>
      </c>
      <c r="GM18" t="s">
        <v>147</v>
      </c>
      <c r="GN18" t="s">
        <v>147</v>
      </c>
      <c r="GO18" t="s">
        <v>147</v>
      </c>
      <c r="GP18" t="s">
        <v>147</v>
      </c>
      <c r="GQ18" t="s">
        <v>147</v>
      </c>
      <c r="GR18" t="s">
        <v>147</v>
      </c>
      <c r="GS18" t="s">
        <v>147</v>
      </c>
      <c r="GT18" t="s">
        <v>147</v>
      </c>
      <c r="GU18" t="s">
        <v>147</v>
      </c>
      <c r="GV18" t="s">
        <v>147</v>
      </c>
      <c r="GW18" t="s">
        <v>147</v>
      </c>
      <c r="GX18" t="s">
        <v>147</v>
      </c>
      <c r="GY18" t="s">
        <v>147</v>
      </c>
      <c r="GZ18" t="s">
        <v>147</v>
      </c>
      <c r="HA18" t="s">
        <v>147</v>
      </c>
      <c r="HB18" t="s">
        <v>147</v>
      </c>
      <c r="HC18" t="s">
        <v>147</v>
      </c>
      <c r="HD18" t="s">
        <v>147</v>
      </c>
      <c r="HE18" t="s">
        <v>147</v>
      </c>
      <c r="HF18" t="s">
        <v>147</v>
      </c>
      <c r="HG18" t="s">
        <v>147</v>
      </c>
      <c r="HH18" t="s">
        <v>147</v>
      </c>
      <c r="HI18" t="s">
        <v>147</v>
      </c>
      <c r="HJ18" t="s">
        <v>147</v>
      </c>
      <c r="HK18" t="s">
        <v>147</v>
      </c>
      <c r="HL18" t="s">
        <v>147</v>
      </c>
      <c r="HM18" t="s">
        <v>147</v>
      </c>
      <c r="HN18" t="s">
        <v>147</v>
      </c>
      <c r="HO18" t="s">
        <v>147</v>
      </c>
      <c r="HP18" t="s">
        <v>147</v>
      </c>
      <c r="HQ18" t="s">
        <v>147</v>
      </c>
      <c r="HR18" t="s">
        <v>147</v>
      </c>
      <c r="HS18" t="s">
        <v>147</v>
      </c>
      <c r="HT18" t="s">
        <v>147</v>
      </c>
      <c r="HU18" t="s">
        <v>147</v>
      </c>
      <c r="HV18" t="s">
        <v>147</v>
      </c>
      <c r="HW18" t="s">
        <v>147</v>
      </c>
      <c r="HX18" t="s">
        <v>147</v>
      </c>
      <c r="HY18" t="s">
        <v>147</v>
      </c>
      <c r="HZ18" t="s">
        <v>147</v>
      </c>
      <c r="IA18" t="s">
        <v>147</v>
      </c>
      <c r="IB18" t="s">
        <v>58</v>
      </c>
      <c r="IC18" t="s">
        <v>58</v>
      </c>
      <c r="ID18" t="s">
        <v>58</v>
      </c>
      <c r="IE18" t="s">
        <v>58</v>
      </c>
      <c r="IF18" t="s">
        <v>124</v>
      </c>
      <c r="IG18" t="s">
        <v>148</v>
      </c>
      <c r="IH18" t="s">
        <v>123</v>
      </c>
      <c r="II18" t="s">
        <v>2596</v>
      </c>
    </row>
    <row r="19" spans="1:243" x14ac:dyDescent="0.25">
      <c r="A19" s="111" t="str">
        <f>HYPERLINK("http://www.ofsted.gov.uk/inspection-reports/find-inspection-report/provider/ELS/117044 ","Ofsted School Webpage")</f>
        <v>Ofsted School Webpage</v>
      </c>
      <c r="B19">
        <v>117044</v>
      </c>
      <c r="C19">
        <v>8856031</v>
      </c>
      <c r="D19" t="s">
        <v>1716</v>
      </c>
      <c r="E19" t="s">
        <v>36</v>
      </c>
      <c r="F19" t="s">
        <v>166</v>
      </c>
      <c r="G19" t="s">
        <v>150</v>
      </c>
      <c r="H19" t="s">
        <v>150</v>
      </c>
      <c r="I19" t="s">
        <v>842</v>
      </c>
      <c r="J19" t="s">
        <v>1717</v>
      </c>
      <c r="K19" t="s">
        <v>142</v>
      </c>
      <c r="L19" t="s">
        <v>180</v>
      </c>
      <c r="M19" t="s">
        <v>2596</v>
      </c>
      <c r="N19" t="s">
        <v>143</v>
      </c>
      <c r="O19">
        <v>10044248</v>
      </c>
      <c r="P19" s="108">
        <v>43084</v>
      </c>
      <c r="Q19" s="108">
        <v>43084</v>
      </c>
      <c r="R19" s="108">
        <v>43125</v>
      </c>
      <c r="S19" t="s">
        <v>2635</v>
      </c>
      <c r="T19" t="s">
        <v>145</v>
      </c>
      <c r="U19" t="s">
        <v>2596</v>
      </c>
      <c r="V19" t="s">
        <v>2596</v>
      </c>
      <c r="W19" t="s">
        <v>2596</v>
      </c>
      <c r="X19" t="s">
        <v>2596</v>
      </c>
      <c r="Y19" t="s">
        <v>2596</v>
      </c>
      <c r="Z19" t="s">
        <v>2596</v>
      </c>
      <c r="AA19" t="s">
        <v>2596</v>
      </c>
      <c r="AB19" t="s">
        <v>2596</v>
      </c>
      <c r="AC19" t="s">
        <v>174</v>
      </c>
      <c r="AD19" t="s">
        <v>2596</v>
      </c>
      <c r="AE19" t="s">
        <v>147</v>
      </c>
      <c r="AF19" t="s">
        <v>147</v>
      </c>
      <c r="AG19" t="s">
        <v>58</v>
      </c>
      <c r="AH19" t="s">
        <v>57</v>
      </c>
      <c r="AI19" t="s">
        <v>147</v>
      </c>
      <c r="AJ19" t="s">
        <v>147</v>
      </c>
      <c r="AK19" t="s">
        <v>147</v>
      </c>
      <c r="AL19" t="s">
        <v>58</v>
      </c>
      <c r="AM19" t="s">
        <v>147</v>
      </c>
      <c r="AN19" t="s">
        <v>147</v>
      </c>
      <c r="AO19" t="s">
        <v>147</v>
      </c>
      <c r="AP19" t="s">
        <v>147</v>
      </c>
      <c r="AQ19" t="s">
        <v>147</v>
      </c>
      <c r="AR19" t="s">
        <v>147</v>
      </c>
      <c r="AS19" t="s">
        <v>147</v>
      </c>
      <c r="AT19" t="s">
        <v>147</v>
      </c>
      <c r="AU19" t="s">
        <v>175</v>
      </c>
      <c r="AV19" t="s">
        <v>147</v>
      </c>
      <c r="AW19" t="s">
        <v>147</v>
      </c>
      <c r="AX19" t="s">
        <v>147</v>
      </c>
      <c r="AY19" t="s">
        <v>147</v>
      </c>
      <c r="AZ19" t="s">
        <v>147</v>
      </c>
      <c r="BA19" t="s">
        <v>147</v>
      </c>
      <c r="BB19" t="s">
        <v>147</v>
      </c>
      <c r="BC19" t="s">
        <v>147</v>
      </c>
      <c r="BD19" t="s">
        <v>147</v>
      </c>
      <c r="BE19" t="s">
        <v>147</v>
      </c>
      <c r="BF19" t="s">
        <v>147</v>
      </c>
      <c r="BG19" t="s">
        <v>58</v>
      </c>
      <c r="BH19" t="s">
        <v>58</v>
      </c>
      <c r="BI19" t="s">
        <v>58</v>
      </c>
      <c r="BJ19" t="s">
        <v>58</v>
      </c>
      <c r="BK19" t="s">
        <v>58</v>
      </c>
      <c r="BL19" t="s">
        <v>57</v>
      </c>
      <c r="BM19" t="s">
        <v>58</v>
      </c>
      <c r="BN19" t="s">
        <v>58</v>
      </c>
      <c r="BO19" t="s">
        <v>57</v>
      </c>
      <c r="BP19" t="s">
        <v>57</v>
      </c>
      <c r="BQ19" t="s">
        <v>57</v>
      </c>
      <c r="BR19" t="s">
        <v>57</v>
      </c>
      <c r="BS19" t="s">
        <v>147</v>
      </c>
      <c r="BT19" t="s">
        <v>147</v>
      </c>
      <c r="BU19" t="s">
        <v>147</v>
      </c>
      <c r="BV19" t="s">
        <v>147</v>
      </c>
      <c r="BW19" t="s">
        <v>147</v>
      </c>
      <c r="BX19" t="s">
        <v>147</v>
      </c>
      <c r="BY19" t="s">
        <v>147</v>
      </c>
      <c r="BZ19" t="s">
        <v>147</v>
      </c>
      <c r="CA19" t="s">
        <v>147</v>
      </c>
      <c r="CB19" t="s">
        <v>147</v>
      </c>
      <c r="CC19" t="s">
        <v>147</v>
      </c>
      <c r="CD19" t="s">
        <v>147</v>
      </c>
      <c r="CE19" t="s">
        <v>147</v>
      </c>
      <c r="CF19" t="s">
        <v>147</v>
      </c>
      <c r="CG19" t="s">
        <v>147</v>
      </c>
      <c r="CH19" t="s">
        <v>58</v>
      </c>
      <c r="CI19" t="s">
        <v>58</v>
      </c>
      <c r="CJ19" t="s">
        <v>57</v>
      </c>
      <c r="CK19" t="s">
        <v>58</v>
      </c>
      <c r="CL19" t="s">
        <v>58</v>
      </c>
      <c r="CM19" t="s">
        <v>58</v>
      </c>
      <c r="CN19" t="s">
        <v>147</v>
      </c>
      <c r="CO19" t="s">
        <v>147</v>
      </c>
      <c r="CP19" t="s">
        <v>147</v>
      </c>
      <c r="CQ19" t="s">
        <v>147</v>
      </c>
      <c r="CR19" t="s">
        <v>147</v>
      </c>
      <c r="CS19" t="s">
        <v>58</v>
      </c>
      <c r="CT19" t="s">
        <v>58</v>
      </c>
      <c r="CU19" t="s">
        <v>147</v>
      </c>
      <c r="CV19" t="s">
        <v>147</v>
      </c>
      <c r="CW19" t="s">
        <v>147</v>
      </c>
      <c r="CX19" t="s">
        <v>147</v>
      </c>
      <c r="CY19" t="s">
        <v>147</v>
      </c>
      <c r="CZ19" t="s">
        <v>147</v>
      </c>
      <c r="DA19" t="s">
        <v>57</v>
      </c>
      <c r="DB19" t="s">
        <v>57</v>
      </c>
      <c r="DC19" t="s">
        <v>57</v>
      </c>
      <c r="DD19" t="s">
        <v>57</v>
      </c>
      <c r="DE19" t="s">
        <v>57</v>
      </c>
      <c r="DF19" t="s">
        <v>57</v>
      </c>
      <c r="DG19" t="s">
        <v>57</v>
      </c>
      <c r="DH19" t="s">
        <v>57</v>
      </c>
      <c r="DI19" t="s">
        <v>57</v>
      </c>
      <c r="DJ19" t="s">
        <v>57</v>
      </c>
      <c r="DK19" t="s">
        <v>57</v>
      </c>
      <c r="DL19" t="s">
        <v>57</v>
      </c>
      <c r="DM19" t="s">
        <v>175</v>
      </c>
      <c r="DN19" t="s">
        <v>175</v>
      </c>
      <c r="DO19" t="s">
        <v>175</v>
      </c>
      <c r="DP19" t="s">
        <v>175</v>
      </c>
      <c r="DQ19" t="s">
        <v>175</v>
      </c>
      <c r="DR19" t="s">
        <v>175</v>
      </c>
      <c r="DS19" t="s">
        <v>175</v>
      </c>
      <c r="DT19" t="s">
        <v>175</v>
      </c>
      <c r="DU19" t="s">
        <v>175</v>
      </c>
      <c r="DV19" t="s">
        <v>175</v>
      </c>
      <c r="DW19" t="s">
        <v>175</v>
      </c>
      <c r="DX19" t="s">
        <v>175</v>
      </c>
      <c r="DY19" t="s">
        <v>175</v>
      </c>
      <c r="DZ19" t="s">
        <v>175</v>
      </c>
      <c r="EA19" t="s">
        <v>57</v>
      </c>
      <c r="EB19" t="s">
        <v>57</v>
      </c>
      <c r="EC19" t="s">
        <v>57</v>
      </c>
      <c r="ED19" t="s">
        <v>57</v>
      </c>
      <c r="EE19" t="s">
        <v>57</v>
      </c>
      <c r="EF19" t="s">
        <v>57</v>
      </c>
      <c r="EG19" t="s">
        <v>57</v>
      </c>
      <c r="EH19" t="s">
        <v>57</v>
      </c>
      <c r="EI19" t="s">
        <v>57</v>
      </c>
      <c r="EJ19" t="s">
        <v>57</v>
      </c>
      <c r="EK19" t="s">
        <v>57</v>
      </c>
      <c r="EL19" t="s">
        <v>57</v>
      </c>
      <c r="EM19" t="s">
        <v>57</v>
      </c>
      <c r="EN19" t="s">
        <v>57</v>
      </c>
      <c r="EO19" t="s">
        <v>57</v>
      </c>
      <c r="EP19" t="s">
        <v>57</v>
      </c>
      <c r="EQ19" t="s">
        <v>57</v>
      </c>
      <c r="ER19" t="s">
        <v>57</v>
      </c>
      <c r="ES19" t="s">
        <v>57</v>
      </c>
      <c r="ET19" t="s">
        <v>57</v>
      </c>
      <c r="EU19" t="s">
        <v>57</v>
      </c>
      <c r="EV19" t="s">
        <v>57</v>
      </c>
      <c r="EW19" t="s">
        <v>57</v>
      </c>
      <c r="EX19" t="s">
        <v>175</v>
      </c>
      <c r="EY19" t="s">
        <v>175</v>
      </c>
      <c r="EZ19" t="s">
        <v>175</v>
      </c>
      <c r="FA19" t="s">
        <v>175</v>
      </c>
      <c r="FB19" t="s">
        <v>175</v>
      </c>
      <c r="FC19" t="s">
        <v>175</v>
      </c>
      <c r="FD19" t="s">
        <v>57</v>
      </c>
      <c r="FE19" t="s">
        <v>57</v>
      </c>
      <c r="FF19" t="s">
        <v>57</v>
      </c>
      <c r="FG19" t="s">
        <v>57</v>
      </c>
      <c r="FH19" t="s">
        <v>147</v>
      </c>
      <c r="FI19" t="s">
        <v>147</v>
      </c>
      <c r="FJ19" t="s">
        <v>147</v>
      </c>
      <c r="FK19" t="s">
        <v>147</v>
      </c>
      <c r="FL19" t="s">
        <v>147</v>
      </c>
      <c r="FM19" t="s">
        <v>147</v>
      </c>
      <c r="FN19" t="s">
        <v>147</v>
      </c>
      <c r="FO19" t="s">
        <v>147</v>
      </c>
      <c r="FP19" t="s">
        <v>147</v>
      </c>
      <c r="FQ19" t="s">
        <v>58</v>
      </c>
      <c r="FR19" t="s">
        <v>147</v>
      </c>
      <c r="FS19" t="s">
        <v>147</v>
      </c>
      <c r="FT19" t="s">
        <v>147</v>
      </c>
      <c r="FU19" t="s">
        <v>147</v>
      </c>
      <c r="FV19" t="s">
        <v>147</v>
      </c>
      <c r="FW19" t="s">
        <v>147</v>
      </c>
      <c r="FX19" t="s">
        <v>147</v>
      </c>
      <c r="FY19" t="s">
        <v>147</v>
      </c>
      <c r="FZ19" t="s">
        <v>147</v>
      </c>
      <c r="GA19" t="s">
        <v>147</v>
      </c>
      <c r="GB19" t="s">
        <v>147</v>
      </c>
      <c r="GC19" t="s">
        <v>147</v>
      </c>
      <c r="GD19" t="s">
        <v>147</v>
      </c>
      <c r="GE19" t="s">
        <v>147</v>
      </c>
      <c r="GF19" t="s">
        <v>147</v>
      </c>
      <c r="GG19" t="s">
        <v>147</v>
      </c>
      <c r="GH19" t="s">
        <v>147</v>
      </c>
      <c r="GI19" t="s">
        <v>147</v>
      </c>
      <c r="GJ19" t="s">
        <v>147</v>
      </c>
      <c r="GK19" t="s">
        <v>57</v>
      </c>
      <c r="GL19" t="s">
        <v>147</v>
      </c>
      <c r="GM19" t="s">
        <v>147</v>
      </c>
      <c r="GN19" t="s">
        <v>147</v>
      </c>
      <c r="GO19" t="s">
        <v>147</v>
      </c>
      <c r="GP19" t="s">
        <v>147</v>
      </c>
      <c r="GQ19" t="s">
        <v>147</v>
      </c>
      <c r="GR19" t="s">
        <v>147</v>
      </c>
      <c r="GS19" t="s">
        <v>147</v>
      </c>
      <c r="GT19" t="s">
        <v>147</v>
      </c>
      <c r="GU19" t="s">
        <v>147</v>
      </c>
      <c r="GV19" t="s">
        <v>147</v>
      </c>
      <c r="GW19" t="s">
        <v>147</v>
      </c>
      <c r="GX19" t="s">
        <v>147</v>
      </c>
      <c r="GY19" t="s">
        <v>147</v>
      </c>
      <c r="GZ19" t="s">
        <v>147</v>
      </c>
      <c r="HA19" t="s">
        <v>147</v>
      </c>
      <c r="HB19" t="s">
        <v>147</v>
      </c>
      <c r="HC19" t="s">
        <v>147</v>
      </c>
      <c r="HD19" t="s">
        <v>147</v>
      </c>
      <c r="HE19" t="s">
        <v>147</v>
      </c>
      <c r="HF19" t="s">
        <v>147</v>
      </c>
      <c r="HG19" t="s">
        <v>147</v>
      </c>
      <c r="HH19" t="s">
        <v>147</v>
      </c>
      <c r="HI19" t="s">
        <v>147</v>
      </c>
      <c r="HJ19" t="s">
        <v>147</v>
      </c>
      <c r="HK19" t="s">
        <v>147</v>
      </c>
      <c r="HL19" t="s">
        <v>147</v>
      </c>
      <c r="HM19" t="s">
        <v>147</v>
      </c>
      <c r="HN19" t="s">
        <v>147</v>
      </c>
      <c r="HO19" t="s">
        <v>147</v>
      </c>
      <c r="HP19" t="s">
        <v>147</v>
      </c>
      <c r="HQ19" t="s">
        <v>147</v>
      </c>
      <c r="HR19" t="s">
        <v>147</v>
      </c>
      <c r="HS19" t="s">
        <v>147</v>
      </c>
      <c r="HT19" t="s">
        <v>147</v>
      </c>
      <c r="HU19" t="s">
        <v>147</v>
      </c>
      <c r="HV19" t="s">
        <v>147</v>
      </c>
      <c r="HW19" t="s">
        <v>147</v>
      </c>
      <c r="HX19" t="s">
        <v>147</v>
      </c>
      <c r="HY19" t="s">
        <v>147</v>
      </c>
      <c r="HZ19" t="s">
        <v>147</v>
      </c>
      <c r="IA19" t="s">
        <v>147</v>
      </c>
      <c r="IB19" t="s">
        <v>58</v>
      </c>
      <c r="IC19" t="s">
        <v>58</v>
      </c>
      <c r="ID19" t="s">
        <v>58</v>
      </c>
      <c r="IE19" t="s">
        <v>58</v>
      </c>
      <c r="IF19" t="s">
        <v>124</v>
      </c>
      <c r="IG19" t="s">
        <v>148</v>
      </c>
      <c r="IH19" t="s">
        <v>123</v>
      </c>
      <c r="II19" t="s">
        <v>156</v>
      </c>
    </row>
    <row r="20" spans="1:243" x14ac:dyDescent="0.25">
      <c r="A20" s="111" t="str">
        <f>HYPERLINK("http://www.ofsted.gov.uk/inspection-reports/find-inspection-report/provider/ELS/117631 ","Ofsted School Webpage")</f>
        <v>Ofsted School Webpage</v>
      </c>
      <c r="B20">
        <v>117631</v>
      </c>
      <c r="C20">
        <v>9196109</v>
      </c>
      <c r="D20" t="s">
        <v>2620</v>
      </c>
      <c r="E20" t="s">
        <v>36</v>
      </c>
      <c r="F20" t="s">
        <v>166</v>
      </c>
      <c r="G20" t="s">
        <v>177</v>
      </c>
      <c r="H20" t="s">
        <v>177</v>
      </c>
      <c r="I20" t="s">
        <v>773</v>
      </c>
      <c r="J20" t="s">
        <v>2621</v>
      </c>
      <c r="K20" t="s">
        <v>142</v>
      </c>
      <c r="L20" t="s">
        <v>142</v>
      </c>
      <c r="M20" t="s">
        <v>2596</v>
      </c>
      <c r="N20" t="s">
        <v>2622</v>
      </c>
      <c r="O20">
        <v>10043403</v>
      </c>
      <c r="P20" s="108">
        <v>43060</v>
      </c>
      <c r="Q20" s="108">
        <v>43061</v>
      </c>
      <c r="R20" s="108">
        <v>43084</v>
      </c>
      <c r="S20" t="s">
        <v>144</v>
      </c>
      <c r="T20" t="s">
        <v>145</v>
      </c>
      <c r="U20" t="s">
        <v>2596</v>
      </c>
      <c r="V20" t="s">
        <v>2596</v>
      </c>
      <c r="W20" t="s">
        <v>2596</v>
      </c>
      <c r="X20" t="s">
        <v>2596</v>
      </c>
      <c r="Y20" t="s">
        <v>2596</v>
      </c>
      <c r="Z20" t="s">
        <v>2596</v>
      </c>
      <c r="AA20" t="s">
        <v>2596</v>
      </c>
      <c r="AB20" t="s">
        <v>2596</v>
      </c>
      <c r="AC20" t="s">
        <v>174</v>
      </c>
      <c r="AD20" t="s">
        <v>2596</v>
      </c>
      <c r="AE20" t="s">
        <v>147</v>
      </c>
      <c r="AF20" t="s">
        <v>147</v>
      </c>
      <c r="AG20" t="s">
        <v>57</v>
      </c>
      <c r="AH20" t="s">
        <v>147</v>
      </c>
      <c r="AI20" t="s">
        <v>147</v>
      </c>
      <c r="AJ20" t="s">
        <v>147</v>
      </c>
      <c r="AK20" t="s">
        <v>57</v>
      </c>
      <c r="AL20" t="s">
        <v>58</v>
      </c>
      <c r="AM20" t="s">
        <v>147</v>
      </c>
      <c r="AN20" t="s">
        <v>147</v>
      </c>
      <c r="AO20" t="s">
        <v>147</v>
      </c>
      <c r="AP20" t="s">
        <v>147</v>
      </c>
      <c r="AQ20" t="s">
        <v>147</v>
      </c>
      <c r="AR20" t="s">
        <v>147</v>
      </c>
      <c r="AS20" t="s">
        <v>147</v>
      </c>
      <c r="AT20" t="s">
        <v>147</v>
      </c>
      <c r="AU20" t="s">
        <v>147</v>
      </c>
      <c r="AV20" t="s">
        <v>147</v>
      </c>
      <c r="AW20" t="s">
        <v>147</v>
      </c>
      <c r="AX20" t="s">
        <v>147</v>
      </c>
      <c r="AY20" t="s">
        <v>147</v>
      </c>
      <c r="AZ20" t="s">
        <v>147</v>
      </c>
      <c r="BA20" t="s">
        <v>147</v>
      </c>
      <c r="BB20" t="s">
        <v>147</v>
      </c>
      <c r="BC20" t="s">
        <v>147</v>
      </c>
      <c r="BD20" t="s">
        <v>147</v>
      </c>
      <c r="BE20" t="s">
        <v>147</v>
      </c>
      <c r="BF20" t="s">
        <v>147</v>
      </c>
      <c r="BG20" t="s">
        <v>58</v>
      </c>
      <c r="BH20" t="s">
        <v>58</v>
      </c>
      <c r="BI20" t="s">
        <v>147</v>
      </c>
      <c r="BJ20" t="s">
        <v>58</v>
      </c>
      <c r="BK20" t="s">
        <v>58</v>
      </c>
      <c r="BL20" t="s">
        <v>58</v>
      </c>
      <c r="BM20" t="s">
        <v>147</v>
      </c>
      <c r="BN20" t="s">
        <v>58</v>
      </c>
      <c r="BO20" t="s">
        <v>57</v>
      </c>
      <c r="BP20" t="s">
        <v>147</v>
      </c>
      <c r="BQ20" t="s">
        <v>147</v>
      </c>
      <c r="BR20" t="s">
        <v>147</v>
      </c>
      <c r="BS20" t="s">
        <v>147</v>
      </c>
      <c r="BT20" t="s">
        <v>147</v>
      </c>
      <c r="BU20" t="s">
        <v>147</v>
      </c>
      <c r="BV20" t="s">
        <v>147</v>
      </c>
      <c r="BW20" t="s">
        <v>147</v>
      </c>
      <c r="BX20" t="s">
        <v>147</v>
      </c>
      <c r="BY20" t="s">
        <v>147</v>
      </c>
      <c r="BZ20" t="s">
        <v>147</v>
      </c>
      <c r="CA20" t="s">
        <v>147</v>
      </c>
      <c r="CB20" t="s">
        <v>147</v>
      </c>
      <c r="CC20" t="s">
        <v>147</v>
      </c>
      <c r="CD20" t="s">
        <v>147</v>
      </c>
      <c r="CE20" t="s">
        <v>147</v>
      </c>
      <c r="CF20" t="s">
        <v>147</v>
      </c>
      <c r="CG20" t="s">
        <v>147</v>
      </c>
      <c r="CH20" t="s">
        <v>57</v>
      </c>
      <c r="CI20" t="s">
        <v>57</v>
      </c>
      <c r="CJ20" t="s">
        <v>57</v>
      </c>
      <c r="CK20" t="s">
        <v>147</v>
      </c>
      <c r="CL20" t="s">
        <v>147</v>
      </c>
      <c r="CM20" t="s">
        <v>147</v>
      </c>
      <c r="CN20" t="s">
        <v>57</v>
      </c>
      <c r="CO20" t="s">
        <v>147</v>
      </c>
      <c r="CP20" t="s">
        <v>57</v>
      </c>
      <c r="CQ20" t="s">
        <v>147</v>
      </c>
      <c r="CR20" t="s">
        <v>147</v>
      </c>
      <c r="CS20" t="s">
        <v>147</v>
      </c>
      <c r="CT20" t="s">
        <v>147</v>
      </c>
      <c r="CU20" t="s">
        <v>147</v>
      </c>
      <c r="CV20" t="s">
        <v>147</v>
      </c>
      <c r="CW20" t="s">
        <v>147</v>
      </c>
      <c r="CX20" t="s">
        <v>57</v>
      </c>
      <c r="CY20" t="s">
        <v>57</v>
      </c>
      <c r="CZ20" t="s">
        <v>57</v>
      </c>
      <c r="DA20" t="s">
        <v>147</v>
      </c>
      <c r="DB20" t="s">
        <v>147</v>
      </c>
      <c r="DC20" t="s">
        <v>147</v>
      </c>
      <c r="DD20" t="s">
        <v>147</v>
      </c>
      <c r="DE20" t="s">
        <v>147</v>
      </c>
      <c r="DF20" t="s">
        <v>147</v>
      </c>
      <c r="DG20" t="s">
        <v>147</v>
      </c>
      <c r="DH20" t="s">
        <v>147</v>
      </c>
      <c r="DI20" t="s">
        <v>147</v>
      </c>
      <c r="DJ20" t="s">
        <v>147</v>
      </c>
      <c r="DK20" t="s">
        <v>147</v>
      </c>
      <c r="DL20" t="s">
        <v>147</v>
      </c>
      <c r="DM20" t="s">
        <v>147</v>
      </c>
      <c r="DN20" t="s">
        <v>147</v>
      </c>
      <c r="DO20" t="s">
        <v>147</v>
      </c>
      <c r="DP20" t="s">
        <v>147</v>
      </c>
      <c r="DQ20" t="s">
        <v>147</v>
      </c>
      <c r="DR20" t="s">
        <v>147</v>
      </c>
      <c r="DS20" t="s">
        <v>147</v>
      </c>
      <c r="DT20" t="s">
        <v>147</v>
      </c>
      <c r="DU20" t="s">
        <v>147</v>
      </c>
      <c r="DV20" t="s">
        <v>147</v>
      </c>
      <c r="DW20" t="s">
        <v>147</v>
      </c>
      <c r="DX20" t="s">
        <v>147</v>
      </c>
      <c r="DY20" t="s">
        <v>147</v>
      </c>
      <c r="DZ20" t="s">
        <v>147</v>
      </c>
      <c r="EA20" t="s">
        <v>147</v>
      </c>
      <c r="EB20" t="s">
        <v>147</v>
      </c>
      <c r="EC20" t="s">
        <v>147</v>
      </c>
      <c r="ED20" t="s">
        <v>147</v>
      </c>
      <c r="EE20" t="s">
        <v>147</v>
      </c>
      <c r="EF20" t="s">
        <v>147</v>
      </c>
      <c r="EG20" t="s">
        <v>147</v>
      </c>
      <c r="EH20" t="s">
        <v>147</v>
      </c>
      <c r="EI20" t="s">
        <v>147</v>
      </c>
      <c r="EJ20" t="s">
        <v>147</v>
      </c>
      <c r="EK20" t="s">
        <v>147</v>
      </c>
      <c r="EL20" t="s">
        <v>147</v>
      </c>
      <c r="EM20" t="s">
        <v>147</v>
      </c>
      <c r="EN20" t="s">
        <v>147</v>
      </c>
      <c r="EO20" t="s">
        <v>147</v>
      </c>
      <c r="EP20" t="s">
        <v>147</v>
      </c>
      <c r="EQ20" t="s">
        <v>147</v>
      </c>
      <c r="ER20" t="s">
        <v>147</v>
      </c>
      <c r="ES20" t="s">
        <v>147</v>
      </c>
      <c r="ET20" t="s">
        <v>147</v>
      </c>
      <c r="EU20" t="s">
        <v>147</v>
      </c>
      <c r="EV20" t="s">
        <v>147</v>
      </c>
      <c r="EW20" t="s">
        <v>147</v>
      </c>
      <c r="EX20" t="s">
        <v>147</v>
      </c>
      <c r="EY20" t="s">
        <v>147</v>
      </c>
      <c r="EZ20" t="s">
        <v>147</v>
      </c>
      <c r="FA20" t="s">
        <v>147</v>
      </c>
      <c r="FB20" t="s">
        <v>147</v>
      </c>
      <c r="FC20" t="s">
        <v>147</v>
      </c>
      <c r="FD20" t="s">
        <v>147</v>
      </c>
      <c r="FE20" t="s">
        <v>147</v>
      </c>
      <c r="FF20" t="s">
        <v>147</v>
      </c>
      <c r="FG20" t="s">
        <v>147</v>
      </c>
      <c r="FH20" t="s">
        <v>147</v>
      </c>
      <c r="FI20" t="s">
        <v>147</v>
      </c>
      <c r="FJ20" t="s">
        <v>147</v>
      </c>
      <c r="FK20" t="s">
        <v>147</v>
      </c>
      <c r="FL20" t="s">
        <v>147</v>
      </c>
      <c r="FM20" t="s">
        <v>147</v>
      </c>
      <c r="FN20" t="s">
        <v>147</v>
      </c>
      <c r="FO20" t="s">
        <v>147</v>
      </c>
      <c r="FP20" t="s">
        <v>147</v>
      </c>
      <c r="FQ20" t="s">
        <v>147</v>
      </c>
      <c r="FR20" t="s">
        <v>147</v>
      </c>
      <c r="FS20" t="s">
        <v>147</v>
      </c>
      <c r="FT20" t="s">
        <v>147</v>
      </c>
      <c r="FU20" t="s">
        <v>147</v>
      </c>
      <c r="FV20" t="s">
        <v>147</v>
      </c>
      <c r="FW20" t="s">
        <v>147</v>
      </c>
      <c r="FX20" t="s">
        <v>147</v>
      </c>
      <c r="FY20" t="s">
        <v>147</v>
      </c>
      <c r="FZ20" t="s">
        <v>147</v>
      </c>
      <c r="GA20" t="s">
        <v>147</v>
      </c>
      <c r="GB20" t="s">
        <v>147</v>
      </c>
      <c r="GC20" t="s">
        <v>147</v>
      </c>
      <c r="GD20" t="s">
        <v>147</v>
      </c>
      <c r="GE20" t="s">
        <v>147</v>
      </c>
      <c r="GF20" t="s">
        <v>147</v>
      </c>
      <c r="GG20" t="s">
        <v>147</v>
      </c>
      <c r="GH20" t="s">
        <v>147</v>
      </c>
      <c r="GI20" t="s">
        <v>147</v>
      </c>
      <c r="GJ20" t="s">
        <v>147</v>
      </c>
      <c r="GK20" t="s">
        <v>147</v>
      </c>
      <c r="GL20" t="s">
        <v>147</v>
      </c>
      <c r="GM20" t="s">
        <v>147</v>
      </c>
      <c r="GN20" t="s">
        <v>147</v>
      </c>
      <c r="GO20" t="s">
        <v>147</v>
      </c>
      <c r="GP20" t="s">
        <v>147</v>
      </c>
      <c r="GQ20" t="s">
        <v>147</v>
      </c>
      <c r="GR20" t="s">
        <v>147</v>
      </c>
      <c r="GS20" t="s">
        <v>147</v>
      </c>
      <c r="GT20" t="s">
        <v>147</v>
      </c>
      <c r="GU20" t="s">
        <v>147</v>
      </c>
      <c r="GV20" t="s">
        <v>147</v>
      </c>
      <c r="GW20" t="s">
        <v>147</v>
      </c>
      <c r="GX20" t="s">
        <v>147</v>
      </c>
      <c r="GY20" t="s">
        <v>147</v>
      </c>
      <c r="GZ20" t="s">
        <v>147</v>
      </c>
      <c r="HA20" t="s">
        <v>147</v>
      </c>
      <c r="HB20" t="s">
        <v>147</v>
      </c>
      <c r="HC20" t="s">
        <v>147</v>
      </c>
      <c r="HD20" t="s">
        <v>147</v>
      </c>
      <c r="HE20" t="s">
        <v>147</v>
      </c>
      <c r="HF20" t="s">
        <v>147</v>
      </c>
      <c r="HG20" t="s">
        <v>147</v>
      </c>
      <c r="HH20" t="s">
        <v>147</v>
      </c>
      <c r="HI20" t="s">
        <v>147</v>
      </c>
      <c r="HJ20" t="s">
        <v>147</v>
      </c>
      <c r="HK20" t="s">
        <v>147</v>
      </c>
      <c r="HL20" t="s">
        <v>57</v>
      </c>
      <c r="HM20" t="s">
        <v>147</v>
      </c>
      <c r="HN20" t="s">
        <v>147</v>
      </c>
      <c r="HO20" t="s">
        <v>147</v>
      </c>
      <c r="HP20" t="s">
        <v>147</v>
      </c>
      <c r="HQ20" t="s">
        <v>147</v>
      </c>
      <c r="HR20" t="s">
        <v>147</v>
      </c>
      <c r="HS20" t="s">
        <v>147</v>
      </c>
      <c r="HT20" t="s">
        <v>147</v>
      </c>
      <c r="HU20" t="s">
        <v>147</v>
      </c>
      <c r="HV20" t="s">
        <v>147</v>
      </c>
      <c r="HW20" t="s">
        <v>147</v>
      </c>
      <c r="HX20" t="s">
        <v>147</v>
      </c>
      <c r="HY20" t="s">
        <v>147</v>
      </c>
      <c r="HZ20" t="s">
        <v>147</v>
      </c>
      <c r="IA20" t="s">
        <v>147</v>
      </c>
      <c r="IB20" t="s">
        <v>58</v>
      </c>
      <c r="IC20" t="s">
        <v>58</v>
      </c>
      <c r="ID20" t="s">
        <v>58</v>
      </c>
      <c r="IE20" t="s">
        <v>57</v>
      </c>
      <c r="IF20" t="s">
        <v>124</v>
      </c>
      <c r="IG20" t="s">
        <v>148</v>
      </c>
      <c r="IH20" t="s">
        <v>123</v>
      </c>
      <c r="II20" t="s">
        <v>156</v>
      </c>
    </row>
    <row r="21" spans="1:243" x14ac:dyDescent="0.25">
      <c r="A21" s="111" t="str">
        <f>HYPERLINK("http://www.ofsted.gov.uk/inspection-reports/find-inspection-report/provider/ELS/117654 ","Ofsted School Webpage")</f>
        <v>Ofsted School Webpage</v>
      </c>
      <c r="B21">
        <v>117654</v>
      </c>
      <c r="C21">
        <v>9196228</v>
      </c>
      <c r="D21" t="s">
        <v>1530</v>
      </c>
      <c r="E21" t="s">
        <v>36</v>
      </c>
      <c r="F21" t="s">
        <v>166</v>
      </c>
      <c r="G21" t="s">
        <v>177</v>
      </c>
      <c r="H21" t="s">
        <v>177</v>
      </c>
      <c r="I21" t="s">
        <v>773</v>
      </c>
      <c r="J21" t="s">
        <v>2885</v>
      </c>
      <c r="K21" t="s">
        <v>1531</v>
      </c>
      <c r="L21" t="s">
        <v>1531</v>
      </c>
      <c r="M21" t="s">
        <v>2596</v>
      </c>
      <c r="N21" t="s">
        <v>143</v>
      </c>
      <c r="O21">
        <v>10041245</v>
      </c>
      <c r="P21" s="108">
        <v>43111</v>
      </c>
      <c r="Q21" s="108">
        <v>43111</v>
      </c>
      <c r="R21" s="108">
        <v>43139</v>
      </c>
      <c r="S21" t="s">
        <v>144</v>
      </c>
      <c r="T21" t="s">
        <v>145</v>
      </c>
      <c r="U21" t="s">
        <v>2596</v>
      </c>
      <c r="V21" t="s">
        <v>2596</v>
      </c>
      <c r="W21" t="s">
        <v>2596</v>
      </c>
      <c r="X21" t="s">
        <v>2596</v>
      </c>
      <c r="Y21" t="s">
        <v>2596</v>
      </c>
      <c r="Z21" t="s">
        <v>2596</v>
      </c>
      <c r="AA21" t="s">
        <v>2596</v>
      </c>
      <c r="AB21" t="s">
        <v>2596</v>
      </c>
      <c r="AC21" t="s">
        <v>146</v>
      </c>
      <c r="AD21" t="s">
        <v>2596</v>
      </c>
      <c r="AE21" t="s">
        <v>147</v>
      </c>
      <c r="AF21" t="s">
        <v>147</v>
      </c>
      <c r="AG21" t="s">
        <v>57</v>
      </c>
      <c r="AH21" t="s">
        <v>57</v>
      </c>
      <c r="AI21" t="s">
        <v>57</v>
      </c>
      <c r="AJ21" t="s">
        <v>147</v>
      </c>
      <c r="AK21" t="s">
        <v>147</v>
      </c>
      <c r="AL21" t="s">
        <v>57</v>
      </c>
      <c r="AM21" t="s">
        <v>147</v>
      </c>
      <c r="AN21" t="s">
        <v>147</v>
      </c>
      <c r="AO21" t="s">
        <v>147</v>
      </c>
      <c r="AP21" t="s">
        <v>147</v>
      </c>
      <c r="AQ21" t="s">
        <v>147</v>
      </c>
      <c r="AR21" t="s">
        <v>147</v>
      </c>
      <c r="AS21" t="s">
        <v>147</v>
      </c>
      <c r="AT21" t="s">
        <v>147</v>
      </c>
      <c r="AU21" t="s">
        <v>147</v>
      </c>
      <c r="AV21" t="s">
        <v>147</v>
      </c>
      <c r="AW21" t="s">
        <v>147</v>
      </c>
      <c r="AX21" t="s">
        <v>147</v>
      </c>
      <c r="AY21" t="s">
        <v>147</v>
      </c>
      <c r="AZ21" t="s">
        <v>147</v>
      </c>
      <c r="BA21" t="s">
        <v>147</v>
      </c>
      <c r="BB21" t="s">
        <v>147</v>
      </c>
      <c r="BC21" t="s">
        <v>147</v>
      </c>
      <c r="BD21" t="s">
        <v>147</v>
      </c>
      <c r="BE21" t="s">
        <v>147</v>
      </c>
      <c r="BF21" t="s">
        <v>147</v>
      </c>
      <c r="BG21" t="s">
        <v>57</v>
      </c>
      <c r="BH21" t="s">
        <v>57</v>
      </c>
      <c r="BI21" t="s">
        <v>147</v>
      </c>
      <c r="BJ21" t="s">
        <v>147</v>
      </c>
      <c r="BK21" t="s">
        <v>57</v>
      </c>
      <c r="BL21" t="s">
        <v>147</v>
      </c>
      <c r="BM21" t="s">
        <v>147</v>
      </c>
      <c r="BN21" t="s">
        <v>57</v>
      </c>
      <c r="BO21" t="s">
        <v>147</v>
      </c>
      <c r="BP21" t="s">
        <v>147</v>
      </c>
      <c r="BQ21" t="s">
        <v>147</v>
      </c>
      <c r="BR21" t="s">
        <v>147</v>
      </c>
      <c r="BS21" t="s">
        <v>147</v>
      </c>
      <c r="BT21" t="s">
        <v>147</v>
      </c>
      <c r="BU21" t="s">
        <v>147</v>
      </c>
      <c r="BV21" t="s">
        <v>147</v>
      </c>
      <c r="BW21" t="s">
        <v>147</v>
      </c>
      <c r="BX21" t="s">
        <v>147</v>
      </c>
      <c r="BY21" t="s">
        <v>147</v>
      </c>
      <c r="BZ21" t="s">
        <v>147</v>
      </c>
      <c r="CA21" t="s">
        <v>147</v>
      </c>
      <c r="CB21" t="s">
        <v>147</v>
      </c>
      <c r="CC21" t="s">
        <v>147</v>
      </c>
      <c r="CD21" t="s">
        <v>147</v>
      </c>
      <c r="CE21" t="s">
        <v>147</v>
      </c>
      <c r="CF21" t="s">
        <v>147</v>
      </c>
      <c r="CG21" t="s">
        <v>147</v>
      </c>
      <c r="CH21" t="s">
        <v>57</v>
      </c>
      <c r="CI21" t="s">
        <v>57</v>
      </c>
      <c r="CJ21" t="s">
        <v>57</v>
      </c>
      <c r="CK21" t="s">
        <v>175</v>
      </c>
      <c r="CL21" t="s">
        <v>175</v>
      </c>
      <c r="CM21" t="s">
        <v>175</v>
      </c>
      <c r="CN21" t="s">
        <v>147</v>
      </c>
      <c r="CO21" t="s">
        <v>147</v>
      </c>
      <c r="CP21" t="s">
        <v>147</v>
      </c>
      <c r="CQ21" t="s">
        <v>147</v>
      </c>
      <c r="CR21" t="s">
        <v>147</v>
      </c>
      <c r="CS21" t="s">
        <v>57</v>
      </c>
      <c r="CT21" t="s">
        <v>57</v>
      </c>
      <c r="CU21" t="s">
        <v>147</v>
      </c>
      <c r="CV21" t="s">
        <v>57</v>
      </c>
      <c r="CW21" t="s">
        <v>147</v>
      </c>
      <c r="CX21" t="s">
        <v>57</v>
      </c>
      <c r="CY21" t="s">
        <v>57</v>
      </c>
      <c r="CZ21" t="s">
        <v>57</v>
      </c>
      <c r="DA21" t="s">
        <v>57</v>
      </c>
      <c r="DB21" t="s">
        <v>57</v>
      </c>
      <c r="DC21" t="s">
        <v>57</v>
      </c>
      <c r="DD21" t="s">
        <v>57</v>
      </c>
      <c r="DE21" t="s">
        <v>57</v>
      </c>
      <c r="DF21" t="s">
        <v>57</v>
      </c>
      <c r="DG21" t="s">
        <v>57</v>
      </c>
      <c r="DH21" t="s">
        <v>57</v>
      </c>
      <c r="DI21" t="s">
        <v>57</v>
      </c>
      <c r="DJ21" t="s">
        <v>57</v>
      </c>
      <c r="DK21" t="s">
        <v>175</v>
      </c>
      <c r="DL21" t="s">
        <v>147</v>
      </c>
      <c r="DM21" t="s">
        <v>175</v>
      </c>
      <c r="DN21" t="s">
        <v>175</v>
      </c>
      <c r="DO21" t="s">
        <v>175</v>
      </c>
      <c r="DP21" t="s">
        <v>175</v>
      </c>
      <c r="DQ21" t="s">
        <v>175</v>
      </c>
      <c r="DR21" t="s">
        <v>175</v>
      </c>
      <c r="DS21" t="s">
        <v>175</v>
      </c>
      <c r="DT21" t="s">
        <v>175</v>
      </c>
      <c r="DU21" t="s">
        <v>175</v>
      </c>
      <c r="DV21" t="s">
        <v>175</v>
      </c>
      <c r="DW21" t="s">
        <v>175</v>
      </c>
      <c r="DX21" t="s">
        <v>175</v>
      </c>
      <c r="DY21" t="s">
        <v>175</v>
      </c>
      <c r="DZ21" t="s">
        <v>175</v>
      </c>
      <c r="EA21" t="s">
        <v>57</v>
      </c>
      <c r="EB21" t="s">
        <v>57</v>
      </c>
      <c r="EC21" t="s">
        <v>57</v>
      </c>
      <c r="ED21" t="s">
        <v>57</v>
      </c>
      <c r="EE21" t="s">
        <v>57</v>
      </c>
      <c r="EF21" t="s">
        <v>57</v>
      </c>
      <c r="EG21" t="s">
        <v>57</v>
      </c>
      <c r="EH21" t="s">
        <v>57</v>
      </c>
      <c r="EI21" t="s">
        <v>57</v>
      </c>
      <c r="EJ21" t="s">
        <v>57</v>
      </c>
      <c r="EK21" t="s">
        <v>57</v>
      </c>
      <c r="EL21" t="s">
        <v>57</v>
      </c>
      <c r="EM21" t="s">
        <v>57</v>
      </c>
      <c r="EN21" t="s">
        <v>57</v>
      </c>
      <c r="EO21" t="s">
        <v>57</v>
      </c>
      <c r="EP21" t="s">
        <v>57</v>
      </c>
      <c r="EQ21" t="s">
        <v>57</v>
      </c>
      <c r="ER21" t="s">
        <v>57</v>
      </c>
      <c r="ES21" t="s">
        <v>57</v>
      </c>
      <c r="ET21" t="s">
        <v>57</v>
      </c>
      <c r="EU21" t="s">
        <v>57</v>
      </c>
      <c r="EV21" t="s">
        <v>57</v>
      </c>
      <c r="EW21" t="s">
        <v>57</v>
      </c>
      <c r="EX21" t="s">
        <v>57</v>
      </c>
      <c r="EY21" t="s">
        <v>57</v>
      </c>
      <c r="EZ21" t="s">
        <v>57</v>
      </c>
      <c r="FA21" t="s">
        <v>57</v>
      </c>
      <c r="FB21" t="s">
        <v>57</v>
      </c>
      <c r="FC21" t="s">
        <v>57</v>
      </c>
      <c r="FD21" t="s">
        <v>57</v>
      </c>
      <c r="FE21" t="s">
        <v>57</v>
      </c>
      <c r="FF21" t="s">
        <v>57</v>
      </c>
      <c r="FG21" t="s">
        <v>57</v>
      </c>
      <c r="FH21" t="s">
        <v>57</v>
      </c>
      <c r="FI21" t="s">
        <v>57</v>
      </c>
      <c r="FJ21" t="s">
        <v>57</v>
      </c>
      <c r="FK21" t="s">
        <v>175</v>
      </c>
      <c r="FL21" t="s">
        <v>57</v>
      </c>
      <c r="FM21" t="s">
        <v>57</v>
      </c>
      <c r="FN21" t="s">
        <v>57</v>
      </c>
      <c r="FO21" t="s">
        <v>175</v>
      </c>
      <c r="FP21" t="s">
        <v>147</v>
      </c>
      <c r="FQ21" t="s">
        <v>57</v>
      </c>
      <c r="FR21" t="s">
        <v>57</v>
      </c>
      <c r="FS21" t="s">
        <v>57</v>
      </c>
      <c r="FT21" t="s">
        <v>57</v>
      </c>
      <c r="FU21" t="s">
        <v>57</v>
      </c>
      <c r="FV21" t="s">
        <v>57</v>
      </c>
      <c r="FW21" t="s">
        <v>57</v>
      </c>
      <c r="FX21" t="s">
        <v>57</v>
      </c>
      <c r="FY21" t="s">
        <v>57</v>
      </c>
      <c r="FZ21" t="s">
        <v>57</v>
      </c>
      <c r="GA21" t="s">
        <v>57</v>
      </c>
      <c r="GB21" t="s">
        <v>57</v>
      </c>
      <c r="GC21" t="s">
        <v>57</v>
      </c>
      <c r="GD21" t="s">
        <v>57</v>
      </c>
      <c r="GE21" t="s">
        <v>57</v>
      </c>
      <c r="GF21" t="s">
        <v>57</v>
      </c>
      <c r="GG21" t="s">
        <v>175</v>
      </c>
      <c r="GH21" t="s">
        <v>147</v>
      </c>
      <c r="GI21" t="s">
        <v>147</v>
      </c>
      <c r="GJ21" t="s">
        <v>147</v>
      </c>
      <c r="GK21" t="s">
        <v>147</v>
      </c>
      <c r="GL21" t="s">
        <v>147</v>
      </c>
      <c r="GM21" t="s">
        <v>147</v>
      </c>
      <c r="GN21" t="s">
        <v>147</v>
      </c>
      <c r="GO21" t="s">
        <v>147</v>
      </c>
      <c r="GP21" t="s">
        <v>147</v>
      </c>
      <c r="GQ21" t="s">
        <v>147</v>
      </c>
      <c r="GR21" t="s">
        <v>147</v>
      </c>
      <c r="GS21" t="s">
        <v>147</v>
      </c>
      <c r="GT21" t="s">
        <v>147</v>
      </c>
      <c r="GU21" t="s">
        <v>147</v>
      </c>
      <c r="GV21" t="s">
        <v>147</v>
      </c>
      <c r="GW21" t="s">
        <v>147</v>
      </c>
      <c r="GX21" t="s">
        <v>147</v>
      </c>
      <c r="GY21" t="s">
        <v>147</v>
      </c>
      <c r="GZ21" t="s">
        <v>147</v>
      </c>
      <c r="HA21" t="s">
        <v>147</v>
      </c>
      <c r="HB21" t="s">
        <v>147</v>
      </c>
      <c r="HC21" t="s">
        <v>147</v>
      </c>
      <c r="HD21" t="s">
        <v>147</v>
      </c>
      <c r="HE21" t="s">
        <v>147</v>
      </c>
      <c r="HF21" t="s">
        <v>147</v>
      </c>
      <c r="HG21" t="s">
        <v>147</v>
      </c>
      <c r="HH21" t="s">
        <v>147</v>
      </c>
      <c r="HI21" t="s">
        <v>147</v>
      </c>
      <c r="HJ21" t="s">
        <v>147</v>
      </c>
      <c r="HK21" t="s">
        <v>147</v>
      </c>
      <c r="HL21" t="s">
        <v>147</v>
      </c>
      <c r="HM21" t="s">
        <v>147</v>
      </c>
      <c r="HN21" t="s">
        <v>147</v>
      </c>
      <c r="HO21" t="s">
        <v>147</v>
      </c>
      <c r="HP21" t="s">
        <v>147</v>
      </c>
      <c r="HQ21" t="s">
        <v>147</v>
      </c>
      <c r="HR21" t="s">
        <v>147</v>
      </c>
      <c r="HS21" t="s">
        <v>147</v>
      </c>
      <c r="HT21" t="s">
        <v>147</v>
      </c>
      <c r="HU21" t="s">
        <v>147</v>
      </c>
      <c r="HV21" t="s">
        <v>147</v>
      </c>
      <c r="HW21" t="s">
        <v>147</v>
      </c>
      <c r="HX21" t="s">
        <v>147</v>
      </c>
      <c r="HY21" t="s">
        <v>147</v>
      </c>
      <c r="HZ21" t="s">
        <v>147</v>
      </c>
      <c r="IA21" t="s">
        <v>147</v>
      </c>
      <c r="IB21" t="s">
        <v>57</v>
      </c>
      <c r="IC21" t="s">
        <v>57</v>
      </c>
      <c r="ID21" t="s">
        <v>57</v>
      </c>
      <c r="IE21" t="s">
        <v>57</v>
      </c>
      <c r="IF21" t="s">
        <v>160</v>
      </c>
      <c r="IG21" t="s">
        <v>160</v>
      </c>
      <c r="IH21" t="s">
        <v>160</v>
      </c>
      <c r="II21" t="s">
        <v>156</v>
      </c>
    </row>
    <row r="22" spans="1:243" x14ac:dyDescent="0.25">
      <c r="A22" s="111" t="str">
        <f>HYPERLINK("http://www.ofsted.gov.uk/inspection-reports/find-inspection-report/provider/ELS/119856 ","Ofsted School Webpage")</f>
        <v>Ofsted School Webpage</v>
      </c>
      <c r="B22">
        <v>119856</v>
      </c>
      <c r="C22">
        <v>8896004</v>
      </c>
      <c r="D22" t="s">
        <v>1199</v>
      </c>
      <c r="E22" t="s">
        <v>36</v>
      </c>
      <c r="F22" t="s">
        <v>166</v>
      </c>
      <c r="G22" t="s">
        <v>162</v>
      </c>
      <c r="H22" t="s">
        <v>162</v>
      </c>
      <c r="I22" t="s">
        <v>440</v>
      </c>
      <c r="J22" t="s">
        <v>1200</v>
      </c>
      <c r="K22" t="s">
        <v>261</v>
      </c>
      <c r="L22" t="s">
        <v>180</v>
      </c>
      <c r="M22" t="s">
        <v>2596</v>
      </c>
      <c r="N22" t="s">
        <v>143</v>
      </c>
      <c r="O22">
        <v>10039827</v>
      </c>
      <c r="P22" s="108">
        <v>43054</v>
      </c>
      <c r="Q22" s="108">
        <v>43054</v>
      </c>
      <c r="R22" s="108">
        <v>43082</v>
      </c>
      <c r="S22" t="s">
        <v>144</v>
      </c>
      <c r="T22" t="s">
        <v>145</v>
      </c>
      <c r="U22" t="s">
        <v>2596</v>
      </c>
      <c r="V22" t="s">
        <v>2596</v>
      </c>
      <c r="W22" t="s">
        <v>2596</v>
      </c>
      <c r="X22" t="s">
        <v>2596</v>
      </c>
      <c r="Y22" t="s">
        <v>2596</v>
      </c>
      <c r="Z22" t="s">
        <v>2596</v>
      </c>
      <c r="AA22" t="s">
        <v>2596</v>
      </c>
      <c r="AB22" t="s">
        <v>2596</v>
      </c>
      <c r="AC22" t="s">
        <v>146</v>
      </c>
      <c r="AD22" t="s">
        <v>2596</v>
      </c>
      <c r="AE22" t="s">
        <v>160</v>
      </c>
      <c r="AF22" t="s">
        <v>160</v>
      </c>
      <c r="AG22" t="s">
        <v>57</v>
      </c>
      <c r="AH22" t="s">
        <v>57</v>
      </c>
      <c r="AI22" t="s">
        <v>160</v>
      </c>
      <c r="AJ22" t="s">
        <v>160</v>
      </c>
      <c r="AK22" t="s">
        <v>160</v>
      </c>
      <c r="AL22" t="s">
        <v>160</v>
      </c>
      <c r="AM22" t="s">
        <v>160</v>
      </c>
      <c r="AN22" t="s">
        <v>160</v>
      </c>
      <c r="AO22" t="s">
        <v>160</v>
      </c>
      <c r="AP22" t="s">
        <v>160</v>
      </c>
      <c r="AQ22" t="s">
        <v>160</v>
      </c>
      <c r="AR22" t="s">
        <v>160</v>
      </c>
      <c r="AS22" t="s">
        <v>160</v>
      </c>
      <c r="AT22" t="s">
        <v>160</v>
      </c>
      <c r="AU22" t="s">
        <v>160</v>
      </c>
      <c r="AV22" t="s">
        <v>160</v>
      </c>
      <c r="AW22" t="s">
        <v>160</v>
      </c>
      <c r="AX22" t="s">
        <v>160</v>
      </c>
      <c r="AY22" t="s">
        <v>160</v>
      </c>
      <c r="AZ22" t="s">
        <v>160</v>
      </c>
      <c r="BA22" t="s">
        <v>160</v>
      </c>
      <c r="BB22" t="s">
        <v>160</v>
      </c>
      <c r="BC22" t="s">
        <v>160</v>
      </c>
      <c r="BD22" t="s">
        <v>160</v>
      </c>
      <c r="BE22" t="s">
        <v>160</v>
      </c>
      <c r="BF22" t="s">
        <v>160</v>
      </c>
      <c r="BG22" t="s">
        <v>160</v>
      </c>
      <c r="BH22" t="s">
        <v>160</v>
      </c>
      <c r="BI22" t="s">
        <v>160</v>
      </c>
      <c r="BJ22" t="s">
        <v>160</v>
      </c>
      <c r="BK22" t="s">
        <v>160</v>
      </c>
      <c r="BL22" t="s">
        <v>160</v>
      </c>
      <c r="BM22" t="s">
        <v>160</v>
      </c>
      <c r="BN22" t="s">
        <v>160</v>
      </c>
      <c r="BO22" t="s">
        <v>160</v>
      </c>
      <c r="BP22" t="s">
        <v>160</v>
      </c>
      <c r="BQ22" t="s">
        <v>160</v>
      </c>
      <c r="BR22" t="s">
        <v>160</v>
      </c>
      <c r="BS22" t="s">
        <v>160</v>
      </c>
      <c r="BT22" t="s">
        <v>160</v>
      </c>
      <c r="BU22" t="s">
        <v>160</v>
      </c>
      <c r="BV22" t="s">
        <v>160</v>
      </c>
      <c r="BW22" t="s">
        <v>160</v>
      </c>
      <c r="BX22" t="s">
        <v>160</v>
      </c>
      <c r="BY22" t="s">
        <v>160</v>
      </c>
      <c r="BZ22" t="s">
        <v>160</v>
      </c>
      <c r="CA22" t="s">
        <v>160</v>
      </c>
      <c r="CB22" t="s">
        <v>160</v>
      </c>
      <c r="CC22" t="s">
        <v>160</v>
      </c>
      <c r="CD22" t="s">
        <v>160</v>
      </c>
      <c r="CE22" t="s">
        <v>160</v>
      </c>
      <c r="CF22" t="s">
        <v>160</v>
      </c>
      <c r="CG22" t="s">
        <v>160</v>
      </c>
      <c r="CH22" t="s">
        <v>57</v>
      </c>
      <c r="CI22" t="s">
        <v>57</v>
      </c>
      <c r="CJ22" t="s">
        <v>57</v>
      </c>
      <c r="CK22" t="s">
        <v>160</v>
      </c>
      <c r="CL22" t="s">
        <v>160</v>
      </c>
      <c r="CM22" t="s">
        <v>160</v>
      </c>
      <c r="CN22" t="s">
        <v>160</v>
      </c>
      <c r="CO22" t="s">
        <v>160</v>
      </c>
      <c r="CP22" t="s">
        <v>160</v>
      </c>
      <c r="CQ22" t="s">
        <v>160</v>
      </c>
      <c r="CR22" t="s">
        <v>160</v>
      </c>
      <c r="CS22" t="s">
        <v>160</v>
      </c>
      <c r="CT22" t="s">
        <v>160</v>
      </c>
      <c r="CU22" t="s">
        <v>160</v>
      </c>
      <c r="CV22" t="s">
        <v>160</v>
      </c>
      <c r="CW22" t="s">
        <v>160</v>
      </c>
      <c r="CX22" t="s">
        <v>160</v>
      </c>
      <c r="CY22" t="s">
        <v>160</v>
      </c>
      <c r="CZ22" t="s">
        <v>160</v>
      </c>
      <c r="DA22" t="s">
        <v>57</v>
      </c>
      <c r="DB22" t="s">
        <v>160</v>
      </c>
      <c r="DC22" t="s">
        <v>57</v>
      </c>
      <c r="DD22" t="s">
        <v>57</v>
      </c>
      <c r="DE22" t="s">
        <v>57</v>
      </c>
      <c r="DF22" t="s">
        <v>57</v>
      </c>
      <c r="DG22" t="s">
        <v>57</v>
      </c>
      <c r="DH22" t="s">
        <v>57</v>
      </c>
      <c r="DI22" t="s">
        <v>160</v>
      </c>
      <c r="DJ22" t="s">
        <v>57</v>
      </c>
      <c r="DK22" t="s">
        <v>160</v>
      </c>
      <c r="DL22" t="s">
        <v>160</v>
      </c>
      <c r="DM22" t="s">
        <v>160</v>
      </c>
      <c r="DN22" t="s">
        <v>160</v>
      </c>
      <c r="DO22" t="s">
        <v>160</v>
      </c>
      <c r="DP22" t="s">
        <v>160</v>
      </c>
      <c r="DQ22" t="s">
        <v>160</v>
      </c>
      <c r="DR22" t="s">
        <v>160</v>
      </c>
      <c r="DS22" t="s">
        <v>160</v>
      </c>
      <c r="DT22" t="s">
        <v>160</v>
      </c>
      <c r="DU22" t="s">
        <v>160</v>
      </c>
      <c r="DV22" t="s">
        <v>160</v>
      </c>
      <c r="DW22" t="s">
        <v>160</v>
      </c>
      <c r="DX22" t="s">
        <v>160</v>
      </c>
      <c r="DY22" t="s">
        <v>160</v>
      </c>
      <c r="DZ22" t="s">
        <v>160</v>
      </c>
      <c r="EA22" t="s">
        <v>57</v>
      </c>
      <c r="EB22" t="s">
        <v>160</v>
      </c>
      <c r="EC22" t="s">
        <v>160</v>
      </c>
      <c r="ED22" t="s">
        <v>57</v>
      </c>
      <c r="EE22" t="s">
        <v>160</v>
      </c>
      <c r="EF22" t="s">
        <v>160</v>
      </c>
      <c r="EG22" t="s">
        <v>160</v>
      </c>
      <c r="EH22" t="s">
        <v>160</v>
      </c>
      <c r="EI22" t="s">
        <v>160</v>
      </c>
      <c r="EJ22" t="s">
        <v>160</v>
      </c>
      <c r="EK22" t="s">
        <v>160</v>
      </c>
      <c r="EL22" t="s">
        <v>160</v>
      </c>
      <c r="EM22" t="s">
        <v>160</v>
      </c>
      <c r="EN22" t="s">
        <v>160</v>
      </c>
      <c r="EO22" t="s">
        <v>160</v>
      </c>
      <c r="EP22" t="s">
        <v>57</v>
      </c>
      <c r="EQ22" t="s">
        <v>160</v>
      </c>
      <c r="ER22" t="s">
        <v>160</v>
      </c>
      <c r="ES22" t="s">
        <v>160</v>
      </c>
      <c r="ET22" t="s">
        <v>160</v>
      </c>
      <c r="EU22" t="s">
        <v>160</v>
      </c>
      <c r="EV22" t="s">
        <v>57</v>
      </c>
      <c r="EW22" t="s">
        <v>160</v>
      </c>
      <c r="EX22" t="s">
        <v>160</v>
      </c>
      <c r="EY22" t="s">
        <v>160</v>
      </c>
      <c r="EZ22" t="s">
        <v>160</v>
      </c>
      <c r="FA22" t="s">
        <v>160</v>
      </c>
      <c r="FB22" t="s">
        <v>160</v>
      </c>
      <c r="FC22" t="s">
        <v>160</v>
      </c>
      <c r="FD22" t="s">
        <v>160</v>
      </c>
      <c r="FE22" t="s">
        <v>160</v>
      </c>
      <c r="FF22" t="s">
        <v>160</v>
      </c>
      <c r="FG22" t="s">
        <v>160</v>
      </c>
      <c r="FH22" t="s">
        <v>160</v>
      </c>
      <c r="FI22" t="s">
        <v>160</v>
      </c>
      <c r="FJ22" t="s">
        <v>160</v>
      </c>
      <c r="FK22" t="s">
        <v>160</v>
      </c>
      <c r="FL22" t="s">
        <v>160</v>
      </c>
      <c r="FM22" t="s">
        <v>160</v>
      </c>
      <c r="FN22" t="s">
        <v>160</v>
      </c>
      <c r="FO22" t="s">
        <v>160</v>
      </c>
      <c r="FP22" t="s">
        <v>160</v>
      </c>
      <c r="FQ22" t="s">
        <v>160</v>
      </c>
      <c r="FR22" t="s">
        <v>160</v>
      </c>
      <c r="FS22" t="s">
        <v>160</v>
      </c>
      <c r="FT22" t="s">
        <v>160</v>
      </c>
      <c r="FU22" t="s">
        <v>160</v>
      </c>
      <c r="FV22" t="s">
        <v>160</v>
      </c>
      <c r="FW22" t="s">
        <v>160</v>
      </c>
      <c r="FX22" t="s">
        <v>160</v>
      </c>
      <c r="FY22" t="s">
        <v>160</v>
      </c>
      <c r="FZ22" t="s">
        <v>160</v>
      </c>
      <c r="GA22" t="s">
        <v>160</v>
      </c>
      <c r="GB22" t="s">
        <v>160</v>
      </c>
      <c r="GC22" t="s">
        <v>160</v>
      </c>
      <c r="GD22" t="s">
        <v>160</v>
      </c>
      <c r="GE22" t="s">
        <v>160</v>
      </c>
      <c r="GF22" t="s">
        <v>160</v>
      </c>
      <c r="GG22" t="s">
        <v>160</v>
      </c>
      <c r="GH22" t="s">
        <v>160</v>
      </c>
      <c r="GI22" t="s">
        <v>160</v>
      </c>
      <c r="GJ22" t="s">
        <v>160</v>
      </c>
      <c r="GK22" t="s">
        <v>57</v>
      </c>
      <c r="GL22" t="s">
        <v>160</v>
      </c>
      <c r="GM22" t="s">
        <v>160</v>
      </c>
      <c r="GN22" t="s">
        <v>160</v>
      </c>
      <c r="GO22" t="s">
        <v>160</v>
      </c>
      <c r="GP22" t="s">
        <v>160</v>
      </c>
      <c r="GQ22" t="s">
        <v>160</v>
      </c>
      <c r="GR22" t="s">
        <v>160</v>
      </c>
      <c r="GS22" t="s">
        <v>160</v>
      </c>
      <c r="GT22" t="s">
        <v>160</v>
      </c>
      <c r="GU22" t="s">
        <v>160</v>
      </c>
      <c r="GV22" t="s">
        <v>160</v>
      </c>
      <c r="GW22" t="s">
        <v>160</v>
      </c>
      <c r="GX22" t="s">
        <v>160</v>
      </c>
      <c r="GY22" t="s">
        <v>160</v>
      </c>
      <c r="GZ22" t="s">
        <v>160</v>
      </c>
      <c r="HA22" t="s">
        <v>160</v>
      </c>
      <c r="HB22" t="s">
        <v>160</v>
      </c>
      <c r="HC22" t="s">
        <v>160</v>
      </c>
      <c r="HD22" t="s">
        <v>160</v>
      </c>
      <c r="HE22" t="s">
        <v>160</v>
      </c>
      <c r="HF22" t="s">
        <v>160</v>
      </c>
      <c r="HG22" t="s">
        <v>160</v>
      </c>
      <c r="HH22" t="s">
        <v>160</v>
      </c>
      <c r="HI22" t="s">
        <v>160</v>
      </c>
      <c r="HJ22" t="s">
        <v>160</v>
      </c>
      <c r="HK22" t="s">
        <v>160</v>
      </c>
      <c r="HL22" t="s">
        <v>160</v>
      </c>
      <c r="HM22" t="s">
        <v>160</v>
      </c>
      <c r="HN22" t="s">
        <v>160</v>
      </c>
      <c r="HO22" t="s">
        <v>160</v>
      </c>
      <c r="HP22" t="s">
        <v>160</v>
      </c>
      <c r="HQ22" t="s">
        <v>160</v>
      </c>
      <c r="HR22" t="s">
        <v>160</v>
      </c>
      <c r="HS22" t="s">
        <v>160</v>
      </c>
      <c r="HT22" t="s">
        <v>160</v>
      </c>
      <c r="HU22" t="s">
        <v>160</v>
      </c>
      <c r="HV22" t="s">
        <v>160</v>
      </c>
      <c r="HW22" t="s">
        <v>160</v>
      </c>
      <c r="HX22" t="s">
        <v>160</v>
      </c>
      <c r="HY22" t="s">
        <v>160</v>
      </c>
      <c r="HZ22" t="s">
        <v>160</v>
      </c>
      <c r="IA22" t="s">
        <v>160</v>
      </c>
      <c r="IB22" t="s">
        <v>160</v>
      </c>
      <c r="IC22" t="s">
        <v>160</v>
      </c>
      <c r="ID22" t="s">
        <v>160</v>
      </c>
      <c r="IE22" t="s">
        <v>160</v>
      </c>
      <c r="IF22" t="s">
        <v>124</v>
      </c>
      <c r="IG22" t="s">
        <v>155</v>
      </c>
      <c r="IH22" t="s">
        <v>123</v>
      </c>
      <c r="II22" t="s">
        <v>156</v>
      </c>
    </row>
    <row r="23" spans="1:243" x14ac:dyDescent="0.25">
      <c r="A23" s="111" t="str">
        <f>HYPERLINK("http://www.ofsted.gov.uk/inspection-reports/find-inspection-report/provider/ELS/123933 ","Ofsted School Webpage")</f>
        <v>Ofsted School Webpage</v>
      </c>
      <c r="B23">
        <v>123933</v>
      </c>
      <c r="C23">
        <v>9336185</v>
      </c>
      <c r="D23" t="s">
        <v>1114</v>
      </c>
      <c r="E23" t="s">
        <v>37</v>
      </c>
      <c r="F23" t="s">
        <v>138</v>
      </c>
      <c r="G23" t="s">
        <v>182</v>
      </c>
      <c r="H23" t="s">
        <v>182</v>
      </c>
      <c r="I23" t="s">
        <v>219</v>
      </c>
      <c r="J23" t="s">
        <v>1115</v>
      </c>
      <c r="K23" t="s">
        <v>142</v>
      </c>
      <c r="L23" t="s">
        <v>142</v>
      </c>
      <c r="M23" t="s">
        <v>2596</v>
      </c>
      <c r="N23" t="s">
        <v>143</v>
      </c>
      <c r="O23">
        <v>10040156</v>
      </c>
      <c r="P23" s="108">
        <v>43040</v>
      </c>
      <c r="Q23" s="108">
        <v>43040</v>
      </c>
      <c r="R23" s="108">
        <v>43076</v>
      </c>
      <c r="S23" t="s">
        <v>2635</v>
      </c>
      <c r="T23" t="s">
        <v>145</v>
      </c>
      <c r="U23" t="s">
        <v>2596</v>
      </c>
      <c r="V23" t="s">
        <v>2596</v>
      </c>
      <c r="W23" t="s">
        <v>2596</v>
      </c>
      <c r="X23" t="s">
        <v>2596</v>
      </c>
      <c r="Y23" t="s">
        <v>2596</v>
      </c>
      <c r="Z23" t="s">
        <v>2596</v>
      </c>
      <c r="AA23" t="s">
        <v>2596</v>
      </c>
      <c r="AB23" t="s">
        <v>2596</v>
      </c>
      <c r="AC23" t="s">
        <v>174</v>
      </c>
      <c r="AD23" t="s">
        <v>2596</v>
      </c>
      <c r="AE23" t="s">
        <v>147</v>
      </c>
      <c r="AF23" t="s">
        <v>147</v>
      </c>
      <c r="AG23" t="s">
        <v>58</v>
      </c>
      <c r="AH23" t="s">
        <v>147</v>
      </c>
      <c r="AI23" t="s">
        <v>147</v>
      </c>
      <c r="AJ23" t="s">
        <v>147</v>
      </c>
      <c r="AK23" t="s">
        <v>147</v>
      </c>
      <c r="AL23" t="s">
        <v>58</v>
      </c>
      <c r="AM23" t="s">
        <v>147</v>
      </c>
      <c r="AN23" t="s">
        <v>147</v>
      </c>
      <c r="AO23" t="s">
        <v>147</v>
      </c>
      <c r="AP23" t="s">
        <v>147</v>
      </c>
      <c r="AQ23" t="s">
        <v>147</v>
      </c>
      <c r="AR23" t="s">
        <v>57</v>
      </c>
      <c r="AS23" t="s">
        <v>147</v>
      </c>
      <c r="AT23" t="s">
        <v>147</v>
      </c>
      <c r="AU23" t="s">
        <v>147</v>
      </c>
      <c r="AV23" t="s">
        <v>147</v>
      </c>
      <c r="AW23" t="s">
        <v>147</v>
      </c>
      <c r="AX23" t="s">
        <v>147</v>
      </c>
      <c r="AY23" t="s">
        <v>57</v>
      </c>
      <c r="AZ23" t="s">
        <v>57</v>
      </c>
      <c r="BA23" t="s">
        <v>57</v>
      </c>
      <c r="BB23" t="s">
        <v>57</v>
      </c>
      <c r="BC23" t="s">
        <v>147</v>
      </c>
      <c r="BD23" t="s">
        <v>147</v>
      </c>
      <c r="BE23" t="s">
        <v>147</v>
      </c>
      <c r="BF23" t="s">
        <v>147</v>
      </c>
      <c r="BG23" t="s">
        <v>57</v>
      </c>
      <c r="BH23" t="s">
        <v>57</v>
      </c>
      <c r="BI23" t="s">
        <v>147</v>
      </c>
      <c r="BJ23" t="s">
        <v>57</v>
      </c>
      <c r="BK23" t="s">
        <v>57</v>
      </c>
      <c r="BL23" t="s">
        <v>147</v>
      </c>
      <c r="BM23" t="s">
        <v>147</v>
      </c>
      <c r="BN23" t="s">
        <v>57</v>
      </c>
      <c r="BO23" t="s">
        <v>57</v>
      </c>
      <c r="BP23" t="s">
        <v>147</v>
      </c>
      <c r="BQ23" t="s">
        <v>147</v>
      </c>
      <c r="BR23" t="s">
        <v>147</v>
      </c>
      <c r="BS23" t="s">
        <v>147</v>
      </c>
      <c r="BT23" t="s">
        <v>147</v>
      </c>
      <c r="BU23" t="s">
        <v>147</v>
      </c>
      <c r="BV23" t="s">
        <v>147</v>
      </c>
      <c r="BW23" t="s">
        <v>147</v>
      </c>
      <c r="BX23" t="s">
        <v>147</v>
      </c>
      <c r="BY23" t="s">
        <v>147</v>
      </c>
      <c r="BZ23" t="s">
        <v>147</v>
      </c>
      <c r="CA23" t="s">
        <v>147</v>
      </c>
      <c r="CB23" t="s">
        <v>147</v>
      </c>
      <c r="CC23" t="s">
        <v>147</v>
      </c>
      <c r="CD23" t="s">
        <v>147</v>
      </c>
      <c r="CE23" t="s">
        <v>147</v>
      </c>
      <c r="CF23" t="s">
        <v>147</v>
      </c>
      <c r="CG23" t="s">
        <v>147</v>
      </c>
      <c r="CH23" t="s">
        <v>58</v>
      </c>
      <c r="CI23" t="s">
        <v>58</v>
      </c>
      <c r="CJ23" t="s">
        <v>58</v>
      </c>
      <c r="CK23" t="s">
        <v>58</v>
      </c>
      <c r="CL23" t="s">
        <v>58</v>
      </c>
      <c r="CM23" t="s">
        <v>58</v>
      </c>
      <c r="CN23" t="s">
        <v>147</v>
      </c>
      <c r="CO23" t="s">
        <v>147</v>
      </c>
      <c r="CP23" t="s">
        <v>147</v>
      </c>
      <c r="CQ23" t="s">
        <v>147</v>
      </c>
      <c r="CR23" t="s">
        <v>147</v>
      </c>
      <c r="CS23" t="s">
        <v>57</v>
      </c>
      <c r="CT23" t="s">
        <v>57</v>
      </c>
      <c r="CU23" t="s">
        <v>147</v>
      </c>
      <c r="CV23" t="s">
        <v>57</v>
      </c>
      <c r="CW23" t="s">
        <v>57</v>
      </c>
      <c r="CX23" t="s">
        <v>57</v>
      </c>
      <c r="CY23" t="s">
        <v>57</v>
      </c>
      <c r="CZ23" t="s">
        <v>57</v>
      </c>
      <c r="DA23" t="s">
        <v>147</v>
      </c>
      <c r="DB23" t="s">
        <v>147</v>
      </c>
      <c r="DC23" t="s">
        <v>147</v>
      </c>
      <c r="DD23" t="s">
        <v>147</v>
      </c>
      <c r="DE23" t="s">
        <v>147</v>
      </c>
      <c r="DF23" t="s">
        <v>147</v>
      </c>
      <c r="DG23" t="s">
        <v>147</v>
      </c>
      <c r="DH23" t="s">
        <v>147</v>
      </c>
      <c r="DI23" t="s">
        <v>147</v>
      </c>
      <c r="DJ23" t="s">
        <v>57</v>
      </c>
      <c r="DK23" t="s">
        <v>147</v>
      </c>
      <c r="DL23" t="s">
        <v>147</v>
      </c>
      <c r="DM23" t="s">
        <v>58</v>
      </c>
      <c r="DN23" t="s">
        <v>57</v>
      </c>
      <c r="DO23" t="s">
        <v>57</v>
      </c>
      <c r="DP23" t="s">
        <v>57</v>
      </c>
      <c r="DQ23" t="s">
        <v>57</v>
      </c>
      <c r="DR23" t="s">
        <v>57</v>
      </c>
      <c r="DS23" t="s">
        <v>57</v>
      </c>
      <c r="DT23" t="s">
        <v>57</v>
      </c>
      <c r="DU23" t="s">
        <v>57</v>
      </c>
      <c r="DV23" t="s">
        <v>57</v>
      </c>
      <c r="DW23" t="s">
        <v>57</v>
      </c>
      <c r="DX23" t="s">
        <v>57</v>
      </c>
      <c r="DY23" t="s">
        <v>58</v>
      </c>
      <c r="DZ23" t="s">
        <v>57</v>
      </c>
      <c r="EA23" t="s">
        <v>147</v>
      </c>
      <c r="EB23" t="s">
        <v>147</v>
      </c>
      <c r="EC23" t="s">
        <v>147</v>
      </c>
      <c r="ED23" t="s">
        <v>147</v>
      </c>
      <c r="EE23" t="s">
        <v>147</v>
      </c>
      <c r="EF23" t="s">
        <v>147</v>
      </c>
      <c r="EG23" t="s">
        <v>147</v>
      </c>
      <c r="EH23" t="s">
        <v>147</v>
      </c>
      <c r="EI23" t="s">
        <v>147</v>
      </c>
      <c r="EJ23" t="s">
        <v>147</v>
      </c>
      <c r="EK23" t="s">
        <v>147</v>
      </c>
      <c r="EL23" t="s">
        <v>57</v>
      </c>
      <c r="EM23" t="s">
        <v>57</v>
      </c>
      <c r="EN23" t="s">
        <v>57</v>
      </c>
      <c r="EO23" t="s">
        <v>57</v>
      </c>
      <c r="EP23" t="s">
        <v>57</v>
      </c>
      <c r="EQ23" t="s">
        <v>57</v>
      </c>
      <c r="ER23" t="s">
        <v>147</v>
      </c>
      <c r="ES23" t="s">
        <v>147</v>
      </c>
      <c r="ET23" t="s">
        <v>57</v>
      </c>
      <c r="EU23" t="s">
        <v>57</v>
      </c>
      <c r="EV23" t="s">
        <v>57</v>
      </c>
      <c r="EW23" t="s">
        <v>147</v>
      </c>
      <c r="EX23" t="s">
        <v>57</v>
      </c>
      <c r="EY23" t="s">
        <v>57</v>
      </c>
      <c r="EZ23" t="s">
        <v>57</v>
      </c>
      <c r="FA23" t="s">
        <v>57</v>
      </c>
      <c r="FB23" t="s">
        <v>57</v>
      </c>
      <c r="FC23" t="s">
        <v>57</v>
      </c>
      <c r="FD23" t="s">
        <v>147</v>
      </c>
      <c r="FE23" t="s">
        <v>147</v>
      </c>
      <c r="FF23" t="s">
        <v>147</v>
      </c>
      <c r="FG23" t="s">
        <v>147</v>
      </c>
      <c r="FH23" t="s">
        <v>147</v>
      </c>
      <c r="FI23" t="s">
        <v>147</v>
      </c>
      <c r="FJ23" t="s">
        <v>147</v>
      </c>
      <c r="FK23" t="s">
        <v>147</v>
      </c>
      <c r="FL23" t="s">
        <v>147</v>
      </c>
      <c r="FM23" t="s">
        <v>147</v>
      </c>
      <c r="FN23" t="s">
        <v>147</v>
      </c>
      <c r="FO23" t="s">
        <v>147</v>
      </c>
      <c r="FP23" t="s">
        <v>147</v>
      </c>
      <c r="FQ23" t="s">
        <v>147</v>
      </c>
      <c r="FR23" t="s">
        <v>147</v>
      </c>
      <c r="FS23" t="s">
        <v>147</v>
      </c>
      <c r="FT23" t="s">
        <v>147</v>
      </c>
      <c r="FU23" t="s">
        <v>147</v>
      </c>
      <c r="FV23" t="s">
        <v>57</v>
      </c>
      <c r="FW23" t="s">
        <v>147</v>
      </c>
      <c r="FX23" t="s">
        <v>147</v>
      </c>
      <c r="FY23" t="s">
        <v>147</v>
      </c>
      <c r="FZ23" t="s">
        <v>57</v>
      </c>
      <c r="GA23" t="s">
        <v>147</v>
      </c>
      <c r="GB23" t="s">
        <v>147</v>
      </c>
      <c r="GC23" t="s">
        <v>147</v>
      </c>
      <c r="GD23" t="s">
        <v>147</v>
      </c>
      <c r="GE23" t="s">
        <v>147</v>
      </c>
      <c r="GF23" t="s">
        <v>147</v>
      </c>
      <c r="GG23" t="s">
        <v>147</v>
      </c>
      <c r="GH23" t="s">
        <v>147</v>
      </c>
      <c r="GI23" t="s">
        <v>147</v>
      </c>
      <c r="GJ23" t="s">
        <v>147</v>
      </c>
      <c r="GK23" t="s">
        <v>147</v>
      </c>
      <c r="GL23" t="s">
        <v>147</v>
      </c>
      <c r="GM23" t="s">
        <v>147</v>
      </c>
      <c r="GN23" t="s">
        <v>147</v>
      </c>
      <c r="GO23" t="s">
        <v>147</v>
      </c>
      <c r="GP23" t="s">
        <v>147</v>
      </c>
      <c r="GQ23" t="s">
        <v>147</v>
      </c>
      <c r="GR23" t="s">
        <v>147</v>
      </c>
      <c r="GS23" t="s">
        <v>147</v>
      </c>
      <c r="GT23" t="s">
        <v>147</v>
      </c>
      <c r="GU23" t="s">
        <v>147</v>
      </c>
      <c r="GV23" t="s">
        <v>147</v>
      </c>
      <c r="GW23" t="s">
        <v>147</v>
      </c>
      <c r="GX23" t="s">
        <v>147</v>
      </c>
      <c r="GY23" t="s">
        <v>147</v>
      </c>
      <c r="GZ23" t="s">
        <v>147</v>
      </c>
      <c r="HA23" t="s">
        <v>147</v>
      </c>
      <c r="HB23" t="s">
        <v>147</v>
      </c>
      <c r="HC23" t="s">
        <v>147</v>
      </c>
      <c r="HD23" t="s">
        <v>147</v>
      </c>
      <c r="HE23" t="s">
        <v>147</v>
      </c>
      <c r="HF23" t="s">
        <v>147</v>
      </c>
      <c r="HG23" t="s">
        <v>147</v>
      </c>
      <c r="HH23" t="s">
        <v>147</v>
      </c>
      <c r="HI23" t="s">
        <v>147</v>
      </c>
      <c r="HJ23" t="s">
        <v>147</v>
      </c>
      <c r="HK23" t="s">
        <v>147</v>
      </c>
      <c r="HL23" t="s">
        <v>147</v>
      </c>
      <c r="HM23" t="s">
        <v>147</v>
      </c>
      <c r="HN23" t="s">
        <v>147</v>
      </c>
      <c r="HO23" t="s">
        <v>147</v>
      </c>
      <c r="HP23" t="s">
        <v>147</v>
      </c>
      <c r="HQ23" t="s">
        <v>147</v>
      </c>
      <c r="HR23" t="s">
        <v>147</v>
      </c>
      <c r="HS23" t="s">
        <v>147</v>
      </c>
      <c r="HT23" t="s">
        <v>147</v>
      </c>
      <c r="HU23" t="s">
        <v>147</v>
      </c>
      <c r="HV23" t="s">
        <v>147</v>
      </c>
      <c r="HW23" t="s">
        <v>147</v>
      </c>
      <c r="HX23" t="s">
        <v>147</v>
      </c>
      <c r="HY23" t="s">
        <v>147</v>
      </c>
      <c r="HZ23" t="s">
        <v>147</v>
      </c>
      <c r="IA23" t="s">
        <v>147</v>
      </c>
      <c r="IB23" t="s">
        <v>58</v>
      </c>
      <c r="IC23" t="s">
        <v>58</v>
      </c>
      <c r="ID23" t="s">
        <v>58</v>
      </c>
      <c r="IE23" t="s">
        <v>58</v>
      </c>
      <c r="IF23" t="s">
        <v>123</v>
      </c>
      <c r="IG23" t="s">
        <v>124</v>
      </c>
      <c r="IH23" t="s">
        <v>123</v>
      </c>
      <c r="II23" t="s">
        <v>156</v>
      </c>
    </row>
    <row r="24" spans="1:243" x14ac:dyDescent="0.25">
      <c r="A24" s="121" t="str">
        <f>HYPERLINK("http://www.ofsted.gov.uk/inspection-reports/find-inspection-report/provider/ELS/126149 ","Ofsted School Webpage")</f>
        <v>Ofsted School Webpage</v>
      </c>
      <c r="B24">
        <v>126149</v>
      </c>
      <c r="C24">
        <v>9386249</v>
      </c>
      <c r="D24" t="s">
        <v>1809</v>
      </c>
      <c r="E24" t="s">
        <v>37</v>
      </c>
      <c r="F24" t="s">
        <v>138</v>
      </c>
      <c r="G24" t="s">
        <v>139</v>
      </c>
      <c r="H24" t="s">
        <v>139</v>
      </c>
      <c r="I24" t="s">
        <v>351</v>
      </c>
      <c r="J24" t="s">
        <v>1810</v>
      </c>
      <c r="K24" t="s">
        <v>142</v>
      </c>
      <c r="L24" t="s">
        <v>142</v>
      </c>
      <c r="M24" t="s">
        <v>2596</v>
      </c>
      <c r="N24" t="s">
        <v>143</v>
      </c>
      <c r="O24">
        <v>10043955</v>
      </c>
      <c r="P24" s="108">
        <v>43053</v>
      </c>
      <c r="Q24" s="108">
        <v>43053</v>
      </c>
      <c r="R24" s="108">
        <v>43082</v>
      </c>
      <c r="S24" t="s">
        <v>144</v>
      </c>
      <c r="T24" t="s">
        <v>145</v>
      </c>
      <c r="U24" t="s">
        <v>2596</v>
      </c>
      <c r="V24" t="s">
        <v>2596</v>
      </c>
      <c r="W24" t="s">
        <v>2596</v>
      </c>
      <c r="X24" t="s">
        <v>2596</v>
      </c>
      <c r="Y24" t="s">
        <v>2596</v>
      </c>
      <c r="Z24" t="s">
        <v>2596</v>
      </c>
      <c r="AA24" t="s">
        <v>2596</v>
      </c>
      <c r="AB24" t="s">
        <v>2596</v>
      </c>
      <c r="AC24" t="s">
        <v>174</v>
      </c>
      <c r="AD24" t="s">
        <v>2596</v>
      </c>
      <c r="AE24" t="s">
        <v>147</v>
      </c>
      <c r="AF24" t="s">
        <v>147</v>
      </c>
      <c r="AG24" t="s">
        <v>58</v>
      </c>
      <c r="AH24" t="s">
        <v>57</v>
      </c>
      <c r="AI24" t="s">
        <v>147</v>
      </c>
      <c r="AJ24" t="s">
        <v>57</v>
      </c>
      <c r="AK24" t="s">
        <v>147</v>
      </c>
      <c r="AL24" t="s">
        <v>58</v>
      </c>
      <c r="AM24" t="s">
        <v>147</v>
      </c>
      <c r="AN24" t="s">
        <v>147</v>
      </c>
      <c r="AO24" t="s">
        <v>147</v>
      </c>
      <c r="AP24" t="s">
        <v>147</v>
      </c>
      <c r="AQ24" t="s">
        <v>147</v>
      </c>
      <c r="AR24" t="s">
        <v>147</v>
      </c>
      <c r="AS24" t="s">
        <v>147</v>
      </c>
      <c r="AT24" t="s">
        <v>147</v>
      </c>
      <c r="AU24" t="s">
        <v>147</v>
      </c>
      <c r="AV24" t="s">
        <v>147</v>
      </c>
      <c r="AW24" t="s">
        <v>147</v>
      </c>
      <c r="AX24" t="s">
        <v>147</v>
      </c>
      <c r="AY24" t="s">
        <v>147</v>
      </c>
      <c r="AZ24" t="s">
        <v>147</v>
      </c>
      <c r="BA24" t="s">
        <v>147</v>
      </c>
      <c r="BB24" t="s">
        <v>147</v>
      </c>
      <c r="BC24" t="s">
        <v>147</v>
      </c>
      <c r="BD24" t="s">
        <v>147</v>
      </c>
      <c r="BE24" t="s">
        <v>147</v>
      </c>
      <c r="BF24" t="s">
        <v>147</v>
      </c>
      <c r="BG24" t="s">
        <v>147</v>
      </c>
      <c r="BH24" t="s">
        <v>147</v>
      </c>
      <c r="BI24" t="s">
        <v>147</v>
      </c>
      <c r="BJ24" t="s">
        <v>147</v>
      </c>
      <c r="BK24" t="s">
        <v>147</v>
      </c>
      <c r="BL24" t="s">
        <v>147</v>
      </c>
      <c r="BM24" t="s">
        <v>147</v>
      </c>
      <c r="BN24" t="s">
        <v>147</v>
      </c>
      <c r="BO24" t="s">
        <v>147</v>
      </c>
      <c r="BP24" t="s">
        <v>147</v>
      </c>
      <c r="BQ24" t="s">
        <v>147</v>
      </c>
      <c r="BR24" t="s">
        <v>147</v>
      </c>
      <c r="BS24" t="s">
        <v>147</v>
      </c>
      <c r="BT24" t="s">
        <v>147</v>
      </c>
      <c r="BU24" t="s">
        <v>147</v>
      </c>
      <c r="BV24" t="s">
        <v>147</v>
      </c>
      <c r="BW24" t="s">
        <v>147</v>
      </c>
      <c r="BX24" t="s">
        <v>147</v>
      </c>
      <c r="BY24" t="s">
        <v>147</v>
      </c>
      <c r="BZ24" t="s">
        <v>147</v>
      </c>
      <c r="CA24" t="s">
        <v>147</v>
      </c>
      <c r="CB24" t="s">
        <v>147</v>
      </c>
      <c r="CC24" t="s">
        <v>147</v>
      </c>
      <c r="CD24" t="s">
        <v>147</v>
      </c>
      <c r="CE24" t="s">
        <v>147</v>
      </c>
      <c r="CF24" t="s">
        <v>147</v>
      </c>
      <c r="CG24" t="s">
        <v>147</v>
      </c>
      <c r="CH24" t="s">
        <v>58</v>
      </c>
      <c r="CI24" t="s">
        <v>58</v>
      </c>
      <c r="CJ24" t="s">
        <v>58</v>
      </c>
      <c r="CK24" t="s">
        <v>147</v>
      </c>
      <c r="CL24" t="s">
        <v>147</v>
      </c>
      <c r="CM24" t="s">
        <v>147</v>
      </c>
      <c r="CN24" t="s">
        <v>147</v>
      </c>
      <c r="CO24" t="s">
        <v>147</v>
      </c>
      <c r="CP24" t="s">
        <v>147</v>
      </c>
      <c r="CQ24" t="s">
        <v>147</v>
      </c>
      <c r="CR24" t="s">
        <v>147</v>
      </c>
      <c r="CS24" t="s">
        <v>147</v>
      </c>
      <c r="CT24" t="s">
        <v>57</v>
      </c>
      <c r="CU24" t="s">
        <v>147</v>
      </c>
      <c r="CV24" t="s">
        <v>147</v>
      </c>
      <c r="CW24" t="s">
        <v>147</v>
      </c>
      <c r="CX24" t="s">
        <v>58</v>
      </c>
      <c r="CY24" t="s">
        <v>58</v>
      </c>
      <c r="CZ24" t="s">
        <v>58</v>
      </c>
      <c r="DA24" t="s">
        <v>57</v>
      </c>
      <c r="DB24" t="s">
        <v>147</v>
      </c>
      <c r="DC24" t="s">
        <v>57</v>
      </c>
      <c r="DD24" t="s">
        <v>147</v>
      </c>
      <c r="DE24" t="s">
        <v>147</v>
      </c>
      <c r="DF24" t="s">
        <v>147</v>
      </c>
      <c r="DG24" t="s">
        <v>147</v>
      </c>
      <c r="DH24" t="s">
        <v>147</v>
      </c>
      <c r="DI24" t="s">
        <v>147</v>
      </c>
      <c r="DJ24" t="s">
        <v>147</v>
      </c>
      <c r="DK24" t="s">
        <v>147</v>
      </c>
      <c r="DL24" t="s">
        <v>147</v>
      </c>
      <c r="DM24" t="s">
        <v>147</v>
      </c>
      <c r="DN24" t="s">
        <v>147</v>
      </c>
      <c r="DO24" t="s">
        <v>147</v>
      </c>
      <c r="DP24" t="s">
        <v>147</v>
      </c>
      <c r="DQ24" t="s">
        <v>147</v>
      </c>
      <c r="DR24" t="s">
        <v>147</v>
      </c>
      <c r="DS24" t="s">
        <v>147</v>
      </c>
      <c r="DT24" t="s">
        <v>147</v>
      </c>
      <c r="DU24" t="s">
        <v>147</v>
      </c>
      <c r="DV24" t="s">
        <v>147</v>
      </c>
      <c r="DW24" t="s">
        <v>147</v>
      </c>
      <c r="DX24" t="s">
        <v>147</v>
      </c>
      <c r="DY24" t="s">
        <v>147</v>
      </c>
      <c r="DZ24" t="s">
        <v>147</v>
      </c>
      <c r="EA24" t="s">
        <v>147</v>
      </c>
      <c r="EB24" t="s">
        <v>147</v>
      </c>
      <c r="EC24" t="s">
        <v>147</v>
      </c>
      <c r="ED24" t="s">
        <v>147</v>
      </c>
      <c r="EE24" t="s">
        <v>147</v>
      </c>
      <c r="EF24" t="s">
        <v>147</v>
      </c>
      <c r="EG24" t="s">
        <v>147</v>
      </c>
      <c r="EH24" t="s">
        <v>147</v>
      </c>
      <c r="EI24" t="s">
        <v>147</v>
      </c>
      <c r="EJ24" t="s">
        <v>57</v>
      </c>
      <c r="EK24" t="s">
        <v>147</v>
      </c>
      <c r="EL24" t="s">
        <v>57</v>
      </c>
      <c r="EM24" t="s">
        <v>57</v>
      </c>
      <c r="EN24" t="s">
        <v>147</v>
      </c>
      <c r="EO24" t="s">
        <v>147</v>
      </c>
      <c r="EP24" t="s">
        <v>57</v>
      </c>
      <c r="EQ24" t="s">
        <v>147</v>
      </c>
      <c r="ER24" t="s">
        <v>147</v>
      </c>
      <c r="ES24" t="s">
        <v>147</v>
      </c>
      <c r="ET24" t="s">
        <v>147</v>
      </c>
      <c r="EU24" t="s">
        <v>147</v>
      </c>
      <c r="EV24" t="s">
        <v>57</v>
      </c>
      <c r="EW24" t="s">
        <v>147</v>
      </c>
      <c r="EX24" t="s">
        <v>147</v>
      </c>
      <c r="EY24" t="s">
        <v>147</v>
      </c>
      <c r="EZ24" t="s">
        <v>147</v>
      </c>
      <c r="FA24" t="s">
        <v>147</v>
      </c>
      <c r="FB24" t="s">
        <v>147</v>
      </c>
      <c r="FC24" t="s">
        <v>147</v>
      </c>
      <c r="FD24" t="s">
        <v>147</v>
      </c>
      <c r="FE24" t="s">
        <v>147</v>
      </c>
      <c r="FF24" t="s">
        <v>147</v>
      </c>
      <c r="FG24" t="s">
        <v>147</v>
      </c>
      <c r="FH24" t="s">
        <v>147</v>
      </c>
      <c r="FI24" t="s">
        <v>147</v>
      </c>
      <c r="FJ24" t="s">
        <v>147</v>
      </c>
      <c r="FK24" t="s">
        <v>147</v>
      </c>
      <c r="FL24" t="s">
        <v>147</v>
      </c>
      <c r="FM24" t="s">
        <v>147</v>
      </c>
      <c r="FN24" t="s">
        <v>147</v>
      </c>
      <c r="FO24" t="s">
        <v>147</v>
      </c>
      <c r="FP24" t="s">
        <v>147</v>
      </c>
      <c r="FQ24" t="s">
        <v>147</v>
      </c>
      <c r="FR24" t="s">
        <v>147</v>
      </c>
      <c r="FS24" t="s">
        <v>147</v>
      </c>
      <c r="FT24" t="s">
        <v>147</v>
      </c>
      <c r="FU24" t="s">
        <v>147</v>
      </c>
      <c r="FV24" t="s">
        <v>57</v>
      </c>
      <c r="FW24" t="s">
        <v>147</v>
      </c>
      <c r="FX24" t="s">
        <v>147</v>
      </c>
      <c r="FY24" t="s">
        <v>147</v>
      </c>
      <c r="FZ24" t="s">
        <v>57</v>
      </c>
      <c r="GA24" t="s">
        <v>147</v>
      </c>
      <c r="GB24" t="s">
        <v>147</v>
      </c>
      <c r="GC24" t="s">
        <v>147</v>
      </c>
      <c r="GD24" t="s">
        <v>147</v>
      </c>
      <c r="GE24" t="s">
        <v>147</v>
      </c>
      <c r="GF24" t="s">
        <v>147</v>
      </c>
      <c r="GG24" t="s">
        <v>147</v>
      </c>
      <c r="GH24" t="s">
        <v>57</v>
      </c>
      <c r="GI24" t="s">
        <v>147</v>
      </c>
      <c r="GJ24" t="s">
        <v>147</v>
      </c>
      <c r="GK24" t="s">
        <v>57</v>
      </c>
      <c r="GL24" t="s">
        <v>147</v>
      </c>
      <c r="GM24" t="s">
        <v>147</v>
      </c>
      <c r="GN24" t="s">
        <v>147</v>
      </c>
      <c r="GO24" t="s">
        <v>147</v>
      </c>
      <c r="GP24" t="s">
        <v>147</v>
      </c>
      <c r="GQ24" t="s">
        <v>147</v>
      </c>
      <c r="GR24" t="s">
        <v>147</v>
      </c>
      <c r="GS24" t="s">
        <v>147</v>
      </c>
      <c r="GT24" t="s">
        <v>147</v>
      </c>
      <c r="GU24" t="s">
        <v>147</v>
      </c>
      <c r="GV24" t="s">
        <v>147</v>
      </c>
      <c r="GW24" t="s">
        <v>147</v>
      </c>
      <c r="GX24" t="s">
        <v>147</v>
      </c>
      <c r="GY24" t="s">
        <v>147</v>
      </c>
      <c r="GZ24" t="s">
        <v>147</v>
      </c>
      <c r="HA24" t="s">
        <v>147</v>
      </c>
      <c r="HB24" t="s">
        <v>147</v>
      </c>
      <c r="HC24" t="s">
        <v>147</v>
      </c>
      <c r="HD24" t="s">
        <v>147</v>
      </c>
      <c r="HE24" t="s">
        <v>147</v>
      </c>
      <c r="HF24" t="s">
        <v>147</v>
      </c>
      <c r="HG24" t="s">
        <v>147</v>
      </c>
      <c r="HH24" t="s">
        <v>147</v>
      </c>
      <c r="HI24" t="s">
        <v>147</v>
      </c>
      <c r="HJ24" t="s">
        <v>147</v>
      </c>
      <c r="HK24" t="s">
        <v>147</v>
      </c>
      <c r="HL24" t="s">
        <v>147</v>
      </c>
      <c r="HM24" t="s">
        <v>147</v>
      </c>
      <c r="HN24" t="s">
        <v>147</v>
      </c>
      <c r="HO24" t="s">
        <v>147</v>
      </c>
      <c r="HP24" t="s">
        <v>147</v>
      </c>
      <c r="HQ24" t="s">
        <v>147</v>
      </c>
      <c r="HR24" t="s">
        <v>147</v>
      </c>
      <c r="HS24" t="s">
        <v>147</v>
      </c>
      <c r="HT24" t="s">
        <v>147</v>
      </c>
      <c r="HU24" t="s">
        <v>147</v>
      </c>
      <c r="HV24" t="s">
        <v>147</v>
      </c>
      <c r="HW24" t="s">
        <v>147</v>
      </c>
      <c r="HX24" t="s">
        <v>147</v>
      </c>
      <c r="HY24" t="s">
        <v>147</v>
      </c>
      <c r="HZ24" t="s">
        <v>147</v>
      </c>
      <c r="IA24" t="s">
        <v>147</v>
      </c>
      <c r="IB24" t="s">
        <v>58</v>
      </c>
      <c r="IC24" t="s">
        <v>58</v>
      </c>
      <c r="ID24" t="s">
        <v>58</v>
      </c>
      <c r="IE24" t="s">
        <v>58</v>
      </c>
      <c r="IF24" t="s">
        <v>124</v>
      </c>
      <c r="IG24" t="s">
        <v>148</v>
      </c>
      <c r="IH24" t="s">
        <v>123</v>
      </c>
      <c r="II24" t="s">
        <v>2596</v>
      </c>
    </row>
    <row r="25" spans="1:243" x14ac:dyDescent="0.25">
      <c r="A25" s="121" t="str">
        <f>HYPERLINK("http://www.ofsted.gov.uk/inspection-reports/find-inspection-report/provider/ELS/126536 ","Ofsted School Webpage")</f>
        <v>Ofsted School Webpage</v>
      </c>
      <c r="B25">
        <v>126536</v>
      </c>
      <c r="C25">
        <v>8666001</v>
      </c>
      <c r="D25" t="s">
        <v>679</v>
      </c>
      <c r="E25" t="s">
        <v>36</v>
      </c>
      <c r="F25" t="s">
        <v>166</v>
      </c>
      <c r="G25" t="s">
        <v>182</v>
      </c>
      <c r="H25" t="s">
        <v>182</v>
      </c>
      <c r="I25" t="s">
        <v>680</v>
      </c>
      <c r="J25" t="s">
        <v>681</v>
      </c>
      <c r="K25" t="s">
        <v>142</v>
      </c>
      <c r="L25" t="s">
        <v>169</v>
      </c>
      <c r="M25" t="s">
        <v>2596</v>
      </c>
      <c r="N25" t="s">
        <v>143</v>
      </c>
      <c r="O25">
        <v>10041331</v>
      </c>
      <c r="P25" s="108">
        <v>43152</v>
      </c>
      <c r="Q25" s="108">
        <v>43152</v>
      </c>
      <c r="R25" s="108">
        <v>43179</v>
      </c>
      <c r="S25" t="s">
        <v>144</v>
      </c>
      <c r="T25" t="s">
        <v>145</v>
      </c>
      <c r="U25" t="s">
        <v>2596</v>
      </c>
      <c r="V25" t="s">
        <v>2596</v>
      </c>
      <c r="W25" t="s">
        <v>2596</v>
      </c>
      <c r="X25" t="s">
        <v>2596</v>
      </c>
      <c r="Y25" t="s">
        <v>2596</v>
      </c>
      <c r="Z25" t="s">
        <v>2596</v>
      </c>
      <c r="AA25" t="s">
        <v>2596</v>
      </c>
      <c r="AB25" t="s">
        <v>2596</v>
      </c>
      <c r="AC25" t="s">
        <v>146</v>
      </c>
      <c r="AD25" t="s">
        <v>2596</v>
      </c>
      <c r="AE25" t="s">
        <v>147</v>
      </c>
      <c r="AF25" t="s">
        <v>147</v>
      </c>
      <c r="AG25" t="s">
        <v>57</v>
      </c>
      <c r="AH25" t="s">
        <v>147</v>
      </c>
      <c r="AI25" t="s">
        <v>147</v>
      </c>
      <c r="AJ25" t="s">
        <v>147</v>
      </c>
      <c r="AK25" t="s">
        <v>147</v>
      </c>
      <c r="AL25" t="s">
        <v>57</v>
      </c>
      <c r="AM25" t="s">
        <v>147</v>
      </c>
      <c r="AN25" t="s">
        <v>147</v>
      </c>
      <c r="AO25" t="s">
        <v>147</v>
      </c>
      <c r="AP25" t="s">
        <v>147</v>
      </c>
      <c r="AQ25" t="s">
        <v>147</v>
      </c>
      <c r="AR25" t="s">
        <v>147</v>
      </c>
      <c r="AS25" t="s">
        <v>147</v>
      </c>
      <c r="AT25" t="s">
        <v>147</v>
      </c>
      <c r="AU25" t="s">
        <v>175</v>
      </c>
      <c r="AV25" t="s">
        <v>147</v>
      </c>
      <c r="AW25" t="s">
        <v>147</v>
      </c>
      <c r="AX25" t="s">
        <v>147</v>
      </c>
      <c r="AY25" t="s">
        <v>147</v>
      </c>
      <c r="AZ25" t="s">
        <v>147</v>
      </c>
      <c r="BA25" t="s">
        <v>147</v>
      </c>
      <c r="BB25" t="s">
        <v>147</v>
      </c>
      <c r="BC25" t="s">
        <v>147</v>
      </c>
      <c r="BD25" t="s">
        <v>147</v>
      </c>
      <c r="BE25" t="s">
        <v>147</v>
      </c>
      <c r="BF25" t="s">
        <v>147</v>
      </c>
      <c r="BG25" t="s">
        <v>147</v>
      </c>
      <c r="BH25" t="s">
        <v>147</v>
      </c>
      <c r="BI25" t="s">
        <v>147</v>
      </c>
      <c r="BJ25" t="s">
        <v>147</v>
      </c>
      <c r="BK25" t="s">
        <v>147</v>
      </c>
      <c r="BL25" t="s">
        <v>147</v>
      </c>
      <c r="BM25" t="s">
        <v>147</v>
      </c>
      <c r="BN25" t="s">
        <v>147</v>
      </c>
      <c r="BO25" t="s">
        <v>147</v>
      </c>
      <c r="BP25" t="s">
        <v>147</v>
      </c>
      <c r="BQ25" t="s">
        <v>147</v>
      </c>
      <c r="BR25" t="s">
        <v>147</v>
      </c>
      <c r="BS25" t="s">
        <v>147</v>
      </c>
      <c r="BT25" t="s">
        <v>147</v>
      </c>
      <c r="BU25" t="s">
        <v>147</v>
      </c>
      <c r="BV25" t="s">
        <v>147</v>
      </c>
      <c r="BW25" t="s">
        <v>147</v>
      </c>
      <c r="BX25" t="s">
        <v>147</v>
      </c>
      <c r="BY25" t="s">
        <v>147</v>
      </c>
      <c r="BZ25" t="s">
        <v>147</v>
      </c>
      <c r="CA25" t="s">
        <v>147</v>
      </c>
      <c r="CB25" t="s">
        <v>147</v>
      </c>
      <c r="CC25" t="s">
        <v>147</v>
      </c>
      <c r="CD25" t="s">
        <v>147</v>
      </c>
      <c r="CE25" t="s">
        <v>147</v>
      </c>
      <c r="CF25" t="s">
        <v>147</v>
      </c>
      <c r="CG25" t="s">
        <v>147</v>
      </c>
      <c r="CH25" t="s">
        <v>57</v>
      </c>
      <c r="CI25" t="s">
        <v>57</v>
      </c>
      <c r="CJ25" t="s">
        <v>57</v>
      </c>
      <c r="CK25" t="s">
        <v>175</v>
      </c>
      <c r="CL25" t="s">
        <v>175</v>
      </c>
      <c r="CM25" t="s">
        <v>175</v>
      </c>
      <c r="CN25" t="s">
        <v>147</v>
      </c>
      <c r="CO25" t="s">
        <v>147</v>
      </c>
      <c r="CP25" t="s">
        <v>147</v>
      </c>
      <c r="CQ25" t="s">
        <v>147</v>
      </c>
      <c r="CR25" t="s">
        <v>147</v>
      </c>
      <c r="CS25" t="s">
        <v>147</v>
      </c>
      <c r="CT25" t="s">
        <v>147</v>
      </c>
      <c r="CU25" t="s">
        <v>147</v>
      </c>
      <c r="CV25" t="s">
        <v>147</v>
      </c>
      <c r="CW25" t="s">
        <v>147</v>
      </c>
      <c r="CX25" t="s">
        <v>147</v>
      </c>
      <c r="CY25" t="s">
        <v>147</v>
      </c>
      <c r="CZ25" t="s">
        <v>147</v>
      </c>
      <c r="DA25" t="s">
        <v>147</v>
      </c>
      <c r="DB25" t="s">
        <v>147</v>
      </c>
      <c r="DC25" t="s">
        <v>147</v>
      </c>
      <c r="DD25" t="s">
        <v>147</v>
      </c>
      <c r="DE25" t="s">
        <v>147</v>
      </c>
      <c r="DF25" t="s">
        <v>147</v>
      </c>
      <c r="DG25" t="s">
        <v>147</v>
      </c>
      <c r="DH25" t="s">
        <v>147</v>
      </c>
      <c r="DI25" t="s">
        <v>147</v>
      </c>
      <c r="DJ25" t="s">
        <v>147</v>
      </c>
      <c r="DK25" t="s">
        <v>175</v>
      </c>
      <c r="DL25" t="s">
        <v>147</v>
      </c>
      <c r="DM25" t="s">
        <v>147</v>
      </c>
      <c r="DN25" t="s">
        <v>147</v>
      </c>
      <c r="DO25" t="s">
        <v>147</v>
      </c>
      <c r="DP25" t="s">
        <v>147</v>
      </c>
      <c r="DQ25" t="s">
        <v>147</v>
      </c>
      <c r="DR25" t="s">
        <v>147</v>
      </c>
      <c r="DS25" t="s">
        <v>147</v>
      </c>
      <c r="DT25" t="s">
        <v>147</v>
      </c>
      <c r="DU25" t="s">
        <v>147</v>
      </c>
      <c r="DV25" t="s">
        <v>147</v>
      </c>
      <c r="DW25" t="s">
        <v>147</v>
      </c>
      <c r="DX25" t="s">
        <v>147</v>
      </c>
      <c r="DY25" t="s">
        <v>175</v>
      </c>
      <c r="DZ25" t="s">
        <v>147</v>
      </c>
      <c r="EA25" t="s">
        <v>57</v>
      </c>
      <c r="EB25" t="s">
        <v>57</v>
      </c>
      <c r="EC25" t="s">
        <v>147</v>
      </c>
      <c r="ED25" t="s">
        <v>57</v>
      </c>
      <c r="EE25" t="s">
        <v>147</v>
      </c>
      <c r="EF25" t="s">
        <v>147</v>
      </c>
      <c r="EG25" t="s">
        <v>147</v>
      </c>
      <c r="EH25" t="s">
        <v>147</v>
      </c>
      <c r="EI25" t="s">
        <v>147</v>
      </c>
      <c r="EJ25" t="s">
        <v>57</v>
      </c>
      <c r="EK25" t="s">
        <v>147</v>
      </c>
      <c r="EL25" t="s">
        <v>57</v>
      </c>
      <c r="EM25" t="s">
        <v>57</v>
      </c>
      <c r="EN25" t="s">
        <v>147</v>
      </c>
      <c r="EO25" t="s">
        <v>147</v>
      </c>
      <c r="EP25" t="s">
        <v>57</v>
      </c>
      <c r="EQ25" t="s">
        <v>147</v>
      </c>
      <c r="ER25" t="s">
        <v>147</v>
      </c>
      <c r="ES25" t="s">
        <v>147</v>
      </c>
      <c r="ET25" t="s">
        <v>147</v>
      </c>
      <c r="EU25" t="s">
        <v>147</v>
      </c>
      <c r="EV25" t="s">
        <v>147</v>
      </c>
      <c r="EW25" t="s">
        <v>147</v>
      </c>
      <c r="EX25" t="s">
        <v>147</v>
      </c>
      <c r="EY25" t="s">
        <v>147</v>
      </c>
      <c r="EZ25" t="s">
        <v>147</v>
      </c>
      <c r="FA25" t="s">
        <v>147</v>
      </c>
      <c r="FB25" t="s">
        <v>147</v>
      </c>
      <c r="FC25" t="s">
        <v>147</v>
      </c>
      <c r="FD25" t="s">
        <v>147</v>
      </c>
      <c r="FE25" t="s">
        <v>147</v>
      </c>
      <c r="FF25" t="s">
        <v>147</v>
      </c>
      <c r="FG25" t="s">
        <v>147</v>
      </c>
      <c r="FH25" t="s">
        <v>147</v>
      </c>
      <c r="FI25" t="s">
        <v>147</v>
      </c>
      <c r="FJ25" t="s">
        <v>147</v>
      </c>
      <c r="FK25" t="s">
        <v>147</v>
      </c>
      <c r="FL25" t="s">
        <v>147</v>
      </c>
      <c r="FM25" t="s">
        <v>147</v>
      </c>
      <c r="FN25" t="s">
        <v>147</v>
      </c>
      <c r="FO25" t="s">
        <v>175</v>
      </c>
      <c r="FP25" t="s">
        <v>147</v>
      </c>
      <c r="FQ25" t="s">
        <v>147</v>
      </c>
      <c r="FR25" t="s">
        <v>147</v>
      </c>
      <c r="FS25" t="s">
        <v>147</v>
      </c>
      <c r="FT25" t="s">
        <v>147</v>
      </c>
      <c r="FU25" t="s">
        <v>147</v>
      </c>
      <c r="FV25" t="s">
        <v>147</v>
      </c>
      <c r="FW25" t="s">
        <v>147</v>
      </c>
      <c r="FX25" t="s">
        <v>147</v>
      </c>
      <c r="FY25" t="s">
        <v>147</v>
      </c>
      <c r="FZ25" t="s">
        <v>147</v>
      </c>
      <c r="GA25" t="s">
        <v>147</v>
      </c>
      <c r="GB25" t="s">
        <v>147</v>
      </c>
      <c r="GC25" t="s">
        <v>147</v>
      </c>
      <c r="GD25" t="s">
        <v>147</v>
      </c>
      <c r="GE25" t="s">
        <v>147</v>
      </c>
      <c r="GF25" t="s">
        <v>147</v>
      </c>
      <c r="GG25" t="s">
        <v>175</v>
      </c>
      <c r="GH25" t="s">
        <v>147</v>
      </c>
      <c r="GI25" t="s">
        <v>147</v>
      </c>
      <c r="GJ25" t="s">
        <v>147</v>
      </c>
      <c r="GK25" t="s">
        <v>147</v>
      </c>
      <c r="GL25" t="s">
        <v>147</v>
      </c>
      <c r="GM25" t="s">
        <v>147</v>
      </c>
      <c r="GN25" t="s">
        <v>147</v>
      </c>
      <c r="GO25" t="s">
        <v>147</v>
      </c>
      <c r="GP25" t="s">
        <v>175</v>
      </c>
      <c r="GQ25" t="s">
        <v>175</v>
      </c>
      <c r="GR25" t="s">
        <v>147</v>
      </c>
      <c r="GS25" t="s">
        <v>147</v>
      </c>
      <c r="GT25" t="s">
        <v>147</v>
      </c>
      <c r="GU25" t="s">
        <v>147</v>
      </c>
      <c r="GV25" t="s">
        <v>147</v>
      </c>
      <c r="GW25" t="s">
        <v>147</v>
      </c>
      <c r="GX25" t="s">
        <v>147</v>
      </c>
      <c r="GY25" t="s">
        <v>147</v>
      </c>
      <c r="GZ25" t="s">
        <v>147</v>
      </c>
      <c r="HA25" t="s">
        <v>147</v>
      </c>
      <c r="HB25" t="s">
        <v>147</v>
      </c>
      <c r="HC25" t="s">
        <v>147</v>
      </c>
      <c r="HD25" t="s">
        <v>147</v>
      </c>
      <c r="HE25" t="s">
        <v>147</v>
      </c>
      <c r="HF25" t="s">
        <v>147</v>
      </c>
      <c r="HG25" t="s">
        <v>147</v>
      </c>
      <c r="HH25" t="s">
        <v>147</v>
      </c>
      <c r="HI25" t="s">
        <v>147</v>
      </c>
      <c r="HJ25" t="s">
        <v>147</v>
      </c>
      <c r="HK25" t="s">
        <v>147</v>
      </c>
      <c r="HL25" t="s">
        <v>147</v>
      </c>
      <c r="HM25" t="s">
        <v>147</v>
      </c>
      <c r="HN25" t="s">
        <v>147</v>
      </c>
      <c r="HO25" t="s">
        <v>147</v>
      </c>
      <c r="HP25" t="s">
        <v>147</v>
      </c>
      <c r="HQ25" t="s">
        <v>147</v>
      </c>
      <c r="HR25" t="s">
        <v>147</v>
      </c>
      <c r="HS25" t="s">
        <v>147</v>
      </c>
      <c r="HT25" t="s">
        <v>147</v>
      </c>
      <c r="HU25" t="s">
        <v>147</v>
      </c>
      <c r="HV25" t="s">
        <v>147</v>
      </c>
      <c r="HW25" t="s">
        <v>147</v>
      </c>
      <c r="HX25" t="s">
        <v>147</v>
      </c>
      <c r="HY25" t="s">
        <v>147</v>
      </c>
      <c r="HZ25" t="s">
        <v>147</v>
      </c>
      <c r="IA25" t="s">
        <v>147</v>
      </c>
      <c r="IB25" t="s">
        <v>57</v>
      </c>
      <c r="IC25" t="s">
        <v>57</v>
      </c>
      <c r="ID25" t="s">
        <v>57</v>
      </c>
      <c r="IE25" t="s">
        <v>57</v>
      </c>
      <c r="IF25" t="s">
        <v>124</v>
      </c>
      <c r="IG25" t="s">
        <v>148</v>
      </c>
      <c r="IH25" t="s">
        <v>123</v>
      </c>
      <c r="II25" t="s">
        <v>156</v>
      </c>
    </row>
    <row r="26" spans="1:243" x14ac:dyDescent="0.25">
      <c r="A26" s="121" t="str">
        <f>HYPERLINK("http://www.ofsted.gov.uk/inspection-reports/find-inspection-report/provider/ELS/130274 ","Ofsted School Webpage")</f>
        <v>Ofsted School Webpage</v>
      </c>
      <c r="B26">
        <v>130274</v>
      </c>
      <c r="C26">
        <v>3836119</v>
      </c>
      <c r="D26" t="s">
        <v>2416</v>
      </c>
      <c r="E26" t="s">
        <v>36</v>
      </c>
      <c r="F26" t="s">
        <v>166</v>
      </c>
      <c r="G26" t="s">
        <v>202</v>
      </c>
      <c r="H26" t="s">
        <v>203</v>
      </c>
      <c r="I26" t="s">
        <v>667</v>
      </c>
      <c r="J26" t="s">
        <v>2417</v>
      </c>
      <c r="K26" t="s">
        <v>142</v>
      </c>
      <c r="L26" t="s">
        <v>180</v>
      </c>
      <c r="M26" t="s">
        <v>2596</v>
      </c>
      <c r="N26" t="s">
        <v>143</v>
      </c>
      <c r="O26">
        <v>10043250</v>
      </c>
      <c r="P26" s="108">
        <v>43056</v>
      </c>
      <c r="Q26" s="108">
        <v>43056</v>
      </c>
      <c r="R26" s="108">
        <v>43188</v>
      </c>
      <c r="S26" t="s">
        <v>144</v>
      </c>
      <c r="T26" t="s">
        <v>145</v>
      </c>
      <c r="U26" t="s">
        <v>2596</v>
      </c>
      <c r="V26" t="s">
        <v>2596</v>
      </c>
      <c r="W26" t="s">
        <v>2596</v>
      </c>
      <c r="X26" t="s">
        <v>2596</v>
      </c>
      <c r="Y26" t="s">
        <v>2596</v>
      </c>
      <c r="Z26" t="s">
        <v>2596</v>
      </c>
      <c r="AA26" t="s">
        <v>2596</v>
      </c>
      <c r="AB26" t="s">
        <v>2596</v>
      </c>
      <c r="AC26" t="s">
        <v>174</v>
      </c>
      <c r="AD26" t="s">
        <v>2596</v>
      </c>
      <c r="AE26" t="s">
        <v>147</v>
      </c>
      <c r="AF26" t="s">
        <v>147</v>
      </c>
      <c r="AG26" t="s">
        <v>58</v>
      </c>
      <c r="AH26" t="s">
        <v>58</v>
      </c>
      <c r="AI26" t="s">
        <v>147</v>
      </c>
      <c r="AJ26" t="s">
        <v>147</v>
      </c>
      <c r="AK26" t="s">
        <v>147</v>
      </c>
      <c r="AL26" t="s">
        <v>58</v>
      </c>
      <c r="AM26" t="s">
        <v>147</v>
      </c>
      <c r="AN26" t="s">
        <v>147</v>
      </c>
      <c r="AO26" t="s">
        <v>147</v>
      </c>
      <c r="AP26" t="s">
        <v>147</v>
      </c>
      <c r="AQ26" t="s">
        <v>147</v>
      </c>
      <c r="AR26" t="s">
        <v>147</v>
      </c>
      <c r="AS26" t="s">
        <v>147</v>
      </c>
      <c r="AT26" t="s">
        <v>147</v>
      </c>
      <c r="AU26" t="s">
        <v>147</v>
      </c>
      <c r="AV26" t="s">
        <v>147</v>
      </c>
      <c r="AW26" t="s">
        <v>147</v>
      </c>
      <c r="AX26" t="s">
        <v>147</v>
      </c>
      <c r="AY26" t="s">
        <v>147</v>
      </c>
      <c r="AZ26" t="s">
        <v>147</v>
      </c>
      <c r="BA26" t="s">
        <v>147</v>
      </c>
      <c r="BB26" t="s">
        <v>147</v>
      </c>
      <c r="BC26" t="s">
        <v>147</v>
      </c>
      <c r="BD26" t="s">
        <v>147</v>
      </c>
      <c r="BE26" t="s">
        <v>147</v>
      </c>
      <c r="BF26" t="s">
        <v>147</v>
      </c>
      <c r="BG26" t="s">
        <v>147</v>
      </c>
      <c r="BH26" t="s">
        <v>147</v>
      </c>
      <c r="BI26" t="s">
        <v>147</v>
      </c>
      <c r="BJ26" t="s">
        <v>147</v>
      </c>
      <c r="BK26" t="s">
        <v>147</v>
      </c>
      <c r="BL26" t="s">
        <v>147</v>
      </c>
      <c r="BM26" t="s">
        <v>147</v>
      </c>
      <c r="BN26" t="s">
        <v>147</v>
      </c>
      <c r="BO26" t="s">
        <v>147</v>
      </c>
      <c r="BP26" t="s">
        <v>147</v>
      </c>
      <c r="BQ26" t="s">
        <v>147</v>
      </c>
      <c r="BR26" t="s">
        <v>147</v>
      </c>
      <c r="BS26" t="s">
        <v>147</v>
      </c>
      <c r="BT26" t="s">
        <v>147</v>
      </c>
      <c r="BU26" t="s">
        <v>147</v>
      </c>
      <c r="BV26" t="s">
        <v>147</v>
      </c>
      <c r="BW26" t="s">
        <v>147</v>
      </c>
      <c r="BX26" t="s">
        <v>147</v>
      </c>
      <c r="BY26" t="s">
        <v>147</v>
      </c>
      <c r="BZ26" t="s">
        <v>147</v>
      </c>
      <c r="CA26" t="s">
        <v>147</v>
      </c>
      <c r="CB26" t="s">
        <v>147</v>
      </c>
      <c r="CC26" t="s">
        <v>147</v>
      </c>
      <c r="CD26" t="s">
        <v>147</v>
      </c>
      <c r="CE26" t="s">
        <v>147</v>
      </c>
      <c r="CF26" t="s">
        <v>147</v>
      </c>
      <c r="CG26" t="s">
        <v>147</v>
      </c>
      <c r="CH26" t="s">
        <v>58</v>
      </c>
      <c r="CI26" t="s">
        <v>58</v>
      </c>
      <c r="CJ26" t="s">
        <v>58</v>
      </c>
      <c r="CK26" t="s">
        <v>175</v>
      </c>
      <c r="CL26" t="s">
        <v>175</v>
      </c>
      <c r="CM26" t="s">
        <v>175</v>
      </c>
      <c r="CN26" t="s">
        <v>147</v>
      </c>
      <c r="CO26" t="s">
        <v>147</v>
      </c>
      <c r="CP26" t="s">
        <v>147</v>
      </c>
      <c r="CQ26" t="s">
        <v>147</v>
      </c>
      <c r="CR26" t="s">
        <v>147</v>
      </c>
      <c r="CS26" t="s">
        <v>147</v>
      </c>
      <c r="CT26" t="s">
        <v>147</v>
      </c>
      <c r="CU26" t="s">
        <v>147</v>
      </c>
      <c r="CV26" t="s">
        <v>147</v>
      </c>
      <c r="CW26" t="s">
        <v>147</v>
      </c>
      <c r="CX26" t="s">
        <v>57</v>
      </c>
      <c r="CY26" t="s">
        <v>57</v>
      </c>
      <c r="CZ26" t="s">
        <v>57</v>
      </c>
      <c r="DA26" t="s">
        <v>58</v>
      </c>
      <c r="DB26" t="s">
        <v>58</v>
      </c>
      <c r="DC26" t="s">
        <v>58</v>
      </c>
      <c r="DD26" t="s">
        <v>58</v>
      </c>
      <c r="DE26" t="s">
        <v>58</v>
      </c>
      <c r="DF26" t="s">
        <v>58</v>
      </c>
      <c r="DG26" t="s">
        <v>58</v>
      </c>
      <c r="DH26" t="s">
        <v>58</v>
      </c>
      <c r="DI26" t="s">
        <v>58</v>
      </c>
      <c r="DJ26" t="s">
        <v>58</v>
      </c>
      <c r="DK26" t="s">
        <v>175</v>
      </c>
      <c r="DL26" t="s">
        <v>147</v>
      </c>
      <c r="DM26" t="s">
        <v>147</v>
      </c>
      <c r="DN26" t="s">
        <v>147</v>
      </c>
      <c r="DO26" t="s">
        <v>147</v>
      </c>
      <c r="DP26" t="s">
        <v>147</v>
      </c>
      <c r="DQ26" t="s">
        <v>147</v>
      </c>
      <c r="DR26" t="s">
        <v>147</v>
      </c>
      <c r="DS26" t="s">
        <v>147</v>
      </c>
      <c r="DT26" t="s">
        <v>147</v>
      </c>
      <c r="DU26" t="s">
        <v>147</v>
      </c>
      <c r="DV26" t="s">
        <v>147</v>
      </c>
      <c r="DW26" t="s">
        <v>147</v>
      </c>
      <c r="DX26" t="s">
        <v>147</v>
      </c>
      <c r="DY26" t="s">
        <v>147</v>
      </c>
      <c r="DZ26" t="s">
        <v>147</v>
      </c>
      <c r="EA26" t="s">
        <v>58</v>
      </c>
      <c r="EB26" t="s">
        <v>58</v>
      </c>
      <c r="EC26" t="s">
        <v>58</v>
      </c>
      <c r="ED26" t="s">
        <v>58</v>
      </c>
      <c r="EE26" t="s">
        <v>58</v>
      </c>
      <c r="EF26" t="s">
        <v>58</v>
      </c>
      <c r="EG26" t="s">
        <v>58</v>
      </c>
      <c r="EH26" t="s">
        <v>58</v>
      </c>
      <c r="EI26" t="s">
        <v>58</v>
      </c>
      <c r="EJ26" t="s">
        <v>58</v>
      </c>
      <c r="EK26" t="s">
        <v>58</v>
      </c>
      <c r="EL26" t="s">
        <v>58</v>
      </c>
      <c r="EM26" t="s">
        <v>58</v>
      </c>
      <c r="EN26" t="s">
        <v>58</v>
      </c>
      <c r="EO26" t="s">
        <v>58</v>
      </c>
      <c r="EP26" t="s">
        <v>58</v>
      </c>
      <c r="EQ26" t="s">
        <v>58</v>
      </c>
      <c r="ER26" t="s">
        <v>58</v>
      </c>
      <c r="ES26" t="s">
        <v>58</v>
      </c>
      <c r="ET26" t="s">
        <v>58</v>
      </c>
      <c r="EU26" t="s">
        <v>58</v>
      </c>
      <c r="EV26" t="s">
        <v>58</v>
      </c>
      <c r="EW26" t="s">
        <v>58</v>
      </c>
      <c r="EX26" t="s">
        <v>58</v>
      </c>
      <c r="EY26" t="s">
        <v>58</v>
      </c>
      <c r="EZ26" t="s">
        <v>58</v>
      </c>
      <c r="FA26" t="s">
        <v>58</v>
      </c>
      <c r="FB26" t="s">
        <v>58</v>
      </c>
      <c r="FC26" t="s">
        <v>58</v>
      </c>
      <c r="FD26" t="s">
        <v>58</v>
      </c>
      <c r="FE26" t="s">
        <v>58</v>
      </c>
      <c r="FF26" t="s">
        <v>58</v>
      </c>
      <c r="FG26" t="s">
        <v>58</v>
      </c>
      <c r="FH26" t="s">
        <v>147</v>
      </c>
      <c r="FI26" t="s">
        <v>147</v>
      </c>
      <c r="FJ26" t="s">
        <v>147</v>
      </c>
      <c r="FK26" t="s">
        <v>147</v>
      </c>
      <c r="FL26" t="s">
        <v>147</v>
      </c>
      <c r="FM26" t="s">
        <v>147</v>
      </c>
      <c r="FN26" t="s">
        <v>147</v>
      </c>
      <c r="FO26" t="s">
        <v>147</v>
      </c>
      <c r="FP26" t="s">
        <v>147</v>
      </c>
      <c r="FQ26" t="s">
        <v>58</v>
      </c>
      <c r="FR26" t="s">
        <v>147</v>
      </c>
      <c r="FS26" t="s">
        <v>58</v>
      </c>
      <c r="FT26" t="s">
        <v>58</v>
      </c>
      <c r="FU26" t="s">
        <v>58</v>
      </c>
      <c r="FV26" t="s">
        <v>147</v>
      </c>
      <c r="FW26" t="s">
        <v>147</v>
      </c>
      <c r="FX26" t="s">
        <v>147</v>
      </c>
      <c r="FY26" t="s">
        <v>147</v>
      </c>
      <c r="FZ26" t="s">
        <v>147</v>
      </c>
      <c r="GA26" t="s">
        <v>147</v>
      </c>
      <c r="GB26" t="s">
        <v>147</v>
      </c>
      <c r="GC26" t="s">
        <v>147</v>
      </c>
      <c r="GD26" t="s">
        <v>57</v>
      </c>
      <c r="GE26" t="s">
        <v>57</v>
      </c>
      <c r="GF26" t="s">
        <v>57</v>
      </c>
      <c r="GG26" t="s">
        <v>147</v>
      </c>
      <c r="GH26" t="s">
        <v>147</v>
      </c>
      <c r="GI26" t="s">
        <v>147</v>
      </c>
      <c r="GJ26" t="s">
        <v>147</v>
      </c>
      <c r="GK26" t="s">
        <v>147</v>
      </c>
      <c r="GL26" t="s">
        <v>147</v>
      </c>
      <c r="GM26" t="s">
        <v>147</v>
      </c>
      <c r="GN26" t="s">
        <v>147</v>
      </c>
      <c r="GO26" t="s">
        <v>147</v>
      </c>
      <c r="GP26" t="s">
        <v>147</v>
      </c>
      <c r="GQ26" t="s">
        <v>147</v>
      </c>
      <c r="GR26" t="s">
        <v>147</v>
      </c>
      <c r="GS26" t="s">
        <v>58</v>
      </c>
      <c r="GT26" t="s">
        <v>147</v>
      </c>
      <c r="GU26" t="s">
        <v>58</v>
      </c>
      <c r="GV26" t="s">
        <v>175</v>
      </c>
      <c r="GW26" t="s">
        <v>58</v>
      </c>
      <c r="GX26" t="s">
        <v>58</v>
      </c>
      <c r="GY26" t="s">
        <v>147</v>
      </c>
      <c r="GZ26" t="s">
        <v>147</v>
      </c>
      <c r="HA26" t="s">
        <v>147</v>
      </c>
      <c r="HB26" t="s">
        <v>147</v>
      </c>
      <c r="HC26" t="s">
        <v>147</v>
      </c>
      <c r="HD26" t="s">
        <v>147</v>
      </c>
      <c r="HE26" t="s">
        <v>147</v>
      </c>
      <c r="HF26" t="s">
        <v>147</v>
      </c>
      <c r="HG26" t="s">
        <v>147</v>
      </c>
      <c r="HH26" t="s">
        <v>147</v>
      </c>
      <c r="HI26" t="s">
        <v>147</v>
      </c>
      <c r="HJ26" t="s">
        <v>147</v>
      </c>
      <c r="HK26" t="s">
        <v>147</v>
      </c>
      <c r="HL26" t="s">
        <v>147</v>
      </c>
      <c r="HM26" t="s">
        <v>147</v>
      </c>
      <c r="HN26" t="s">
        <v>147</v>
      </c>
      <c r="HO26" t="s">
        <v>147</v>
      </c>
      <c r="HP26" t="s">
        <v>147</v>
      </c>
      <c r="HQ26" t="s">
        <v>147</v>
      </c>
      <c r="HR26" t="s">
        <v>147</v>
      </c>
      <c r="HS26" t="s">
        <v>147</v>
      </c>
      <c r="HT26" t="s">
        <v>147</v>
      </c>
      <c r="HU26" t="s">
        <v>147</v>
      </c>
      <c r="HV26" t="s">
        <v>147</v>
      </c>
      <c r="HW26" t="s">
        <v>147</v>
      </c>
      <c r="HX26" t="s">
        <v>147</v>
      </c>
      <c r="HY26" t="s">
        <v>147</v>
      </c>
      <c r="HZ26" t="s">
        <v>147</v>
      </c>
      <c r="IA26" t="s">
        <v>147</v>
      </c>
      <c r="IB26" t="s">
        <v>58</v>
      </c>
      <c r="IC26" t="s">
        <v>58</v>
      </c>
      <c r="ID26" t="s">
        <v>58</v>
      </c>
      <c r="IE26" t="s">
        <v>58</v>
      </c>
      <c r="IF26" t="s">
        <v>123</v>
      </c>
      <c r="IG26" t="s">
        <v>124</v>
      </c>
      <c r="IH26" t="s">
        <v>124</v>
      </c>
      <c r="II26" t="s">
        <v>156</v>
      </c>
    </row>
    <row r="27" spans="1:243" x14ac:dyDescent="0.25">
      <c r="A27" s="121" t="str">
        <f>HYPERLINK("http://www.ofsted.gov.uk/inspection-reports/find-inspection-report/provider/ELS/130286 ","Ofsted School Webpage")</f>
        <v>Ofsted School Webpage</v>
      </c>
      <c r="B27">
        <v>130286</v>
      </c>
      <c r="C27">
        <v>3526050</v>
      </c>
      <c r="D27" t="s">
        <v>1559</v>
      </c>
      <c r="E27" t="s">
        <v>36</v>
      </c>
      <c r="F27" t="s">
        <v>166</v>
      </c>
      <c r="G27" t="s">
        <v>162</v>
      </c>
      <c r="H27" t="s">
        <v>162</v>
      </c>
      <c r="I27" t="s">
        <v>263</v>
      </c>
      <c r="J27" t="s">
        <v>1560</v>
      </c>
      <c r="K27" t="s">
        <v>142</v>
      </c>
      <c r="L27" t="s">
        <v>142</v>
      </c>
      <c r="M27" t="s">
        <v>2596</v>
      </c>
      <c r="N27" t="s">
        <v>143</v>
      </c>
      <c r="O27">
        <v>10043709</v>
      </c>
      <c r="P27" s="108">
        <v>43081</v>
      </c>
      <c r="Q27" s="108">
        <v>43081</v>
      </c>
      <c r="R27" s="108">
        <v>43129</v>
      </c>
      <c r="S27" t="s">
        <v>144</v>
      </c>
      <c r="T27" t="s">
        <v>145</v>
      </c>
      <c r="U27" t="s">
        <v>2596</v>
      </c>
      <c r="V27" t="s">
        <v>2596</v>
      </c>
      <c r="W27" t="s">
        <v>2596</v>
      </c>
      <c r="X27" t="s">
        <v>2596</v>
      </c>
      <c r="Y27" t="s">
        <v>2596</v>
      </c>
      <c r="Z27" t="s">
        <v>2596</v>
      </c>
      <c r="AA27" t="s">
        <v>2596</v>
      </c>
      <c r="AB27" t="s">
        <v>2596</v>
      </c>
      <c r="AC27" t="s">
        <v>174</v>
      </c>
      <c r="AD27" t="s">
        <v>2596</v>
      </c>
      <c r="AE27" t="s">
        <v>57</v>
      </c>
      <c r="AF27" t="s">
        <v>57</v>
      </c>
      <c r="AG27" t="s">
        <v>57</v>
      </c>
      <c r="AH27" t="s">
        <v>147</v>
      </c>
      <c r="AI27" t="s">
        <v>147</v>
      </c>
      <c r="AJ27" t="s">
        <v>147</v>
      </c>
      <c r="AK27" t="s">
        <v>147</v>
      </c>
      <c r="AL27" t="s">
        <v>58</v>
      </c>
      <c r="AM27" t="s">
        <v>57</v>
      </c>
      <c r="AN27" t="s">
        <v>57</v>
      </c>
      <c r="AO27" t="s">
        <v>147</v>
      </c>
      <c r="AP27" t="s">
        <v>147</v>
      </c>
      <c r="AQ27" t="s">
        <v>147</v>
      </c>
      <c r="AR27" t="s">
        <v>57</v>
      </c>
      <c r="AS27" t="s">
        <v>147</v>
      </c>
      <c r="AT27" t="s">
        <v>147</v>
      </c>
      <c r="AU27" t="s">
        <v>147</v>
      </c>
      <c r="AV27" t="s">
        <v>57</v>
      </c>
      <c r="AW27" t="s">
        <v>147</v>
      </c>
      <c r="AX27" t="s">
        <v>57</v>
      </c>
      <c r="AY27" t="s">
        <v>147</v>
      </c>
      <c r="AZ27" t="s">
        <v>147</v>
      </c>
      <c r="BA27" t="s">
        <v>147</v>
      </c>
      <c r="BB27" t="s">
        <v>147</v>
      </c>
      <c r="BC27" t="s">
        <v>147</v>
      </c>
      <c r="BD27" t="s">
        <v>147</v>
      </c>
      <c r="BE27" t="s">
        <v>147</v>
      </c>
      <c r="BF27" t="s">
        <v>57</v>
      </c>
      <c r="BG27" t="s">
        <v>147</v>
      </c>
      <c r="BH27" t="s">
        <v>147</v>
      </c>
      <c r="BI27" t="s">
        <v>147</v>
      </c>
      <c r="BJ27" t="s">
        <v>147</v>
      </c>
      <c r="BK27" t="s">
        <v>147</v>
      </c>
      <c r="BL27" t="s">
        <v>147</v>
      </c>
      <c r="BM27" t="s">
        <v>147</v>
      </c>
      <c r="BN27" t="s">
        <v>147</v>
      </c>
      <c r="BO27" t="s">
        <v>147</v>
      </c>
      <c r="BP27" t="s">
        <v>147</v>
      </c>
      <c r="BQ27" t="s">
        <v>147</v>
      </c>
      <c r="BR27" t="s">
        <v>147</v>
      </c>
      <c r="BS27" t="s">
        <v>57</v>
      </c>
      <c r="BT27" t="s">
        <v>57</v>
      </c>
      <c r="BU27" t="s">
        <v>57</v>
      </c>
      <c r="BV27" t="s">
        <v>147</v>
      </c>
      <c r="BW27" t="s">
        <v>147</v>
      </c>
      <c r="BX27" t="s">
        <v>147</v>
      </c>
      <c r="BY27" t="s">
        <v>147</v>
      </c>
      <c r="BZ27" t="s">
        <v>147</v>
      </c>
      <c r="CA27" t="s">
        <v>57</v>
      </c>
      <c r="CB27" t="s">
        <v>147</v>
      </c>
      <c r="CC27" t="s">
        <v>147</v>
      </c>
      <c r="CD27" t="s">
        <v>147</v>
      </c>
      <c r="CE27" t="s">
        <v>147</v>
      </c>
      <c r="CF27" t="s">
        <v>147</v>
      </c>
      <c r="CG27" t="s">
        <v>147</v>
      </c>
      <c r="CH27" t="s">
        <v>57</v>
      </c>
      <c r="CI27" t="s">
        <v>57</v>
      </c>
      <c r="CJ27" t="s">
        <v>57</v>
      </c>
      <c r="CK27" t="s">
        <v>147</v>
      </c>
      <c r="CL27" t="s">
        <v>147</v>
      </c>
      <c r="CM27" t="s">
        <v>147</v>
      </c>
      <c r="CN27" t="s">
        <v>147</v>
      </c>
      <c r="CO27" t="s">
        <v>147</v>
      </c>
      <c r="CP27" t="s">
        <v>147</v>
      </c>
      <c r="CQ27" t="s">
        <v>147</v>
      </c>
      <c r="CR27" t="s">
        <v>147</v>
      </c>
      <c r="CS27" t="s">
        <v>147</v>
      </c>
      <c r="CT27" t="s">
        <v>147</v>
      </c>
      <c r="CU27" t="s">
        <v>147</v>
      </c>
      <c r="CV27" t="s">
        <v>147</v>
      </c>
      <c r="CW27" t="s">
        <v>58</v>
      </c>
      <c r="CX27" t="s">
        <v>147</v>
      </c>
      <c r="CY27" t="s">
        <v>147</v>
      </c>
      <c r="CZ27" t="s">
        <v>147</v>
      </c>
      <c r="DA27" t="s">
        <v>147</v>
      </c>
      <c r="DB27" t="s">
        <v>147</v>
      </c>
      <c r="DC27" t="s">
        <v>147</v>
      </c>
      <c r="DD27" t="s">
        <v>147</v>
      </c>
      <c r="DE27" t="s">
        <v>147</v>
      </c>
      <c r="DF27" t="s">
        <v>147</v>
      </c>
      <c r="DG27" t="s">
        <v>147</v>
      </c>
      <c r="DH27" t="s">
        <v>147</v>
      </c>
      <c r="DI27" t="s">
        <v>147</v>
      </c>
      <c r="DJ27" t="s">
        <v>147</v>
      </c>
      <c r="DK27" t="s">
        <v>147</v>
      </c>
      <c r="DL27" t="s">
        <v>147</v>
      </c>
      <c r="DM27" t="s">
        <v>147</v>
      </c>
      <c r="DN27" t="s">
        <v>147</v>
      </c>
      <c r="DO27" t="s">
        <v>147</v>
      </c>
      <c r="DP27" t="s">
        <v>147</v>
      </c>
      <c r="DQ27" t="s">
        <v>147</v>
      </c>
      <c r="DR27" t="s">
        <v>147</v>
      </c>
      <c r="DS27" t="s">
        <v>147</v>
      </c>
      <c r="DT27" t="s">
        <v>147</v>
      </c>
      <c r="DU27" t="s">
        <v>147</v>
      </c>
      <c r="DV27" t="s">
        <v>147</v>
      </c>
      <c r="DW27" t="s">
        <v>147</v>
      </c>
      <c r="DX27" t="s">
        <v>147</v>
      </c>
      <c r="DY27" t="s">
        <v>147</v>
      </c>
      <c r="DZ27" t="s">
        <v>147</v>
      </c>
      <c r="EA27" t="s">
        <v>147</v>
      </c>
      <c r="EB27" t="s">
        <v>147</v>
      </c>
      <c r="EC27" t="s">
        <v>147</v>
      </c>
      <c r="ED27" t="s">
        <v>147</v>
      </c>
      <c r="EE27" t="s">
        <v>147</v>
      </c>
      <c r="EF27" t="s">
        <v>147</v>
      </c>
      <c r="EG27" t="s">
        <v>147</v>
      </c>
      <c r="EH27" t="s">
        <v>147</v>
      </c>
      <c r="EI27" t="s">
        <v>147</v>
      </c>
      <c r="EJ27" t="s">
        <v>147</v>
      </c>
      <c r="EK27" t="s">
        <v>147</v>
      </c>
      <c r="EL27" t="s">
        <v>147</v>
      </c>
      <c r="EM27" t="s">
        <v>147</v>
      </c>
      <c r="EN27" t="s">
        <v>147</v>
      </c>
      <c r="EO27" t="s">
        <v>147</v>
      </c>
      <c r="EP27" t="s">
        <v>147</v>
      </c>
      <c r="EQ27" t="s">
        <v>147</v>
      </c>
      <c r="ER27" t="s">
        <v>147</v>
      </c>
      <c r="ES27" t="s">
        <v>147</v>
      </c>
      <c r="ET27" t="s">
        <v>147</v>
      </c>
      <c r="EU27" t="s">
        <v>147</v>
      </c>
      <c r="EV27" t="s">
        <v>147</v>
      </c>
      <c r="EW27" t="s">
        <v>147</v>
      </c>
      <c r="EX27" t="s">
        <v>147</v>
      </c>
      <c r="EY27" t="s">
        <v>147</v>
      </c>
      <c r="EZ27" t="s">
        <v>147</v>
      </c>
      <c r="FA27" t="s">
        <v>147</v>
      </c>
      <c r="FB27" t="s">
        <v>147</v>
      </c>
      <c r="FC27" t="s">
        <v>147</v>
      </c>
      <c r="FD27" t="s">
        <v>147</v>
      </c>
      <c r="FE27" t="s">
        <v>147</v>
      </c>
      <c r="FF27" t="s">
        <v>147</v>
      </c>
      <c r="FG27" t="s">
        <v>147</v>
      </c>
      <c r="FH27" t="s">
        <v>147</v>
      </c>
      <c r="FI27" t="s">
        <v>147</v>
      </c>
      <c r="FJ27" t="s">
        <v>147</v>
      </c>
      <c r="FK27" t="s">
        <v>147</v>
      </c>
      <c r="FL27" t="s">
        <v>147</v>
      </c>
      <c r="FM27" t="s">
        <v>147</v>
      </c>
      <c r="FN27" t="s">
        <v>147</v>
      </c>
      <c r="FO27" t="s">
        <v>147</v>
      </c>
      <c r="FP27" t="s">
        <v>147</v>
      </c>
      <c r="FQ27" t="s">
        <v>57</v>
      </c>
      <c r="FR27" t="s">
        <v>147</v>
      </c>
      <c r="FS27" t="s">
        <v>147</v>
      </c>
      <c r="FT27" t="s">
        <v>147</v>
      </c>
      <c r="FU27" t="s">
        <v>147</v>
      </c>
      <c r="FV27" t="s">
        <v>147</v>
      </c>
      <c r="FW27" t="s">
        <v>147</v>
      </c>
      <c r="FX27" t="s">
        <v>147</v>
      </c>
      <c r="FY27" t="s">
        <v>147</v>
      </c>
      <c r="FZ27" t="s">
        <v>147</v>
      </c>
      <c r="GA27" t="s">
        <v>147</v>
      </c>
      <c r="GB27" t="s">
        <v>147</v>
      </c>
      <c r="GC27" t="s">
        <v>147</v>
      </c>
      <c r="GD27" t="s">
        <v>58</v>
      </c>
      <c r="GE27" t="s">
        <v>58</v>
      </c>
      <c r="GF27" t="s">
        <v>58</v>
      </c>
      <c r="GG27" t="s">
        <v>147</v>
      </c>
      <c r="GH27" t="s">
        <v>147</v>
      </c>
      <c r="GI27" t="s">
        <v>147</v>
      </c>
      <c r="GJ27" t="s">
        <v>147</v>
      </c>
      <c r="GK27" t="s">
        <v>57</v>
      </c>
      <c r="GL27" t="s">
        <v>147</v>
      </c>
      <c r="GM27" t="s">
        <v>147</v>
      </c>
      <c r="GN27" t="s">
        <v>147</v>
      </c>
      <c r="GO27" t="s">
        <v>147</v>
      </c>
      <c r="GP27" t="s">
        <v>147</v>
      </c>
      <c r="GQ27" t="s">
        <v>147</v>
      </c>
      <c r="GR27" t="s">
        <v>147</v>
      </c>
      <c r="GS27" t="s">
        <v>147</v>
      </c>
      <c r="GT27" t="s">
        <v>147</v>
      </c>
      <c r="GU27" t="s">
        <v>147</v>
      </c>
      <c r="GV27" t="s">
        <v>147</v>
      </c>
      <c r="GW27" t="s">
        <v>147</v>
      </c>
      <c r="GX27" t="s">
        <v>147</v>
      </c>
      <c r="GY27" t="s">
        <v>147</v>
      </c>
      <c r="GZ27" t="s">
        <v>147</v>
      </c>
      <c r="HA27" t="s">
        <v>147</v>
      </c>
      <c r="HB27" t="s">
        <v>147</v>
      </c>
      <c r="HC27" t="s">
        <v>147</v>
      </c>
      <c r="HD27" t="s">
        <v>147</v>
      </c>
      <c r="HE27" t="s">
        <v>147</v>
      </c>
      <c r="HF27" t="s">
        <v>147</v>
      </c>
      <c r="HG27" t="s">
        <v>147</v>
      </c>
      <c r="HH27" t="s">
        <v>147</v>
      </c>
      <c r="HI27" t="s">
        <v>147</v>
      </c>
      <c r="HJ27" t="s">
        <v>147</v>
      </c>
      <c r="HK27" t="s">
        <v>147</v>
      </c>
      <c r="HL27" t="s">
        <v>147</v>
      </c>
      <c r="HM27" t="s">
        <v>147</v>
      </c>
      <c r="HN27" t="s">
        <v>147</v>
      </c>
      <c r="HO27" t="s">
        <v>147</v>
      </c>
      <c r="HP27" t="s">
        <v>147</v>
      </c>
      <c r="HQ27" t="s">
        <v>147</v>
      </c>
      <c r="HR27" t="s">
        <v>147</v>
      </c>
      <c r="HS27" t="s">
        <v>147</v>
      </c>
      <c r="HT27" t="s">
        <v>147</v>
      </c>
      <c r="HU27" t="s">
        <v>147</v>
      </c>
      <c r="HV27" t="s">
        <v>147</v>
      </c>
      <c r="HW27" t="s">
        <v>147</v>
      </c>
      <c r="HX27" t="s">
        <v>147</v>
      </c>
      <c r="HY27" t="s">
        <v>147</v>
      </c>
      <c r="HZ27" t="s">
        <v>147</v>
      </c>
      <c r="IA27" t="s">
        <v>147</v>
      </c>
      <c r="IB27" t="s">
        <v>58</v>
      </c>
      <c r="IC27" t="s">
        <v>58</v>
      </c>
      <c r="ID27" t="s">
        <v>58</v>
      </c>
      <c r="IE27" t="s">
        <v>58</v>
      </c>
      <c r="IF27" t="s">
        <v>124</v>
      </c>
      <c r="IG27" t="s">
        <v>148</v>
      </c>
      <c r="IH27" t="s">
        <v>123</v>
      </c>
      <c r="II27" t="s">
        <v>156</v>
      </c>
    </row>
    <row r="28" spans="1:243" x14ac:dyDescent="0.25">
      <c r="A28" s="121" t="str">
        <f>HYPERLINK("http://www.ofsted.gov.uk/inspection-reports/find-inspection-report/provider/ELS/130855 ","Ofsted School Webpage")</f>
        <v>Ofsted School Webpage</v>
      </c>
      <c r="B28">
        <v>130855</v>
      </c>
      <c r="C28">
        <v>9356085</v>
      </c>
      <c r="D28" t="s">
        <v>966</v>
      </c>
      <c r="E28" t="s">
        <v>37</v>
      </c>
      <c r="F28" t="s">
        <v>138</v>
      </c>
      <c r="G28" t="s">
        <v>177</v>
      </c>
      <c r="H28" t="s">
        <v>177</v>
      </c>
      <c r="I28" t="s">
        <v>254</v>
      </c>
      <c r="J28" t="s">
        <v>967</v>
      </c>
      <c r="K28" t="s">
        <v>142</v>
      </c>
      <c r="L28" t="s">
        <v>142</v>
      </c>
      <c r="M28" t="s">
        <v>2596</v>
      </c>
      <c r="N28" t="s">
        <v>143</v>
      </c>
      <c r="O28">
        <v>10040350</v>
      </c>
      <c r="P28" s="108">
        <v>43061</v>
      </c>
      <c r="Q28" s="108">
        <v>43061</v>
      </c>
      <c r="R28" s="108">
        <v>43090</v>
      </c>
      <c r="S28" t="s">
        <v>144</v>
      </c>
      <c r="T28" t="s">
        <v>145</v>
      </c>
      <c r="U28" t="s">
        <v>2596</v>
      </c>
      <c r="V28" t="s">
        <v>2596</v>
      </c>
      <c r="W28" t="s">
        <v>2596</v>
      </c>
      <c r="X28" t="s">
        <v>2596</v>
      </c>
      <c r="Y28" t="s">
        <v>2596</v>
      </c>
      <c r="Z28" t="s">
        <v>2596</v>
      </c>
      <c r="AA28" t="s">
        <v>2596</v>
      </c>
      <c r="AB28" t="s">
        <v>2596</v>
      </c>
      <c r="AC28" t="s">
        <v>174</v>
      </c>
      <c r="AD28" t="s">
        <v>2596</v>
      </c>
      <c r="AE28" t="s">
        <v>147</v>
      </c>
      <c r="AF28" t="s">
        <v>147</v>
      </c>
      <c r="AG28" t="s">
        <v>57</v>
      </c>
      <c r="AH28" t="s">
        <v>57</v>
      </c>
      <c r="AI28" t="s">
        <v>147</v>
      </c>
      <c r="AJ28" t="s">
        <v>57</v>
      </c>
      <c r="AK28" t="s">
        <v>147</v>
      </c>
      <c r="AL28" t="s">
        <v>58</v>
      </c>
      <c r="AM28" t="s">
        <v>147</v>
      </c>
      <c r="AN28" t="s">
        <v>147</v>
      </c>
      <c r="AO28" t="s">
        <v>147</v>
      </c>
      <c r="AP28" t="s">
        <v>147</v>
      </c>
      <c r="AQ28" t="s">
        <v>147</v>
      </c>
      <c r="AR28" t="s">
        <v>147</v>
      </c>
      <c r="AS28" t="s">
        <v>147</v>
      </c>
      <c r="AT28" t="s">
        <v>147</v>
      </c>
      <c r="AU28" t="s">
        <v>147</v>
      </c>
      <c r="AV28" t="s">
        <v>147</v>
      </c>
      <c r="AW28" t="s">
        <v>147</v>
      </c>
      <c r="AX28" t="s">
        <v>147</v>
      </c>
      <c r="AY28" t="s">
        <v>147</v>
      </c>
      <c r="AZ28" t="s">
        <v>147</v>
      </c>
      <c r="BA28" t="s">
        <v>147</v>
      </c>
      <c r="BB28" t="s">
        <v>147</v>
      </c>
      <c r="BC28" t="s">
        <v>147</v>
      </c>
      <c r="BD28" t="s">
        <v>147</v>
      </c>
      <c r="BE28" t="s">
        <v>147</v>
      </c>
      <c r="BF28" t="s">
        <v>147</v>
      </c>
      <c r="BG28" t="s">
        <v>147</v>
      </c>
      <c r="BH28" t="s">
        <v>147</v>
      </c>
      <c r="BI28" t="s">
        <v>147</v>
      </c>
      <c r="BJ28" t="s">
        <v>147</v>
      </c>
      <c r="BK28" t="s">
        <v>147</v>
      </c>
      <c r="BL28" t="s">
        <v>147</v>
      </c>
      <c r="BM28" t="s">
        <v>147</v>
      </c>
      <c r="BN28" t="s">
        <v>147</v>
      </c>
      <c r="BO28" t="s">
        <v>147</v>
      </c>
      <c r="BP28" t="s">
        <v>147</v>
      </c>
      <c r="BQ28" t="s">
        <v>147</v>
      </c>
      <c r="BR28" t="s">
        <v>147</v>
      </c>
      <c r="BS28" t="s">
        <v>147</v>
      </c>
      <c r="BT28" t="s">
        <v>147</v>
      </c>
      <c r="BU28" t="s">
        <v>147</v>
      </c>
      <c r="BV28" t="s">
        <v>147</v>
      </c>
      <c r="BW28" t="s">
        <v>147</v>
      </c>
      <c r="BX28" t="s">
        <v>147</v>
      </c>
      <c r="BY28" t="s">
        <v>147</v>
      </c>
      <c r="BZ28" t="s">
        <v>147</v>
      </c>
      <c r="CA28" t="s">
        <v>147</v>
      </c>
      <c r="CB28" t="s">
        <v>147</v>
      </c>
      <c r="CC28" t="s">
        <v>147</v>
      </c>
      <c r="CD28" t="s">
        <v>147</v>
      </c>
      <c r="CE28" t="s">
        <v>147</v>
      </c>
      <c r="CF28" t="s">
        <v>147</v>
      </c>
      <c r="CG28" t="s">
        <v>147</v>
      </c>
      <c r="CH28" t="s">
        <v>57</v>
      </c>
      <c r="CI28" t="s">
        <v>57</v>
      </c>
      <c r="CJ28" t="s">
        <v>57</v>
      </c>
      <c r="CK28" t="s">
        <v>175</v>
      </c>
      <c r="CL28" t="s">
        <v>175</v>
      </c>
      <c r="CM28" t="s">
        <v>175</v>
      </c>
      <c r="CN28" t="s">
        <v>147</v>
      </c>
      <c r="CO28" t="s">
        <v>147</v>
      </c>
      <c r="CP28" t="s">
        <v>147</v>
      </c>
      <c r="CQ28" t="s">
        <v>147</v>
      </c>
      <c r="CR28" t="s">
        <v>147</v>
      </c>
      <c r="CS28" t="s">
        <v>147</v>
      </c>
      <c r="CT28" t="s">
        <v>147</v>
      </c>
      <c r="CU28" t="s">
        <v>147</v>
      </c>
      <c r="CV28" t="s">
        <v>147</v>
      </c>
      <c r="CW28" t="s">
        <v>147</v>
      </c>
      <c r="CX28" t="s">
        <v>147</v>
      </c>
      <c r="CY28" t="s">
        <v>147</v>
      </c>
      <c r="CZ28" t="s">
        <v>147</v>
      </c>
      <c r="DA28" t="s">
        <v>57</v>
      </c>
      <c r="DB28" t="s">
        <v>57</v>
      </c>
      <c r="DC28" t="s">
        <v>57</v>
      </c>
      <c r="DD28" t="s">
        <v>57</v>
      </c>
      <c r="DE28" t="s">
        <v>57</v>
      </c>
      <c r="DF28" t="s">
        <v>57</v>
      </c>
      <c r="DG28" t="s">
        <v>57</v>
      </c>
      <c r="DH28" t="s">
        <v>57</v>
      </c>
      <c r="DI28" t="s">
        <v>57</v>
      </c>
      <c r="DJ28" t="s">
        <v>57</v>
      </c>
      <c r="DK28" t="s">
        <v>175</v>
      </c>
      <c r="DL28" t="s">
        <v>57</v>
      </c>
      <c r="DM28" t="s">
        <v>57</v>
      </c>
      <c r="DN28" t="s">
        <v>57</v>
      </c>
      <c r="DO28" t="s">
        <v>57</v>
      </c>
      <c r="DP28" t="s">
        <v>57</v>
      </c>
      <c r="DQ28" t="s">
        <v>57</v>
      </c>
      <c r="DR28" t="s">
        <v>57</v>
      </c>
      <c r="DS28" t="s">
        <v>57</v>
      </c>
      <c r="DT28" t="s">
        <v>57</v>
      </c>
      <c r="DU28" t="s">
        <v>57</v>
      </c>
      <c r="DV28" t="s">
        <v>57</v>
      </c>
      <c r="DW28" t="s">
        <v>57</v>
      </c>
      <c r="DX28" t="s">
        <v>57</v>
      </c>
      <c r="DY28" t="s">
        <v>175</v>
      </c>
      <c r="DZ28" t="s">
        <v>57</v>
      </c>
      <c r="EA28" t="s">
        <v>57</v>
      </c>
      <c r="EB28" t="s">
        <v>57</v>
      </c>
      <c r="EC28" t="s">
        <v>57</v>
      </c>
      <c r="ED28" t="s">
        <v>57</v>
      </c>
      <c r="EE28" t="s">
        <v>57</v>
      </c>
      <c r="EF28" t="s">
        <v>57</v>
      </c>
      <c r="EG28" t="s">
        <v>57</v>
      </c>
      <c r="EH28" t="s">
        <v>57</v>
      </c>
      <c r="EI28" t="s">
        <v>57</v>
      </c>
      <c r="EJ28" t="s">
        <v>57</v>
      </c>
      <c r="EK28" t="s">
        <v>57</v>
      </c>
      <c r="EL28" t="s">
        <v>57</v>
      </c>
      <c r="EM28" t="s">
        <v>57</v>
      </c>
      <c r="EN28" t="s">
        <v>57</v>
      </c>
      <c r="EO28" t="s">
        <v>57</v>
      </c>
      <c r="EP28" t="s">
        <v>57</v>
      </c>
      <c r="EQ28" t="s">
        <v>57</v>
      </c>
      <c r="ER28" t="s">
        <v>57</v>
      </c>
      <c r="ES28" t="s">
        <v>57</v>
      </c>
      <c r="ET28" t="s">
        <v>57</v>
      </c>
      <c r="EU28" t="s">
        <v>57</v>
      </c>
      <c r="EV28" t="s">
        <v>57</v>
      </c>
      <c r="EW28" t="s">
        <v>57</v>
      </c>
      <c r="EX28" t="s">
        <v>57</v>
      </c>
      <c r="EY28" t="s">
        <v>57</v>
      </c>
      <c r="EZ28" t="s">
        <v>57</v>
      </c>
      <c r="FA28" t="s">
        <v>57</v>
      </c>
      <c r="FB28" t="s">
        <v>57</v>
      </c>
      <c r="FC28" t="s">
        <v>57</v>
      </c>
      <c r="FD28" t="s">
        <v>57</v>
      </c>
      <c r="FE28" t="s">
        <v>57</v>
      </c>
      <c r="FF28" t="s">
        <v>57</v>
      </c>
      <c r="FG28" t="s">
        <v>57</v>
      </c>
      <c r="FH28" t="s">
        <v>147</v>
      </c>
      <c r="FI28" t="s">
        <v>147</v>
      </c>
      <c r="FJ28" t="s">
        <v>147</v>
      </c>
      <c r="FK28" t="s">
        <v>147</v>
      </c>
      <c r="FL28" t="s">
        <v>147</v>
      </c>
      <c r="FM28" t="s">
        <v>147</v>
      </c>
      <c r="FN28" t="s">
        <v>147</v>
      </c>
      <c r="FO28" t="s">
        <v>147</v>
      </c>
      <c r="FP28" t="s">
        <v>147</v>
      </c>
      <c r="FQ28" t="s">
        <v>147</v>
      </c>
      <c r="FR28" t="s">
        <v>147</v>
      </c>
      <c r="FS28" t="s">
        <v>147</v>
      </c>
      <c r="FT28" t="s">
        <v>147</v>
      </c>
      <c r="FU28" t="s">
        <v>147</v>
      </c>
      <c r="FV28" t="s">
        <v>147</v>
      </c>
      <c r="FW28" t="s">
        <v>147</v>
      </c>
      <c r="FX28" t="s">
        <v>147</v>
      </c>
      <c r="FY28" t="s">
        <v>147</v>
      </c>
      <c r="FZ28" t="s">
        <v>147</v>
      </c>
      <c r="GA28" t="s">
        <v>147</v>
      </c>
      <c r="GB28" t="s">
        <v>147</v>
      </c>
      <c r="GC28" t="s">
        <v>147</v>
      </c>
      <c r="GD28" t="s">
        <v>147</v>
      </c>
      <c r="GE28" t="s">
        <v>147</v>
      </c>
      <c r="GF28" t="s">
        <v>147</v>
      </c>
      <c r="GG28" t="s">
        <v>175</v>
      </c>
      <c r="GH28" t="s">
        <v>57</v>
      </c>
      <c r="GI28" t="s">
        <v>57</v>
      </c>
      <c r="GJ28" t="s">
        <v>57</v>
      </c>
      <c r="GK28" t="s">
        <v>57</v>
      </c>
      <c r="GL28" t="s">
        <v>147</v>
      </c>
      <c r="GM28" t="s">
        <v>147</v>
      </c>
      <c r="GN28" t="s">
        <v>147</v>
      </c>
      <c r="GO28" t="s">
        <v>147</v>
      </c>
      <c r="GP28" t="s">
        <v>147</v>
      </c>
      <c r="GQ28" t="s">
        <v>147</v>
      </c>
      <c r="GR28" t="s">
        <v>147</v>
      </c>
      <c r="GS28" t="s">
        <v>147</v>
      </c>
      <c r="GT28" t="s">
        <v>147</v>
      </c>
      <c r="GU28" t="s">
        <v>147</v>
      </c>
      <c r="GV28" t="s">
        <v>147</v>
      </c>
      <c r="GW28" t="s">
        <v>147</v>
      </c>
      <c r="GX28" t="s">
        <v>147</v>
      </c>
      <c r="GY28" t="s">
        <v>147</v>
      </c>
      <c r="GZ28" t="s">
        <v>57</v>
      </c>
      <c r="HA28" t="s">
        <v>147</v>
      </c>
      <c r="HB28" t="s">
        <v>57</v>
      </c>
      <c r="HC28" t="s">
        <v>147</v>
      </c>
      <c r="HD28" t="s">
        <v>147</v>
      </c>
      <c r="HE28" t="s">
        <v>147</v>
      </c>
      <c r="HF28" t="s">
        <v>147</v>
      </c>
      <c r="HG28" t="s">
        <v>147</v>
      </c>
      <c r="HH28" t="s">
        <v>147</v>
      </c>
      <c r="HI28" t="s">
        <v>175</v>
      </c>
      <c r="HJ28" t="s">
        <v>175</v>
      </c>
      <c r="HK28" t="s">
        <v>175</v>
      </c>
      <c r="HL28" t="s">
        <v>147</v>
      </c>
      <c r="HM28" t="s">
        <v>147</v>
      </c>
      <c r="HN28" t="s">
        <v>147</v>
      </c>
      <c r="HO28" t="s">
        <v>147</v>
      </c>
      <c r="HP28" t="s">
        <v>147</v>
      </c>
      <c r="HQ28" t="s">
        <v>147</v>
      </c>
      <c r="HR28" t="s">
        <v>147</v>
      </c>
      <c r="HS28" t="s">
        <v>147</v>
      </c>
      <c r="HT28" t="s">
        <v>147</v>
      </c>
      <c r="HU28" t="s">
        <v>147</v>
      </c>
      <c r="HV28" t="s">
        <v>147</v>
      </c>
      <c r="HW28" t="s">
        <v>147</v>
      </c>
      <c r="HX28" t="s">
        <v>147</v>
      </c>
      <c r="HY28" t="s">
        <v>147</v>
      </c>
      <c r="HZ28" t="s">
        <v>147</v>
      </c>
      <c r="IA28" t="s">
        <v>147</v>
      </c>
      <c r="IB28" t="s">
        <v>58</v>
      </c>
      <c r="IC28" t="s">
        <v>58</v>
      </c>
      <c r="ID28" t="s">
        <v>58</v>
      </c>
      <c r="IE28" t="s">
        <v>58</v>
      </c>
      <c r="IF28" t="s">
        <v>124</v>
      </c>
      <c r="IG28" t="s">
        <v>148</v>
      </c>
      <c r="IH28" t="s">
        <v>123</v>
      </c>
      <c r="II28" t="s">
        <v>156</v>
      </c>
    </row>
    <row r="29" spans="1:243" x14ac:dyDescent="0.25">
      <c r="A29" s="121" t="str">
        <f>HYPERLINK("http://www.ofsted.gov.uk/inspection-reports/find-inspection-report/provider/ELS/131356 ","Ofsted School Webpage")</f>
        <v>Ofsted School Webpage</v>
      </c>
      <c r="B29">
        <v>131356</v>
      </c>
      <c r="C29">
        <v>8466043</v>
      </c>
      <c r="D29" t="s">
        <v>386</v>
      </c>
      <c r="E29" t="s">
        <v>37</v>
      </c>
      <c r="F29" t="s">
        <v>138</v>
      </c>
      <c r="G29" t="s">
        <v>139</v>
      </c>
      <c r="H29" t="s">
        <v>139</v>
      </c>
      <c r="I29" t="s">
        <v>365</v>
      </c>
      <c r="J29" t="s">
        <v>387</v>
      </c>
      <c r="K29" t="s">
        <v>142</v>
      </c>
      <c r="L29" t="s">
        <v>142</v>
      </c>
      <c r="M29" t="s">
        <v>2596</v>
      </c>
      <c r="N29" t="s">
        <v>143</v>
      </c>
      <c r="O29">
        <v>10040672</v>
      </c>
      <c r="P29" s="108">
        <v>42991</v>
      </c>
      <c r="Q29" s="108">
        <v>42991</v>
      </c>
      <c r="R29" s="108">
        <v>43012</v>
      </c>
      <c r="S29" t="s">
        <v>144</v>
      </c>
      <c r="T29" t="s">
        <v>145</v>
      </c>
      <c r="U29" t="s">
        <v>2596</v>
      </c>
      <c r="V29" t="s">
        <v>2596</v>
      </c>
      <c r="W29" t="s">
        <v>2596</v>
      </c>
      <c r="X29" t="s">
        <v>2596</v>
      </c>
      <c r="Y29" t="s">
        <v>2596</v>
      </c>
      <c r="Z29" t="s">
        <v>2596</v>
      </c>
      <c r="AA29" t="s">
        <v>2596</v>
      </c>
      <c r="AB29" t="s">
        <v>2596</v>
      </c>
      <c r="AC29" t="s">
        <v>146</v>
      </c>
      <c r="AD29" t="s">
        <v>2596</v>
      </c>
      <c r="AE29" t="s">
        <v>147</v>
      </c>
      <c r="AF29" t="s">
        <v>147</v>
      </c>
      <c r="AG29" t="s">
        <v>57</v>
      </c>
      <c r="AH29" t="s">
        <v>57</v>
      </c>
      <c r="AI29" t="s">
        <v>147</v>
      </c>
      <c r="AJ29" t="s">
        <v>57</v>
      </c>
      <c r="AK29" t="s">
        <v>147</v>
      </c>
      <c r="AL29" t="s">
        <v>57</v>
      </c>
      <c r="AM29" t="s">
        <v>147</v>
      </c>
      <c r="AN29" t="s">
        <v>147</v>
      </c>
      <c r="AO29" t="s">
        <v>147</v>
      </c>
      <c r="AP29" t="s">
        <v>147</v>
      </c>
      <c r="AQ29" t="s">
        <v>147</v>
      </c>
      <c r="AR29" t="s">
        <v>147</v>
      </c>
      <c r="AS29" t="s">
        <v>147</v>
      </c>
      <c r="AT29" t="s">
        <v>147</v>
      </c>
      <c r="AU29" t="s">
        <v>147</v>
      </c>
      <c r="AV29" t="s">
        <v>147</v>
      </c>
      <c r="AW29" t="s">
        <v>147</v>
      </c>
      <c r="AX29" t="s">
        <v>147</v>
      </c>
      <c r="AY29" t="s">
        <v>147</v>
      </c>
      <c r="AZ29" t="s">
        <v>147</v>
      </c>
      <c r="BA29" t="s">
        <v>147</v>
      </c>
      <c r="BB29" t="s">
        <v>147</v>
      </c>
      <c r="BC29" t="s">
        <v>147</v>
      </c>
      <c r="BD29" t="s">
        <v>147</v>
      </c>
      <c r="BE29" t="s">
        <v>147</v>
      </c>
      <c r="BF29" t="s">
        <v>147</v>
      </c>
      <c r="BG29" t="s">
        <v>147</v>
      </c>
      <c r="BH29" t="s">
        <v>147</v>
      </c>
      <c r="BI29" t="s">
        <v>147</v>
      </c>
      <c r="BJ29" t="s">
        <v>147</v>
      </c>
      <c r="BK29" t="s">
        <v>147</v>
      </c>
      <c r="BL29" t="s">
        <v>147</v>
      </c>
      <c r="BM29" t="s">
        <v>147</v>
      </c>
      <c r="BN29" t="s">
        <v>147</v>
      </c>
      <c r="BO29" t="s">
        <v>147</v>
      </c>
      <c r="BP29" t="s">
        <v>147</v>
      </c>
      <c r="BQ29" t="s">
        <v>147</v>
      </c>
      <c r="BR29" t="s">
        <v>147</v>
      </c>
      <c r="BS29" t="s">
        <v>147</v>
      </c>
      <c r="BT29" t="s">
        <v>147</v>
      </c>
      <c r="BU29" t="s">
        <v>147</v>
      </c>
      <c r="BV29" t="s">
        <v>147</v>
      </c>
      <c r="BW29" t="s">
        <v>147</v>
      </c>
      <c r="BX29" t="s">
        <v>147</v>
      </c>
      <c r="BY29" t="s">
        <v>147</v>
      </c>
      <c r="BZ29" t="s">
        <v>147</v>
      </c>
      <c r="CA29" t="s">
        <v>147</v>
      </c>
      <c r="CB29" t="s">
        <v>147</v>
      </c>
      <c r="CC29" t="s">
        <v>147</v>
      </c>
      <c r="CD29" t="s">
        <v>147</v>
      </c>
      <c r="CE29" t="s">
        <v>147</v>
      </c>
      <c r="CF29" t="s">
        <v>147</v>
      </c>
      <c r="CG29" t="s">
        <v>147</v>
      </c>
      <c r="CH29" t="s">
        <v>57</v>
      </c>
      <c r="CI29" t="s">
        <v>57</v>
      </c>
      <c r="CJ29" t="s">
        <v>57</v>
      </c>
      <c r="CK29" t="s">
        <v>147</v>
      </c>
      <c r="CL29" t="s">
        <v>147</v>
      </c>
      <c r="CM29" t="s">
        <v>147</v>
      </c>
      <c r="CN29" t="s">
        <v>147</v>
      </c>
      <c r="CO29" t="s">
        <v>147</v>
      </c>
      <c r="CP29" t="s">
        <v>147</v>
      </c>
      <c r="CQ29" t="s">
        <v>147</v>
      </c>
      <c r="CR29" t="s">
        <v>147</v>
      </c>
      <c r="CS29" t="s">
        <v>147</v>
      </c>
      <c r="CT29" t="s">
        <v>147</v>
      </c>
      <c r="CU29" t="s">
        <v>147</v>
      </c>
      <c r="CV29" t="s">
        <v>147</v>
      </c>
      <c r="CW29" t="s">
        <v>147</v>
      </c>
      <c r="CX29" t="s">
        <v>147</v>
      </c>
      <c r="CY29" t="s">
        <v>147</v>
      </c>
      <c r="CZ29" t="s">
        <v>147</v>
      </c>
      <c r="DA29" t="s">
        <v>57</v>
      </c>
      <c r="DB29" t="s">
        <v>147</v>
      </c>
      <c r="DC29" t="s">
        <v>57</v>
      </c>
      <c r="DD29" t="s">
        <v>147</v>
      </c>
      <c r="DE29" t="s">
        <v>147</v>
      </c>
      <c r="DF29" t="s">
        <v>147</v>
      </c>
      <c r="DG29" t="s">
        <v>147</v>
      </c>
      <c r="DH29" t="s">
        <v>147</v>
      </c>
      <c r="DI29" t="s">
        <v>147</v>
      </c>
      <c r="DJ29" t="s">
        <v>147</v>
      </c>
      <c r="DK29" t="s">
        <v>147</v>
      </c>
      <c r="DL29" t="s">
        <v>147</v>
      </c>
      <c r="DM29" t="s">
        <v>147</v>
      </c>
      <c r="DN29" t="s">
        <v>147</v>
      </c>
      <c r="DO29" t="s">
        <v>147</v>
      </c>
      <c r="DP29" t="s">
        <v>147</v>
      </c>
      <c r="DQ29" t="s">
        <v>147</v>
      </c>
      <c r="DR29" t="s">
        <v>147</v>
      </c>
      <c r="DS29" t="s">
        <v>147</v>
      </c>
      <c r="DT29" t="s">
        <v>147</v>
      </c>
      <c r="DU29" t="s">
        <v>147</v>
      </c>
      <c r="DV29" t="s">
        <v>147</v>
      </c>
      <c r="DW29" t="s">
        <v>147</v>
      </c>
      <c r="DX29" t="s">
        <v>147</v>
      </c>
      <c r="DY29" t="s">
        <v>147</v>
      </c>
      <c r="DZ29" t="s">
        <v>147</v>
      </c>
      <c r="EA29" t="s">
        <v>147</v>
      </c>
      <c r="EB29" t="s">
        <v>147</v>
      </c>
      <c r="EC29" t="s">
        <v>147</v>
      </c>
      <c r="ED29" t="s">
        <v>147</v>
      </c>
      <c r="EE29" t="s">
        <v>147</v>
      </c>
      <c r="EF29" t="s">
        <v>147</v>
      </c>
      <c r="EG29" t="s">
        <v>147</v>
      </c>
      <c r="EH29" t="s">
        <v>147</v>
      </c>
      <c r="EI29" t="s">
        <v>147</v>
      </c>
      <c r="EJ29" t="s">
        <v>57</v>
      </c>
      <c r="EK29" t="s">
        <v>147</v>
      </c>
      <c r="EL29" t="s">
        <v>57</v>
      </c>
      <c r="EM29" t="s">
        <v>57</v>
      </c>
      <c r="EN29" t="s">
        <v>147</v>
      </c>
      <c r="EO29" t="s">
        <v>57</v>
      </c>
      <c r="EP29" t="s">
        <v>147</v>
      </c>
      <c r="EQ29" t="s">
        <v>147</v>
      </c>
      <c r="ER29" t="s">
        <v>147</v>
      </c>
      <c r="ES29" t="s">
        <v>147</v>
      </c>
      <c r="ET29" t="s">
        <v>147</v>
      </c>
      <c r="EU29" t="s">
        <v>147</v>
      </c>
      <c r="EV29" t="s">
        <v>57</v>
      </c>
      <c r="EW29" t="s">
        <v>147</v>
      </c>
      <c r="EX29" t="s">
        <v>147</v>
      </c>
      <c r="EY29" t="s">
        <v>147</v>
      </c>
      <c r="EZ29" t="s">
        <v>147</v>
      </c>
      <c r="FA29" t="s">
        <v>147</v>
      </c>
      <c r="FB29" t="s">
        <v>147</v>
      </c>
      <c r="FC29" t="s">
        <v>147</v>
      </c>
      <c r="FD29" t="s">
        <v>147</v>
      </c>
      <c r="FE29" t="s">
        <v>147</v>
      </c>
      <c r="FF29" t="s">
        <v>147</v>
      </c>
      <c r="FG29" t="s">
        <v>147</v>
      </c>
      <c r="FH29" t="s">
        <v>147</v>
      </c>
      <c r="FI29" t="s">
        <v>147</v>
      </c>
      <c r="FJ29" t="s">
        <v>147</v>
      </c>
      <c r="FK29" t="s">
        <v>147</v>
      </c>
      <c r="FL29" t="s">
        <v>147</v>
      </c>
      <c r="FM29" t="s">
        <v>147</v>
      </c>
      <c r="FN29" t="s">
        <v>147</v>
      </c>
      <c r="FO29" t="s">
        <v>147</v>
      </c>
      <c r="FP29" t="s">
        <v>147</v>
      </c>
      <c r="FQ29" t="s">
        <v>147</v>
      </c>
      <c r="FR29" t="s">
        <v>147</v>
      </c>
      <c r="FS29" t="s">
        <v>147</v>
      </c>
      <c r="FT29" t="s">
        <v>147</v>
      </c>
      <c r="FU29" t="s">
        <v>147</v>
      </c>
      <c r="FV29" t="s">
        <v>147</v>
      </c>
      <c r="FW29" t="s">
        <v>147</v>
      </c>
      <c r="FX29" t="s">
        <v>147</v>
      </c>
      <c r="FY29" t="s">
        <v>147</v>
      </c>
      <c r="FZ29" t="s">
        <v>147</v>
      </c>
      <c r="GA29" t="s">
        <v>147</v>
      </c>
      <c r="GB29" t="s">
        <v>147</v>
      </c>
      <c r="GC29" t="s">
        <v>147</v>
      </c>
      <c r="GD29" t="s">
        <v>147</v>
      </c>
      <c r="GE29" t="s">
        <v>147</v>
      </c>
      <c r="GF29" t="s">
        <v>147</v>
      </c>
      <c r="GG29" t="s">
        <v>147</v>
      </c>
      <c r="GH29" t="s">
        <v>57</v>
      </c>
      <c r="GI29" t="s">
        <v>147</v>
      </c>
      <c r="GJ29" t="s">
        <v>147</v>
      </c>
      <c r="GK29" t="s">
        <v>57</v>
      </c>
      <c r="GL29" t="s">
        <v>147</v>
      </c>
      <c r="GM29" t="s">
        <v>147</v>
      </c>
      <c r="GN29" t="s">
        <v>147</v>
      </c>
      <c r="GO29" t="s">
        <v>147</v>
      </c>
      <c r="GP29" t="s">
        <v>147</v>
      </c>
      <c r="GQ29" t="s">
        <v>147</v>
      </c>
      <c r="GR29" t="s">
        <v>147</v>
      </c>
      <c r="GS29" t="s">
        <v>147</v>
      </c>
      <c r="GT29" t="s">
        <v>147</v>
      </c>
      <c r="GU29" t="s">
        <v>147</v>
      </c>
      <c r="GV29" t="s">
        <v>147</v>
      </c>
      <c r="GW29" t="s">
        <v>147</v>
      </c>
      <c r="GX29" t="s">
        <v>147</v>
      </c>
      <c r="GY29" t="s">
        <v>147</v>
      </c>
      <c r="GZ29" t="s">
        <v>147</v>
      </c>
      <c r="HA29" t="s">
        <v>147</v>
      </c>
      <c r="HB29" t="s">
        <v>147</v>
      </c>
      <c r="HC29" t="s">
        <v>147</v>
      </c>
      <c r="HD29" t="s">
        <v>147</v>
      </c>
      <c r="HE29" t="s">
        <v>147</v>
      </c>
      <c r="HF29" t="s">
        <v>147</v>
      </c>
      <c r="HG29" t="s">
        <v>147</v>
      </c>
      <c r="HH29" t="s">
        <v>147</v>
      </c>
      <c r="HI29" t="s">
        <v>147</v>
      </c>
      <c r="HJ29" t="s">
        <v>147</v>
      </c>
      <c r="HK29" t="s">
        <v>147</v>
      </c>
      <c r="HL29" t="s">
        <v>147</v>
      </c>
      <c r="HM29" t="s">
        <v>147</v>
      </c>
      <c r="HN29" t="s">
        <v>147</v>
      </c>
      <c r="HO29" t="s">
        <v>147</v>
      </c>
      <c r="HP29" t="s">
        <v>147</v>
      </c>
      <c r="HQ29" t="s">
        <v>147</v>
      </c>
      <c r="HR29" t="s">
        <v>147</v>
      </c>
      <c r="HS29" t="s">
        <v>147</v>
      </c>
      <c r="HT29" t="s">
        <v>147</v>
      </c>
      <c r="HU29" t="s">
        <v>147</v>
      </c>
      <c r="HV29" t="s">
        <v>147</v>
      </c>
      <c r="HW29" t="s">
        <v>147</v>
      </c>
      <c r="HX29" t="s">
        <v>147</v>
      </c>
      <c r="HY29" t="s">
        <v>147</v>
      </c>
      <c r="HZ29" t="s">
        <v>147</v>
      </c>
      <c r="IA29" t="s">
        <v>147</v>
      </c>
      <c r="IB29" t="s">
        <v>57</v>
      </c>
      <c r="IC29" t="s">
        <v>57</v>
      </c>
      <c r="ID29" t="s">
        <v>57</v>
      </c>
      <c r="IE29" t="s">
        <v>57</v>
      </c>
      <c r="IF29" t="s">
        <v>124</v>
      </c>
      <c r="IG29" t="s">
        <v>148</v>
      </c>
      <c r="IH29" t="s">
        <v>123</v>
      </c>
      <c r="II29" t="s">
        <v>156</v>
      </c>
    </row>
    <row r="30" spans="1:243" x14ac:dyDescent="0.25">
      <c r="A30" s="121" t="str">
        <f>HYPERLINK("http://www.ofsted.gov.uk/inspection-reports/find-inspection-report/provider/ELS/131395 ","Ofsted School Webpage")</f>
        <v>Ofsted School Webpage</v>
      </c>
      <c r="B30">
        <v>131395</v>
      </c>
      <c r="C30">
        <v>3056078</v>
      </c>
      <c r="D30" t="s">
        <v>1361</v>
      </c>
      <c r="E30" t="s">
        <v>37</v>
      </c>
      <c r="F30" t="s">
        <v>138</v>
      </c>
      <c r="G30" t="s">
        <v>189</v>
      </c>
      <c r="H30" t="s">
        <v>189</v>
      </c>
      <c r="I30" t="s">
        <v>540</v>
      </c>
      <c r="J30" t="s">
        <v>1362</v>
      </c>
      <c r="K30" t="s">
        <v>142</v>
      </c>
      <c r="L30" t="s">
        <v>249</v>
      </c>
      <c r="M30" t="s">
        <v>2596</v>
      </c>
      <c r="N30" t="s">
        <v>143</v>
      </c>
      <c r="O30">
        <v>10046997</v>
      </c>
      <c r="P30" s="108">
        <v>43130</v>
      </c>
      <c r="Q30" s="108">
        <v>43130</v>
      </c>
      <c r="R30" s="108">
        <v>43168</v>
      </c>
      <c r="S30" t="s">
        <v>144</v>
      </c>
      <c r="T30" t="s">
        <v>145</v>
      </c>
      <c r="U30" t="s">
        <v>2596</v>
      </c>
      <c r="V30" t="s">
        <v>2596</v>
      </c>
      <c r="W30" t="s">
        <v>2596</v>
      </c>
      <c r="X30" t="s">
        <v>2596</v>
      </c>
      <c r="Y30" t="s">
        <v>2596</v>
      </c>
      <c r="Z30" t="s">
        <v>2596</v>
      </c>
      <c r="AA30" t="s">
        <v>2596</v>
      </c>
      <c r="AB30" t="s">
        <v>2596</v>
      </c>
      <c r="AC30" t="s">
        <v>146</v>
      </c>
      <c r="AD30" t="s">
        <v>2596</v>
      </c>
      <c r="AE30" t="s">
        <v>147</v>
      </c>
      <c r="AF30" t="s">
        <v>147</v>
      </c>
      <c r="AG30" t="s">
        <v>57</v>
      </c>
      <c r="AH30" t="s">
        <v>147</v>
      </c>
      <c r="AI30" t="s">
        <v>57</v>
      </c>
      <c r="AJ30" t="s">
        <v>57</v>
      </c>
      <c r="AK30" t="s">
        <v>147</v>
      </c>
      <c r="AL30" t="s">
        <v>57</v>
      </c>
      <c r="AM30" t="s">
        <v>147</v>
      </c>
      <c r="AN30" t="s">
        <v>147</v>
      </c>
      <c r="AO30" t="s">
        <v>147</v>
      </c>
      <c r="AP30" t="s">
        <v>147</v>
      </c>
      <c r="AQ30" t="s">
        <v>147</v>
      </c>
      <c r="AR30" t="s">
        <v>147</v>
      </c>
      <c r="AS30" t="s">
        <v>147</v>
      </c>
      <c r="AT30" t="s">
        <v>147</v>
      </c>
      <c r="AU30" t="s">
        <v>147</v>
      </c>
      <c r="AV30" t="s">
        <v>147</v>
      </c>
      <c r="AW30" t="s">
        <v>147</v>
      </c>
      <c r="AX30" t="s">
        <v>147</v>
      </c>
      <c r="AY30" t="s">
        <v>147</v>
      </c>
      <c r="AZ30" t="s">
        <v>147</v>
      </c>
      <c r="BA30" t="s">
        <v>147</v>
      </c>
      <c r="BB30" t="s">
        <v>147</v>
      </c>
      <c r="BC30" t="s">
        <v>147</v>
      </c>
      <c r="BD30" t="s">
        <v>147</v>
      </c>
      <c r="BE30" t="s">
        <v>147</v>
      </c>
      <c r="BF30" t="s">
        <v>147</v>
      </c>
      <c r="BG30" t="s">
        <v>57</v>
      </c>
      <c r="BH30" t="s">
        <v>147</v>
      </c>
      <c r="BI30" t="s">
        <v>147</v>
      </c>
      <c r="BJ30" t="s">
        <v>147</v>
      </c>
      <c r="BK30" t="s">
        <v>147</v>
      </c>
      <c r="BL30" t="s">
        <v>147</v>
      </c>
      <c r="BM30" t="s">
        <v>147</v>
      </c>
      <c r="BN30" t="s">
        <v>57</v>
      </c>
      <c r="BO30" t="s">
        <v>147</v>
      </c>
      <c r="BP30" t="s">
        <v>147</v>
      </c>
      <c r="BQ30" t="s">
        <v>147</v>
      </c>
      <c r="BR30" t="s">
        <v>147</v>
      </c>
      <c r="BS30" t="s">
        <v>147</v>
      </c>
      <c r="BT30" t="s">
        <v>147</v>
      </c>
      <c r="BU30" t="s">
        <v>147</v>
      </c>
      <c r="BV30" t="s">
        <v>147</v>
      </c>
      <c r="BW30" t="s">
        <v>147</v>
      </c>
      <c r="BX30" t="s">
        <v>147</v>
      </c>
      <c r="BY30" t="s">
        <v>147</v>
      </c>
      <c r="BZ30" t="s">
        <v>147</v>
      </c>
      <c r="CA30" t="s">
        <v>147</v>
      </c>
      <c r="CB30" t="s">
        <v>147</v>
      </c>
      <c r="CC30" t="s">
        <v>147</v>
      </c>
      <c r="CD30" t="s">
        <v>147</v>
      </c>
      <c r="CE30" t="s">
        <v>147</v>
      </c>
      <c r="CF30" t="s">
        <v>147</v>
      </c>
      <c r="CG30" t="s">
        <v>147</v>
      </c>
      <c r="CH30" t="s">
        <v>57</v>
      </c>
      <c r="CI30" t="s">
        <v>57</v>
      </c>
      <c r="CJ30" t="s">
        <v>57</v>
      </c>
      <c r="CK30" t="s">
        <v>175</v>
      </c>
      <c r="CL30" t="s">
        <v>175</v>
      </c>
      <c r="CM30" t="s">
        <v>175</v>
      </c>
      <c r="CN30" t="s">
        <v>147</v>
      </c>
      <c r="CO30" t="s">
        <v>147</v>
      </c>
      <c r="CP30" t="s">
        <v>147</v>
      </c>
      <c r="CQ30" t="s">
        <v>147</v>
      </c>
      <c r="CR30" t="s">
        <v>147</v>
      </c>
      <c r="CS30" t="s">
        <v>57</v>
      </c>
      <c r="CT30" t="s">
        <v>57</v>
      </c>
      <c r="CU30" t="s">
        <v>147</v>
      </c>
      <c r="CV30" t="s">
        <v>147</v>
      </c>
      <c r="CW30" t="s">
        <v>147</v>
      </c>
      <c r="CX30" t="s">
        <v>57</v>
      </c>
      <c r="CY30" t="s">
        <v>57</v>
      </c>
      <c r="CZ30" t="s">
        <v>57</v>
      </c>
      <c r="DA30" t="s">
        <v>147</v>
      </c>
      <c r="DB30" t="s">
        <v>147</v>
      </c>
      <c r="DC30" t="s">
        <v>147</v>
      </c>
      <c r="DD30" t="s">
        <v>147</v>
      </c>
      <c r="DE30" t="s">
        <v>147</v>
      </c>
      <c r="DF30" t="s">
        <v>147</v>
      </c>
      <c r="DG30" t="s">
        <v>147</v>
      </c>
      <c r="DH30" t="s">
        <v>147</v>
      </c>
      <c r="DI30" t="s">
        <v>147</v>
      </c>
      <c r="DJ30" t="s">
        <v>147</v>
      </c>
      <c r="DK30" t="s">
        <v>175</v>
      </c>
      <c r="DL30" t="s">
        <v>147</v>
      </c>
      <c r="DM30" t="s">
        <v>147</v>
      </c>
      <c r="DN30" t="s">
        <v>147</v>
      </c>
      <c r="DO30" t="s">
        <v>147</v>
      </c>
      <c r="DP30" t="s">
        <v>147</v>
      </c>
      <c r="DQ30" t="s">
        <v>147</v>
      </c>
      <c r="DR30" t="s">
        <v>147</v>
      </c>
      <c r="DS30" t="s">
        <v>147</v>
      </c>
      <c r="DT30" t="s">
        <v>147</v>
      </c>
      <c r="DU30" t="s">
        <v>147</v>
      </c>
      <c r="DV30" t="s">
        <v>147</v>
      </c>
      <c r="DW30" t="s">
        <v>147</v>
      </c>
      <c r="DX30" t="s">
        <v>147</v>
      </c>
      <c r="DY30" t="s">
        <v>175</v>
      </c>
      <c r="DZ30" t="s">
        <v>147</v>
      </c>
      <c r="EA30" t="s">
        <v>147</v>
      </c>
      <c r="EB30" t="s">
        <v>147</v>
      </c>
      <c r="EC30" t="s">
        <v>147</v>
      </c>
      <c r="ED30" t="s">
        <v>147</v>
      </c>
      <c r="EE30" t="s">
        <v>147</v>
      </c>
      <c r="EF30" t="s">
        <v>147</v>
      </c>
      <c r="EG30" t="s">
        <v>147</v>
      </c>
      <c r="EH30" t="s">
        <v>147</v>
      </c>
      <c r="EI30" t="s">
        <v>147</v>
      </c>
      <c r="EJ30" t="s">
        <v>147</v>
      </c>
      <c r="EK30" t="s">
        <v>147</v>
      </c>
      <c r="EL30" t="s">
        <v>147</v>
      </c>
      <c r="EM30" t="s">
        <v>147</v>
      </c>
      <c r="EN30" t="s">
        <v>147</v>
      </c>
      <c r="EO30" t="s">
        <v>147</v>
      </c>
      <c r="EP30" t="s">
        <v>147</v>
      </c>
      <c r="EQ30" t="s">
        <v>147</v>
      </c>
      <c r="ER30" t="s">
        <v>147</v>
      </c>
      <c r="ES30" t="s">
        <v>147</v>
      </c>
      <c r="ET30" t="s">
        <v>147</v>
      </c>
      <c r="EU30" t="s">
        <v>147</v>
      </c>
      <c r="EV30" t="s">
        <v>147</v>
      </c>
      <c r="EW30" t="s">
        <v>147</v>
      </c>
      <c r="EX30" t="s">
        <v>147</v>
      </c>
      <c r="EY30" t="s">
        <v>147</v>
      </c>
      <c r="EZ30" t="s">
        <v>147</v>
      </c>
      <c r="FA30" t="s">
        <v>147</v>
      </c>
      <c r="FB30" t="s">
        <v>147</v>
      </c>
      <c r="FC30" t="s">
        <v>147</v>
      </c>
      <c r="FD30" t="s">
        <v>147</v>
      </c>
      <c r="FE30" t="s">
        <v>147</v>
      </c>
      <c r="FF30" t="s">
        <v>147</v>
      </c>
      <c r="FG30" t="s">
        <v>147</v>
      </c>
      <c r="FH30" t="s">
        <v>57</v>
      </c>
      <c r="FI30" t="s">
        <v>147</v>
      </c>
      <c r="FJ30" t="s">
        <v>147</v>
      </c>
      <c r="FK30" t="s">
        <v>57</v>
      </c>
      <c r="FL30" t="s">
        <v>147</v>
      </c>
      <c r="FM30" t="s">
        <v>147</v>
      </c>
      <c r="FN30" t="s">
        <v>147</v>
      </c>
      <c r="FO30" t="s">
        <v>147</v>
      </c>
      <c r="FP30" t="s">
        <v>147</v>
      </c>
      <c r="FQ30" t="s">
        <v>57</v>
      </c>
      <c r="FR30" t="s">
        <v>147</v>
      </c>
      <c r="FS30" t="s">
        <v>147</v>
      </c>
      <c r="FT30" t="s">
        <v>147</v>
      </c>
      <c r="FU30" t="s">
        <v>147</v>
      </c>
      <c r="FV30" t="s">
        <v>147</v>
      </c>
      <c r="FW30" t="s">
        <v>147</v>
      </c>
      <c r="FX30" t="s">
        <v>147</v>
      </c>
      <c r="FY30" t="s">
        <v>147</v>
      </c>
      <c r="FZ30" t="s">
        <v>147</v>
      </c>
      <c r="GA30" t="s">
        <v>147</v>
      </c>
      <c r="GB30" t="s">
        <v>147</v>
      </c>
      <c r="GC30" t="s">
        <v>147</v>
      </c>
      <c r="GD30" t="s">
        <v>147</v>
      </c>
      <c r="GE30" t="s">
        <v>147</v>
      </c>
      <c r="GF30" t="s">
        <v>147</v>
      </c>
      <c r="GG30" t="s">
        <v>175</v>
      </c>
      <c r="GH30" t="s">
        <v>57</v>
      </c>
      <c r="GI30" t="s">
        <v>147</v>
      </c>
      <c r="GJ30" t="s">
        <v>147</v>
      </c>
      <c r="GK30" t="s">
        <v>57</v>
      </c>
      <c r="GL30" t="s">
        <v>147</v>
      </c>
      <c r="GM30" t="s">
        <v>175</v>
      </c>
      <c r="GN30" t="s">
        <v>147</v>
      </c>
      <c r="GO30" t="s">
        <v>147</v>
      </c>
      <c r="GP30" t="s">
        <v>147</v>
      </c>
      <c r="GQ30" t="s">
        <v>147</v>
      </c>
      <c r="GR30" t="s">
        <v>147</v>
      </c>
      <c r="GS30" t="s">
        <v>147</v>
      </c>
      <c r="GT30" t="s">
        <v>147</v>
      </c>
      <c r="GU30" t="s">
        <v>147</v>
      </c>
      <c r="GV30" t="s">
        <v>147</v>
      </c>
      <c r="GW30" t="s">
        <v>147</v>
      </c>
      <c r="GX30" t="s">
        <v>147</v>
      </c>
      <c r="GY30" t="s">
        <v>147</v>
      </c>
      <c r="GZ30" t="s">
        <v>147</v>
      </c>
      <c r="HA30" t="s">
        <v>147</v>
      </c>
      <c r="HB30" t="s">
        <v>147</v>
      </c>
      <c r="HC30" t="s">
        <v>147</v>
      </c>
      <c r="HD30" t="s">
        <v>147</v>
      </c>
      <c r="HE30" t="s">
        <v>147</v>
      </c>
      <c r="HF30" t="s">
        <v>147</v>
      </c>
      <c r="HG30" t="s">
        <v>147</v>
      </c>
      <c r="HH30" t="s">
        <v>147</v>
      </c>
      <c r="HI30" t="s">
        <v>147</v>
      </c>
      <c r="HJ30" t="s">
        <v>147</v>
      </c>
      <c r="HK30" t="s">
        <v>147</v>
      </c>
      <c r="HL30" t="s">
        <v>147</v>
      </c>
      <c r="HM30" t="s">
        <v>147</v>
      </c>
      <c r="HN30" t="s">
        <v>147</v>
      </c>
      <c r="HO30" t="s">
        <v>147</v>
      </c>
      <c r="HP30" t="s">
        <v>147</v>
      </c>
      <c r="HQ30" t="s">
        <v>147</v>
      </c>
      <c r="HR30" t="s">
        <v>147</v>
      </c>
      <c r="HS30" t="s">
        <v>147</v>
      </c>
      <c r="HT30" t="s">
        <v>147</v>
      </c>
      <c r="HU30" t="s">
        <v>147</v>
      </c>
      <c r="HV30" t="s">
        <v>147</v>
      </c>
      <c r="HW30" t="s">
        <v>147</v>
      </c>
      <c r="HX30" t="s">
        <v>147</v>
      </c>
      <c r="HY30" t="s">
        <v>147</v>
      </c>
      <c r="HZ30" t="s">
        <v>147</v>
      </c>
      <c r="IA30" t="s">
        <v>147</v>
      </c>
      <c r="IB30" t="s">
        <v>57</v>
      </c>
      <c r="IC30" t="s">
        <v>57</v>
      </c>
      <c r="ID30" t="s">
        <v>57</v>
      </c>
      <c r="IE30" t="s">
        <v>57</v>
      </c>
      <c r="IF30" t="s">
        <v>123</v>
      </c>
      <c r="IG30" t="s">
        <v>123</v>
      </c>
      <c r="IH30" t="s">
        <v>123</v>
      </c>
      <c r="II30" t="s">
        <v>156</v>
      </c>
    </row>
    <row r="31" spans="1:243" x14ac:dyDescent="0.25">
      <c r="A31" s="121" t="str">
        <f>HYPERLINK("http://www.ofsted.gov.uk/inspection-reports/find-inspection-report/provider/ELS/131791 ","Ofsted School Webpage")</f>
        <v>Ofsted School Webpage</v>
      </c>
      <c r="B31">
        <v>131791</v>
      </c>
      <c r="C31">
        <v>8966027</v>
      </c>
      <c r="D31" t="s">
        <v>327</v>
      </c>
      <c r="E31" t="s">
        <v>36</v>
      </c>
      <c r="F31" t="s">
        <v>166</v>
      </c>
      <c r="G31" t="s">
        <v>162</v>
      </c>
      <c r="H31" t="s">
        <v>162</v>
      </c>
      <c r="I31" t="s">
        <v>328</v>
      </c>
      <c r="J31" t="s">
        <v>329</v>
      </c>
      <c r="K31" t="s">
        <v>169</v>
      </c>
      <c r="L31" t="s">
        <v>169</v>
      </c>
      <c r="M31" t="s">
        <v>2596</v>
      </c>
      <c r="N31" t="s">
        <v>143</v>
      </c>
      <c r="O31">
        <v>10040244</v>
      </c>
      <c r="P31" s="108">
        <v>43011</v>
      </c>
      <c r="Q31" s="108">
        <v>43011</v>
      </c>
      <c r="R31" s="108">
        <v>43048</v>
      </c>
      <c r="S31" t="s">
        <v>144</v>
      </c>
      <c r="T31" t="s">
        <v>145</v>
      </c>
      <c r="U31" t="s">
        <v>2596</v>
      </c>
      <c r="V31" t="s">
        <v>2596</v>
      </c>
      <c r="W31" t="s">
        <v>2596</v>
      </c>
      <c r="X31" t="s">
        <v>2596</v>
      </c>
      <c r="Y31" t="s">
        <v>2596</v>
      </c>
      <c r="Z31" t="s">
        <v>2596</v>
      </c>
      <c r="AA31" t="s">
        <v>2596</v>
      </c>
      <c r="AB31" t="s">
        <v>2596</v>
      </c>
      <c r="AC31" t="s">
        <v>174</v>
      </c>
      <c r="AD31" t="s">
        <v>2596</v>
      </c>
      <c r="AE31" t="s">
        <v>147</v>
      </c>
      <c r="AF31" t="s">
        <v>147</v>
      </c>
      <c r="AG31" t="s">
        <v>57</v>
      </c>
      <c r="AH31" t="s">
        <v>147</v>
      </c>
      <c r="AI31" t="s">
        <v>58</v>
      </c>
      <c r="AJ31" t="s">
        <v>147</v>
      </c>
      <c r="AK31" t="s">
        <v>147</v>
      </c>
      <c r="AL31" t="s">
        <v>58</v>
      </c>
      <c r="AM31" t="s">
        <v>147</v>
      </c>
      <c r="AN31" t="s">
        <v>147</v>
      </c>
      <c r="AO31" t="s">
        <v>147</v>
      </c>
      <c r="AP31" t="s">
        <v>147</v>
      </c>
      <c r="AQ31" t="s">
        <v>147</v>
      </c>
      <c r="AR31" t="s">
        <v>147</v>
      </c>
      <c r="AS31" t="s">
        <v>147</v>
      </c>
      <c r="AT31" t="s">
        <v>147</v>
      </c>
      <c r="AU31" t="s">
        <v>147</v>
      </c>
      <c r="AV31" t="s">
        <v>147</v>
      </c>
      <c r="AW31" t="s">
        <v>147</v>
      </c>
      <c r="AX31" t="s">
        <v>147</v>
      </c>
      <c r="AY31" t="s">
        <v>147</v>
      </c>
      <c r="AZ31" t="s">
        <v>147</v>
      </c>
      <c r="BA31" t="s">
        <v>147</v>
      </c>
      <c r="BB31" t="s">
        <v>147</v>
      </c>
      <c r="BC31" t="s">
        <v>147</v>
      </c>
      <c r="BD31" t="s">
        <v>147</v>
      </c>
      <c r="BE31" t="s">
        <v>147</v>
      </c>
      <c r="BF31" t="s">
        <v>147</v>
      </c>
      <c r="BG31" t="s">
        <v>147</v>
      </c>
      <c r="BH31" t="s">
        <v>147</v>
      </c>
      <c r="BI31" t="s">
        <v>147</v>
      </c>
      <c r="BJ31" t="s">
        <v>147</v>
      </c>
      <c r="BK31" t="s">
        <v>147</v>
      </c>
      <c r="BL31" t="s">
        <v>147</v>
      </c>
      <c r="BM31" t="s">
        <v>147</v>
      </c>
      <c r="BN31" t="s">
        <v>147</v>
      </c>
      <c r="BO31" t="s">
        <v>147</v>
      </c>
      <c r="BP31" t="s">
        <v>147</v>
      </c>
      <c r="BQ31" t="s">
        <v>147</v>
      </c>
      <c r="BR31" t="s">
        <v>147</v>
      </c>
      <c r="BS31" t="s">
        <v>147</v>
      </c>
      <c r="BT31" t="s">
        <v>147</v>
      </c>
      <c r="BU31" t="s">
        <v>147</v>
      </c>
      <c r="BV31" t="s">
        <v>147</v>
      </c>
      <c r="BW31" t="s">
        <v>147</v>
      </c>
      <c r="BX31" t="s">
        <v>147</v>
      </c>
      <c r="BY31" t="s">
        <v>147</v>
      </c>
      <c r="BZ31" t="s">
        <v>147</v>
      </c>
      <c r="CA31" t="s">
        <v>147</v>
      </c>
      <c r="CB31" t="s">
        <v>147</v>
      </c>
      <c r="CC31" t="s">
        <v>147</v>
      </c>
      <c r="CD31" t="s">
        <v>147</v>
      </c>
      <c r="CE31" t="s">
        <v>147</v>
      </c>
      <c r="CF31" t="s">
        <v>147</v>
      </c>
      <c r="CG31" t="s">
        <v>147</v>
      </c>
      <c r="CH31" t="s">
        <v>57</v>
      </c>
      <c r="CI31" t="s">
        <v>57</v>
      </c>
      <c r="CJ31" t="s">
        <v>57</v>
      </c>
      <c r="CK31" t="s">
        <v>147</v>
      </c>
      <c r="CL31" t="s">
        <v>147</v>
      </c>
      <c r="CM31" t="s">
        <v>147</v>
      </c>
      <c r="CN31" t="s">
        <v>147</v>
      </c>
      <c r="CO31" t="s">
        <v>147</v>
      </c>
      <c r="CP31" t="s">
        <v>147</v>
      </c>
      <c r="CQ31" t="s">
        <v>147</v>
      </c>
      <c r="CR31" t="s">
        <v>147</v>
      </c>
      <c r="CS31" t="s">
        <v>57</v>
      </c>
      <c r="CT31" t="s">
        <v>147</v>
      </c>
      <c r="CU31" t="s">
        <v>147</v>
      </c>
      <c r="CV31" t="s">
        <v>147</v>
      </c>
      <c r="CW31" t="s">
        <v>147</v>
      </c>
      <c r="CX31" t="s">
        <v>58</v>
      </c>
      <c r="CY31" t="s">
        <v>58</v>
      </c>
      <c r="CZ31" t="s">
        <v>57</v>
      </c>
      <c r="DA31" t="s">
        <v>147</v>
      </c>
      <c r="DB31" t="s">
        <v>147</v>
      </c>
      <c r="DC31" t="s">
        <v>147</v>
      </c>
      <c r="DD31" t="s">
        <v>147</v>
      </c>
      <c r="DE31" t="s">
        <v>147</v>
      </c>
      <c r="DF31" t="s">
        <v>147</v>
      </c>
      <c r="DG31" t="s">
        <v>147</v>
      </c>
      <c r="DH31" t="s">
        <v>147</v>
      </c>
      <c r="DI31" t="s">
        <v>147</v>
      </c>
      <c r="DJ31" t="s">
        <v>147</v>
      </c>
      <c r="DK31" t="s">
        <v>147</v>
      </c>
      <c r="DL31" t="s">
        <v>147</v>
      </c>
      <c r="DM31" t="s">
        <v>147</v>
      </c>
      <c r="DN31" t="s">
        <v>147</v>
      </c>
      <c r="DO31" t="s">
        <v>147</v>
      </c>
      <c r="DP31" t="s">
        <v>147</v>
      </c>
      <c r="DQ31" t="s">
        <v>147</v>
      </c>
      <c r="DR31" t="s">
        <v>147</v>
      </c>
      <c r="DS31" t="s">
        <v>147</v>
      </c>
      <c r="DT31" t="s">
        <v>147</v>
      </c>
      <c r="DU31" t="s">
        <v>147</v>
      </c>
      <c r="DV31" t="s">
        <v>147</v>
      </c>
      <c r="DW31" t="s">
        <v>147</v>
      </c>
      <c r="DX31" t="s">
        <v>147</v>
      </c>
      <c r="DY31" t="s">
        <v>147</v>
      </c>
      <c r="DZ31" t="s">
        <v>147</v>
      </c>
      <c r="EA31" t="s">
        <v>147</v>
      </c>
      <c r="EB31" t="s">
        <v>147</v>
      </c>
      <c r="EC31" t="s">
        <v>147</v>
      </c>
      <c r="ED31" t="s">
        <v>147</v>
      </c>
      <c r="EE31" t="s">
        <v>147</v>
      </c>
      <c r="EF31" t="s">
        <v>147</v>
      </c>
      <c r="EG31" t="s">
        <v>147</v>
      </c>
      <c r="EH31" t="s">
        <v>147</v>
      </c>
      <c r="EI31" t="s">
        <v>147</v>
      </c>
      <c r="EJ31" t="s">
        <v>147</v>
      </c>
      <c r="EK31" t="s">
        <v>147</v>
      </c>
      <c r="EL31" t="s">
        <v>147</v>
      </c>
      <c r="EM31" t="s">
        <v>147</v>
      </c>
      <c r="EN31" t="s">
        <v>147</v>
      </c>
      <c r="EO31" t="s">
        <v>147</v>
      </c>
      <c r="EP31" t="s">
        <v>147</v>
      </c>
      <c r="EQ31" t="s">
        <v>147</v>
      </c>
      <c r="ER31" t="s">
        <v>147</v>
      </c>
      <c r="ES31" t="s">
        <v>147</v>
      </c>
      <c r="ET31" t="s">
        <v>147</v>
      </c>
      <c r="EU31" t="s">
        <v>147</v>
      </c>
      <c r="EV31" t="s">
        <v>147</v>
      </c>
      <c r="EW31" t="s">
        <v>147</v>
      </c>
      <c r="EX31" t="s">
        <v>147</v>
      </c>
      <c r="EY31" t="s">
        <v>147</v>
      </c>
      <c r="EZ31" t="s">
        <v>147</v>
      </c>
      <c r="FA31" t="s">
        <v>147</v>
      </c>
      <c r="FB31" t="s">
        <v>147</v>
      </c>
      <c r="FC31" t="s">
        <v>147</v>
      </c>
      <c r="FD31" t="s">
        <v>147</v>
      </c>
      <c r="FE31" t="s">
        <v>147</v>
      </c>
      <c r="FF31" t="s">
        <v>147</v>
      </c>
      <c r="FG31" t="s">
        <v>147</v>
      </c>
      <c r="FH31" t="s">
        <v>58</v>
      </c>
      <c r="FI31" t="s">
        <v>147</v>
      </c>
      <c r="FJ31" t="s">
        <v>147</v>
      </c>
      <c r="FK31" t="s">
        <v>58</v>
      </c>
      <c r="FL31" t="s">
        <v>57</v>
      </c>
      <c r="FM31" t="s">
        <v>57</v>
      </c>
      <c r="FN31" t="s">
        <v>57</v>
      </c>
      <c r="FO31" t="s">
        <v>147</v>
      </c>
      <c r="FP31" t="s">
        <v>147</v>
      </c>
      <c r="FQ31" t="s">
        <v>147</v>
      </c>
      <c r="FR31" t="s">
        <v>147</v>
      </c>
      <c r="FS31" t="s">
        <v>147</v>
      </c>
      <c r="FT31" t="s">
        <v>147</v>
      </c>
      <c r="FU31" t="s">
        <v>147</v>
      </c>
      <c r="FV31" t="s">
        <v>147</v>
      </c>
      <c r="FW31" t="s">
        <v>147</v>
      </c>
      <c r="FX31" t="s">
        <v>147</v>
      </c>
      <c r="FY31" t="s">
        <v>147</v>
      </c>
      <c r="FZ31" t="s">
        <v>147</v>
      </c>
      <c r="GA31" t="s">
        <v>147</v>
      </c>
      <c r="GB31" t="s">
        <v>147</v>
      </c>
      <c r="GC31" t="s">
        <v>147</v>
      </c>
      <c r="GD31" t="s">
        <v>57</v>
      </c>
      <c r="GE31" t="s">
        <v>147</v>
      </c>
      <c r="GF31" t="s">
        <v>57</v>
      </c>
      <c r="GG31" t="s">
        <v>147</v>
      </c>
      <c r="GH31" t="s">
        <v>147</v>
      </c>
      <c r="GI31" t="s">
        <v>147</v>
      </c>
      <c r="GJ31" t="s">
        <v>147</v>
      </c>
      <c r="GK31" t="s">
        <v>147</v>
      </c>
      <c r="GL31" t="s">
        <v>147</v>
      </c>
      <c r="GM31" t="s">
        <v>147</v>
      </c>
      <c r="GN31" t="s">
        <v>147</v>
      </c>
      <c r="GO31" t="s">
        <v>147</v>
      </c>
      <c r="GP31" t="s">
        <v>147</v>
      </c>
      <c r="GQ31" t="s">
        <v>147</v>
      </c>
      <c r="GR31" t="s">
        <v>147</v>
      </c>
      <c r="GS31" t="s">
        <v>147</v>
      </c>
      <c r="GT31" t="s">
        <v>147</v>
      </c>
      <c r="GU31" t="s">
        <v>147</v>
      </c>
      <c r="GV31" t="s">
        <v>147</v>
      </c>
      <c r="GW31" t="s">
        <v>147</v>
      </c>
      <c r="GX31" t="s">
        <v>147</v>
      </c>
      <c r="GY31" t="s">
        <v>147</v>
      </c>
      <c r="GZ31" t="s">
        <v>147</v>
      </c>
      <c r="HA31" t="s">
        <v>147</v>
      </c>
      <c r="HB31" t="s">
        <v>147</v>
      </c>
      <c r="HC31" t="s">
        <v>147</v>
      </c>
      <c r="HD31" t="s">
        <v>147</v>
      </c>
      <c r="HE31" t="s">
        <v>147</v>
      </c>
      <c r="HF31" t="s">
        <v>147</v>
      </c>
      <c r="HG31" t="s">
        <v>147</v>
      </c>
      <c r="HH31" t="s">
        <v>147</v>
      </c>
      <c r="HI31" t="s">
        <v>147</v>
      </c>
      <c r="HJ31" t="s">
        <v>147</v>
      </c>
      <c r="HK31" t="s">
        <v>147</v>
      </c>
      <c r="HL31" t="s">
        <v>147</v>
      </c>
      <c r="HM31" t="s">
        <v>147</v>
      </c>
      <c r="HN31" t="s">
        <v>147</v>
      </c>
      <c r="HO31" t="s">
        <v>147</v>
      </c>
      <c r="HP31" t="s">
        <v>147</v>
      </c>
      <c r="HQ31" t="s">
        <v>147</v>
      </c>
      <c r="HR31" t="s">
        <v>147</v>
      </c>
      <c r="HS31" t="s">
        <v>147</v>
      </c>
      <c r="HT31" t="s">
        <v>147</v>
      </c>
      <c r="HU31" t="s">
        <v>147</v>
      </c>
      <c r="HV31" t="s">
        <v>147</v>
      </c>
      <c r="HW31" t="s">
        <v>147</v>
      </c>
      <c r="HX31" t="s">
        <v>147</v>
      </c>
      <c r="HY31" t="s">
        <v>147</v>
      </c>
      <c r="HZ31" t="s">
        <v>147</v>
      </c>
      <c r="IA31" t="s">
        <v>147</v>
      </c>
      <c r="IB31" t="s">
        <v>58</v>
      </c>
      <c r="IC31" t="s">
        <v>58</v>
      </c>
      <c r="ID31" t="s">
        <v>58</v>
      </c>
      <c r="IE31" t="s">
        <v>57</v>
      </c>
      <c r="IF31" t="s">
        <v>124</v>
      </c>
      <c r="IG31" t="s">
        <v>148</v>
      </c>
      <c r="IH31" t="s">
        <v>160</v>
      </c>
      <c r="II31" t="s">
        <v>156</v>
      </c>
    </row>
    <row r="32" spans="1:243" x14ac:dyDescent="0.25">
      <c r="A32" s="121" t="str">
        <f>HYPERLINK("http://www.ofsted.gov.uk/inspection-reports/find-inspection-report/provider/ELS/131791 ","Ofsted School Webpage")</f>
        <v>Ofsted School Webpage</v>
      </c>
      <c r="B32">
        <v>131791</v>
      </c>
      <c r="C32">
        <v>8966027</v>
      </c>
      <c r="D32" t="s">
        <v>327</v>
      </c>
      <c r="E32" t="s">
        <v>36</v>
      </c>
      <c r="F32" t="s">
        <v>166</v>
      </c>
      <c r="G32" t="s">
        <v>162</v>
      </c>
      <c r="H32" t="s">
        <v>162</v>
      </c>
      <c r="I32" t="s">
        <v>328</v>
      </c>
      <c r="J32" t="s">
        <v>329</v>
      </c>
      <c r="K32" t="s">
        <v>169</v>
      </c>
      <c r="L32" t="s">
        <v>169</v>
      </c>
      <c r="M32" t="s">
        <v>2596</v>
      </c>
      <c r="N32" t="s">
        <v>143</v>
      </c>
      <c r="O32">
        <v>10045464</v>
      </c>
      <c r="P32" s="108">
        <v>43131</v>
      </c>
      <c r="Q32" s="108">
        <v>43131</v>
      </c>
      <c r="R32" s="108">
        <v>43178</v>
      </c>
      <c r="S32" t="s">
        <v>144</v>
      </c>
      <c r="T32" t="s">
        <v>145</v>
      </c>
      <c r="U32" t="s">
        <v>2596</v>
      </c>
      <c r="V32" t="s">
        <v>2596</v>
      </c>
      <c r="W32" t="s">
        <v>2596</v>
      </c>
      <c r="X32" t="s">
        <v>2596</v>
      </c>
      <c r="Y32" t="s">
        <v>2596</v>
      </c>
      <c r="Z32" t="s">
        <v>2596</v>
      </c>
      <c r="AA32" t="s">
        <v>2596</v>
      </c>
      <c r="AB32" t="s">
        <v>2596</v>
      </c>
      <c r="AC32" t="s">
        <v>146</v>
      </c>
      <c r="AD32" t="s">
        <v>2596</v>
      </c>
      <c r="AE32" t="s">
        <v>147</v>
      </c>
      <c r="AF32" t="s">
        <v>147</v>
      </c>
      <c r="AG32" t="s">
        <v>57</v>
      </c>
      <c r="AH32" t="s">
        <v>147</v>
      </c>
      <c r="AI32" t="s">
        <v>57</v>
      </c>
      <c r="AJ32" t="s">
        <v>57</v>
      </c>
      <c r="AK32" t="s">
        <v>147</v>
      </c>
      <c r="AL32" t="s">
        <v>57</v>
      </c>
      <c r="AM32" t="s">
        <v>147</v>
      </c>
      <c r="AN32" t="s">
        <v>147</v>
      </c>
      <c r="AO32" t="s">
        <v>147</v>
      </c>
      <c r="AP32" t="s">
        <v>147</v>
      </c>
      <c r="AQ32" t="s">
        <v>147</v>
      </c>
      <c r="AR32" t="s">
        <v>147</v>
      </c>
      <c r="AS32" t="s">
        <v>147</v>
      </c>
      <c r="AT32" t="s">
        <v>147</v>
      </c>
      <c r="AU32" t="s">
        <v>175</v>
      </c>
      <c r="AV32" t="s">
        <v>147</v>
      </c>
      <c r="AW32" t="s">
        <v>147</v>
      </c>
      <c r="AX32" t="s">
        <v>147</v>
      </c>
      <c r="AY32" t="s">
        <v>147</v>
      </c>
      <c r="AZ32" t="s">
        <v>147</v>
      </c>
      <c r="BA32" t="s">
        <v>147</v>
      </c>
      <c r="BB32" t="s">
        <v>147</v>
      </c>
      <c r="BC32" t="s">
        <v>147</v>
      </c>
      <c r="BD32" t="s">
        <v>147</v>
      </c>
      <c r="BE32" t="s">
        <v>147</v>
      </c>
      <c r="BF32" t="s">
        <v>147</v>
      </c>
      <c r="BG32" t="s">
        <v>147</v>
      </c>
      <c r="BH32" t="s">
        <v>147</v>
      </c>
      <c r="BI32" t="s">
        <v>147</v>
      </c>
      <c r="BJ32" t="s">
        <v>147</v>
      </c>
      <c r="BK32" t="s">
        <v>147</v>
      </c>
      <c r="BL32" t="s">
        <v>147</v>
      </c>
      <c r="BM32" t="s">
        <v>147</v>
      </c>
      <c r="BN32" t="s">
        <v>147</v>
      </c>
      <c r="BO32" t="s">
        <v>147</v>
      </c>
      <c r="BP32" t="s">
        <v>147</v>
      </c>
      <c r="BQ32" t="s">
        <v>147</v>
      </c>
      <c r="BR32" t="s">
        <v>147</v>
      </c>
      <c r="BS32" t="s">
        <v>147</v>
      </c>
      <c r="BT32" t="s">
        <v>147</v>
      </c>
      <c r="BU32" t="s">
        <v>147</v>
      </c>
      <c r="BV32" t="s">
        <v>147</v>
      </c>
      <c r="BW32" t="s">
        <v>147</v>
      </c>
      <c r="BX32" t="s">
        <v>147</v>
      </c>
      <c r="BY32" t="s">
        <v>147</v>
      </c>
      <c r="BZ32" t="s">
        <v>147</v>
      </c>
      <c r="CA32" t="s">
        <v>147</v>
      </c>
      <c r="CB32" t="s">
        <v>147</v>
      </c>
      <c r="CC32" t="s">
        <v>147</v>
      </c>
      <c r="CD32" t="s">
        <v>147</v>
      </c>
      <c r="CE32" t="s">
        <v>147</v>
      </c>
      <c r="CF32" t="s">
        <v>147</v>
      </c>
      <c r="CG32" t="s">
        <v>147</v>
      </c>
      <c r="CH32" t="s">
        <v>57</v>
      </c>
      <c r="CI32" t="s">
        <v>57</v>
      </c>
      <c r="CJ32" t="s">
        <v>57</v>
      </c>
      <c r="CK32" t="s">
        <v>147</v>
      </c>
      <c r="CL32" t="s">
        <v>147</v>
      </c>
      <c r="CM32" t="s">
        <v>147</v>
      </c>
      <c r="CN32" t="s">
        <v>147</v>
      </c>
      <c r="CO32" t="s">
        <v>147</v>
      </c>
      <c r="CP32" t="s">
        <v>147</v>
      </c>
      <c r="CQ32" t="s">
        <v>147</v>
      </c>
      <c r="CR32" t="s">
        <v>147</v>
      </c>
      <c r="CS32" t="s">
        <v>147</v>
      </c>
      <c r="CT32" t="s">
        <v>147</v>
      </c>
      <c r="CU32" t="s">
        <v>147</v>
      </c>
      <c r="CV32" t="s">
        <v>147</v>
      </c>
      <c r="CW32" t="s">
        <v>147</v>
      </c>
      <c r="CX32" t="s">
        <v>57</v>
      </c>
      <c r="CY32" t="s">
        <v>57</v>
      </c>
      <c r="CZ32" t="s">
        <v>147</v>
      </c>
      <c r="DA32" t="s">
        <v>147</v>
      </c>
      <c r="DB32" t="s">
        <v>147</v>
      </c>
      <c r="DC32" t="s">
        <v>147</v>
      </c>
      <c r="DD32" t="s">
        <v>147</v>
      </c>
      <c r="DE32" t="s">
        <v>147</v>
      </c>
      <c r="DF32" t="s">
        <v>147</v>
      </c>
      <c r="DG32" t="s">
        <v>147</v>
      </c>
      <c r="DH32" t="s">
        <v>147</v>
      </c>
      <c r="DI32" t="s">
        <v>147</v>
      </c>
      <c r="DJ32" t="s">
        <v>147</v>
      </c>
      <c r="DK32" t="s">
        <v>147</v>
      </c>
      <c r="DL32" t="s">
        <v>147</v>
      </c>
      <c r="DM32" t="s">
        <v>147</v>
      </c>
      <c r="DN32" t="s">
        <v>147</v>
      </c>
      <c r="DO32" t="s">
        <v>147</v>
      </c>
      <c r="DP32" t="s">
        <v>147</v>
      </c>
      <c r="DQ32" t="s">
        <v>147</v>
      </c>
      <c r="DR32" t="s">
        <v>147</v>
      </c>
      <c r="DS32" t="s">
        <v>147</v>
      </c>
      <c r="DT32" t="s">
        <v>147</v>
      </c>
      <c r="DU32" t="s">
        <v>147</v>
      </c>
      <c r="DV32" t="s">
        <v>147</v>
      </c>
      <c r="DW32" t="s">
        <v>147</v>
      </c>
      <c r="DX32" t="s">
        <v>147</v>
      </c>
      <c r="DY32" t="s">
        <v>175</v>
      </c>
      <c r="DZ32" t="s">
        <v>147</v>
      </c>
      <c r="EA32" t="s">
        <v>147</v>
      </c>
      <c r="EB32" t="s">
        <v>147</v>
      </c>
      <c r="EC32" t="s">
        <v>147</v>
      </c>
      <c r="ED32" t="s">
        <v>147</v>
      </c>
      <c r="EE32" t="s">
        <v>147</v>
      </c>
      <c r="EF32" t="s">
        <v>147</v>
      </c>
      <c r="EG32" t="s">
        <v>147</v>
      </c>
      <c r="EH32" t="s">
        <v>147</v>
      </c>
      <c r="EI32" t="s">
        <v>147</v>
      </c>
      <c r="EJ32" t="s">
        <v>147</v>
      </c>
      <c r="EK32" t="s">
        <v>147</v>
      </c>
      <c r="EL32" t="s">
        <v>147</v>
      </c>
      <c r="EM32" t="s">
        <v>147</v>
      </c>
      <c r="EN32" t="s">
        <v>147</v>
      </c>
      <c r="EO32" t="s">
        <v>147</v>
      </c>
      <c r="EP32" t="s">
        <v>147</v>
      </c>
      <c r="EQ32" t="s">
        <v>147</v>
      </c>
      <c r="ER32" t="s">
        <v>147</v>
      </c>
      <c r="ES32" t="s">
        <v>147</v>
      </c>
      <c r="ET32" t="s">
        <v>147</v>
      </c>
      <c r="EU32" t="s">
        <v>147</v>
      </c>
      <c r="EV32" t="s">
        <v>147</v>
      </c>
      <c r="EW32" t="s">
        <v>147</v>
      </c>
      <c r="EX32" t="s">
        <v>147</v>
      </c>
      <c r="EY32" t="s">
        <v>147</v>
      </c>
      <c r="EZ32" t="s">
        <v>147</v>
      </c>
      <c r="FA32" t="s">
        <v>147</v>
      </c>
      <c r="FB32" t="s">
        <v>147</v>
      </c>
      <c r="FC32" t="s">
        <v>147</v>
      </c>
      <c r="FD32" t="s">
        <v>147</v>
      </c>
      <c r="FE32" t="s">
        <v>147</v>
      </c>
      <c r="FF32" t="s">
        <v>147</v>
      </c>
      <c r="FG32" t="s">
        <v>147</v>
      </c>
      <c r="FH32" t="s">
        <v>57</v>
      </c>
      <c r="FI32" t="s">
        <v>147</v>
      </c>
      <c r="FJ32" t="s">
        <v>147</v>
      </c>
      <c r="FK32" t="s">
        <v>57</v>
      </c>
      <c r="FL32" t="s">
        <v>147</v>
      </c>
      <c r="FM32" t="s">
        <v>147</v>
      </c>
      <c r="FN32" t="s">
        <v>147</v>
      </c>
      <c r="FO32" t="s">
        <v>147</v>
      </c>
      <c r="FP32" t="s">
        <v>147</v>
      </c>
      <c r="FQ32" t="s">
        <v>147</v>
      </c>
      <c r="FR32" t="s">
        <v>147</v>
      </c>
      <c r="FS32" t="s">
        <v>147</v>
      </c>
      <c r="FT32" t="s">
        <v>147</v>
      </c>
      <c r="FU32" t="s">
        <v>147</v>
      </c>
      <c r="FV32" t="s">
        <v>147</v>
      </c>
      <c r="FW32" t="s">
        <v>147</v>
      </c>
      <c r="FX32" t="s">
        <v>147</v>
      </c>
      <c r="FY32" t="s">
        <v>147</v>
      </c>
      <c r="FZ32" t="s">
        <v>147</v>
      </c>
      <c r="GA32" t="s">
        <v>147</v>
      </c>
      <c r="GB32" t="s">
        <v>147</v>
      </c>
      <c r="GC32" t="s">
        <v>147</v>
      </c>
      <c r="GD32" t="s">
        <v>147</v>
      </c>
      <c r="GE32" t="s">
        <v>147</v>
      </c>
      <c r="GF32" t="s">
        <v>147</v>
      </c>
      <c r="GG32" t="s">
        <v>175</v>
      </c>
      <c r="GH32" t="s">
        <v>57</v>
      </c>
      <c r="GI32" t="s">
        <v>147</v>
      </c>
      <c r="GJ32" t="s">
        <v>147</v>
      </c>
      <c r="GK32" t="s">
        <v>57</v>
      </c>
      <c r="GL32" t="s">
        <v>147</v>
      </c>
      <c r="GM32" t="s">
        <v>147</v>
      </c>
      <c r="GN32" t="s">
        <v>147</v>
      </c>
      <c r="GO32" t="s">
        <v>147</v>
      </c>
      <c r="GP32" t="s">
        <v>175</v>
      </c>
      <c r="GQ32" t="s">
        <v>175</v>
      </c>
      <c r="GR32" t="s">
        <v>147</v>
      </c>
      <c r="GS32" t="s">
        <v>147</v>
      </c>
      <c r="GT32" t="s">
        <v>147</v>
      </c>
      <c r="GU32" t="s">
        <v>147</v>
      </c>
      <c r="GV32" t="s">
        <v>147</v>
      </c>
      <c r="GW32" t="s">
        <v>147</v>
      </c>
      <c r="GX32" t="s">
        <v>147</v>
      </c>
      <c r="GY32" t="s">
        <v>147</v>
      </c>
      <c r="GZ32" t="s">
        <v>147</v>
      </c>
      <c r="HA32" t="s">
        <v>147</v>
      </c>
      <c r="HB32" t="s">
        <v>147</v>
      </c>
      <c r="HC32" t="s">
        <v>147</v>
      </c>
      <c r="HD32" t="s">
        <v>147</v>
      </c>
      <c r="HE32" t="s">
        <v>147</v>
      </c>
      <c r="HF32" t="s">
        <v>147</v>
      </c>
      <c r="HG32" t="s">
        <v>147</v>
      </c>
      <c r="HH32" t="s">
        <v>147</v>
      </c>
      <c r="HI32" t="s">
        <v>147</v>
      </c>
      <c r="HJ32" t="s">
        <v>147</v>
      </c>
      <c r="HK32" t="s">
        <v>147</v>
      </c>
      <c r="HL32" t="s">
        <v>147</v>
      </c>
      <c r="HM32" t="s">
        <v>147</v>
      </c>
      <c r="HN32" t="s">
        <v>147</v>
      </c>
      <c r="HO32" t="s">
        <v>147</v>
      </c>
      <c r="HP32" t="s">
        <v>147</v>
      </c>
      <c r="HQ32" t="s">
        <v>147</v>
      </c>
      <c r="HR32" t="s">
        <v>147</v>
      </c>
      <c r="HS32" t="s">
        <v>147</v>
      </c>
      <c r="HT32" t="s">
        <v>147</v>
      </c>
      <c r="HU32" t="s">
        <v>147</v>
      </c>
      <c r="HV32" t="s">
        <v>147</v>
      </c>
      <c r="HW32" t="s">
        <v>147</v>
      </c>
      <c r="HX32" t="s">
        <v>147</v>
      </c>
      <c r="HY32" t="s">
        <v>147</v>
      </c>
      <c r="HZ32" t="s">
        <v>147</v>
      </c>
      <c r="IA32" t="s">
        <v>147</v>
      </c>
      <c r="IB32" t="s">
        <v>57</v>
      </c>
      <c r="IC32" t="s">
        <v>57</v>
      </c>
      <c r="ID32" t="s">
        <v>57</v>
      </c>
      <c r="IE32" t="s">
        <v>147</v>
      </c>
      <c r="IF32" t="s">
        <v>124</v>
      </c>
      <c r="IG32" t="s">
        <v>148</v>
      </c>
      <c r="IH32" t="s">
        <v>123</v>
      </c>
      <c r="II32" t="s">
        <v>156</v>
      </c>
    </row>
    <row r="33" spans="1:243" x14ac:dyDescent="0.25">
      <c r="A33" s="121" t="str">
        <f>HYPERLINK("http://www.ofsted.gov.uk/inspection-reports/find-inspection-report/provider/ELS/131802 ","Ofsted School Webpage")</f>
        <v>Ofsted School Webpage</v>
      </c>
      <c r="B33">
        <v>131802</v>
      </c>
      <c r="C33">
        <v>9286067</v>
      </c>
      <c r="D33" t="s">
        <v>170</v>
      </c>
      <c r="E33" t="s">
        <v>37</v>
      </c>
      <c r="F33" t="s">
        <v>138</v>
      </c>
      <c r="G33" t="s">
        <v>171</v>
      </c>
      <c r="H33" t="s">
        <v>171</v>
      </c>
      <c r="I33" t="s">
        <v>172</v>
      </c>
      <c r="J33" t="s">
        <v>173</v>
      </c>
      <c r="K33" t="s">
        <v>142</v>
      </c>
      <c r="L33" t="s">
        <v>142</v>
      </c>
      <c r="M33" t="s">
        <v>2596</v>
      </c>
      <c r="N33" t="s">
        <v>143</v>
      </c>
      <c r="O33">
        <v>10043120</v>
      </c>
      <c r="P33" s="108">
        <v>43013</v>
      </c>
      <c r="Q33" s="108">
        <v>43013</v>
      </c>
      <c r="R33" s="108">
        <v>43045</v>
      </c>
      <c r="S33" t="s">
        <v>144</v>
      </c>
      <c r="T33" t="s">
        <v>145</v>
      </c>
      <c r="U33" t="s">
        <v>2596</v>
      </c>
      <c r="V33" t="s">
        <v>2596</v>
      </c>
      <c r="W33" t="s">
        <v>2596</v>
      </c>
      <c r="X33" t="s">
        <v>2596</v>
      </c>
      <c r="Y33" t="s">
        <v>2596</v>
      </c>
      <c r="Z33" t="s">
        <v>2596</v>
      </c>
      <c r="AA33" t="s">
        <v>2596</v>
      </c>
      <c r="AB33" t="s">
        <v>2596</v>
      </c>
      <c r="AC33" t="s">
        <v>174</v>
      </c>
      <c r="AD33" t="s">
        <v>2596</v>
      </c>
      <c r="AE33" t="s">
        <v>147</v>
      </c>
      <c r="AF33" t="s">
        <v>58</v>
      </c>
      <c r="AG33" t="s">
        <v>57</v>
      </c>
      <c r="AH33" t="s">
        <v>147</v>
      </c>
      <c r="AI33" t="s">
        <v>147</v>
      </c>
      <c r="AJ33" t="s">
        <v>147</v>
      </c>
      <c r="AK33" t="s">
        <v>147</v>
      </c>
      <c r="AL33" t="s">
        <v>58</v>
      </c>
      <c r="AM33" t="s">
        <v>147</v>
      </c>
      <c r="AN33" t="s">
        <v>147</v>
      </c>
      <c r="AO33" t="s">
        <v>147</v>
      </c>
      <c r="AP33" t="s">
        <v>147</v>
      </c>
      <c r="AQ33" t="s">
        <v>147</v>
      </c>
      <c r="AR33" t="s">
        <v>147</v>
      </c>
      <c r="AS33" t="s">
        <v>147</v>
      </c>
      <c r="AT33" t="s">
        <v>147</v>
      </c>
      <c r="AU33" t="s">
        <v>175</v>
      </c>
      <c r="AV33" t="s">
        <v>147</v>
      </c>
      <c r="AW33" t="s">
        <v>147</v>
      </c>
      <c r="AX33" t="s">
        <v>147</v>
      </c>
      <c r="AY33" t="s">
        <v>147</v>
      </c>
      <c r="AZ33" t="s">
        <v>147</v>
      </c>
      <c r="BA33" t="s">
        <v>147</v>
      </c>
      <c r="BB33" t="s">
        <v>147</v>
      </c>
      <c r="BC33" t="s">
        <v>175</v>
      </c>
      <c r="BD33" t="s">
        <v>147</v>
      </c>
      <c r="BE33" t="s">
        <v>147</v>
      </c>
      <c r="BF33" t="s">
        <v>147</v>
      </c>
      <c r="BG33" t="s">
        <v>58</v>
      </c>
      <c r="BH33" t="s">
        <v>58</v>
      </c>
      <c r="BI33" t="s">
        <v>58</v>
      </c>
      <c r="BJ33" t="s">
        <v>147</v>
      </c>
      <c r="BK33" t="s">
        <v>147</v>
      </c>
      <c r="BL33" t="s">
        <v>147</v>
      </c>
      <c r="BM33" t="s">
        <v>147</v>
      </c>
      <c r="BN33" t="s">
        <v>147</v>
      </c>
      <c r="BO33" t="s">
        <v>58</v>
      </c>
      <c r="BP33" t="s">
        <v>147</v>
      </c>
      <c r="BQ33" t="s">
        <v>147</v>
      </c>
      <c r="BR33" t="s">
        <v>147</v>
      </c>
      <c r="BS33" t="s">
        <v>58</v>
      </c>
      <c r="BT33" t="s">
        <v>147</v>
      </c>
      <c r="BU33" t="s">
        <v>58</v>
      </c>
      <c r="BV33" t="s">
        <v>147</v>
      </c>
      <c r="BW33" t="s">
        <v>147</v>
      </c>
      <c r="BX33" t="s">
        <v>58</v>
      </c>
      <c r="BY33" t="s">
        <v>147</v>
      </c>
      <c r="BZ33" t="s">
        <v>147</v>
      </c>
      <c r="CA33" t="s">
        <v>147</v>
      </c>
      <c r="CB33" t="s">
        <v>147</v>
      </c>
      <c r="CC33" t="s">
        <v>147</v>
      </c>
      <c r="CD33" t="s">
        <v>147</v>
      </c>
      <c r="CE33" t="s">
        <v>147</v>
      </c>
      <c r="CF33" t="s">
        <v>147</v>
      </c>
      <c r="CG33" t="s">
        <v>147</v>
      </c>
      <c r="CH33" t="s">
        <v>57</v>
      </c>
      <c r="CI33" t="s">
        <v>57</v>
      </c>
      <c r="CJ33" t="s">
        <v>57</v>
      </c>
      <c r="CK33" t="s">
        <v>175</v>
      </c>
      <c r="CL33" t="s">
        <v>175</v>
      </c>
      <c r="CM33" t="s">
        <v>175</v>
      </c>
      <c r="CN33" t="s">
        <v>58</v>
      </c>
      <c r="CO33" t="s">
        <v>57</v>
      </c>
      <c r="CP33" t="s">
        <v>58</v>
      </c>
      <c r="CQ33" t="s">
        <v>147</v>
      </c>
      <c r="CR33" t="s">
        <v>147</v>
      </c>
      <c r="CS33" t="s">
        <v>147</v>
      </c>
      <c r="CT33" t="s">
        <v>147</v>
      </c>
      <c r="CU33" t="s">
        <v>147</v>
      </c>
      <c r="CV33" t="s">
        <v>147</v>
      </c>
      <c r="CW33" t="s">
        <v>147</v>
      </c>
      <c r="CX33" t="s">
        <v>147</v>
      </c>
      <c r="CY33" t="s">
        <v>147</v>
      </c>
      <c r="CZ33" t="s">
        <v>147</v>
      </c>
      <c r="DA33" t="s">
        <v>147</v>
      </c>
      <c r="DB33" t="s">
        <v>147</v>
      </c>
      <c r="DC33" t="s">
        <v>147</v>
      </c>
      <c r="DD33" t="s">
        <v>147</v>
      </c>
      <c r="DE33" t="s">
        <v>147</v>
      </c>
      <c r="DF33" t="s">
        <v>147</v>
      </c>
      <c r="DG33" t="s">
        <v>147</v>
      </c>
      <c r="DH33" t="s">
        <v>147</v>
      </c>
      <c r="DI33" t="s">
        <v>147</v>
      </c>
      <c r="DJ33" t="s">
        <v>147</v>
      </c>
      <c r="DK33" t="s">
        <v>147</v>
      </c>
      <c r="DL33" t="s">
        <v>147</v>
      </c>
      <c r="DM33" t="s">
        <v>147</v>
      </c>
      <c r="DN33" t="s">
        <v>147</v>
      </c>
      <c r="DO33" t="s">
        <v>147</v>
      </c>
      <c r="DP33" t="s">
        <v>147</v>
      </c>
      <c r="DQ33" t="s">
        <v>147</v>
      </c>
      <c r="DR33" t="s">
        <v>147</v>
      </c>
      <c r="DS33" t="s">
        <v>147</v>
      </c>
      <c r="DT33" t="s">
        <v>147</v>
      </c>
      <c r="DU33" t="s">
        <v>147</v>
      </c>
      <c r="DV33" t="s">
        <v>147</v>
      </c>
      <c r="DW33" t="s">
        <v>147</v>
      </c>
      <c r="DX33" t="s">
        <v>147</v>
      </c>
      <c r="DY33" t="s">
        <v>147</v>
      </c>
      <c r="DZ33" t="s">
        <v>147</v>
      </c>
      <c r="EA33" t="s">
        <v>147</v>
      </c>
      <c r="EB33" t="s">
        <v>147</v>
      </c>
      <c r="EC33" t="s">
        <v>147</v>
      </c>
      <c r="ED33" t="s">
        <v>147</v>
      </c>
      <c r="EE33" t="s">
        <v>147</v>
      </c>
      <c r="EF33" t="s">
        <v>147</v>
      </c>
      <c r="EG33" t="s">
        <v>147</v>
      </c>
      <c r="EH33" t="s">
        <v>147</v>
      </c>
      <c r="EI33" t="s">
        <v>147</v>
      </c>
      <c r="EJ33" t="s">
        <v>147</v>
      </c>
      <c r="EK33" t="s">
        <v>147</v>
      </c>
      <c r="EL33" t="s">
        <v>147</v>
      </c>
      <c r="EM33" t="s">
        <v>147</v>
      </c>
      <c r="EN33" t="s">
        <v>147</v>
      </c>
      <c r="EO33" t="s">
        <v>147</v>
      </c>
      <c r="EP33" t="s">
        <v>147</v>
      </c>
      <c r="EQ33" t="s">
        <v>147</v>
      </c>
      <c r="ER33" t="s">
        <v>147</v>
      </c>
      <c r="ES33" t="s">
        <v>147</v>
      </c>
      <c r="ET33" t="s">
        <v>147</v>
      </c>
      <c r="EU33" t="s">
        <v>147</v>
      </c>
      <c r="EV33" t="s">
        <v>147</v>
      </c>
      <c r="EW33" t="s">
        <v>147</v>
      </c>
      <c r="EX33" t="s">
        <v>147</v>
      </c>
      <c r="EY33" t="s">
        <v>147</v>
      </c>
      <c r="EZ33" t="s">
        <v>147</v>
      </c>
      <c r="FA33" t="s">
        <v>147</v>
      </c>
      <c r="FB33" t="s">
        <v>147</v>
      </c>
      <c r="FC33" t="s">
        <v>147</v>
      </c>
      <c r="FD33" t="s">
        <v>147</v>
      </c>
      <c r="FE33" t="s">
        <v>147</v>
      </c>
      <c r="FF33" t="s">
        <v>147</v>
      </c>
      <c r="FG33" t="s">
        <v>147</v>
      </c>
      <c r="FH33" t="s">
        <v>147</v>
      </c>
      <c r="FI33" t="s">
        <v>147</v>
      </c>
      <c r="FJ33" t="s">
        <v>147</v>
      </c>
      <c r="FK33" t="s">
        <v>147</v>
      </c>
      <c r="FL33" t="s">
        <v>147</v>
      </c>
      <c r="FM33" t="s">
        <v>147</v>
      </c>
      <c r="FN33" t="s">
        <v>147</v>
      </c>
      <c r="FO33" t="s">
        <v>147</v>
      </c>
      <c r="FP33" t="s">
        <v>147</v>
      </c>
      <c r="FQ33" t="s">
        <v>147</v>
      </c>
      <c r="FR33" t="s">
        <v>147</v>
      </c>
      <c r="FS33" t="s">
        <v>147</v>
      </c>
      <c r="FT33" t="s">
        <v>147</v>
      </c>
      <c r="FU33" t="s">
        <v>147</v>
      </c>
      <c r="FV33" t="s">
        <v>147</v>
      </c>
      <c r="FW33" t="s">
        <v>147</v>
      </c>
      <c r="FX33" t="s">
        <v>147</v>
      </c>
      <c r="FY33" t="s">
        <v>147</v>
      </c>
      <c r="FZ33" t="s">
        <v>147</v>
      </c>
      <c r="GA33" t="s">
        <v>147</v>
      </c>
      <c r="GB33" t="s">
        <v>147</v>
      </c>
      <c r="GC33" t="s">
        <v>147</v>
      </c>
      <c r="GD33" t="s">
        <v>147</v>
      </c>
      <c r="GE33" t="s">
        <v>147</v>
      </c>
      <c r="GF33" t="s">
        <v>147</v>
      </c>
      <c r="GG33" t="s">
        <v>147</v>
      </c>
      <c r="GH33" t="s">
        <v>147</v>
      </c>
      <c r="GI33" t="s">
        <v>147</v>
      </c>
      <c r="GJ33" t="s">
        <v>147</v>
      </c>
      <c r="GK33" t="s">
        <v>147</v>
      </c>
      <c r="GL33" t="s">
        <v>147</v>
      </c>
      <c r="GM33" t="s">
        <v>147</v>
      </c>
      <c r="GN33" t="s">
        <v>147</v>
      </c>
      <c r="GO33" t="s">
        <v>147</v>
      </c>
      <c r="GP33" t="s">
        <v>147</v>
      </c>
      <c r="GQ33" t="s">
        <v>147</v>
      </c>
      <c r="GR33" t="s">
        <v>147</v>
      </c>
      <c r="GS33" t="s">
        <v>147</v>
      </c>
      <c r="GT33" t="s">
        <v>147</v>
      </c>
      <c r="GU33" t="s">
        <v>147</v>
      </c>
      <c r="GV33" t="s">
        <v>147</v>
      </c>
      <c r="GW33" t="s">
        <v>147</v>
      </c>
      <c r="GX33" t="s">
        <v>147</v>
      </c>
      <c r="GY33" t="s">
        <v>147</v>
      </c>
      <c r="GZ33" t="s">
        <v>147</v>
      </c>
      <c r="HA33" t="s">
        <v>147</v>
      </c>
      <c r="HB33" t="s">
        <v>147</v>
      </c>
      <c r="HC33" t="s">
        <v>147</v>
      </c>
      <c r="HD33" t="s">
        <v>147</v>
      </c>
      <c r="HE33" t="s">
        <v>147</v>
      </c>
      <c r="HF33" t="s">
        <v>147</v>
      </c>
      <c r="HG33" t="s">
        <v>147</v>
      </c>
      <c r="HH33" t="s">
        <v>147</v>
      </c>
      <c r="HI33" t="s">
        <v>147</v>
      </c>
      <c r="HJ33" t="s">
        <v>147</v>
      </c>
      <c r="HK33" t="s">
        <v>147</v>
      </c>
      <c r="HL33" t="s">
        <v>147</v>
      </c>
      <c r="HM33" t="s">
        <v>147</v>
      </c>
      <c r="HN33" t="s">
        <v>147</v>
      </c>
      <c r="HO33" t="s">
        <v>147</v>
      </c>
      <c r="HP33" t="s">
        <v>147</v>
      </c>
      <c r="HQ33" t="s">
        <v>147</v>
      </c>
      <c r="HR33" t="s">
        <v>147</v>
      </c>
      <c r="HS33" t="s">
        <v>147</v>
      </c>
      <c r="HT33" t="s">
        <v>147</v>
      </c>
      <c r="HU33" t="s">
        <v>147</v>
      </c>
      <c r="HV33" t="s">
        <v>147</v>
      </c>
      <c r="HW33" t="s">
        <v>147</v>
      </c>
      <c r="HX33" t="s">
        <v>147</v>
      </c>
      <c r="HY33" t="s">
        <v>147</v>
      </c>
      <c r="HZ33" t="s">
        <v>147</v>
      </c>
      <c r="IA33" t="s">
        <v>147</v>
      </c>
      <c r="IB33" t="s">
        <v>58</v>
      </c>
      <c r="IC33" t="s">
        <v>58</v>
      </c>
      <c r="ID33" t="s">
        <v>58</v>
      </c>
      <c r="IE33" t="s">
        <v>57</v>
      </c>
      <c r="IF33" t="s">
        <v>124</v>
      </c>
      <c r="IG33" t="s">
        <v>148</v>
      </c>
      <c r="IH33" t="s">
        <v>123</v>
      </c>
      <c r="II33" t="s">
        <v>156</v>
      </c>
    </row>
    <row r="34" spans="1:243" x14ac:dyDescent="0.25">
      <c r="A34" s="121" t="str">
        <f>HYPERLINK("http://www.ofsted.gov.uk/inspection-reports/find-inspection-report/provider/ELS/131810 ","Ofsted School Webpage")</f>
        <v>Ofsted School Webpage</v>
      </c>
      <c r="B34">
        <v>131810</v>
      </c>
      <c r="C34">
        <v>8866085</v>
      </c>
      <c r="D34" t="s">
        <v>137</v>
      </c>
      <c r="E34" t="s">
        <v>37</v>
      </c>
      <c r="F34" t="s">
        <v>138</v>
      </c>
      <c r="G34" t="s">
        <v>139</v>
      </c>
      <c r="H34" t="s">
        <v>139</v>
      </c>
      <c r="I34" t="s">
        <v>140</v>
      </c>
      <c r="J34" t="s">
        <v>141</v>
      </c>
      <c r="K34" t="s">
        <v>142</v>
      </c>
      <c r="L34" t="s">
        <v>142</v>
      </c>
      <c r="M34" t="s">
        <v>2596</v>
      </c>
      <c r="N34" t="s">
        <v>143</v>
      </c>
      <c r="O34">
        <v>10040602</v>
      </c>
      <c r="P34" s="108">
        <v>43020</v>
      </c>
      <c r="Q34" s="108">
        <v>43020</v>
      </c>
      <c r="R34" s="108">
        <v>43053</v>
      </c>
      <c r="S34" t="s">
        <v>144</v>
      </c>
      <c r="T34" t="s">
        <v>145</v>
      </c>
      <c r="U34" t="s">
        <v>2596</v>
      </c>
      <c r="V34" t="s">
        <v>2596</v>
      </c>
      <c r="W34" t="s">
        <v>2596</v>
      </c>
      <c r="X34" t="s">
        <v>2596</v>
      </c>
      <c r="Y34" t="s">
        <v>2596</v>
      </c>
      <c r="Z34" t="s">
        <v>2596</v>
      </c>
      <c r="AA34" t="s">
        <v>2596</v>
      </c>
      <c r="AB34" t="s">
        <v>2596</v>
      </c>
      <c r="AC34" t="s">
        <v>146</v>
      </c>
      <c r="AD34" t="s">
        <v>2596</v>
      </c>
      <c r="AE34" t="s">
        <v>147</v>
      </c>
      <c r="AF34" t="s">
        <v>147</v>
      </c>
      <c r="AG34" t="s">
        <v>57</v>
      </c>
      <c r="AH34" t="s">
        <v>147</v>
      </c>
      <c r="AI34" t="s">
        <v>147</v>
      </c>
      <c r="AJ34" t="s">
        <v>57</v>
      </c>
      <c r="AK34" t="s">
        <v>147</v>
      </c>
      <c r="AL34" t="s">
        <v>57</v>
      </c>
      <c r="AM34" t="s">
        <v>147</v>
      </c>
      <c r="AN34" t="s">
        <v>147</v>
      </c>
      <c r="AO34" t="s">
        <v>147</v>
      </c>
      <c r="AP34" t="s">
        <v>147</v>
      </c>
      <c r="AQ34" t="s">
        <v>147</v>
      </c>
      <c r="AR34" t="s">
        <v>147</v>
      </c>
      <c r="AS34" t="s">
        <v>147</v>
      </c>
      <c r="AT34" t="s">
        <v>147</v>
      </c>
      <c r="AU34" t="s">
        <v>147</v>
      </c>
      <c r="AV34" t="s">
        <v>147</v>
      </c>
      <c r="AW34" t="s">
        <v>147</v>
      </c>
      <c r="AX34" t="s">
        <v>147</v>
      </c>
      <c r="AY34" t="s">
        <v>147</v>
      </c>
      <c r="AZ34" t="s">
        <v>147</v>
      </c>
      <c r="BA34" t="s">
        <v>147</v>
      </c>
      <c r="BB34" t="s">
        <v>147</v>
      </c>
      <c r="BC34" t="s">
        <v>147</v>
      </c>
      <c r="BD34" t="s">
        <v>147</v>
      </c>
      <c r="BE34" t="s">
        <v>147</v>
      </c>
      <c r="BF34" t="s">
        <v>147</v>
      </c>
      <c r="BG34" t="s">
        <v>147</v>
      </c>
      <c r="BH34" t="s">
        <v>147</v>
      </c>
      <c r="BI34" t="s">
        <v>147</v>
      </c>
      <c r="BJ34" t="s">
        <v>147</v>
      </c>
      <c r="BK34" t="s">
        <v>147</v>
      </c>
      <c r="BL34" t="s">
        <v>147</v>
      </c>
      <c r="BM34" t="s">
        <v>147</v>
      </c>
      <c r="BN34" t="s">
        <v>147</v>
      </c>
      <c r="BO34" t="s">
        <v>147</v>
      </c>
      <c r="BP34" t="s">
        <v>147</v>
      </c>
      <c r="BQ34" t="s">
        <v>147</v>
      </c>
      <c r="BR34" t="s">
        <v>147</v>
      </c>
      <c r="BS34" t="s">
        <v>147</v>
      </c>
      <c r="BT34" t="s">
        <v>147</v>
      </c>
      <c r="BU34" t="s">
        <v>147</v>
      </c>
      <c r="BV34" t="s">
        <v>147</v>
      </c>
      <c r="BW34" t="s">
        <v>147</v>
      </c>
      <c r="BX34" t="s">
        <v>147</v>
      </c>
      <c r="BY34" t="s">
        <v>147</v>
      </c>
      <c r="BZ34" t="s">
        <v>147</v>
      </c>
      <c r="CA34" t="s">
        <v>147</v>
      </c>
      <c r="CB34" t="s">
        <v>147</v>
      </c>
      <c r="CC34" t="s">
        <v>147</v>
      </c>
      <c r="CD34" t="s">
        <v>147</v>
      </c>
      <c r="CE34" t="s">
        <v>147</v>
      </c>
      <c r="CF34" t="s">
        <v>147</v>
      </c>
      <c r="CG34" t="s">
        <v>147</v>
      </c>
      <c r="CH34" t="s">
        <v>57</v>
      </c>
      <c r="CI34" t="s">
        <v>57</v>
      </c>
      <c r="CJ34" t="s">
        <v>57</v>
      </c>
      <c r="CK34" t="s">
        <v>147</v>
      </c>
      <c r="CL34" t="s">
        <v>147</v>
      </c>
      <c r="CM34" t="s">
        <v>147</v>
      </c>
      <c r="CN34" t="s">
        <v>147</v>
      </c>
      <c r="CO34" t="s">
        <v>147</v>
      </c>
      <c r="CP34" t="s">
        <v>147</v>
      </c>
      <c r="CQ34" t="s">
        <v>147</v>
      </c>
      <c r="CR34" t="s">
        <v>147</v>
      </c>
      <c r="CS34" t="s">
        <v>147</v>
      </c>
      <c r="CT34" t="s">
        <v>147</v>
      </c>
      <c r="CU34" t="s">
        <v>147</v>
      </c>
      <c r="CV34" t="s">
        <v>147</v>
      </c>
      <c r="CW34" t="s">
        <v>147</v>
      </c>
      <c r="CX34" t="s">
        <v>147</v>
      </c>
      <c r="CY34" t="s">
        <v>147</v>
      </c>
      <c r="CZ34" t="s">
        <v>147</v>
      </c>
      <c r="DA34" t="s">
        <v>147</v>
      </c>
      <c r="DB34" t="s">
        <v>147</v>
      </c>
      <c r="DC34" t="s">
        <v>147</v>
      </c>
      <c r="DD34" t="s">
        <v>147</v>
      </c>
      <c r="DE34" t="s">
        <v>147</v>
      </c>
      <c r="DF34" t="s">
        <v>147</v>
      </c>
      <c r="DG34" t="s">
        <v>147</v>
      </c>
      <c r="DH34" t="s">
        <v>147</v>
      </c>
      <c r="DI34" t="s">
        <v>147</v>
      </c>
      <c r="DJ34" t="s">
        <v>147</v>
      </c>
      <c r="DK34" t="s">
        <v>147</v>
      </c>
      <c r="DL34" t="s">
        <v>147</v>
      </c>
      <c r="DM34" t="s">
        <v>147</v>
      </c>
      <c r="DN34" t="s">
        <v>147</v>
      </c>
      <c r="DO34" t="s">
        <v>147</v>
      </c>
      <c r="DP34" t="s">
        <v>147</v>
      </c>
      <c r="DQ34" t="s">
        <v>147</v>
      </c>
      <c r="DR34" t="s">
        <v>147</v>
      </c>
      <c r="DS34" t="s">
        <v>147</v>
      </c>
      <c r="DT34" t="s">
        <v>147</v>
      </c>
      <c r="DU34" t="s">
        <v>147</v>
      </c>
      <c r="DV34" t="s">
        <v>147</v>
      </c>
      <c r="DW34" t="s">
        <v>147</v>
      </c>
      <c r="DX34" t="s">
        <v>147</v>
      </c>
      <c r="DY34" t="s">
        <v>147</v>
      </c>
      <c r="DZ34" t="s">
        <v>147</v>
      </c>
      <c r="EA34" t="s">
        <v>147</v>
      </c>
      <c r="EB34" t="s">
        <v>147</v>
      </c>
      <c r="EC34" t="s">
        <v>147</v>
      </c>
      <c r="ED34" t="s">
        <v>147</v>
      </c>
      <c r="EE34" t="s">
        <v>147</v>
      </c>
      <c r="EF34" t="s">
        <v>147</v>
      </c>
      <c r="EG34" t="s">
        <v>147</v>
      </c>
      <c r="EH34" t="s">
        <v>147</v>
      </c>
      <c r="EI34" t="s">
        <v>147</v>
      </c>
      <c r="EJ34" t="s">
        <v>147</v>
      </c>
      <c r="EK34" t="s">
        <v>147</v>
      </c>
      <c r="EL34" t="s">
        <v>147</v>
      </c>
      <c r="EM34" t="s">
        <v>147</v>
      </c>
      <c r="EN34" t="s">
        <v>147</v>
      </c>
      <c r="EO34" t="s">
        <v>147</v>
      </c>
      <c r="EP34" t="s">
        <v>147</v>
      </c>
      <c r="EQ34" t="s">
        <v>147</v>
      </c>
      <c r="ER34" t="s">
        <v>147</v>
      </c>
      <c r="ES34" t="s">
        <v>147</v>
      </c>
      <c r="ET34" t="s">
        <v>147</v>
      </c>
      <c r="EU34" t="s">
        <v>147</v>
      </c>
      <c r="EV34" t="s">
        <v>147</v>
      </c>
      <c r="EW34" t="s">
        <v>147</v>
      </c>
      <c r="EX34" t="s">
        <v>147</v>
      </c>
      <c r="EY34" t="s">
        <v>147</v>
      </c>
      <c r="EZ34" t="s">
        <v>147</v>
      </c>
      <c r="FA34" t="s">
        <v>147</v>
      </c>
      <c r="FB34" t="s">
        <v>147</v>
      </c>
      <c r="FC34" t="s">
        <v>147</v>
      </c>
      <c r="FD34" t="s">
        <v>147</v>
      </c>
      <c r="FE34" t="s">
        <v>147</v>
      </c>
      <c r="FF34" t="s">
        <v>147</v>
      </c>
      <c r="FG34" t="s">
        <v>147</v>
      </c>
      <c r="FH34" t="s">
        <v>147</v>
      </c>
      <c r="FI34" t="s">
        <v>147</v>
      </c>
      <c r="FJ34" t="s">
        <v>147</v>
      </c>
      <c r="FK34" t="s">
        <v>147</v>
      </c>
      <c r="FL34" t="s">
        <v>147</v>
      </c>
      <c r="FM34" t="s">
        <v>147</v>
      </c>
      <c r="FN34" t="s">
        <v>147</v>
      </c>
      <c r="FO34" t="s">
        <v>147</v>
      </c>
      <c r="FP34" t="s">
        <v>147</v>
      </c>
      <c r="FQ34" t="s">
        <v>147</v>
      </c>
      <c r="FR34" t="s">
        <v>147</v>
      </c>
      <c r="FS34" t="s">
        <v>147</v>
      </c>
      <c r="FT34" t="s">
        <v>147</v>
      </c>
      <c r="FU34" t="s">
        <v>147</v>
      </c>
      <c r="FV34" t="s">
        <v>147</v>
      </c>
      <c r="FW34" t="s">
        <v>147</v>
      </c>
      <c r="FX34" t="s">
        <v>147</v>
      </c>
      <c r="FY34" t="s">
        <v>147</v>
      </c>
      <c r="FZ34" t="s">
        <v>147</v>
      </c>
      <c r="GA34" t="s">
        <v>147</v>
      </c>
      <c r="GB34" t="s">
        <v>147</v>
      </c>
      <c r="GC34" t="s">
        <v>147</v>
      </c>
      <c r="GD34" t="s">
        <v>147</v>
      </c>
      <c r="GE34" t="s">
        <v>147</v>
      </c>
      <c r="GF34" t="s">
        <v>147</v>
      </c>
      <c r="GG34" t="s">
        <v>147</v>
      </c>
      <c r="GH34" t="s">
        <v>57</v>
      </c>
      <c r="GI34" t="s">
        <v>147</v>
      </c>
      <c r="GJ34" t="s">
        <v>147</v>
      </c>
      <c r="GK34" t="s">
        <v>57</v>
      </c>
      <c r="GL34" t="s">
        <v>147</v>
      </c>
      <c r="GM34" t="s">
        <v>147</v>
      </c>
      <c r="GN34" t="s">
        <v>147</v>
      </c>
      <c r="GO34" t="s">
        <v>147</v>
      </c>
      <c r="GP34" t="s">
        <v>147</v>
      </c>
      <c r="GQ34" t="s">
        <v>147</v>
      </c>
      <c r="GR34" t="s">
        <v>147</v>
      </c>
      <c r="GS34" t="s">
        <v>147</v>
      </c>
      <c r="GT34" t="s">
        <v>147</v>
      </c>
      <c r="GU34" t="s">
        <v>147</v>
      </c>
      <c r="GV34" t="s">
        <v>147</v>
      </c>
      <c r="GW34" t="s">
        <v>147</v>
      </c>
      <c r="GX34" t="s">
        <v>147</v>
      </c>
      <c r="GY34" t="s">
        <v>147</v>
      </c>
      <c r="GZ34" t="s">
        <v>147</v>
      </c>
      <c r="HA34" t="s">
        <v>147</v>
      </c>
      <c r="HB34" t="s">
        <v>147</v>
      </c>
      <c r="HC34" t="s">
        <v>147</v>
      </c>
      <c r="HD34" t="s">
        <v>147</v>
      </c>
      <c r="HE34" t="s">
        <v>147</v>
      </c>
      <c r="HF34" t="s">
        <v>147</v>
      </c>
      <c r="HG34" t="s">
        <v>147</v>
      </c>
      <c r="HH34" t="s">
        <v>147</v>
      </c>
      <c r="HI34" t="s">
        <v>147</v>
      </c>
      <c r="HJ34" t="s">
        <v>147</v>
      </c>
      <c r="HK34" t="s">
        <v>147</v>
      </c>
      <c r="HL34" t="s">
        <v>147</v>
      </c>
      <c r="HM34" t="s">
        <v>147</v>
      </c>
      <c r="HN34" t="s">
        <v>147</v>
      </c>
      <c r="HO34" t="s">
        <v>147</v>
      </c>
      <c r="HP34" t="s">
        <v>147</v>
      </c>
      <c r="HQ34" t="s">
        <v>147</v>
      </c>
      <c r="HR34" t="s">
        <v>147</v>
      </c>
      <c r="HS34" t="s">
        <v>147</v>
      </c>
      <c r="HT34" t="s">
        <v>147</v>
      </c>
      <c r="HU34" t="s">
        <v>147</v>
      </c>
      <c r="HV34" t="s">
        <v>147</v>
      </c>
      <c r="HW34" t="s">
        <v>147</v>
      </c>
      <c r="HX34" t="s">
        <v>147</v>
      </c>
      <c r="HY34" t="s">
        <v>147</v>
      </c>
      <c r="HZ34" t="s">
        <v>147</v>
      </c>
      <c r="IA34" t="s">
        <v>147</v>
      </c>
      <c r="IB34" t="s">
        <v>57</v>
      </c>
      <c r="IC34" t="s">
        <v>57</v>
      </c>
      <c r="ID34" t="s">
        <v>57</v>
      </c>
      <c r="IE34" t="s">
        <v>57</v>
      </c>
      <c r="IF34" t="s">
        <v>124</v>
      </c>
      <c r="IG34" t="s">
        <v>148</v>
      </c>
      <c r="IH34" t="s">
        <v>123</v>
      </c>
      <c r="II34" t="s">
        <v>2596</v>
      </c>
    </row>
    <row r="35" spans="1:243" x14ac:dyDescent="0.25">
      <c r="A35" s="121" t="str">
        <f>HYPERLINK("http://www.ofsted.gov.uk/inspection-reports/find-inspection-report/provider/ELS/131825 ","Ofsted School Webpage")</f>
        <v>Ofsted School Webpage</v>
      </c>
      <c r="B35">
        <v>131825</v>
      </c>
      <c r="C35">
        <v>8216004</v>
      </c>
      <c r="D35" t="s">
        <v>1481</v>
      </c>
      <c r="E35" t="s">
        <v>36</v>
      </c>
      <c r="F35" t="s">
        <v>166</v>
      </c>
      <c r="G35" t="s">
        <v>177</v>
      </c>
      <c r="H35" t="s">
        <v>177</v>
      </c>
      <c r="I35" t="s">
        <v>178</v>
      </c>
      <c r="J35" t="s">
        <v>1482</v>
      </c>
      <c r="K35" t="s">
        <v>142</v>
      </c>
      <c r="L35" t="s">
        <v>180</v>
      </c>
      <c r="M35" t="s">
        <v>2596</v>
      </c>
      <c r="N35" t="s">
        <v>143</v>
      </c>
      <c r="O35">
        <v>10043891</v>
      </c>
      <c r="P35" s="108">
        <v>43047</v>
      </c>
      <c r="Q35" s="108">
        <v>43048</v>
      </c>
      <c r="R35" s="108">
        <v>43089</v>
      </c>
      <c r="S35" t="s">
        <v>144</v>
      </c>
      <c r="T35" t="s">
        <v>145</v>
      </c>
      <c r="U35" t="s">
        <v>2596</v>
      </c>
      <c r="V35" t="s">
        <v>2596</v>
      </c>
      <c r="W35" t="s">
        <v>2596</v>
      </c>
      <c r="X35" t="s">
        <v>2596</v>
      </c>
      <c r="Y35" t="s">
        <v>2596</v>
      </c>
      <c r="Z35" t="s">
        <v>2596</v>
      </c>
      <c r="AA35" t="s">
        <v>2596</v>
      </c>
      <c r="AB35" t="s">
        <v>2596</v>
      </c>
      <c r="AC35" t="s">
        <v>174</v>
      </c>
      <c r="AD35" t="s">
        <v>2596</v>
      </c>
      <c r="AE35" t="s">
        <v>58</v>
      </c>
      <c r="AF35" t="s">
        <v>58</v>
      </c>
      <c r="AG35" t="s">
        <v>58</v>
      </c>
      <c r="AH35" t="s">
        <v>58</v>
      </c>
      <c r="AI35" t="s">
        <v>147</v>
      </c>
      <c r="AJ35" t="s">
        <v>58</v>
      </c>
      <c r="AK35" t="s">
        <v>147</v>
      </c>
      <c r="AL35" t="s">
        <v>58</v>
      </c>
      <c r="AM35" t="s">
        <v>58</v>
      </c>
      <c r="AN35" t="s">
        <v>58</v>
      </c>
      <c r="AO35" t="s">
        <v>58</v>
      </c>
      <c r="AP35" t="s">
        <v>58</v>
      </c>
      <c r="AQ35" t="s">
        <v>57</v>
      </c>
      <c r="AR35" t="s">
        <v>58</v>
      </c>
      <c r="AS35" t="s">
        <v>57</v>
      </c>
      <c r="AT35" t="s">
        <v>57</v>
      </c>
      <c r="AU35" t="s">
        <v>175</v>
      </c>
      <c r="AV35" t="s">
        <v>58</v>
      </c>
      <c r="AW35" t="s">
        <v>57</v>
      </c>
      <c r="AX35" t="s">
        <v>58</v>
      </c>
      <c r="AY35" t="s">
        <v>175</v>
      </c>
      <c r="AZ35" t="s">
        <v>175</v>
      </c>
      <c r="BA35" t="s">
        <v>175</v>
      </c>
      <c r="BB35" t="s">
        <v>175</v>
      </c>
      <c r="BC35" t="s">
        <v>175</v>
      </c>
      <c r="BD35" t="s">
        <v>175</v>
      </c>
      <c r="BE35" t="s">
        <v>57</v>
      </c>
      <c r="BF35" t="s">
        <v>58</v>
      </c>
      <c r="BG35" t="s">
        <v>58</v>
      </c>
      <c r="BH35" t="s">
        <v>58</v>
      </c>
      <c r="BI35" t="s">
        <v>57</v>
      </c>
      <c r="BJ35" t="s">
        <v>58</v>
      </c>
      <c r="BK35" t="s">
        <v>58</v>
      </c>
      <c r="BL35" t="s">
        <v>58</v>
      </c>
      <c r="BM35" t="s">
        <v>58</v>
      </c>
      <c r="BN35" t="s">
        <v>58</v>
      </c>
      <c r="BO35" t="s">
        <v>57</v>
      </c>
      <c r="BP35" t="s">
        <v>57</v>
      </c>
      <c r="BQ35" t="s">
        <v>57</v>
      </c>
      <c r="BR35" t="s">
        <v>57</v>
      </c>
      <c r="BS35" t="s">
        <v>58</v>
      </c>
      <c r="BT35" t="s">
        <v>58</v>
      </c>
      <c r="BU35" t="s">
        <v>58</v>
      </c>
      <c r="BV35" t="s">
        <v>57</v>
      </c>
      <c r="BW35" t="s">
        <v>57</v>
      </c>
      <c r="BX35" t="s">
        <v>57</v>
      </c>
      <c r="BY35" t="s">
        <v>57</v>
      </c>
      <c r="BZ35" t="s">
        <v>57</v>
      </c>
      <c r="CA35" t="s">
        <v>58</v>
      </c>
      <c r="CB35" t="s">
        <v>58</v>
      </c>
      <c r="CC35" t="s">
        <v>58</v>
      </c>
      <c r="CD35" t="s">
        <v>58</v>
      </c>
      <c r="CE35" t="s">
        <v>58</v>
      </c>
      <c r="CF35" t="s">
        <v>57</v>
      </c>
      <c r="CG35" t="s">
        <v>57</v>
      </c>
      <c r="CH35" t="s">
        <v>58</v>
      </c>
      <c r="CI35" t="s">
        <v>58</v>
      </c>
      <c r="CJ35" t="s">
        <v>58</v>
      </c>
      <c r="CK35" t="s">
        <v>175</v>
      </c>
      <c r="CL35" t="s">
        <v>175</v>
      </c>
      <c r="CM35" t="s">
        <v>175</v>
      </c>
      <c r="CN35" t="s">
        <v>147</v>
      </c>
      <c r="CO35" t="s">
        <v>147</v>
      </c>
      <c r="CP35" t="s">
        <v>147</v>
      </c>
      <c r="CQ35" t="s">
        <v>147</v>
      </c>
      <c r="CR35" t="s">
        <v>147</v>
      </c>
      <c r="CS35" t="s">
        <v>58</v>
      </c>
      <c r="CT35" t="s">
        <v>58</v>
      </c>
      <c r="CU35" t="s">
        <v>58</v>
      </c>
      <c r="CV35" t="s">
        <v>57</v>
      </c>
      <c r="CW35" t="s">
        <v>58</v>
      </c>
      <c r="CX35" t="s">
        <v>58</v>
      </c>
      <c r="CY35" t="s">
        <v>58</v>
      </c>
      <c r="CZ35" t="s">
        <v>58</v>
      </c>
      <c r="DA35" t="s">
        <v>58</v>
      </c>
      <c r="DB35" t="s">
        <v>57</v>
      </c>
      <c r="DC35" t="s">
        <v>57</v>
      </c>
      <c r="DD35" t="s">
        <v>58</v>
      </c>
      <c r="DE35" t="s">
        <v>58</v>
      </c>
      <c r="DF35" t="s">
        <v>57</v>
      </c>
      <c r="DG35" t="s">
        <v>57</v>
      </c>
      <c r="DH35" t="s">
        <v>57</v>
      </c>
      <c r="DI35" t="s">
        <v>57</v>
      </c>
      <c r="DJ35" t="s">
        <v>57</v>
      </c>
      <c r="DK35" t="s">
        <v>175</v>
      </c>
      <c r="DL35" t="s">
        <v>57</v>
      </c>
      <c r="DM35" t="s">
        <v>175</v>
      </c>
      <c r="DN35" t="s">
        <v>175</v>
      </c>
      <c r="DO35" t="s">
        <v>175</v>
      </c>
      <c r="DP35" t="s">
        <v>175</v>
      </c>
      <c r="DQ35" t="s">
        <v>175</v>
      </c>
      <c r="DR35" t="s">
        <v>175</v>
      </c>
      <c r="DS35" t="s">
        <v>175</v>
      </c>
      <c r="DT35" t="s">
        <v>175</v>
      </c>
      <c r="DU35" t="s">
        <v>175</v>
      </c>
      <c r="DV35" t="s">
        <v>175</v>
      </c>
      <c r="DW35" t="s">
        <v>175</v>
      </c>
      <c r="DX35" t="s">
        <v>175</v>
      </c>
      <c r="DY35" t="s">
        <v>175</v>
      </c>
      <c r="DZ35" t="s">
        <v>175</v>
      </c>
      <c r="EA35" t="s">
        <v>57</v>
      </c>
      <c r="EB35" t="s">
        <v>57</v>
      </c>
      <c r="EC35" t="s">
        <v>57</v>
      </c>
      <c r="ED35" t="s">
        <v>57</v>
      </c>
      <c r="EE35" t="s">
        <v>57</v>
      </c>
      <c r="EF35" t="s">
        <v>57</v>
      </c>
      <c r="EG35" t="s">
        <v>57</v>
      </c>
      <c r="EH35" t="s">
        <v>57</v>
      </c>
      <c r="EI35" t="s">
        <v>57</v>
      </c>
      <c r="EJ35" t="s">
        <v>57</v>
      </c>
      <c r="EK35" t="s">
        <v>57</v>
      </c>
      <c r="EL35" t="s">
        <v>57</v>
      </c>
      <c r="EM35" t="s">
        <v>57</v>
      </c>
      <c r="EN35" t="s">
        <v>57</v>
      </c>
      <c r="EO35" t="s">
        <v>57</v>
      </c>
      <c r="EP35" t="s">
        <v>57</v>
      </c>
      <c r="EQ35" t="s">
        <v>57</v>
      </c>
      <c r="ER35" t="s">
        <v>57</v>
      </c>
      <c r="ES35" t="s">
        <v>57</v>
      </c>
      <c r="ET35" t="s">
        <v>57</v>
      </c>
      <c r="EU35" t="s">
        <v>57</v>
      </c>
      <c r="EV35" t="s">
        <v>57</v>
      </c>
      <c r="EW35" t="s">
        <v>57</v>
      </c>
      <c r="EX35" t="s">
        <v>175</v>
      </c>
      <c r="EY35" t="s">
        <v>175</v>
      </c>
      <c r="EZ35" t="s">
        <v>175</v>
      </c>
      <c r="FA35" t="s">
        <v>175</v>
      </c>
      <c r="FB35" t="s">
        <v>175</v>
      </c>
      <c r="FC35" t="s">
        <v>175</v>
      </c>
      <c r="FD35" t="s">
        <v>57</v>
      </c>
      <c r="FE35" t="s">
        <v>57</v>
      </c>
      <c r="FF35" t="s">
        <v>57</v>
      </c>
      <c r="FG35" t="s">
        <v>57</v>
      </c>
      <c r="FH35" t="s">
        <v>147</v>
      </c>
      <c r="FI35" t="s">
        <v>147</v>
      </c>
      <c r="FJ35" t="s">
        <v>147</v>
      </c>
      <c r="FK35" t="s">
        <v>175</v>
      </c>
      <c r="FL35" t="s">
        <v>58</v>
      </c>
      <c r="FM35" t="s">
        <v>58</v>
      </c>
      <c r="FN35" t="s">
        <v>58</v>
      </c>
      <c r="FO35" t="s">
        <v>175</v>
      </c>
      <c r="FP35" t="s">
        <v>57</v>
      </c>
      <c r="FQ35" t="s">
        <v>58</v>
      </c>
      <c r="FR35" t="s">
        <v>147</v>
      </c>
      <c r="FS35" t="s">
        <v>147</v>
      </c>
      <c r="FT35" t="s">
        <v>147</v>
      </c>
      <c r="FU35" t="s">
        <v>147</v>
      </c>
      <c r="FV35" t="s">
        <v>58</v>
      </c>
      <c r="FW35" t="s">
        <v>57</v>
      </c>
      <c r="FX35" t="s">
        <v>58</v>
      </c>
      <c r="FY35" t="s">
        <v>57</v>
      </c>
      <c r="FZ35" t="s">
        <v>57</v>
      </c>
      <c r="GA35" t="s">
        <v>57</v>
      </c>
      <c r="GB35" t="s">
        <v>57</v>
      </c>
      <c r="GC35" t="s">
        <v>57</v>
      </c>
      <c r="GD35" t="s">
        <v>58</v>
      </c>
      <c r="GE35" t="s">
        <v>58</v>
      </c>
      <c r="GF35" t="s">
        <v>57</v>
      </c>
      <c r="GG35" t="s">
        <v>175</v>
      </c>
      <c r="GH35" t="s">
        <v>58</v>
      </c>
      <c r="GI35" t="s">
        <v>57</v>
      </c>
      <c r="GJ35" t="s">
        <v>57</v>
      </c>
      <c r="GK35" t="s">
        <v>57</v>
      </c>
      <c r="GL35" t="s">
        <v>57</v>
      </c>
      <c r="GM35" t="s">
        <v>57</v>
      </c>
      <c r="GN35" t="s">
        <v>57</v>
      </c>
      <c r="GO35" t="s">
        <v>57</v>
      </c>
      <c r="GP35" t="s">
        <v>175</v>
      </c>
      <c r="GQ35" t="s">
        <v>175</v>
      </c>
      <c r="GR35" t="s">
        <v>58</v>
      </c>
      <c r="GS35" t="s">
        <v>57</v>
      </c>
      <c r="GT35" t="s">
        <v>57</v>
      </c>
      <c r="GU35" t="s">
        <v>57</v>
      </c>
      <c r="GV35" t="s">
        <v>175</v>
      </c>
      <c r="GW35" t="s">
        <v>57</v>
      </c>
      <c r="GX35" t="s">
        <v>57</v>
      </c>
      <c r="GY35" t="s">
        <v>57</v>
      </c>
      <c r="GZ35" t="s">
        <v>57</v>
      </c>
      <c r="HA35" t="s">
        <v>57</v>
      </c>
      <c r="HB35" t="s">
        <v>57</v>
      </c>
      <c r="HC35" t="s">
        <v>57</v>
      </c>
      <c r="HD35" t="s">
        <v>57</v>
      </c>
      <c r="HE35" t="s">
        <v>57</v>
      </c>
      <c r="HF35" t="s">
        <v>57</v>
      </c>
      <c r="HG35" t="s">
        <v>57</v>
      </c>
      <c r="HH35" t="s">
        <v>58</v>
      </c>
      <c r="HI35" t="s">
        <v>57</v>
      </c>
      <c r="HJ35" t="s">
        <v>58</v>
      </c>
      <c r="HK35" t="s">
        <v>175</v>
      </c>
      <c r="HL35" t="s">
        <v>147</v>
      </c>
      <c r="HM35" t="s">
        <v>147</v>
      </c>
      <c r="HN35" t="s">
        <v>147</v>
      </c>
      <c r="HO35" t="s">
        <v>147</v>
      </c>
      <c r="HP35" t="s">
        <v>147</v>
      </c>
      <c r="HQ35" t="s">
        <v>147</v>
      </c>
      <c r="HR35" t="s">
        <v>147</v>
      </c>
      <c r="HS35" t="s">
        <v>147</v>
      </c>
      <c r="HT35" t="s">
        <v>147</v>
      </c>
      <c r="HU35" t="s">
        <v>147</v>
      </c>
      <c r="HV35" t="s">
        <v>147</v>
      </c>
      <c r="HW35" t="s">
        <v>147</v>
      </c>
      <c r="HX35" t="s">
        <v>147</v>
      </c>
      <c r="HY35" t="s">
        <v>147</v>
      </c>
      <c r="HZ35" t="s">
        <v>147</v>
      </c>
      <c r="IA35" t="s">
        <v>147</v>
      </c>
      <c r="IB35" t="s">
        <v>58</v>
      </c>
      <c r="IC35" t="s">
        <v>58</v>
      </c>
      <c r="ID35" t="s">
        <v>58</v>
      </c>
      <c r="IE35" t="s">
        <v>58</v>
      </c>
      <c r="IF35" t="s">
        <v>123</v>
      </c>
      <c r="IG35" t="s">
        <v>123</v>
      </c>
      <c r="IH35" t="s">
        <v>123</v>
      </c>
      <c r="II35" t="s">
        <v>2596</v>
      </c>
    </row>
    <row r="36" spans="1:243" x14ac:dyDescent="0.25">
      <c r="A36" s="121" t="str">
        <f>HYPERLINK("http://www.ofsted.gov.uk/inspection-reports/find-inspection-report/provider/ELS/131825 ","Ofsted School Webpage")</f>
        <v>Ofsted School Webpage</v>
      </c>
      <c r="B36">
        <v>131825</v>
      </c>
      <c r="C36">
        <v>8216004</v>
      </c>
      <c r="D36" t="s">
        <v>1481</v>
      </c>
      <c r="E36" t="s">
        <v>36</v>
      </c>
      <c r="F36" t="s">
        <v>166</v>
      </c>
      <c r="G36" t="s">
        <v>177</v>
      </c>
      <c r="H36" t="s">
        <v>177</v>
      </c>
      <c r="I36" t="s">
        <v>178</v>
      </c>
      <c r="J36" t="s">
        <v>1482</v>
      </c>
      <c r="K36" t="s">
        <v>142</v>
      </c>
      <c r="L36" t="s">
        <v>180</v>
      </c>
      <c r="M36" t="s">
        <v>2596</v>
      </c>
      <c r="N36" t="s">
        <v>143</v>
      </c>
      <c r="O36">
        <v>10047102</v>
      </c>
      <c r="P36" s="108">
        <v>43159</v>
      </c>
      <c r="Q36" s="108">
        <v>43160</v>
      </c>
      <c r="R36" s="108">
        <v>43187</v>
      </c>
      <c r="S36" t="s">
        <v>144</v>
      </c>
      <c r="T36" t="s">
        <v>145</v>
      </c>
      <c r="U36" t="s">
        <v>2596</v>
      </c>
      <c r="V36" t="s">
        <v>2596</v>
      </c>
      <c r="W36" t="s">
        <v>2596</v>
      </c>
      <c r="X36" t="s">
        <v>2596</v>
      </c>
      <c r="Y36" t="s">
        <v>2596</v>
      </c>
      <c r="Z36" t="s">
        <v>2596</v>
      </c>
      <c r="AA36" t="s">
        <v>2596</v>
      </c>
      <c r="AB36" t="s">
        <v>2596</v>
      </c>
      <c r="AC36" t="s">
        <v>174</v>
      </c>
      <c r="AD36" t="s">
        <v>2596</v>
      </c>
      <c r="AE36" t="s">
        <v>58</v>
      </c>
      <c r="AF36" t="s">
        <v>57</v>
      </c>
      <c r="AG36" t="s">
        <v>58</v>
      </c>
      <c r="AH36" t="s">
        <v>57</v>
      </c>
      <c r="AI36" t="s">
        <v>147</v>
      </c>
      <c r="AJ36" t="s">
        <v>57</v>
      </c>
      <c r="AK36" t="s">
        <v>147</v>
      </c>
      <c r="AL36" t="s">
        <v>58</v>
      </c>
      <c r="AM36" t="s">
        <v>58</v>
      </c>
      <c r="AN36" t="s">
        <v>58</v>
      </c>
      <c r="AO36" t="s">
        <v>58</v>
      </c>
      <c r="AP36" t="s">
        <v>58</v>
      </c>
      <c r="AQ36" t="s">
        <v>147</v>
      </c>
      <c r="AR36" t="s">
        <v>57</v>
      </c>
      <c r="AS36" t="s">
        <v>147</v>
      </c>
      <c r="AT36" t="s">
        <v>147</v>
      </c>
      <c r="AU36" t="s">
        <v>175</v>
      </c>
      <c r="AV36" t="s">
        <v>57</v>
      </c>
      <c r="AW36" t="s">
        <v>147</v>
      </c>
      <c r="AX36" t="s">
        <v>57</v>
      </c>
      <c r="AY36" t="s">
        <v>175</v>
      </c>
      <c r="AZ36" t="s">
        <v>175</v>
      </c>
      <c r="BA36" t="s">
        <v>175</v>
      </c>
      <c r="BB36" t="s">
        <v>175</v>
      </c>
      <c r="BC36" t="s">
        <v>175</v>
      </c>
      <c r="BD36" t="s">
        <v>175</v>
      </c>
      <c r="BE36" t="s">
        <v>147</v>
      </c>
      <c r="BF36" t="s">
        <v>57</v>
      </c>
      <c r="BG36" t="s">
        <v>58</v>
      </c>
      <c r="BH36" t="s">
        <v>58</v>
      </c>
      <c r="BI36" t="s">
        <v>147</v>
      </c>
      <c r="BJ36" t="s">
        <v>58</v>
      </c>
      <c r="BK36" t="s">
        <v>58</v>
      </c>
      <c r="BL36" t="s">
        <v>58</v>
      </c>
      <c r="BM36" t="s">
        <v>58</v>
      </c>
      <c r="BN36" t="s">
        <v>58</v>
      </c>
      <c r="BO36" t="s">
        <v>147</v>
      </c>
      <c r="BP36" t="s">
        <v>147</v>
      </c>
      <c r="BQ36" t="s">
        <v>147</v>
      </c>
      <c r="BR36" t="s">
        <v>147</v>
      </c>
      <c r="BS36" t="s">
        <v>57</v>
      </c>
      <c r="BT36" t="s">
        <v>57</v>
      </c>
      <c r="BU36" t="s">
        <v>57</v>
      </c>
      <c r="BV36" t="s">
        <v>147</v>
      </c>
      <c r="BW36" t="s">
        <v>147</v>
      </c>
      <c r="BX36" t="s">
        <v>147</v>
      </c>
      <c r="BY36" t="s">
        <v>147</v>
      </c>
      <c r="BZ36" t="s">
        <v>147</v>
      </c>
      <c r="CA36" t="s">
        <v>57</v>
      </c>
      <c r="CB36" t="s">
        <v>57</v>
      </c>
      <c r="CC36" t="s">
        <v>57</v>
      </c>
      <c r="CD36" t="s">
        <v>57</v>
      </c>
      <c r="CE36" t="s">
        <v>57</v>
      </c>
      <c r="CF36" t="s">
        <v>147</v>
      </c>
      <c r="CG36" t="s">
        <v>147</v>
      </c>
      <c r="CH36" t="s">
        <v>58</v>
      </c>
      <c r="CI36" t="s">
        <v>58</v>
      </c>
      <c r="CJ36" t="s">
        <v>58</v>
      </c>
      <c r="CK36" t="s">
        <v>175</v>
      </c>
      <c r="CL36" t="s">
        <v>175</v>
      </c>
      <c r="CM36" t="s">
        <v>175</v>
      </c>
      <c r="CN36" t="s">
        <v>147</v>
      </c>
      <c r="CO36" t="s">
        <v>147</v>
      </c>
      <c r="CP36" t="s">
        <v>147</v>
      </c>
      <c r="CQ36" t="s">
        <v>147</v>
      </c>
      <c r="CR36" t="s">
        <v>147</v>
      </c>
      <c r="CS36" t="s">
        <v>58</v>
      </c>
      <c r="CT36" t="s">
        <v>58</v>
      </c>
      <c r="CU36" t="s">
        <v>57</v>
      </c>
      <c r="CV36" t="s">
        <v>147</v>
      </c>
      <c r="CW36" t="s">
        <v>57</v>
      </c>
      <c r="CX36" t="s">
        <v>57</v>
      </c>
      <c r="CY36" t="s">
        <v>57</v>
      </c>
      <c r="CZ36" t="s">
        <v>57</v>
      </c>
      <c r="DA36" t="s">
        <v>57</v>
      </c>
      <c r="DB36" t="s">
        <v>57</v>
      </c>
      <c r="DC36" t="s">
        <v>57</v>
      </c>
      <c r="DD36" t="s">
        <v>57</v>
      </c>
      <c r="DE36" t="s">
        <v>57</v>
      </c>
      <c r="DF36" t="s">
        <v>57</v>
      </c>
      <c r="DG36" t="s">
        <v>57</v>
      </c>
      <c r="DH36" t="s">
        <v>57</v>
      </c>
      <c r="DI36" t="s">
        <v>57</v>
      </c>
      <c r="DJ36" t="s">
        <v>57</v>
      </c>
      <c r="DK36" t="s">
        <v>175</v>
      </c>
      <c r="DL36" t="s">
        <v>57</v>
      </c>
      <c r="DM36" t="s">
        <v>175</v>
      </c>
      <c r="DN36" t="s">
        <v>175</v>
      </c>
      <c r="DO36" t="s">
        <v>175</v>
      </c>
      <c r="DP36" t="s">
        <v>175</v>
      </c>
      <c r="DQ36" t="s">
        <v>175</v>
      </c>
      <c r="DR36" t="s">
        <v>175</v>
      </c>
      <c r="DS36" t="s">
        <v>175</v>
      </c>
      <c r="DT36" t="s">
        <v>175</v>
      </c>
      <c r="DU36" t="s">
        <v>175</v>
      </c>
      <c r="DV36" t="s">
        <v>175</v>
      </c>
      <c r="DW36" t="s">
        <v>175</v>
      </c>
      <c r="DX36" t="s">
        <v>175</v>
      </c>
      <c r="DY36" t="s">
        <v>175</v>
      </c>
      <c r="DZ36" t="s">
        <v>57</v>
      </c>
      <c r="EA36" t="s">
        <v>57</v>
      </c>
      <c r="EB36" t="s">
        <v>57</v>
      </c>
      <c r="EC36" t="s">
        <v>57</v>
      </c>
      <c r="ED36" t="s">
        <v>57</v>
      </c>
      <c r="EE36" t="s">
        <v>57</v>
      </c>
      <c r="EF36" t="s">
        <v>57</v>
      </c>
      <c r="EG36" t="s">
        <v>57</v>
      </c>
      <c r="EH36" t="s">
        <v>57</v>
      </c>
      <c r="EI36" t="s">
        <v>57</v>
      </c>
      <c r="EJ36" t="s">
        <v>57</v>
      </c>
      <c r="EK36" t="s">
        <v>57</v>
      </c>
      <c r="EL36" t="s">
        <v>57</v>
      </c>
      <c r="EM36" t="s">
        <v>57</v>
      </c>
      <c r="EN36" t="s">
        <v>57</v>
      </c>
      <c r="EO36" t="s">
        <v>57</v>
      </c>
      <c r="EP36" t="s">
        <v>57</v>
      </c>
      <c r="EQ36" t="s">
        <v>57</v>
      </c>
      <c r="ER36" t="s">
        <v>57</v>
      </c>
      <c r="ES36" t="s">
        <v>57</v>
      </c>
      <c r="ET36" t="s">
        <v>57</v>
      </c>
      <c r="EU36" t="s">
        <v>57</v>
      </c>
      <c r="EV36" t="s">
        <v>57</v>
      </c>
      <c r="EW36" t="s">
        <v>57</v>
      </c>
      <c r="EX36" t="s">
        <v>175</v>
      </c>
      <c r="EY36" t="s">
        <v>175</v>
      </c>
      <c r="EZ36" t="s">
        <v>175</v>
      </c>
      <c r="FA36" t="s">
        <v>175</v>
      </c>
      <c r="FB36" t="s">
        <v>175</v>
      </c>
      <c r="FC36" t="s">
        <v>175</v>
      </c>
      <c r="FD36" t="s">
        <v>175</v>
      </c>
      <c r="FE36" t="s">
        <v>175</v>
      </c>
      <c r="FF36" t="s">
        <v>175</v>
      </c>
      <c r="FG36" t="s">
        <v>175</v>
      </c>
      <c r="FH36" t="s">
        <v>147</v>
      </c>
      <c r="FI36" t="s">
        <v>147</v>
      </c>
      <c r="FJ36" t="s">
        <v>147</v>
      </c>
      <c r="FK36" t="s">
        <v>147</v>
      </c>
      <c r="FL36" t="s">
        <v>57</v>
      </c>
      <c r="FM36" t="s">
        <v>57</v>
      </c>
      <c r="FN36" t="s">
        <v>57</v>
      </c>
      <c r="FO36" t="s">
        <v>175</v>
      </c>
      <c r="FP36" t="s">
        <v>147</v>
      </c>
      <c r="FQ36" t="s">
        <v>58</v>
      </c>
      <c r="FR36" t="s">
        <v>147</v>
      </c>
      <c r="FS36" t="s">
        <v>147</v>
      </c>
      <c r="FT36" t="s">
        <v>147</v>
      </c>
      <c r="FU36" t="s">
        <v>147</v>
      </c>
      <c r="FV36" t="s">
        <v>57</v>
      </c>
      <c r="FW36" t="s">
        <v>147</v>
      </c>
      <c r="FX36" t="s">
        <v>57</v>
      </c>
      <c r="FY36" t="s">
        <v>147</v>
      </c>
      <c r="FZ36" t="s">
        <v>57</v>
      </c>
      <c r="GA36" t="s">
        <v>147</v>
      </c>
      <c r="GB36" t="s">
        <v>147</v>
      </c>
      <c r="GC36" t="s">
        <v>147</v>
      </c>
      <c r="GD36" t="s">
        <v>58</v>
      </c>
      <c r="GE36" t="s">
        <v>58</v>
      </c>
      <c r="GF36" t="s">
        <v>147</v>
      </c>
      <c r="GG36" t="s">
        <v>147</v>
      </c>
      <c r="GH36" t="s">
        <v>57</v>
      </c>
      <c r="GI36" t="s">
        <v>147</v>
      </c>
      <c r="GJ36" t="s">
        <v>147</v>
      </c>
      <c r="GK36" t="s">
        <v>147</v>
      </c>
      <c r="GL36" t="s">
        <v>147</v>
      </c>
      <c r="GM36" t="s">
        <v>147</v>
      </c>
      <c r="GN36" t="s">
        <v>147</v>
      </c>
      <c r="GO36" t="s">
        <v>147</v>
      </c>
      <c r="GP36" t="s">
        <v>147</v>
      </c>
      <c r="GQ36" t="s">
        <v>147</v>
      </c>
      <c r="GR36" t="s">
        <v>57</v>
      </c>
      <c r="GS36" t="s">
        <v>147</v>
      </c>
      <c r="GT36" t="s">
        <v>147</v>
      </c>
      <c r="GU36" t="s">
        <v>147</v>
      </c>
      <c r="GV36" t="s">
        <v>147</v>
      </c>
      <c r="GW36" t="s">
        <v>147</v>
      </c>
      <c r="GX36" t="s">
        <v>147</v>
      </c>
      <c r="GY36" t="s">
        <v>147</v>
      </c>
      <c r="GZ36" t="s">
        <v>147</v>
      </c>
      <c r="HA36" t="s">
        <v>147</v>
      </c>
      <c r="HB36" t="s">
        <v>147</v>
      </c>
      <c r="HC36" t="s">
        <v>147</v>
      </c>
      <c r="HD36" t="s">
        <v>147</v>
      </c>
      <c r="HE36" t="s">
        <v>147</v>
      </c>
      <c r="HF36" t="s">
        <v>147</v>
      </c>
      <c r="HG36" t="s">
        <v>147</v>
      </c>
      <c r="HH36" t="s">
        <v>57</v>
      </c>
      <c r="HI36" t="s">
        <v>147</v>
      </c>
      <c r="HJ36" t="s">
        <v>57</v>
      </c>
      <c r="HK36" t="s">
        <v>147</v>
      </c>
      <c r="HL36" t="s">
        <v>147</v>
      </c>
      <c r="HM36" t="s">
        <v>147</v>
      </c>
      <c r="HN36" t="s">
        <v>147</v>
      </c>
      <c r="HO36" t="s">
        <v>147</v>
      </c>
      <c r="HP36" t="s">
        <v>147</v>
      </c>
      <c r="HQ36" t="s">
        <v>147</v>
      </c>
      <c r="HR36" t="s">
        <v>147</v>
      </c>
      <c r="HS36" t="s">
        <v>147</v>
      </c>
      <c r="HT36" t="s">
        <v>147</v>
      </c>
      <c r="HU36" t="s">
        <v>147</v>
      </c>
      <c r="HV36" t="s">
        <v>147</v>
      </c>
      <c r="HW36" t="s">
        <v>147</v>
      </c>
      <c r="HX36" t="s">
        <v>147</v>
      </c>
      <c r="HY36" t="s">
        <v>147</v>
      </c>
      <c r="HZ36" t="s">
        <v>147</v>
      </c>
      <c r="IA36" t="s">
        <v>147</v>
      </c>
      <c r="IB36" t="s">
        <v>58</v>
      </c>
      <c r="IC36" t="s">
        <v>58</v>
      </c>
      <c r="ID36" t="s">
        <v>58</v>
      </c>
      <c r="IE36" t="s">
        <v>58</v>
      </c>
      <c r="IF36" t="s">
        <v>124</v>
      </c>
      <c r="IG36" t="s">
        <v>148</v>
      </c>
      <c r="IH36" t="s">
        <v>123</v>
      </c>
      <c r="II36" t="s">
        <v>363</v>
      </c>
    </row>
    <row r="37" spans="1:243" x14ac:dyDescent="0.25">
      <c r="A37" s="121" t="str">
        <f>HYPERLINK("http://www.ofsted.gov.uk/inspection-reports/find-inspection-report/provider/ELS/131940 ","Ofsted School Webpage")</f>
        <v>Ofsted School Webpage</v>
      </c>
      <c r="B37">
        <v>131940</v>
      </c>
      <c r="C37">
        <v>3126063</v>
      </c>
      <c r="D37" t="s">
        <v>403</v>
      </c>
      <c r="E37" t="s">
        <v>37</v>
      </c>
      <c r="F37" t="s">
        <v>138</v>
      </c>
      <c r="G37" t="s">
        <v>189</v>
      </c>
      <c r="H37" t="s">
        <v>189</v>
      </c>
      <c r="I37" t="s">
        <v>404</v>
      </c>
      <c r="J37" t="s">
        <v>405</v>
      </c>
      <c r="K37" t="s">
        <v>142</v>
      </c>
      <c r="L37" t="s">
        <v>142</v>
      </c>
      <c r="M37" t="s">
        <v>2596</v>
      </c>
      <c r="N37" t="s">
        <v>143</v>
      </c>
      <c r="O37">
        <v>10040135</v>
      </c>
      <c r="P37" s="108">
        <v>43012</v>
      </c>
      <c r="Q37" s="108">
        <v>43012</v>
      </c>
      <c r="R37" s="108">
        <v>43053</v>
      </c>
      <c r="S37" t="s">
        <v>144</v>
      </c>
      <c r="T37" t="s">
        <v>145</v>
      </c>
      <c r="U37" t="s">
        <v>2596</v>
      </c>
      <c r="V37" t="s">
        <v>2596</v>
      </c>
      <c r="W37" t="s">
        <v>2596</v>
      </c>
      <c r="X37" t="s">
        <v>2596</v>
      </c>
      <c r="Y37" t="s">
        <v>2596</v>
      </c>
      <c r="Z37" t="s">
        <v>2596</v>
      </c>
      <c r="AA37" t="s">
        <v>2596</v>
      </c>
      <c r="AB37" t="s">
        <v>2596</v>
      </c>
      <c r="AC37" t="s">
        <v>146</v>
      </c>
      <c r="AD37" t="s">
        <v>2596</v>
      </c>
      <c r="AE37" t="s">
        <v>147</v>
      </c>
      <c r="AF37" t="s">
        <v>147</v>
      </c>
      <c r="AG37" t="s">
        <v>57</v>
      </c>
      <c r="AH37" t="s">
        <v>57</v>
      </c>
      <c r="AI37" t="s">
        <v>147</v>
      </c>
      <c r="AJ37" t="s">
        <v>147</v>
      </c>
      <c r="AK37" t="s">
        <v>147</v>
      </c>
      <c r="AL37" t="s">
        <v>57</v>
      </c>
      <c r="AM37" t="s">
        <v>147</v>
      </c>
      <c r="AN37" t="s">
        <v>147</v>
      </c>
      <c r="AO37" t="s">
        <v>147</v>
      </c>
      <c r="AP37" t="s">
        <v>147</v>
      </c>
      <c r="AQ37" t="s">
        <v>147</v>
      </c>
      <c r="AR37" t="s">
        <v>147</v>
      </c>
      <c r="AS37" t="s">
        <v>147</v>
      </c>
      <c r="AT37" t="s">
        <v>147</v>
      </c>
      <c r="AU37" t="s">
        <v>147</v>
      </c>
      <c r="AV37" t="s">
        <v>147</v>
      </c>
      <c r="AW37" t="s">
        <v>147</v>
      </c>
      <c r="AX37" t="s">
        <v>147</v>
      </c>
      <c r="AY37" t="s">
        <v>147</v>
      </c>
      <c r="AZ37" t="s">
        <v>147</v>
      </c>
      <c r="BA37" t="s">
        <v>147</v>
      </c>
      <c r="BB37" t="s">
        <v>147</v>
      </c>
      <c r="BC37" t="s">
        <v>147</v>
      </c>
      <c r="BD37" t="s">
        <v>147</v>
      </c>
      <c r="BE37" t="s">
        <v>147</v>
      </c>
      <c r="BF37" t="s">
        <v>147</v>
      </c>
      <c r="BG37" t="s">
        <v>147</v>
      </c>
      <c r="BH37" t="s">
        <v>147</v>
      </c>
      <c r="BI37" t="s">
        <v>147</v>
      </c>
      <c r="BJ37" t="s">
        <v>147</v>
      </c>
      <c r="BK37" t="s">
        <v>147</v>
      </c>
      <c r="BL37" t="s">
        <v>147</v>
      </c>
      <c r="BM37" t="s">
        <v>147</v>
      </c>
      <c r="BN37" t="s">
        <v>147</v>
      </c>
      <c r="BO37" t="s">
        <v>147</v>
      </c>
      <c r="BP37" t="s">
        <v>147</v>
      </c>
      <c r="BQ37" t="s">
        <v>147</v>
      </c>
      <c r="BR37" t="s">
        <v>147</v>
      </c>
      <c r="BS37" t="s">
        <v>147</v>
      </c>
      <c r="BT37" t="s">
        <v>147</v>
      </c>
      <c r="BU37" t="s">
        <v>147</v>
      </c>
      <c r="BV37" t="s">
        <v>147</v>
      </c>
      <c r="BW37" t="s">
        <v>147</v>
      </c>
      <c r="BX37" t="s">
        <v>147</v>
      </c>
      <c r="BY37" t="s">
        <v>147</v>
      </c>
      <c r="BZ37" t="s">
        <v>147</v>
      </c>
      <c r="CA37" t="s">
        <v>147</v>
      </c>
      <c r="CB37" t="s">
        <v>147</v>
      </c>
      <c r="CC37" t="s">
        <v>147</v>
      </c>
      <c r="CD37" t="s">
        <v>147</v>
      </c>
      <c r="CE37" t="s">
        <v>147</v>
      </c>
      <c r="CF37" t="s">
        <v>147</v>
      </c>
      <c r="CG37" t="s">
        <v>147</v>
      </c>
      <c r="CH37" t="s">
        <v>57</v>
      </c>
      <c r="CI37" t="s">
        <v>57</v>
      </c>
      <c r="CJ37" t="s">
        <v>57</v>
      </c>
      <c r="CK37" t="s">
        <v>175</v>
      </c>
      <c r="CL37" t="s">
        <v>175</v>
      </c>
      <c r="CM37" t="s">
        <v>175</v>
      </c>
      <c r="CN37" t="s">
        <v>147</v>
      </c>
      <c r="CO37" t="s">
        <v>147</v>
      </c>
      <c r="CP37" t="s">
        <v>147</v>
      </c>
      <c r="CQ37" t="s">
        <v>147</v>
      </c>
      <c r="CR37" t="s">
        <v>57</v>
      </c>
      <c r="CS37" t="s">
        <v>57</v>
      </c>
      <c r="CT37" t="s">
        <v>147</v>
      </c>
      <c r="CU37" t="s">
        <v>147</v>
      </c>
      <c r="CV37" t="s">
        <v>147</v>
      </c>
      <c r="CW37" t="s">
        <v>147</v>
      </c>
      <c r="CX37" t="s">
        <v>57</v>
      </c>
      <c r="CY37" t="s">
        <v>57</v>
      </c>
      <c r="CZ37" t="s">
        <v>147</v>
      </c>
      <c r="DA37" t="s">
        <v>57</v>
      </c>
      <c r="DB37" t="s">
        <v>147</v>
      </c>
      <c r="DC37" t="s">
        <v>57</v>
      </c>
      <c r="DD37" t="s">
        <v>147</v>
      </c>
      <c r="DE37" t="s">
        <v>147</v>
      </c>
      <c r="DF37" t="s">
        <v>147</v>
      </c>
      <c r="DG37" t="s">
        <v>147</v>
      </c>
      <c r="DH37" t="s">
        <v>147</v>
      </c>
      <c r="DI37" t="s">
        <v>147</v>
      </c>
      <c r="DJ37" t="s">
        <v>147</v>
      </c>
      <c r="DK37" t="s">
        <v>175</v>
      </c>
      <c r="DL37" t="s">
        <v>147</v>
      </c>
      <c r="DM37" t="s">
        <v>147</v>
      </c>
      <c r="DN37" t="s">
        <v>147</v>
      </c>
      <c r="DO37" t="s">
        <v>147</v>
      </c>
      <c r="DP37" t="s">
        <v>147</v>
      </c>
      <c r="DQ37" t="s">
        <v>147</v>
      </c>
      <c r="DR37" t="s">
        <v>147</v>
      </c>
      <c r="DS37" t="s">
        <v>147</v>
      </c>
      <c r="DT37" t="s">
        <v>147</v>
      </c>
      <c r="DU37" t="s">
        <v>147</v>
      </c>
      <c r="DV37" t="s">
        <v>147</v>
      </c>
      <c r="DW37" t="s">
        <v>147</v>
      </c>
      <c r="DX37" t="s">
        <v>147</v>
      </c>
      <c r="DY37" t="s">
        <v>147</v>
      </c>
      <c r="DZ37" t="s">
        <v>147</v>
      </c>
      <c r="EA37" t="s">
        <v>147</v>
      </c>
      <c r="EB37" t="s">
        <v>147</v>
      </c>
      <c r="EC37" t="s">
        <v>147</v>
      </c>
      <c r="ED37" t="s">
        <v>147</v>
      </c>
      <c r="EE37" t="s">
        <v>147</v>
      </c>
      <c r="EF37" t="s">
        <v>147</v>
      </c>
      <c r="EG37" t="s">
        <v>147</v>
      </c>
      <c r="EH37" t="s">
        <v>57</v>
      </c>
      <c r="EI37" t="s">
        <v>147</v>
      </c>
      <c r="EJ37" t="s">
        <v>2596</v>
      </c>
      <c r="EK37" t="s">
        <v>147</v>
      </c>
      <c r="EL37" t="s">
        <v>57</v>
      </c>
      <c r="EM37" t="s">
        <v>57</v>
      </c>
      <c r="EN37" t="s">
        <v>57</v>
      </c>
      <c r="EO37" t="s">
        <v>57</v>
      </c>
      <c r="EP37" t="s">
        <v>57</v>
      </c>
      <c r="EQ37" t="s">
        <v>147</v>
      </c>
      <c r="ER37" t="s">
        <v>147</v>
      </c>
      <c r="ES37" t="s">
        <v>147</v>
      </c>
      <c r="ET37" t="s">
        <v>147</v>
      </c>
      <c r="EU37" t="s">
        <v>147</v>
      </c>
      <c r="EV37" t="s">
        <v>147</v>
      </c>
      <c r="EW37" t="s">
        <v>147</v>
      </c>
      <c r="EX37" t="s">
        <v>147</v>
      </c>
      <c r="EY37" t="s">
        <v>147</v>
      </c>
      <c r="EZ37" t="s">
        <v>147</v>
      </c>
      <c r="FA37" t="s">
        <v>147</v>
      </c>
      <c r="FB37" t="s">
        <v>147</v>
      </c>
      <c r="FC37" t="s">
        <v>147</v>
      </c>
      <c r="FD37" t="s">
        <v>147</v>
      </c>
      <c r="FE37" t="s">
        <v>147</v>
      </c>
      <c r="FF37" t="s">
        <v>147</v>
      </c>
      <c r="FG37" t="s">
        <v>147</v>
      </c>
      <c r="FH37" t="s">
        <v>147</v>
      </c>
      <c r="FI37" t="s">
        <v>147</v>
      </c>
      <c r="FJ37" t="s">
        <v>147</v>
      </c>
      <c r="FK37" t="s">
        <v>147</v>
      </c>
      <c r="FL37" t="s">
        <v>147</v>
      </c>
      <c r="FM37" t="s">
        <v>147</v>
      </c>
      <c r="FN37" t="s">
        <v>147</v>
      </c>
      <c r="FO37" t="s">
        <v>147</v>
      </c>
      <c r="FP37" t="s">
        <v>147</v>
      </c>
      <c r="FQ37" t="s">
        <v>147</v>
      </c>
      <c r="FR37" t="s">
        <v>147</v>
      </c>
      <c r="FS37" t="s">
        <v>147</v>
      </c>
      <c r="FT37" t="s">
        <v>147</v>
      </c>
      <c r="FU37" t="s">
        <v>147</v>
      </c>
      <c r="FV37" t="s">
        <v>147</v>
      </c>
      <c r="FW37" t="s">
        <v>147</v>
      </c>
      <c r="FX37" t="s">
        <v>147</v>
      </c>
      <c r="FY37" t="s">
        <v>147</v>
      </c>
      <c r="FZ37" t="s">
        <v>147</v>
      </c>
      <c r="GA37" t="s">
        <v>147</v>
      </c>
      <c r="GB37" t="s">
        <v>147</v>
      </c>
      <c r="GC37" t="s">
        <v>147</v>
      </c>
      <c r="GD37" t="s">
        <v>147</v>
      </c>
      <c r="GE37" t="s">
        <v>147</v>
      </c>
      <c r="GF37" t="s">
        <v>147</v>
      </c>
      <c r="GG37" t="s">
        <v>147</v>
      </c>
      <c r="GH37" t="s">
        <v>147</v>
      </c>
      <c r="GI37" t="s">
        <v>147</v>
      </c>
      <c r="GJ37" t="s">
        <v>147</v>
      </c>
      <c r="GK37" t="s">
        <v>57</v>
      </c>
      <c r="GL37" t="s">
        <v>147</v>
      </c>
      <c r="GM37" t="s">
        <v>147</v>
      </c>
      <c r="GN37" t="s">
        <v>147</v>
      </c>
      <c r="GO37" t="s">
        <v>147</v>
      </c>
      <c r="GP37" t="s">
        <v>147</v>
      </c>
      <c r="GQ37" t="s">
        <v>147</v>
      </c>
      <c r="GR37" t="s">
        <v>147</v>
      </c>
      <c r="GS37" t="s">
        <v>147</v>
      </c>
      <c r="GT37" t="s">
        <v>147</v>
      </c>
      <c r="GU37" t="s">
        <v>147</v>
      </c>
      <c r="GV37" t="s">
        <v>147</v>
      </c>
      <c r="GW37" t="s">
        <v>147</v>
      </c>
      <c r="GX37" t="s">
        <v>147</v>
      </c>
      <c r="GY37" t="s">
        <v>147</v>
      </c>
      <c r="GZ37" t="s">
        <v>147</v>
      </c>
      <c r="HA37" t="s">
        <v>147</v>
      </c>
      <c r="HB37" t="s">
        <v>147</v>
      </c>
      <c r="HC37" t="s">
        <v>147</v>
      </c>
      <c r="HD37" t="s">
        <v>147</v>
      </c>
      <c r="HE37" t="s">
        <v>147</v>
      </c>
      <c r="HF37" t="s">
        <v>147</v>
      </c>
      <c r="HG37" t="s">
        <v>147</v>
      </c>
      <c r="HH37" t="s">
        <v>147</v>
      </c>
      <c r="HI37" t="s">
        <v>147</v>
      </c>
      <c r="HJ37" t="s">
        <v>147</v>
      </c>
      <c r="HK37" t="s">
        <v>147</v>
      </c>
      <c r="HL37" t="s">
        <v>147</v>
      </c>
      <c r="HM37" t="s">
        <v>147</v>
      </c>
      <c r="HN37" t="s">
        <v>147</v>
      </c>
      <c r="HO37" t="s">
        <v>147</v>
      </c>
      <c r="HP37" t="s">
        <v>147</v>
      </c>
      <c r="HQ37" t="s">
        <v>147</v>
      </c>
      <c r="HR37" t="s">
        <v>147</v>
      </c>
      <c r="HS37" t="s">
        <v>147</v>
      </c>
      <c r="HT37" t="s">
        <v>147</v>
      </c>
      <c r="HU37" t="s">
        <v>147</v>
      </c>
      <c r="HV37" t="s">
        <v>147</v>
      </c>
      <c r="HW37" t="s">
        <v>147</v>
      </c>
      <c r="HX37" t="s">
        <v>147</v>
      </c>
      <c r="HY37" t="s">
        <v>147</v>
      </c>
      <c r="HZ37" t="s">
        <v>147</v>
      </c>
      <c r="IA37" t="s">
        <v>147</v>
      </c>
      <c r="IB37" t="s">
        <v>57</v>
      </c>
      <c r="IC37" t="s">
        <v>57</v>
      </c>
      <c r="ID37" t="s">
        <v>57</v>
      </c>
      <c r="IE37" t="s">
        <v>57</v>
      </c>
      <c r="IF37" t="s">
        <v>123</v>
      </c>
      <c r="IG37" t="s">
        <v>124</v>
      </c>
      <c r="IH37" t="s">
        <v>123</v>
      </c>
      <c r="II37" t="s">
        <v>156</v>
      </c>
    </row>
    <row r="38" spans="1:243" x14ac:dyDescent="0.25">
      <c r="A38" s="121" t="str">
        <f>HYPERLINK("http://www.ofsted.gov.uk/inspection-reports/find-inspection-report/provider/ELS/132775 ","Ofsted School Webpage")</f>
        <v>Ofsted School Webpage</v>
      </c>
      <c r="B38">
        <v>132775</v>
      </c>
      <c r="C38">
        <v>8656034</v>
      </c>
      <c r="D38" t="s">
        <v>1074</v>
      </c>
      <c r="E38" t="s">
        <v>37</v>
      </c>
      <c r="F38" t="s">
        <v>138</v>
      </c>
      <c r="G38" t="s">
        <v>182</v>
      </c>
      <c r="H38" t="s">
        <v>182</v>
      </c>
      <c r="I38" t="s">
        <v>183</v>
      </c>
      <c r="J38" t="s">
        <v>1075</v>
      </c>
      <c r="K38" t="s">
        <v>142</v>
      </c>
      <c r="L38" t="s">
        <v>142</v>
      </c>
      <c r="M38" t="s">
        <v>2596</v>
      </c>
      <c r="N38" t="s">
        <v>143</v>
      </c>
      <c r="O38">
        <v>10038368</v>
      </c>
      <c r="P38" s="108">
        <v>43040</v>
      </c>
      <c r="Q38" s="108">
        <v>43040</v>
      </c>
      <c r="R38" s="108">
        <v>43082</v>
      </c>
      <c r="S38" t="s">
        <v>144</v>
      </c>
      <c r="T38" t="s">
        <v>145</v>
      </c>
      <c r="U38" t="s">
        <v>2596</v>
      </c>
      <c r="V38" t="s">
        <v>2596</v>
      </c>
      <c r="W38" t="s">
        <v>2596</v>
      </c>
      <c r="X38" t="s">
        <v>2596</v>
      </c>
      <c r="Y38" t="s">
        <v>2596</v>
      </c>
      <c r="Z38" t="s">
        <v>2596</v>
      </c>
      <c r="AA38" t="s">
        <v>2596</v>
      </c>
      <c r="AB38" t="s">
        <v>2596</v>
      </c>
      <c r="AC38" t="s">
        <v>146</v>
      </c>
      <c r="AD38" t="s">
        <v>2596</v>
      </c>
      <c r="AE38" t="s">
        <v>147</v>
      </c>
      <c r="AF38" t="s">
        <v>147</v>
      </c>
      <c r="AG38" t="s">
        <v>57</v>
      </c>
      <c r="AH38" t="s">
        <v>57</v>
      </c>
      <c r="AI38" t="s">
        <v>147</v>
      </c>
      <c r="AJ38" t="s">
        <v>147</v>
      </c>
      <c r="AK38" t="s">
        <v>147</v>
      </c>
      <c r="AL38" t="s">
        <v>57</v>
      </c>
      <c r="AM38" t="s">
        <v>147</v>
      </c>
      <c r="AN38" t="s">
        <v>147</v>
      </c>
      <c r="AO38" t="s">
        <v>147</v>
      </c>
      <c r="AP38" t="s">
        <v>147</v>
      </c>
      <c r="AQ38" t="s">
        <v>147</v>
      </c>
      <c r="AR38" t="s">
        <v>147</v>
      </c>
      <c r="AS38" t="s">
        <v>147</v>
      </c>
      <c r="AT38" t="s">
        <v>147</v>
      </c>
      <c r="AU38" t="s">
        <v>147</v>
      </c>
      <c r="AV38" t="s">
        <v>147</v>
      </c>
      <c r="AW38" t="s">
        <v>147</v>
      </c>
      <c r="AX38" t="s">
        <v>147</v>
      </c>
      <c r="AY38" t="s">
        <v>147</v>
      </c>
      <c r="AZ38" t="s">
        <v>147</v>
      </c>
      <c r="BA38" t="s">
        <v>147</v>
      </c>
      <c r="BB38" t="s">
        <v>147</v>
      </c>
      <c r="BC38" t="s">
        <v>147</v>
      </c>
      <c r="BD38" t="s">
        <v>147</v>
      </c>
      <c r="BE38" t="s">
        <v>147</v>
      </c>
      <c r="BF38" t="s">
        <v>147</v>
      </c>
      <c r="BG38" t="s">
        <v>147</v>
      </c>
      <c r="BH38" t="s">
        <v>147</v>
      </c>
      <c r="BI38" t="s">
        <v>147</v>
      </c>
      <c r="BJ38" t="s">
        <v>147</v>
      </c>
      <c r="BK38" t="s">
        <v>147</v>
      </c>
      <c r="BL38" t="s">
        <v>147</v>
      </c>
      <c r="BM38" t="s">
        <v>147</v>
      </c>
      <c r="BN38" t="s">
        <v>147</v>
      </c>
      <c r="BO38" t="s">
        <v>147</v>
      </c>
      <c r="BP38" t="s">
        <v>147</v>
      </c>
      <c r="BQ38" t="s">
        <v>147</v>
      </c>
      <c r="BR38" t="s">
        <v>147</v>
      </c>
      <c r="BS38" t="s">
        <v>147</v>
      </c>
      <c r="BT38" t="s">
        <v>147</v>
      </c>
      <c r="BU38" t="s">
        <v>147</v>
      </c>
      <c r="BV38" t="s">
        <v>147</v>
      </c>
      <c r="BW38" t="s">
        <v>147</v>
      </c>
      <c r="BX38" t="s">
        <v>147</v>
      </c>
      <c r="BY38" t="s">
        <v>147</v>
      </c>
      <c r="BZ38" t="s">
        <v>147</v>
      </c>
      <c r="CA38" t="s">
        <v>147</v>
      </c>
      <c r="CB38" t="s">
        <v>147</v>
      </c>
      <c r="CC38" t="s">
        <v>147</v>
      </c>
      <c r="CD38" t="s">
        <v>147</v>
      </c>
      <c r="CE38" t="s">
        <v>147</v>
      </c>
      <c r="CF38" t="s">
        <v>147</v>
      </c>
      <c r="CG38" t="s">
        <v>147</v>
      </c>
      <c r="CH38" t="s">
        <v>57</v>
      </c>
      <c r="CI38" t="s">
        <v>57</v>
      </c>
      <c r="CJ38" t="s">
        <v>57</v>
      </c>
      <c r="CK38" t="s">
        <v>147</v>
      </c>
      <c r="CL38" t="s">
        <v>147</v>
      </c>
      <c r="CM38" t="s">
        <v>147</v>
      </c>
      <c r="CN38" t="s">
        <v>147</v>
      </c>
      <c r="CO38" t="s">
        <v>147</v>
      </c>
      <c r="CP38" t="s">
        <v>147</v>
      </c>
      <c r="CQ38" t="s">
        <v>147</v>
      </c>
      <c r="CR38" t="s">
        <v>147</v>
      </c>
      <c r="CS38" t="s">
        <v>147</v>
      </c>
      <c r="CT38" t="s">
        <v>147</v>
      </c>
      <c r="CU38" t="s">
        <v>147</v>
      </c>
      <c r="CV38" t="s">
        <v>147</v>
      </c>
      <c r="CW38" t="s">
        <v>147</v>
      </c>
      <c r="CX38" t="s">
        <v>147</v>
      </c>
      <c r="CY38" t="s">
        <v>147</v>
      </c>
      <c r="CZ38" t="s">
        <v>147</v>
      </c>
      <c r="DA38" t="s">
        <v>57</v>
      </c>
      <c r="DB38" t="s">
        <v>147</v>
      </c>
      <c r="DC38" t="s">
        <v>57</v>
      </c>
      <c r="DD38" t="s">
        <v>147</v>
      </c>
      <c r="DE38" t="s">
        <v>147</v>
      </c>
      <c r="DF38" t="s">
        <v>147</v>
      </c>
      <c r="DG38" t="s">
        <v>147</v>
      </c>
      <c r="DH38" t="s">
        <v>147</v>
      </c>
      <c r="DI38" t="s">
        <v>147</v>
      </c>
      <c r="DJ38" t="s">
        <v>147</v>
      </c>
      <c r="DK38" t="s">
        <v>147</v>
      </c>
      <c r="DL38" t="s">
        <v>147</v>
      </c>
      <c r="DM38" t="s">
        <v>147</v>
      </c>
      <c r="DN38" t="s">
        <v>147</v>
      </c>
      <c r="DO38" t="s">
        <v>147</v>
      </c>
      <c r="DP38" t="s">
        <v>147</v>
      </c>
      <c r="DQ38" t="s">
        <v>147</v>
      </c>
      <c r="DR38" t="s">
        <v>147</v>
      </c>
      <c r="DS38" t="s">
        <v>147</v>
      </c>
      <c r="DT38" t="s">
        <v>147</v>
      </c>
      <c r="DU38" t="s">
        <v>147</v>
      </c>
      <c r="DV38" t="s">
        <v>147</v>
      </c>
      <c r="DW38" t="s">
        <v>147</v>
      </c>
      <c r="DX38" t="s">
        <v>147</v>
      </c>
      <c r="DY38" t="s">
        <v>147</v>
      </c>
      <c r="DZ38" t="s">
        <v>147</v>
      </c>
      <c r="EA38" t="s">
        <v>147</v>
      </c>
      <c r="EB38" t="s">
        <v>147</v>
      </c>
      <c r="EC38" t="s">
        <v>147</v>
      </c>
      <c r="ED38" t="s">
        <v>147</v>
      </c>
      <c r="EE38" t="s">
        <v>147</v>
      </c>
      <c r="EF38" t="s">
        <v>147</v>
      </c>
      <c r="EG38" t="s">
        <v>147</v>
      </c>
      <c r="EH38" t="s">
        <v>147</v>
      </c>
      <c r="EI38" t="s">
        <v>147</v>
      </c>
      <c r="EJ38" t="s">
        <v>57</v>
      </c>
      <c r="EK38" t="s">
        <v>147</v>
      </c>
      <c r="EL38" t="s">
        <v>57</v>
      </c>
      <c r="EM38" t="s">
        <v>57</v>
      </c>
      <c r="EN38" t="s">
        <v>57</v>
      </c>
      <c r="EO38" t="s">
        <v>147</v>
      </c>
      <c r="EP38" t="s">
        <v>147</v>
      </c>
      <c r="EQ38" t="s">
        <v>147</v>
      </c>
      <c r="ER38" t="s">
        <v>147</v>
      </c>
      <c r="ES38" t="s">
        <v>147</v>
      </c>
      <c r="ET38" t="s">
        <v>57</v>
      </c>
      <c r="EU38" t="s">
        <v>147</v>
      </c>
      <c r="EV38" t="s">
        <v>57</v>
      </c>
      <c r="EW38" t="s">
        <v>147</v>
      </c>
      <c r="EX38" t="s">
        <v>147</v>
      </c>
      <c r="EY38" t="s">
        <v>147</v>
      </c>
      <c r="EZ38" t="s">
        <v>147</v>
      </c>
      <c r="FA38" t="s">
        <v>147</v>
      </c>
      <c r="FB38" t="s">
        <v>147</v>
      </c>
      <c r="FC38" t="s">
        <v>147</v>
      </c>
      <c r="FD38" t="s">
        <v>147</v>
      </c>
      <c r="FE38" t="s">
        <v>147</v>
      </c>
      <c r="FF38" t="s">
        <v>147</v>
      </c>
      <c r="FG38" t="s">
        <v>147</v>
      </c>
      <c r="FH38" t="s">
        <v>147</v>
      </c>
      <c r="FI38" t="s">
        <v>147</v>
      </c>
      <c r="FJ38" t="s">
        <v>147</v>
      </c>
      <c r="FK38" t="s">
        <v>147</v>
      </c>
      <c r="FL38" t="s">
        <v>147</v>
      </c>
      <c r="FM38" t="s">
        <v>147</v>
      </c>
      <c r="FN38" t="s">
        <v>147</v>
      </c>
      <c r="FO38" t="s">
        <v>147</v>
      </c>
      <c r="FP38" t="s">
        <v>147</v>
      </c>
      <c r="FQ38" t="s">
        <v>147</v>
      </c>
      <c r="FR38" t="s">
        <v>147</v>
      </c>
      <c r="FS38" t="s">
        <v>147</v>
      </c>
      <c r="FT38" t="s">
        <v>147</v>
      </c>
      <c r="FU38" t="s">
        <v>147</v>
      </c>
      <c r="FV38" t="s">
        <v>147</v>
      </c>
      <c r="FW38" t="s">
        <v>147</v>
      </c>
      <c r="FX38" t="s">
        <v>147</v>
      </c>
      <c r="FY38" t="s">
        <v>147</v>
      </c>
      <c r="FZ38" t="s">
        <v>147</v>
      </c>
      <c r="GA38" t="s">
        <v>147</v>
      </c>
      <c r="GB38" t="s">
        <v>147</v>
      </c>
      <c r="GC38" t="s">
        <v>147</v>
      </c>
      <c r="GD38" t="s">
        <v>147</v>
      </c>
      <c r="GE38" t="s">
        <v>147</v>
      </c>
      <c r="GF38" t="s">
        <v>147</v>
      </c>
      <c r="GG38" t="s">
        <v>147</v>
      </c>
      <c r="GH38" t="s">
        <v>147</v>
      </c>
      <c r="GI38" t="s">
        <v>147</v>
      </c>
      <c r="GJ38" t="s">
        <v>147</v>
      </c>
      <c r="GK38" t="s">
        <v>147</v>
      </c>
      <c r="GL38" t="s">
        <v>147</v>
      </c>
      <c r="GM38" t="s">
        <v>147</v>
      </c>
      <c r="GN38" t="s">
        <v>147</v>
      </c>
      <c r="GO38" t="s">
        <v>147</v>
      </c>
      <c r="GP38" t="s">
        <v>147</v>
      </c>
      <c r="GQ38" t="s">
        <v>147</v>
      </c>
      <c r="GR38" t="s">
        <v>147</v>
      </c>
      <c r="GS38" t="s">
        <v>147</v>
      </c>
      <c r="GT38" t="s">
        <v>147</v>
      </c>
      <c r="GU38" t="s">
        <v>147</v>
      </c>
      <c r="GV38" t="s">
        <v>147</v>
      </c>
      <c r="GW38" t="s">
        <v>147</v>
      </c>
      <c r="GX38" t="s">
        <v>147</v>
      </c>
      <c r="GY38" t="s">
        <v>147</v>
      </c>
      <c r="GZ38" t="s">
        <v>147</v>
      </c>
      <c r="HA38" t="s">
        <v>147</v>
      </c>
      <c r="HB38" t="s">
        <v>147</v>
      </c>
      <c r="HC38" t="s">
        <v>147</v>
      </c>
      <c r="HD38" t="s">
        <v>147</v>
      </c>
      <c r="HE38" t="s">
        <v>147</v>
      </c>
      <c r="HF38" t="s">
        <v>147</v>
      </c>
      <c r="HG38" t="s">
        <v>147</v>
      </c>
      <c r="HH38" t="s">
        <v>147</v>
      </c>
      <c r="HI38" t="s">
        <v>147</v>
      </c>
      <c r="HJ38" t="s">
        <v>147</v>
      </c>
      <c r="HK38" t="s">
        <v>147</v>
      </c>
      <c r="HL38" t="s">
        <v>147</v>
      </c>
      <c r="HM38" t="s">
        <v>147</v>
      </c>
      <c r="HN38" t="s">
        <v>147</v>
      </c>
      <c r="HO38" t="s">
        <v>147</v>
      </c>
      <c r="HP38" t="s">
        <v>147</v>
      </c>
      <c r="HQ38" t="s">
        <v>147</v>
      </c>
      <c r="HR38" t="s">
        <v>147</v>
      </c>
      <c r="HS38" t="s">
        <v>147</v>
      </c>
      <c r="HT38" t="s">
        <v>147</v>
      </c>
      <c r="HU38" t="s">
        <v>147</v>
      </c>
      <c r="HV38" t="s">
        <v>147</v>
      </c>
      <c r="HW38" t="s">
        <v>147</v>
      </c>
      <c r="HX38" t="s">
        <v>147</v>
      </c>
      <c r="HY38" t="s">
        <v>147</v>
      </c>
      <c r="HZ38" t="s">
        <v>147</v>
      </c>
      <c r="IA38" t="s">
        <v>147</v>
      </c>
      <c r="IB38" t="s">
        <v>57</v>
      </c>
      <c r="IC38" t="s">
        <v>57</v>
      </c>
      <c r="ID38" t="s">
        <v>57</v>
      </c>
      <c r="IE38" t="s">
        <v>57</v>
      </c>
      <c r="IF38" t="s">
        <v>2596</v>
      </c>
      <c r="IG38" t="s">
        <v>2596</v>
      </c>
      <c r="IH38" t="s">
        <v>2596</v>
      </c>
      <c r="II38" t="s">
        <v>2596</v>
      </c>
    </row>
    <row r="39" spans="1:243" x14ac:dyDescent="0.25">
      <c r="A39" s="121" t="str">
        <f>HYPERLINK("http://www.ofsted.gov.uk/inspection-reports/find-inspection-report/provider/ELS/133385 ","Ofsted School Webpage")</f>
        <v>Ofsted School Webpage</v>
      </c>
      <c r="B39">
        <v>133385</v>
      </c>
      <c r="C39">
        <v>3046079</v>
      </c>
      <c r="D39" t="s">
        <v>2323</v>
      </c>
      <c r="E39" t="s">
        <v>36</v>
      </c>
      <c r="F39" t="s">
        <v>166</v>
      </c>
      <c r="G39" t="s">
        <v>189</v>
      </c>
      <c r="H39" t="s">
        <v>189</v>
      </c>
      <c r="I39" t="s">
        <v>702</v>
      </c>
      <c r="J39" t="s">
        <v>2324</v>
      </c>
      <c r="K39" t="s">
        <v>142</v>
      </c>
      <c r="L39" t="s">
        <v>180</v>
      </c>
      <c r="M39" t="s">
        <v>2596</v>
      </c>
      <c r="N39" t="s">
        <v>143</v>
      </c>
      <c r="O39">
        <v>10044655</v>
      </c>
      <c r="P39" s="108">
        <v>43132</v>
      </c>
      <c r="Q39" s="108">
        <v>43132</v>
      </c>
      <c r="R39" s="108">
        <v>43171</v>
      </c>
      <c r="S39" t="s">
        <v>144</v>
      </c>
      <c r="T39" t="s">
        <v>145</v>
      </c>
      <c r="U39" t="s">
        <v>2596</v>
      </c>
      <c r="V39" t="s">
        <v>2596</v>
      </c>
      <c r="W39" t="s">
        <v>2596</v>
      </c>
      <c r="X39" t="s">
        <v>2596</v>
      </c>
      <c r="Y39" t="s">
        <v>2596</v>
      </c>
      <c r="Z39" t="s">
        <v>2596</v>
      </c>
      <c r="AA39" t="s">
        <v>2596</v>
      </c>
      <c r="AB39" t="s">
        <v>2596</v>
      </c>
      <c r="AC39" t="s">
        <v>174</v>
      </c>
      <c r="AD39" t="s">
        <v>2596</v>
      </c>
      <c r="AE39" t="s">
        <v>58</v>
      </c>
      <c r="AF39" t="s">
        <v>58</v>
      </c>
      <c r="AG39" t="s">
        <v>58</v>
      </c>
      <c r="AH39" t="s">
        <v>58</v>
      </c>
      <c r="AI39" t="s">
        <v>58</v>
      </c>
      <c r="AJ39" t="s">
        <v>57</v>
      </c>
      <c r="AK39" t="s">
        <v>57</v>
      </c>
      <c r="AL39" t="s">
        <v>58</v>
      </c>
      <c r="AM39" t="s">
        <v>58</v>
      </c>
      <c r="AN39" t="s">
        <v>58</v>
      </c>
      <c r="AO39" t="s">
        <v>58</v>
      </c>
      <c r="AP39" t="s">
        <v>58</v>
      </c>
      <c r="AQ39" t="s">
        <v>58</v>
      </c>
      <c r="AR39" t="s">
        <v>58</v>
      </c>
      <c r="AS39" t="s">
        <v>57</v>
      </c>
      <c r="AT39" t="s">
        <v>147</v>
      </c>
      <c r="AU39" t="s">
        <v>147</v>
      </c>
      <c r="AV39" t="s">
        <v>58</v>
      </c>
      <c r="AW39" t="s">
        <v>58</v>
      </c>
      <c r="AX39" t="s">
        <v>58</v>
      </c>
      <c r="AY39" t="s">
        <v>58</v>
      </c>
      <c r="AZ39" t="s">
        <v>58</v>
      </c>
      <c r="BA39" t="s">
        <v>58</v>
      </c>
      <c r="BB39" t="s">
        <v>58</v>
      </c>
      <c r="BC39" t="s">
        <v>58</v>
      </c>
      <c r="BD39" t="s">
        <v>175</v>
      </c>
      <c r="BE39" t="s">
        <v>147</v>
      </c>
      <c r="BF39" t="s">
        <v>58</v>
      </c>
      <c r="BG39" t="s">
        <v>58</v>
      </c>
      <c r="BH39" t="s">
        <v>58</v>
      </c>
      <c r="BI39" t="s">
        <v>58</v>
      </c>
      <c r="BJ39" t="s">
        <v>147</v>
      </c>
      <c r="BK39" t="s">
        <v>147</v>
      </c>
      <c r="BL39" t="s">
        <v>147</v>
      </c>
      <c r="BM39" t="s">
        <v>58</v>
      </c>
      <c r="BN39" t="s">
        <v>58</v>
      </c>
      <c r="BO39" t="s">
        <v>147</v>
      </c>
      <c r="BP39" t="s">
        <v>58</v>
      </c>
      <c r="BQ39" t="s">
        <v>147</v>
      </c>
      <c r="BR39" t="s">
        <v>147</v>
      </c>
      <c r="BS39" t="s">
        <v>58</v>
      </c>
      <c r="BT39" t="s">
        <v>58</v>
      </c>
      <c r="BU39" t="s">
        <v>58</v>
      </c>
      <c r="BV39" t="s">
        <v>58</v>
      </c>
      <c r="BW39" t="s">
        <v>58</v>
      </c>
      <c r="BX39" t="s">
        <v>58</v>
      </c>
      <c r="BY39" t="s">
        <v>58</v>
      </c>
      <c r="BZ39" t="s">
        <v>58</v>
      </c>
      <c r="CA39" t="s">
        <v>58</v>
      </c>
      <c r="CB39" t="s">
        <v>58</v>
      </c>
      <c r="CC39" t="s">
        <v>57</v>
      </c>
      <c r="CD39" t="s">
        <v>57</v>
      </c>
      <c r="CE39" t="s">
        <v>57</v>
      </c>
      <c r="CF39" t="s">
        <v>57</v>
      </c>
      <c r="CG39" t="s">
        <v>57</v>
      </c>
      <c r="CH39" t="s">
        <v>58</v>
      </c>
      <c r="CI39" t="s">
        <v>58</v>
      </c>
      <c r="CJ39" t="s">
        <v>58</v>
      </c>
      <c r="CK39" t="s">
        <v>175</v>
      </c>
      <c r="CL39" t="s">
        <v>175</v>
      </c>
      <c r="CM39" t="s">
        <v>175</v>
      </c>
      <c r="CN39" t="s">
        <v>58</v>
      </c>
      <c r="CO39" t="s">
        <v>57</v>
      </c>
      <c r="CP39" t="s">
        <v>58</v>
      </c>
      <c r="CQ39" t="s">
        <v>57</v>
      </c>
      <c r="CR39" t="s">
        <v>58</v>
      </c>
      <c r="CS39" t="s">
        <v>58</v>
      </c>
      <c r="CT39" t="s">
        <v>58</v>
      </c>
      <c r="CU39" t="s">
        <v>58</v>
      </c>
      <c r="CV39" t="s">
        <v>58</v>
      </c>
      <c r="CW39" t="s">
        <v>58</v>
      </c>
      <c r="CX39" t="s">
        <v>58</v>
      </c>
      <c r="CY39" t="s">
        <v>58</v>
      </c>
      <c r="CZ39" t="s">
        <v>58</v>
      </c>
      <c r="DA39" t="s">
        <v>58</v>
      </c>
      <c r="DB39" t="s">
        <v>58</v>
      </c>
      <c r="DC39" t="s">
        <v>58</v>
      </c>
      <c r="DD39" t="s">
        <v>57</v>
      </c>
      <c r="DE39" t="s">
        <v>147</v>
      </c>
      <c r="DF39" t="s">
        <v>57</v>
      </c>
      <c r="DG39" t="s">
        <v>147</v>
      </c>
      <c r="DH39" t="s">
        <v>147</v>
      </c>
      <c r="DI39" t="s">
        <v>58</v>
      </c>
      <c r="DJ39" t="s">
        <v>58</v>
      </c>
      <c r="DK39" t="s">
        <v>175</v>
      </c>
      <c r="DL39" t="s">
        <v>147</v>
      </c>
      <c r="DM39" t="s">
        <v>147</v>
      </c>
      <c r="DN39" t="s">
        <v>147</v>
      </c>
      <c r="DO39" t="s">
        <v>147</v>
      </c>
      <c r="DP39" t="s">
        <v>147</v>
      </c>
      <c r="DQ39" t="s">
        <v>147</v>
      </c>
      <c r="DR39" t="s">
        <v>147</v>
      </c>
      <c r="DS39" t="s">
        <v>147</v>
      </c>
      <c r="DT39" t="s">
        <v>147</v>
      </c>
      <c r="DU39" t="s">
        <v>147</v>
      </c>
      <c r="DV39" t="s">
        <v>147</v>
      </c>
      <c r="DW39" t="s">
        <v>147</v>
      </c>
      <c r="DX39" t="s">
        <v>147</v>
      </c>
      <c r="DY39" t="s">
        <v>147</v>
      </c>
      <c r="DZ39" t="s">
        <v>147</v>
      </c>
      <c r="EA39" t="s">
        <v>147</v>
      </c>
      <c r="EB39" t="s">
        <v>147</v>
      </c>
      <c r="EC39" t="s">
        <v>147</v>
      </c>
      <c r="ED39" t="s">
        <v>147</v>
      </c>
      <c r="EE39" t="s">
        <v>147</v>
      </c>
      <c r="EF39" t="s">
        <v>147</v>
      </c>
      <c r="EG39" t="s">
        <v>147</v>
      </c>
      <c r="EH39" t="s">
        <v>147</v>
      </c>
      <c r="EI39" t="s">
        <v>147</v>
      </c>
      <c r="EJ39" t="s">
        <v>147</v>
      </c>
      <c r="EK39" t="s">
        <v>147</v>
      </c>
      <c r="EL39" t="s">
        <v>58</v>
      </c>
      <c r="EM39" t="s">
        <v>58</v>
      </c>
      <c r="EN39" t="s">
        <v>147</v>
      </c>
      <c r="EO39" t="s">
        <v>58</v>
      </c>
      <c r="EP39" t="s">
        <v>58</v>
      </c>
      <c r="EQ39" t="s">
        <v>147</v>
      </c>
      <c r="ER39" t="s">
        <v>58</v>
      </c>
      <c r="ES39" t="s">
        <v>58</v>
      </c>
      <c r="ET39" t="s">
        <v>147</v>
      </c>
      <c r="EU39" t="s">
        <v>58</v>
      </c>
      <c r="EV39" t="s">
        <v>58</v>
      </c>
      <c r="EW39" t="s">
        <v>147</v>
      </c>
      <c r="EX39" t="s">
        <v>147</v>
      </c>
      <c r="EY39" t="s">
        <v>147</v>
      </c>
      <c r="EZ39" t="s">
        <v>147</v>
      </c>
      <c r="FA39" t="s">
        <v>147</v>
      </c>
      <c r="FB39" t="s">
        <v>147</v>
      </c>
      <c r="FC39" t="s">
        <v>147</v>
      </c>
      <c r="FD39" t="s">
        <v>147</v>
      </c>
      <c r="FE39" t="s">
        <v>147</v>
      </c>
      <c r="FF39" t="s">
        <v>147</v>
      </c>
      <c r="FG39" t="s">
        <v>147</v>
      </c>
      <c r="FH39" t="s">
        <v>58</v>
      </c>
      <c r="FI39" t="s">
        <v>58</v>
      </c>
      <c r="FJ39" t="s">
        <v>147</v>
      </c>
      <c r="FK39" t="s">
        <v>58</v>
      </c>
      <c r="FL39" t="s">
        <v>57</v>
      </c>
      <c r="FM39" t="s">
        <v>57</v>
      </c>
      <c r="FN39" t="s">
        <v>57</v>
      </c>
      <c r="FO39" t="s">
        <v>57</v>
      </c>
      <c r="FP39" t="s">
        <v>57</v>
      </c>
      <c r="FQ39" t="s">
        <v>58</v>
      </c>
      <c r="FR39" t="s">
        <v>147</v>
      </c>
      <c r="FS39" t="s">
        <v>57</v>
      </c>
      <c r="FT39" t="s">
        <v>57</v>
      </c>
      <c r="FU39" t="s">
        <v>57</v>
      </c>
      <c r="FV39" t="s">
        <v>57</v>
      </c>
      <c r="FW39" t="s">
        <v>57</v>
      </c>
      <c r="FX39" t="s">
        <v>57</v>
      </c>
      <c r="FY39" t="s">
        <v>57</v>
      </c>
      <c r="FZ39" t="s">
        <v>147</v>
      </c>
      <c r="GA39" t="s">
        <v>147</v>
      </c>
      <c r="GB39" t="s">
        <v>147</v>
      </c>
      <c r="GC39" t="s">
        <v>147</v>
      </c>
      <c r="GD39" t="s">
        <v>147</v>
      </c>
      <c r="GE39" t="s">
        <v>147</v>
      </c>
      <c r="GF39" t="s">
        <v>147</v>
      </c>
      <c r="GG39" t="s">
        <v>175</v>
      </c>
      <c r="GH39" t="s">
        <v>57</v>
      </c>
      <c r="GI39" t="s">
        <v>57</v>
      </c>
      <c r="GJ39" t="s">
        <v>57</v>
      </c>
      <c r="GK39" t="s">
        <v>147</v>
      </c>
      <c r="GL39" t="s">
        <v>147</v>
      </c>
      <c r="GM39" t="s">
        <v>147</v>
      </c>
      <c r="GN39" t="s">
        <v>147</v>
      </c>
      <c r="GO39" t="s">
        <v>147</v>
      </c>
      <c r="GP39" t="s">
        <v>147</v>
      </c>
      <c r="GQ39" t="s">
        <v>147</v>
      </c>
      <c r="GR39" t="s">
        <v>147</v>
      </c>
      <c r="GS39" t="s">
        <v>58</v>
      </c>
      <c r="GT39" t="s">
        <v>147</v>
      </c>
      <c r="GU39" t="s">
        <v>147</v>
      </c>
      <c r="GV39" t="s">
        <v>147</v>
      </c>
      <c r="GW39" t="s">
        <v>147</v>
      </c>
      <c r="GX39" t="s">
        <v>58</v>
      </c>
      <c r="GY39" t="s">
        <v>57</v>
      </c>
      <c r="GZ39" t="s">
        <v>58</v>
      </c>
      <c r="HA39" t="s">
        <v>57</v>
      </c>
      <c r="HB39" t="s">
        <v>147</v>
      </c>
      <c r="HC39" t="s">
        <v>57</v>
      </c>
      <c r="HD39" t="s">
        <v>57</v>
      </c>
      <c r="HE39" t="s">
        <v>147</v>
      </c>
      <c r="HF39" t="s">
        <v>58</v>
      </c>
      <c r="HG39" t="s">
        <v>147</v>
      </c>
      <c r="HH39" t="s">
        <v>147</v>
      </c>
      <c r="HI39" t="s">
        <v>147</v>
      </c>
      <c r="HJ39" t="s">
        <v>147</v>
      </c>
      <c r="HK39" t="s">
        <v>147</v>
      </c>
      <c r="HL39" t="s">
        <v>57</v>
      </c>
      <c r="HM39" t="s">
        <v>57</v>
      </c>
      <c r="HN39" t="s">
        <v>57</v>
      </c>
      <c r="HO39" t="s">
        <v>57</v>
      </c>
      <c r="HP39" t="s">
        <v>57</v>
      </c>
      <c r="HQ39" t="s">
        <v>57</v>
      </c>
      <c r="HR39" t="s">
        <v>57</v>
      </c>
      <c r="HS39" t="s">
        <v>57</v>
      </c>
      <c r="HT39" t="s">
        <v>57</v>
      </c>
      <c r="HU39" t="s">
        <v>147</v>
      </c>
      <c r="HV39" t="s">
        <v>147</v>
      </c>
      <c r="HW39" t="s">
        <v>147</v>
      </c>
      <c r="HX39" t="s">
        <v>58</v>
      </c>
      <c r="HY39" t="s">
        <v>58</v>
      </c>
      <c r="HZ39" t="s">
        <v>58</v>
      </c>
      <c r="IA39" t="s">
        <v>57</v>
      </c>
      <c r="IB39" t="s">
        <v>58</v>
      </c>
      <c r="IC39" t="s">
        <v>58</v>
      </c>
      <c r="ID39" t="s">
        <v>58</v>
      </c>
      <c r="IE39" t="s">
        <v>58</v>
      </c>
      <c r="IF39" t="s">
        <v>124</v>
      </c>
      <c r="IG39" t="s">
        <v>148</v>
      </c>
      <c r="IH39" t="s">
        <v>123</v>
      </c>
      <c r="II39" t="s">
        <v>156</v>
      </c>
    </row>
    <row r="40" spans="1:243" x14ac:dyDescent="0.25">
      <c r="A40" s="121" t="str">
        <f>HYPERLINK("http://www.ofsted.gov.uk/inspection-reports/find-inspection-report/provider/ELS/133449 ","Ofsted School Webpage")</f>
        <v>Ofsted School Webpage</v>
      </c>
      <c r="B40">
        <v>133449</v>
      </c>
      <c r="C40">
        <v>2046410</v>
      </c>
      <c r="D40" t="s">
        <v>1259</v>
      </c>
      <c r="E40" t="s">
        <v>36</v>
      </c>
      <c r="F40" t="s">
        <v>166</v>
      </c>
      <c r="G40" t="s">
        <v>189</v>
      </c>
      <c r="H40" t="s">
        <v>189</v>
      </c>
      <c r="I40" t="s">
        <v>434</v>
      </c>
      <c r="J40" t="s">
        <v>1260</v>
      </c>
      <c r="K40" t="s">
        <v>142</v>
      </c>
      <c r="L40" t="s">
        <v>180</v>
      </c>
      <c r="M40" t="s">
        <v>2596</v>
      </c>
      <c r="N40" t="s">
        <v>143</v>
      </c>
      <c r="O40">
        <v>10045463</v>
      </c>
      <c r="P40" s="108">
        <v>43158</v>
      </c>
      <c r="Q40" s="108">
        <v>43158</v>
      </c>
      <c r="R40" s="108">
        <v>43188</v>
      </c>
      <c r="S40" t="s">
        <v>144</v>
      </c>
      <c r="T40" t="s">
        <v>145</v>
      </c>
      <c r="U40" t="s">
        <v>2596</v>
      </c>
      <c r="V40" t="s">
        <v>2596</v>
      </c>
      <c r="W40" t="s">
        <v>2596</v>
      </c>
      <c r="X40" t="s">
        <v>2596</v>
      </c>
      <c r="Y40" t="s">
        <v>2596</v>
      </c>
      <c r="Z40" t="s">
        <v>2596</v>
      </c>
      <c r="AA40" t="s">
        <v>2596</v>
      </c>
      <c r="AB40" t="s">
        <v>2596</v>
      </c>
      <c r="AC40" t="s">
        <v>174</v>
      </c>
      <c r="AD40" t="s">
        <v>2596</v>
      </c>
      <c r="AE40" t="s">
        <v>147</v>
      </c>
      <c r="AF40" t="s">
        <v>147</v>
      </c>
      <c r="AG40" t="s">
        <v>58</v>
      </c>
      <c r="AH40" t="s">
        <v>57</v>
      </c>
      <c r="AI40" t="s">
        <v>147</v>
      </c>
      <c r="AJ40" t="s">
        <v>57</v>
      </c>
      <c r="AK40" t="s">
        <v>147</v>
      </c>
      <c r="AL40" t="s">
        <v>58</v>
      </c>
      <c r="AM40" t="s">
        <v>147</v>
      </c>
      <c r="AN40" t="s">
        <v>147</v>
      </c>
      <c r="AO40" t="s">
        <v>147</v>
      </c>
      <c r="AP40" t="s">
        <v>147</v>
      </c>
      <c r="AQ40" t="s">
        <v>147</v>
      </c>
      <c r="AR40" t="s">
        <v>147</v>
      </c>
      <c r="AS40" t="s">
        <v>147</v>
      </c>
      <c r="AT40" t="s">
        <v>147</v>
      </c>
      <c r="AU40" t="s">
        <v>175</v>
      </c>
      <c r="AV40" t="s">
        <v>147</v>
      </c>
      <c r="AW40" t="s">
        <v>147</v>
      </c>
      <c r="AX40" t="s">
        <v>147</v>
      </c>
      <c r="AY40" t="s">
        <v>175</v>
      </c>
      <c r="AZ40" t="s">
        <v>175</v>
      </c>
      <c r="BA40" t="s">
        <v>175</v>
      </c>
      <c r="BB40" t="s">
        <v>175</v>
      </c>
      <c r="BC40" t="s">
        <v>175</v>
      </c>
      <c r="BD40" t="s">
        <v>175</v>
      </c>
      <c r="BE40" t="s">
        <v>147</v>
      </c>
      <c r="BF40" t="s">
        <v>147</v>
      </c>
      <c r="BG40" t="s">
        <v>147</v>
      </c>
      <c r="BH40" t="s">
        <v>147</v>
      </c>
      <c r="BI40" t="s">
        <v>147</v>
      </c>
      <c r="BJ40" t="s">
        <v>147</v>
      </c>
      <c r="BK40" t="s">
        <v>147</v>
      </c>
      <c r="BL40" t="s">
        <v>147</v>
      </c>
      <c r="BM40" t="s">
        <v>147</v>
      </c>
      <c r="BN40" t="s">
        <v>147</v>
      </c>
      <c r="BO40" t="s">
        <v>147</v>
      </c>
      <c r="BP40" t="s">
        <v>147</v>
      </c>
      <c r="BQ40" t="s">
        <v>147</v>
      </c>
      <c r="BR40" t="s">
        <v>147</v>
      </c>
      <c r="BS40" t="s">
        <v>147</v>
      </c>
      <c r="BT40" t="s">
        <v>147</v>
      </c>
      <c r="BU40" t="s">
        <v>147</v>
      </c>
      <c r="BV40" t="s">
        <v>147</v>
      </c>
      <c r="BW40" t="s">
        <v>147</v>
      </c>
      <c r="BX40" t="s">
        <v>147</v>
      </c>
      <c r="BY40" t="s">
        <v>147</v>
      </c>
      <c r="BZ40" t="s">
        <v>147</v>
      </c>
      <c r="CA40" t="s">
        <v>147</v>
      </c>
      <c r="CB40" t="s">
        <v>147</v>
      </c>
      <c r="CC40" t="s">
        <v>147</v>
      </c>
      <c r="CD40" t="s">
        <v>147</v>
      </c>
      <c r="CE40" t="s">
        <v>147</v>
      </c>
      <c r="CF40" t="s">
        <v>147</v>
      </c>
      <c r="CG40" t="s">
        <v>147</v>
      </c>
      <c r="CH40" t="s">
        <v>58</v>
      </c>
      <c r="CI40" t="s">
        <v>58</v>
      </c>
      <c r="CJ40" t="s">
        <v>57</v>
      </c>
      <c r="CK40" t="s">
        <v>175</v>
      </c>
      <c r="CL40" t="s">
        <v>175</v>
      </c>
      <c r="CM40" t="s">
        <v>175</v>
      </c>
      <c r="CN40" t="s">
        <v>147</v>
      </c>
      <c r="CO40" t="s">
        <v>147</v>
      </c>
      <c r="CP40" t="s">
        <v>147</v>
      </c>
      <c r="CQ40" t="s">
        <v>147</v>
      </c>
      <c r="CR40" t="s">
        <v>147</v>
      </c>
      <c r="CS40" t="s">
        <v>57</v>
      </c>
      <c r="CT40" t="s">
        <v>57</v>
      </c>
      <c r="CU40" t="s">
        <v>147</v>
      </c>
      <c r="CV40" t="s">
        <v>147</v>
      </c>
      <c r="CW40" t="s">
        <v>147</v>
      </c>
      <c r="CX40" t="s">
        <v>57</v>
      </c>
      <c r="CY40" t="s">
        <v>57</v>
      </c>
      <c r="CZ40" t="s">
        <v>57</v>
      </c>
      <c r="DA40" t="s">
        <v>57</v>
      </c>
      <c r="DB40" t="s">
        <v>147</v>
      </c>
      <c r="DC40" t="s">
        <v>57</v>
      </c>
      <c r="DD40" t="s">
        <v>147</v>
      </c>
      <c r="DE40" t="s">
        <v>147</v>
      </c>
      <c r="DF40" t="s">
        <v>147</v>
      </c>
      <c r="DG40" t="s">
        <v>147</v>
      </c>
      <c r="DH40" t="s">
        <v>147</v>
      </c>
      <c r="DI40" t="s">
        <v>147</v>
      </c>
      <c r="DJ40" t="s">
        <v>147</v>
      </c>
      <c r="DK40" t="s">
        <v>175</v>
      </c>
      <c r="DL40" t="s">
        <v>147</v>
      </c>
      <c r="DM40" t="s">
        <v>147</v>
      </c>
      <c r="DN40" t="s">
        <v>147</v>
      </c>
      <c r="DO40" t="s">
        <v>147</v>
      </c>
      <c r="DP40" t="s">
        <v>147</v>
      </c>
      <c r="DQ40" t="s">
        <v>147</v>
      </c>
      <c r="DR40" t="s">
        <v>147</v>
      </c>
      <c r="DS40" t="s">
        <v>147</v>
      </c>
      <c r="DT40" t="s">
        <v>147</v>
      </c>
      <c r="DU40" t="s">
        <v>147</v>
      </c>
      <c r="DV40" t="s">
        <v>147</v>
      </c>
      <c r="DW40" t="s">
        <v>147</v>
      </c>
      <c r="DX40" t="s">
        <v>147</v>
      </c>
      <c r="DY40" t="s">
        <v>175</v>
      </c>
      <c r="DZ40" t="s">
        <v>147</v>
      </c>
      <c r="EA40" t="s">
        <v>57</v>
      </c>
      <c r="EB40" t="s">
        <v>57</v>
      </c>
      <c r="EC40" t="s">
        <v>57</v>
      </c>
      <c r="ED40" t="s">
        <v>57</v>
      </c>
      <c r="EE40" t="s">
        <v>57</v>
      </c>
      <c r="EF40" t="s">
        <v>57</v>
      </c>
      <c r="EG40" t="s">
        <v>57</v>
      </c>
      <c r="EH40" t="s">
        <v>57</v>
      </c>
      <c r="EI40" t="s">
        <v>57</v>
      </c>
      <c r="EJ40" t="s">
        <v>57</v>
      </c>
      <c r="EK40" t="s">
        <v>147</v>
      </c>
      <c r="EL40" t="s">
        <v>57</v>
      </c>
      <c r="EM40" t="s">
        <v>57</v>
      </c>
      <c r="EN40" t="s">
        <v>147</v>
      </c>
      <c r="EO40" t="s">
        <v>147</v>
      </c>
      <c r="EP40" t="s">
        <v>57</v>
      </c>
      <c r="EQ40" t="s">
        <v>147</v>
      </c>
      <c r="ER40" t="s">
        <v>147</v>
      </c>
      <c r="ES40" t="s">
        <v>147</v>
      </c>
      <c r="ET40" t="s">
        <v>147</v>
      </c>
      <c r="EU40" t="s">
        <v>57</v>
      </c>
      <c r="EV40" t="s">
        <v>57</v>
      </c>
      <c r="EW40" t="s">
        <v>147</v>
      </c>
      <c r="EX40" t="s">
        <v>147</v>
      </c>
      <c r="EY40" t="s">
        <v>147</v>
      </c>
      <c r="EZ40" t="s">
        <v>147</v>
      </c>
      <c r="FA40" t="s">
        <v>147</v>
      </c>
      <c r="FB40" t="s">
        <v>147</v>
      </c>
      <c r="FC40" t="s">
        <v>147</v>
      </c>
      <c r="FD40" t="s">
        <v>57</v>
      </c>
      <c r="FE40" t="s">
        <v>57</v>
      </c>
      <c r="FF40" t="s">
        <v>57</v>
      </c>
      <c r="FG40" t="s">
        <v>57</v>
      </c>
      <c r="FH40" t="s">
        <v>147</v>
      </c>
      <c r="FI40" t="s">
        <v>147</v>
      </c>
      <c r="FJ40" t="s">
        <v>147</v>
      </c>
      <c r="FK40" t="s">
        <v>147</v>
      </c>
      <c r="FL40" t="s">
        <v>147</v>
      </c>
      <c r="FM40" t="s">
        <v>147</v>
      </c>
      <c r="FN40" t="s">
        <v>147</v>
      </c>
      <c r="FO40" t="s">
        <v>175</v>
      </c>
      <c r="FP40" t="s">
        <v>147</v>
      </c>
      <c r="FQ40" t="s">
        <v>57</v>
      </c>
      <c r="FR40" t="s">
        <v>147</v>
      </c>
      <c r="FS40" t="s">
        <v>147</v>
      </c>
      <c r="FT40" t="s">
        <v>147</v>
      </c>
      <c r="FU40" t="s">
        <v>147</v>
      </c>
      <c r="FV40" t="s">
        <v>147</v>
      </c>
      <c r="FW40" t="s">
        <v>147</v>
      </c>
      <c r="FX40" t="s">
        <v>147</v>
      </c>
      <c r="FY40" t="s">
        <v>147</v>
      </c>
      <c r="FZ40" t="s">
        <v>147</v>
      </c>
      <c r="GA40" t="s">
        <v>147</v>
      </c>
      <c r="GB40" t="s">
        <v>147</v>
      </c>
      <c r="GC40" t="s">
        <v>147</v>
      </c>
      <c r="GD40" t="s">
        <v>147</v>
      </c>
      <c r="GE40" t="s">
        <v>147</v>
      </c>
      <c r="GF40" t="s">
        <v>147</v>
      </c>
      <c r="GG40" t="s">
        <v>175</v>
      </c>
      <c r="GH40" t="s">
        <v>57</v>
      </c>
      <c r="GI40" t="s">
        <v>147</v>
      </c>
      <c r="GJ40" t="s">
        <v>147</v>
      </c>
      <c r="GK40" t="s">
        <v>57</v>
      </c>
      <c r="GL40" t="s">
        <v>147</v>
      </c>
      <c r="GM40" t="s">
        <v>147</v>
      </c>
      <c r="GN40" t="s">
        <v>147</v>
      </c>
      <c r="GO40" t="s">
        <v>147</v>
      </c>
      <c r="GP40" t="s">
        <v>147</v>
      </c>
      <c r="GQ40" t="s">
        <v>147</v>
      </c>
      <c r="GR40" t="s">
        <v>147</v>
      </c>
      <c r="GS40" t="s">
        <v>147</v>
      </c>
      <c r="GT40" t="s">
        <v>147</v>
      </c>
      <c r="GU40" t="s">
        <v>147</v>
      </c>
      <c r="GV40" t="s">
        <v>147</v>
      </c>
      <c r="GW40" t="s">
        <v>147</v>
      </c>
      <c r="GX40" t="s">
        <v>147</v>
      </c>
      <c r="GY40" t="s">
        <v>147</v>
      </c>
      <c r="GZ40" t="s">
        <v>57</v>
      </c>
      <c r="HA40" t="s">
        <v>147</v>
      </c>
      <c r="HB40" t="s">
        <v>57</v>
      </c>
      <c r="HC40" t="s">
        <v>147</v>
      </c>
      <c r="HD40" t="s">
        <v>147</v>
      </c>
      <c r="HE40" t="s">
        <v>147</v>
      </c>
      <c r="HF40" t="s">
        <v>57</v>
      </c>
      <c r="HG40" t="s">
        <v>147</v>
      </c>
      <c r="HH40" t="s">
        <v>147</v>
      </c>
      <c r="HI40" t="s">
        <v>147</v>
      </c>
      <c r="HJ40" t="s">
        <v>147</v>
      </c>
      <c r="HK40" t="s">
        <v>147</v>
      </c>
      <c r="HL40" t="s">
        <v>147</v>
      </c>
      <c r="HM40" t="s">
        <v>147</v>
      </c>
      <c r="HN40" t="s">
        <v>147</v>
      </c>
      <c r="HO40" t="s">
        <v>147</v>
      </c>
      <c r="HP40" t="s">
        <v>147</v>
      </c>
      <c r="HQ40" t="s">
        <v>147</v>
      </c>
      <c r="HR40" t="s">
        <v>147</v>
      </c>
      <c r="HS40" t="s">
        <v>147</v>
      </c>
      <c r="HT40" t="s">
        <v>147</v>
      </c>
      <c r="HU40" t="s">
        <v>147</v>
      </c>
      <c r="HV40" t="s">
        <v>147</v>
      </c>
      <c r="HW40" t="s">
        <v>147</v>
      </c>
      <c r="HX40" t="s">
        <v>147</v>
      </c>
      <c r="HY40" t="s">
        <v>147</v>
      </c>
      <c r="HZ40" t="s">
        <v>147</v>
      </c>
      <c r="IA40" t="s">
        <v>147</v>
      </c>
      <c r="IB40" t="s">
        <v>58</v>
      </c>
      <c r="IC40" t="s">
        <v>58</v>
      </c>
      <c r="ID40" t="s">
        <v>58</v>
      </c>
      <c r="IE40" t="s">
        <v>58</v>
      </c>
      <c r="IF40" t="s">
        <v>124</v>
      </c>
      <c r="IG40" t="s">
        <v>148</v>
      </c>
      <c r="IH40" t="s">
        <v>123</v>
      </c>
      <c r="II40" t="s">
        <v>156</v>
      </c>
    </row>
    <row r="41" spans="1:243" x14ac:dyDescent="0.25">
      <c r="A41" s="121" t="str">
        <f>HYPERLINK("http://www.ofsted.gov.uk/inspection-reports/find-inspection-report/provider/ELS/133989 ","Ofsted School Webpage")</f>
        <v>Ofsted School Webpage</v>
      </c>
      <c r="B41">
        <v>133989</v>
      </c>
      <c r="C41">
        <v>8606026</v>
      </c>
      <c r="D41" t="s">
        <v>282</v>
      </c>
      <c r="E41" t="s">
        <v>37</v>
      </c>
      <c r="F41" t="s">
        <v>138</v>
      </c>
      <c r="G41" t="s">
        <v>150</v>
      </c>
      <c r="H41" t="s">
        <v>150</v>
      </c>
      <c r="I41" t="s">
        <v>271</v>
      </c>
      <c r="J41" t="s">
        <v>283</v>
      </c>
      <c r="K41" t="s">
        <v>142</v>
      </c>
      <c r="L41" t="s">
        <v>142</v>
      </c>
      <c r="M41" t="s">
        <v>2596</v>
      </c>
      <c r="N41" t="s">
        <v>143</v>
      </c>
      <c r="O41">
        <v>10040567</v>
      </c>
      <c r="P41" s="108">
        <v>42998</v>
      </c>
      <c r="Q41" s="108">
        <v>42998</v>
      </c>
      <c r="R41" s="108">
        <v>43025</v>
      </c>
      <c r="S41" t="s">
        <v>144</v>
      </c>
      <c r="T41" t="s">
        <v>145</v>
      </c>
      <c r="U41" t="s">
        <v>2596</v>
      </c>
      <c r="V41" t="s">
        <v>2596</v>
      </c>
      <c r="W41" t="s">
        <v>2596</v>
      </c>
      <c r="X41" t="s">
        <v>2596</v>
      </c>
      <c r="Y41" t="s">
        <v>2596</v>
      </c>
      <c r="Z41" t="s">
        <v>2596</v>
      </c>
      <c r="AA41" t="s">
        <v>2596</v>
      </c>
      <c r="AB41" t="s">
        <v>2596</v>
      </c>
      <c r="AC41" t="s">
        <v>146</v>
      </c>
      <c r="AD41" t="s">
        <v>2596</v>
      </c>
      <c r="AE41" t="s">
        <v>147</v>
      </c>
      <c r="AF41" t="s">
        <v>147</v>
      </c>
      <c r="AG41" t="s">
        <v>57</v>
      </c>
      <c r="AH41" t="s">
        <v>147</v>
      </c>
      <c r="AI41" t="s">
        <v>147</v>
      </c>
      <c r="AJ41" t="s">
        <v>147</v>
      </c>
      <c r="AK41" t="s">
        <v>147</v>
      </c>
      <c r="AL41" t="s">
        <v>57</v>
      </c>
      <c r="AM41" t="s">
        <v>147</v>
      </c>
      <c r="AN41" t="s">
        <v>147</v>
      </c>
      <c r="AO41" t="s">
        <v>147</v>
      </c>
      <c r="AP41" t="s">
        <v>147</v>
      </c>
      <c r="AQ41" t="s">
        <v>147</v>
      </c>
      <c r="AR41" t="s">
        <v>147</v>
      </c>
      <c r="AS41" t="s">
        <v>147</v>
      </c>
      <c r="AT41" t="s">
        <v>147</v>
      </c>
      <c r="AU41" t="s">
        <v>147</v>
      </c>
      <c r="AV41" t="s">
        <v>147</v>
      </c>
      <c r="AW41" t="s">
        <v>147</v>
      </c>
      <c r="AX41" t="s">
        <v>147</v>
      </c>
      <c r="AY41" t="s">
        <v>147</v>
      </c>
      <c r="AZ41" t="s">
        <v>147</v>
      </c>
      <c r="BA41" t="s">
        <v>147</v>
      </c>
      <c r="BB41" t="s">
        <v>147</v>
      </c>
      <c r="BC41" t="s">
        <v>147</v>
      </c>
      <c r="BD41" t="s">
        <v>147</v>
      </c>
      <c r="BE41" t="s">
        <v>147</v>
      </c>
      <c r="BF41" t="s">
        <v>147</v>
      </c>
      <c r="BG41" t="s">
        <v>147</v>
      </c>
      <c r="BH41" t="s">
        <v>147</v>
      </c>
      <c r="BI41" t="s">
        <v>147</v>
      </c>
      <c r="BJ41" t="s">
        <v>147</v>
      </c>
      <c r="BK41" t="s">
        <v>147</v>
      </c>
      <c r="BL41" t="s">
        <v>147</v>
      </c>
      <c r="BM41" t="s">
        <v>147</v>
      </c>
      <c r="BN41" t="s">
        <v>147</v>
      </c>
      <c r="BO41" t="s">
        <v>147</v>
      </c>
      <c r="BP41" t="s">
        <v>147</v>
      </c>
      <c r="BQ41" t="s">
        <v>147</v>
      </c>
      <c r="BR41" t="s">
        <v>147</v>
      </c>
      <c r="BS41" t="s">
        <v>147</v>
      </c>
      <c r="BT41" t="s">
        <v>147</v>
      </c>
      <c r="BU41" t="s">
        <v>147</v>
      </c>
      <c r="BV41" t="s">
        <v>147</v>
      </c>
      <c r="BW41" t="s">
        <v>147</v>
      </c>
      <c r="BX41" t="s">
        <v>147</v>
      </c>
      <c r="BY41" t="s">
        <v>147</v>
      </c>
      <c r="BZ41" t="s">
        <v>147</v>
      </c>
      <c r="CA41" t="s">
        <v>147</v>
      </c>
      <c r="CB41" t="s">
        <v>147</v>
      </c>
      <c r="CC41" t="s">
        <v>147</v>
      </c>
      <c r="CD41" t="s">
        <v>147</v>
      </c>
      <c r="CE41" t="s">
        <v>147</v>
      </c>
      <c r="CF41" t="s">
        <v>147</v>
      </c>
      <c r="CG41" t="s">
        <v>147</v>
      </c>
      <c r="CH41" t="s">
        <v>57</v>
      </c>
      <c r="CI41" t="s">
        <v>57</v>
      </c>
      <c r="CJ41" t="s">
        <v>57</v>
      </c>
      <c r="CK41" t="s">
        <v>175</v>
      </c>
      <c r="CL41" t="s">
        <v>175</v>
      </c>
      <c r="CM41" t="s">
        <v>175</v>
      </c>
      <c r="CN41" t="s">
        <v>57</v>
      </c>
      <c r="CO41" t="s">
        <v>147</v>
      </c>
      <c r="CP41" t="s">
        <v>57</v>
      </c>
      <c r="CQ41" t="s">
        <v>147</v>
      </c>
      <c r="CR41" t="s">
        <v>147</v>
      </c>
      <c r="CS41" t="s">
        <v>147</v>
      </c>
      <c r="CT41" t="s">
        <v>147</v>
      </c>
      <c r="CU41" t="s">
        <v>147</v>
      </c>
      <c r="CV41" t="s">
        <v>57</v>
      </c>
      <c r="CW41" t="s">
        <v>147</v>
      </c>
      <c r="CX41" t="s">
        <v>57</v>
      </c>
      <c r="CY41" t="s">
        <v>57</v>
      </c>
      <c r="CZ41" t="s">
        <v>57</v>
      </c>
      <c r="DA41" t="s">
        <v>147</v>
      </c>
      <c r="DB41" t="s">
        <v>147</v>
      </c>
      <c r="DC41" t="s">
        <v>147</v>
      </c>
      <c r="DD41" t="s">
        <v>147</v>
      </c>
      <c r="DE41" t="s">
        <v>147</v>
      </c>
      <c r="DF41" t="s">
        <v>147</v>
      </c>
      <c r="DG41" t="s">
        <v>147</v>
      </c>
      <c r="DH41" t="s">
        <v>147</v>
      </c>
      <c r="DI41" t="s">
        <v>147</v>
      </c>
      <c r="DJ41" t="s">
        <v>147</v>
      </c>
      <c r="DK41" t="s">
        <v>147</v>
      </c>
      <c r="DL41" t="s">
        <v>147</v>
      </c>
      <c r="DM41" t="s">
        <v>147</v>
      </c>
      <c r="DN41" t="s">
        <v>147</v>
      </c>
      <c r="DO41" t="s">
        <v>147</v>
      </c>
      <c r="DP41" t="s">
        <v>147</v>
      </c>
      <c r="DQ41" t="s">
        <v>147</v>
      </c>
      <c r="DR41" t="s">
        <v>147</v>
      </c>
      <c r="DS41" t="s">
        <v>147</v>
      </c>
      <c r="DT41" t="s">
        <v>147</v>
      </c>
      <c r="DU41" t="s">
        <v>147</v>
      </c>
      <c r="DV41" t="s">
        <v>147</v>
      </c>
      <c r="DW41" t="s">
        <v>147</v>
      </c>
      <c r="DX41" t="s">
        <v>147</v>
      </c>
      <c r="DY41" t="s">
        <v>147</v>
      </c>
      <c r="DZ41" t="s">
        <v>147</v>
      </c>
      <c r="EA41" t="s">
        <v>147</v>
      </c>
      <c r="EB41" t="s">
        <v>147</v>
      </c>
      <c r="EC41" t="s">
        <v>147</v>
      </c>
      <c r="ED41" t="s">
        <v>147</v>
      </c>
      <c r="EE41" t="s">
        <v>147</v>
      </c>
      <c r="EF41" t="s">
        <v>147</v>
      </c>
      <c r="EG41" t="s">
        <v>147</v>
      </c>
      <c r="EH41" t="s">
        <v>147</v>
      </c>
      <c r="EI41" t="s">
        <v>147</v>
      </c>
      <c r="EJ41" t="s">
        <v>147</v>
      </c>
      <c r="EK41" t="s">
        <v>147</v>
      </c>
      <c r="EL41" t="s">
        <v>147</v>
      </c>
      <c r="EM41" t="s">
        <v>147</v>
      </c>
      <c r="EN41" t="s">
        <v>147</v>
      </c>
      <c r="EO41" t="s">
        <v>147</v>
      </c>
      <c r="EP41" t="s">
        <v>147</v>
      </c>
      <c r="EQ41" t="s">
        <v>147</v>
      </c>
      <c r="ER41" t="s">
        <v>147</v>
      </c>
      <c r="ES41" t="s">
        <v>147</v>
      </c>
      <c r="ET41" t="s">
        <v>147</v>
      </c>
      <c r="EU41" t="s">
        <v>147</v>
      </c>
      <c r="EV41" t="s">
        <v>147</v>
      </c>
      <c r="EW41" t="s">
        <v>147</v>
      </c>
      <c r="EX41" t="s">
        <v>147</v>
      </c>
      <c r="EY41" t="s">
        <v>147</v>
      </c>
      <c r="EZ41" t="s">
        <v>147</v>
      </c>
      <c r="FA41" t="s">
        <v>147</v>
      </c>
      <c r="FB41" t="s">
        <v>147</v>
      </c>
      <c r="FC41" t="s">
        <v>147</v>
      </c>
      <c r="FD41" t="s">
        <v>147</v>
      </c>
      <c r="FE41" t="s">
        <v>147</v>
      </c>
      <c r="FF41" t="s">
        <v>147</v>
      </c>
      <c r="FG41" t="s">
        <v>147</v>
      </c>
      <c r="FH41" t="s">
        <v>147</v>
      </c>
      <c r="FI41" t="s">
        <v>147</v>
      </c>
      <c r="FJ41" t="s">
        <v>147</v>
      </c>
      <c r="FK41" t="s">
        <v>147</v>
      </c>
      <c r="FL41" t="s">
        <v>147</v>
      </c>
      <c r="FM41" t="s">
        <v>147</v>
      </c>
      <c r="FN41" t="s">
        <v>147</v>
      </c>
      <c r="FO41" t="s">
        <v>147</v>
      </c>
      <c r="FP41" t="s">
        <v>147</v>
      </c>
      <c r="FQ41" t="s">
        <v>147</v>
      </c>
      <c r="FR41" t="s">
        <v>147</v>
      </c>
      <c r="FS41" t="s">
        <v>147</v>
      </c>
      <c r="FT41" t="s">
        <v>147</v>
      </c>
      <c r="FU41" t="s">
        <v>147</v>
      </c>
      <c r="FV41" t="s">
        <v>147</v>
      </c>
      <c r="FW41" t="s">
        <v>147</v>
      </c>
      <c r="FX41" t="s">
        <v>147</v>
      </c>
      <c r="FY41" t="s">
        <v>147</v>
      </c>
      <c r="FZ41" t="s">
        <v>147</v>
      </c>
      <c r="GA41" t="s">
        <v>147</v>
      </c>
      <c r="GB41" t="s">
        <v>147</v>
      </c>
      <c r="GC41" t="s">
        <v>147</v>
      </c>
      <c r="GD41" t="s">
        <v>147</v>
      </c>
      <c r="GE41" t="s">
        <v>147</v>
      </c>
      <c r="GF41" t="s">
        <v>147</v>
      </c>
      <c r="GG41" t="s">
        <v>147</v>
      </c>
      <c r="GH41" t="s">
        <v>147</v>
      </c>
      <c r="GI41" t="s">
        <v>147</v>
      </c>
      <c r="GJ41" t="s">
        <v>147</v>
      </c>
      <c r="GK41" t="s">
        <v>57</v>
      </c>
      <c r="GL41" t="s">
        <v>147</v>
      </c>
      <c r="GM41" t="s">
        <v>147</v>
      </c>
      <c r="GN41" t="s">
        <v>147</v>
      </c>
      <c r="GO41" t="s">
        <v>147</v>
      </c>
      <c r="GP41" t="s">
        <v>147</v>
      </c>
      <c r="GQ41" t="s">
        <v>147</v>
      </c>
      <c r="GR41" t="s">
        <v>147</v>
      </c>
      <c r="GS41" t="s">
        <v>147</v>
      </c>
      <c r="GT41" t="s">
        <v>147</v>
      </c>
      <c r="GU41" t="s">
        <v>147</v>
      </c>
      <c r="GV41" t="s">
        <v>147</v>
      </c>
      <c r="GW41" t="s">
        <v>147</v>
      </c>
      <c r="GX41" t="s">
        <v>147</v>
      </c>
      <c r="GY41" t="s">
        <v>147</v>
      </c>
      <c r="GZ41" t="s">
        <v>147</v>
      </c>
      <c r="HA41" t="s">
        <v>147</v>
      </c>
      <c r="HB41" t="s">
        <v>147</v>
      </c>
      <c r="HC41" t="s">
        <v>147</v>
      </c>
      <c r="HD41" t="s">
        <v>147</v>
      </c>
      <c r="HE41" t="s">
        <v>147</v>
      </c>
      <c r="HF41" t="s">
        <v>147</v>
      </c>
      <c r="HG41" t="s">
        <v>147</v>
      </c>
      <c r="HH41" t="s">
        <v>147</v>
      </c>
      <c r="HI41" t="s">
        <v>147</v>
      </c>
      <c r="HJ41" t="s">
        <v>147</v>
      </c>
      <c r="HK41" t="s">
        <v>147</v>
      </c>
      <c r="HL41" t="s">
        <v>147</v>
      </c>
      <c r="HM41" t="s">
        <v>147</v>
      </c>
      <c r="HN41" t="s">
        <v>147</v>
      </c>
      <c r="HO41" t="s">
        <v>147</v>
      </c>
      <c r="HP41" t="s">
        <v>147</v>
      </c>
      <c r="HQ41" t="s">
        <v>147</v>
      </c>
      <c r="HR41" t="s">
        <v>147</v>
      </c>
      <c r="HS41" t="s">
        <v>147</v>
      </c>
      <c r="HT41" t="s">
        <v>147</v>
      </c>
      <c r="HU41" t="s">
        <v>147</v>
      </c>
      <c r="HV41" t="s">
        <v>147</v>
      </c>
      <c r="HW41" t="s">
        <v>147</v>
      </c>
      <c r="HX41" t="s">
        <v>147</v>
      </c>
      <c r="HY41" t="s">
        <v>147</v>
      </c>
      <c r="HZ41" t="s">
        <v>147</v>
      </c>
      <c r="IA41" t="s">
        <v>147</v>
      </c>
      <c r="IB41" t="s">
        <v>57</v>
      </c>
      <c r="IC41" t="s">
        <v>57</v>
      </c>
      <c r="ID41" t="s">
        <v>57</v>
      </c>
      <c r="IE41" t="s">
        <v>57</v>
      </c>
      <c r="IF41" t="s">
        <v>124</v>
      </c>
      <c r="IG41" t="s">
        <v>148</v>
      </c>
      <c r="IH41" t="s">
        <v>123</v>
      </c>
      <c r="II41" t="s">
        <v>156</v>
      </c>
    </row>
    <row r="42" spans="1:243" x14ac:dyDescent="0.25">
      <c r="A42" s="121" t="str">
        <f>HYPERLINK("http://www.ofsted.gov.uk/inspection-reports/find-inspection-report/provider/ELS/134400 ","Ofsted School Webpage")</f>
        <v>Ofsted School Webpage</v>
      </c>
      <c r="B42">
        <v>134400</v>
      </c>
      <c r="C42">
        <v>2096363</v>
      </c>
      <c r="D42" t="s">
        <v>483</v>
      </c>
      <c r="E42" t="s">
        <v>36</v>
      </c>
      <c r="F42" t="s">
        <v>166</v>
      </c>
      <c r="G42" t="s">
        <v>189</v>
      </c>
      <c r="H42" t="s">
        <v>189</v>
      </c>
      <c r="I42" t="s">
        <v>484</v>
      </c>
      <c r="J42" t="s">
        <v>485</v>
      </c>
      <c r="K42" t="s">
        <v>261</v>
      </c>
      <c r="L42" t="s">
        <v>180</v>
      </c>
      <c r="M42" t="s">
        <v>2596</v>
      </c>
      <c r="N42" t="s">
        <v>143</v>
      </c>
      <c r="O42">
        <v>10039573</v>
      </c>
      <c r="P42" s="108">
        <v>42990</v>
      </c>
      <c r="Q42" s="108">
        <v>42990</v>
      </c>
      <c r="R42" s="108">
        <v>43059</v>
      </c>
      <c r="S42" t="s">
        <v>144</v>
      </c>
      <c r="T42" t="s">
        <v>145</v>
      </c>
      <c r="U42" t="s">
        <v>2596</v>
      </c>
      <c r="V42" t="s">
        <v>2596</v>
      </c>
      <c r="W42" t="s">
        <v>2596</v>
      </c>
      <c r="X42" t="s">
        <v>2596</v>
      </c>
      <c r="Y42" t="s">
        <v>2596</v>
      </c>
      <c r="Z42" t="s">
        <v>2596</v>
      </c>
      <c r="AA42" t="s">
        <v>2596</v>
      </c>
      <c r="AB42" t="s">
        <v>2596</v>
      </c>
      <c r="AC42" t="s">
        <v>174</v>
      </c>
      <c r="AD42" t="s">
        <v>2596</v>
      </c>
      <c r="AE42" t="s">
        <v>58</v>
      </c>
      <c r="AF42" t="s">
        <v>58</v>
      </c>
      <c r="AG42" t="s">
        <v>58</v>
      </c>
      <c r="AH42" t="s">
        <v>57</v>
      </c>
      <c r="AI42" t="s">
        <v>147</v>
      </c>
      <c r="AJ42" t="s">
        <v>147</v>
      </c>
      <c r="AK42" t="s">
        <v>147</v>
      </c>
      <c r="AL42" t="s">
        <v>58</v>
      </c>
      <c r="AM42" t="s">
        <v>58</v>
      </c>
      <c r="AN42" t="s">
        <v>58</v>
      </c>
      <c r="AO42" t="s">
        <v>58</v>
      </c>
      <c r="AP42" t="s">
        <v>58</v>
      </c>
      <c r="AQ42" t="s">
        <v>147</v>
      </c>
      <c r="AR42" t="s">
        <v>58</v>
      </c>
      <c r="AS42" t="s">
        <v>58</v>
      </c>
      <c r="AT42" t="s">
        <v>147</v>
      </c>
      <c r="AU42" t="s">
        <v>147</v>
      </c>
      <c r="AV42" t="s">
        <v>58</v>
      </c>
      <c r="AW42" t="s">
        <v>147</v>
      </c>
      <c r="AX42" t="s">
        <v>58</v>
      </c>
      <c r="AY42" t="s">
        <v>147</v>
      </c>
      <c r="AZ42" t="s">
        <v>147</v>
      </c>
      <c r="BA42" t="s">
        <v>175</v>
      </c>
      <c r="BB42" t="s">
        <v>147</v>
      </c>
      <c r="BC42" t="s">
        <v>147</v>
      </c>
      <c r="BD42" t="s">
        <v>147</v>
      </c>
      <c r="BE42" t="s">
        <v>147</v>
      </c>
      <c r="BF42" t="s">
        <v>147</v>
      </c>
      <c r="BG42" t="s">
        <v>58</v>
      </c>
      <c r="BH42" t="s">
        <v>58</v>
      </c>
      <c r="BI42" t="s">
        <v>147</v>
      </c>
      <c r="BJ42" t="s">
        <v>147</v>
      </c>
      <c r="BK42" t="s">
        <v>57</v>
      </c>
      <c r="BL42" t="s">
        <v>147</v>
      </c>
      <c r="BM42" t="s">
        <v>147</v>
      </c>
      <c r="BN42" t="s">
        <v>147</v>
      </c>
      <c r="BO42" t="s">
        <v>147</v>
      </c>
      <c r="BP42" t="s">
        <v>147</v>
      </c>
      <c r="BQ42" t="s">
        <v>147</v>
      </c>
      <c r="BR42" t="s">
        <v>147</v>
      </c>
      <c r="BS42" t="s">
        <v>58</v>
      </c>
      <c r="BT42" t="s">
        <v>147</v>
      </c>
      <c r="BU42" t="s">
        <v>147</v>
      </c>
      <c r="BV42" t="s">
        <v>147</v>
      </c>
      <c r="BW42" t="s">
        <v>147</v>
      </c>
      <c r="BX42" t="s">
        <v>147</v>
      </c>
      <c r="BY42" t="s">
        <v>147</v>
      </c>
      <c r="BZ42" t="s">
        <v>147</v>
      </c>
      <c r="CA42" t="s">
        <v>58</v>
      </c>
      <c r="CB42" t="s">
        <v>147</v>
      </c>
      <c r="CC42" t="s">
        <v>147</v>
      </c>
      <c r="CD42" t="s">
        <v>147</v>
      </c>
      <c r="CE42" t="s">
        <v>147</v>
      </c>
      <c r="CF42" t="s">
        <v>147</v>
      </c>
      <c r="CG42" t="s">
        <v>147</v>
      </c>
      <c r="CH42" t="s">
        <v>58</v>
      </c>
      <c r="CI42" t="s">
        <v>58</v>
      </c>
      <c r="CJ42" t="s">
        <v>58</v>
      </c>
      <c r="CK42" t="s">
        <v>175</v>
      </c>
      <c r="CL42" t="s">
        <v>175</v>
      </c>
      <c r="CM42" t="s">
        <v>175</v>
      </c>
      <c r="CN42" t="s">
        <v>147</v>
      </c>
      <c r="CO42" t="s">
        <v>147</v>
      </c>
      <c r="CP42" t="s">
        <v>147</v>
      </c>
      <c r="CQ42" t="s">
        <v>147</v>
      </c>
      <c r="CR42" t="s">
        <v>147</v>
      </c>
      <c r="CS42" t="s">
        <v>57</v>
      </c>
      <c r="CT42" t="s">
        <v>57</v>
      </c>
      <c r="CU42" t="s">
        <v>147</v>
      </c>
      <c r="CV42" t="s">
        <v>147</v>
      </c>
      <c r="CW42" t="s">
        <v>57</v>
      </c>
      <c r="CX42" t="s">
        <v>57</v>
      </c>
      <c r="CY42" t="s">
        <v>57</v>
      </c>
      <c r="CZ42" t="s">
        <v>57</v>
      </c>
      <c r="DA42" t="s">
        <v>57</v>
      </c>
      <c r="DB42" t="s">
        <v>57</v>
      </c>
      <c r="DC42" t="s">
        <v>57</v>
      </c>
      <c r="DD42" t="s">
        <v>57</v>
      </c>
      <c r="DE42" t="s">
        <v>57</v>
      </c>
      <c r="DF42" t="s">
        <v>57</v>
      </c>
      <c r="DG42" t="s">
        <v>57</v>
      </c>
      <c r="DH42" t="s">
        <v>57</v>
      </c>
      <c r="DI42" t="s">
        <v>57</v>
      </c>
      <c r="DJ42" t="s">
        <v>57</v>
      </c>
      <c r="DK42" t="s">
        <v>57</v>
      </c>
      <c r="DL42" t="s">
        <v>57</v>
      </c>
      <c r="DM42" t="s">
        <v>175</v>
      </c>
      <c r="DN42" t="s">
        <v>175</v>
      </c>
      <c r="DO42" t="s">
        <v>175</v>
      </c>
      <c r="DP42" t="s">
        <v>175</v>
      </c>
      <c r="DQ42" t="s">
        <v>175</v>
      </c>
      <c r="DR42" t="s">
        <v>175</v>
      </c>
      <c r="DS42" t="s">
        <v>175</v>
      </c>
      <c r="DT42" t="s">
        <v>175</v>
      </c>
      <c r="DU42" t="s">
        <v>175</v>
      </c>
      <c r="DV42" t="s">
        <v>175</v>
      </c>
      <c r="DW42" t="s">
        <v>175</v>
      </c>
      <c r="DX42" t="s">
        <v>175</v>
      </c>
      <c r="DY42" t="s">
        <v>175</v>
      </c>
      <c r="DZ42" t="s">
        <v>175</v>
      </c>
      <c r="EA42" t="s">
        <v>58</v>
      </c>
      <c r="EB42" t="s">
        <v>58</v>
      </c>
      <c r="EC42" t="s">
        <v>58</v>
      </c>
      <c r="ED42" t="s">
        <v>58</v>
      </c>
      <c r="EE42" t="s">
        <v>58</v>
      </c>
      <c r="EF42" t="s">
        <v>58</v>
      </c>
      <c r="EG42" t="s">
        <v>58</v>
      </c>
      <c r="EH42" t="s">
        <v>58</v>
      </c>
      <c r="EI42" t="s">
        <v>58</v>
      </c>
      <c r="EJ42" t="s">
        <v>58</v>
      </c>
      <c r="EK42" t="s">
        <v>57</v>
      </c>
      <c r="EL42" t="s">
        <v>57</v>
      </c>
      <c r="EM42" t="s">
        <v>57</v>
      </c>
      <c r="EN42" t="s">
        <v>57</v>
      </c>
      <c r="EO42" t="s">
        <v>57</v>
      </c>
      <c r="EP42" t="s">
        <v>57</v>
      </c>
      <c r="EQ42" t="s">
        <v>57</v>
      </c>
      <c r="ER42" t="s">
        <v>57</v>
      </c>
      <c r="ES42" t="s">
        <v>57</v>
      </c>
      <c r="ET42" t="s">
        <v>57</v>
      </c>
      <c r="EU42" t="s">
        <v>57</v>
      </c>
      <c r="EV42" t="s">
        <v>57</v>
      </c>
      <c r="EW42" t="s">
        <v>57</v>
      </c>
      <c r="EX42" t="s">
        <v>175</v>
      </c>
      <c r="EY42" t="s">
        <v>175</v>
      </c>
      <c r="EZ42" t="s">
        <v>175</v>
      </c>
      <c r="FA42" t="s">
        <v>175</v>
      </c>
      <c r="FB42" t="s">
        <v>175</v>
      </c>
      <c r="FC42" t="s">
        <v>175</v>
      </c>
      <c r="FD42" t="s">
        <v>58</v>
      </c>
      <c r="FE42" t="s">
        <v>58</v>
      </c>
      <c r="FF42" t="s">
        <v>58</v>
      </c>
      <c r="FG42" t="s">
        <v>58</v>
      </c>
      <c r="FH42" t="s">
        <v>147</v>
      </c>
      <c r="FI42" t="s">
        <v>147</v>
      </c>
      <c r="FJ42" t="s">
        <v>147</v>
      </c>
      <c r="FK42" t="s">
        <v>147</v>
      </c>
      <c r="FL42" t="s">
        <v>147</v>
      </c>
      <c r="FM42" t="s">
        <v>147</v>
      </c>
      <c r="FN42" t="s">
        <v>147</v>
      </c>
      <c r="FO42" t="s">
        <v>147</v>
      </c>
      <c r="FP42" t="s">
        <v>147</v>
      </c>
      <c r="FQ42" t="s">
        <v>57</v>
      </c>
      <c r="FR42" t="s">
        <v>147</v>
      </c>
      <c r="FS42" t="s">
        <v>147</v>
      </c>
      <c r="FT42" t="s">
        <v>147</v>
      </c>
      <c r="FU42" t="s">
        <v>147</v>
      </c>
      <c r="FV42" t="s">
        <v>147</v>
      </c>
      <c r="FW42" t="s">
        <v>147</v>
      </c>
      <c r="FX42" t="s">
        <v>147</v>
      </c>
      <c r="FY42" t="s">
        <v>147</v>
      </c>
      <c r="FZ42" t="s">
        <v>147</v>
      </c>
      <c r="GA42" t="s">
        <v>147</v>
      </c>
      <c r="GB42" t="s">
        <v>147</v>
      </c>
      <c r="GC42" t="s">
        <v>147</v>
      </c>
      <c r="GD42" t="s">
        <v>147</v>
      </c>
      <c r="GE42" t="s">
        <v>147</v>
      </c>
      <c r="GF42" t="s">
        <v>147</v>
      </c>
      <c r="GG42" t="s">
        <v>175</v>
      </c>
      <c r="GH42" t="s">
        <v>147</v>
      </c>
      <c r="GI42" t="s">
        <v>147</v>
      </c>
      <c r="GJ42" t="s">
        <v>147</v>
      </c>
      <c r="GK42" t="s">
        <v>57</v>
      </c>
      <c r="GL42" t="s">
        <v>147</v>
      </c>
      <c r="GM42" t="s">
        <v>147</v>
      </c>
      <c r="GN42" t="s">
        <v>147</v>
      </c>
      <c r="GO42" t="s">
        <v>147</v>
      </c>
      <c r="GP42" t="s">
        <v>147</v>
      </c>
      <c r="GQ42" t="s">
        <v>147</v>
      </c>
      <c r="GR42" t="s">
        <v>147</v>
      </c>
      <c r="GS42" t="s">
        <v>147</v>
      </c>
      <c r="GT42" t="s">
        <v>147</v>
      </c>
      <c r="GU42" t="s">
        <v>147</v>
      </c>
      <c r="GV42" t="s">
        <v>147</v>
      </c>
      <c r="GW42" t="s">
        <v>147</v>
      </c>
      <c r="GX42" t="s">
        <v>147</v>
      </c>
      <c r="GY42" t="s">
        <v>147</v>
      </c>
      <c r="GZ42" t="s">
        <v>147</v>
      </c>
      <c r="HA42" t="s">
        <v>147</v>
      </c>
      <c r="HB42" t="s">
        <v>147</v>
      </c>
      <c r="HC42" t="s">
        <v>147</v>
      </c>
      <c r="HD42" t="s">
        <v>147</v>
      </c>
      <c r="HE42" t="s">
        <v>147</v>
      </c>
      <c r="HF42" t="s">
        <v>147</v>
      </c>
      <c r="HG42" t="s">
        <v>147</v>
      </c>
      <c r="HH42" t="s">
        <v>147</v>
      </c>
      <c r="HI42" t="s">
        <v>147</v>
      </c>
      <c r="HJ42" t="s">
        <v>147</v>
      </c>
      <c r="HK42" t="s">
        <v>147</v>
      </c>
      <c r="HL42" t="s">
        <v>147</v>
      </c>
      <c r="HM42" t="s">
        <v>147</v>
      </c>
      <c r="HN42" t="s">
        <v>147</v>
      </c>
      <c r="HO42" t="s">
        <v>147</v>
      </c>
      <c r="HP42" t="s">
        <v>147</v>
      </c>
      <c r="HQ42" t="s">
        <v>147</v>
      </c>
      <c r="HR42" t="s">
        <v>147</v>
      </c>
      <c r="HS42" t="s">
        <v>147</v>
      </c>
      <c r="HT42" t="s">
        <v>147</v>
      </c>
      <c r="HU42" t="s">
        <v>147</v>
      </c>
      <c r="HV42" t="s">
        <v>147</v>
      </c>
      <c r="HW42" t="s">
        <v>147</v>
      </c>
      <c r="HX42" t="s">
        <v>147</v>
      </c>
      <c r="HY42" t="s">
        <v>147</v>
      </c>
      <c r="HZ42" t="s">
        <v>147</v>
      </c>
      <c r="IA42" t="s">
        <v>147</v>
      </c>
      <c r="IB42" t="s">
        <v>58</v>
      </c>
      <c r="IC42" t="s">
        <v>58</v>
      </c>
      <c r="ID42" t="s">
        <v>58</v>
      </c>
      <c r="IE42" t="s">
        <v>58</v>
      </c>
      <c r="IF42" t="s">
        <v>123</v>
      </c>
      <c r="IG42" t="s">
        <v>124</v>
      </c>
      <c r="IH42" t="s">
        <v>123</v>
      </c>
      <c r="II42" t="s">
        <v>156</v>
      </c>
    </row>
    <row r="43" spans="1:243" x14ac:dyDescent="0.25">
      <c r="A43" s="121" t="str">
        <f>HYPERLINK("http://www.ofsted.gov.uk/inspection-reports/find-inspection-report/provider/ELS/134591 ","Ofsted School Webpage")</f>
        <v>Ofsted School Webpage</v>
      </c>
      <c r="B43">
        <v>134591</v>
      </c>
      <c r="C43">
        <v>3166065</v>
      </c>
      <c r="D43" t="s">
        <v>459</v>
      </c>
      <c r="E43" t="s">
        <v>36</v>
      </c>
      <c r="F43" t="s">
        <v>166</v>
      </c>
      <c r="G43" t="s">
        <v>189</v>
      </c>
      <c r="H43" t="s">
        <v>189</v>
      </c>
      <c r="I43" t="s">
        <v>460</v>
      </c>
      <c r="J43" t="s">
        <v>461</v>
      </c>
      <c r="K43" t="s">
        <v>142</v>
      </c>
      <c r="L43" t="s">
        <v>180</v>
      </c>
      <c r="M43" t="s">
        <v>2596</v>
      </c>
      <c r="N43" t="s">
        <v>143</v>
      </c>
      <c r="O43">
        <v>10041234</v>
      </c>
      <c r="P43" s="108">
        <v>43024</v>
      </c>
      <c r="Q43" s="108">
        <v>43024</v>
      </c>
      <c r="R43" s="108">
        <v>43066</v>
      </c>
      <c r="S43" t="s">
        <v>144</v>
      </c>
      <c r="T43" t="s">
        <v>145</v>
      </c>
      <c r="U43" t="s">
        <v>2596</v>
      </c>
      <c r="V43" t="s">
        <v>2596</v>
      </c>
      <c r="W43" t="s">
        <v>2596</v>
      </c>
      <c r="X43" t="s">
        <v>2596</v>
      </c>
      <c r="Y43" t="s">
        <v>2596</v>
      </c>
      <c r="Z43" t="s">
        <v>2596</v>
      </c>
      <c r="AA43" t="s">
        <v>2596</v>
      </c>
      <c r="AB43" t="s">
        <v>2596</v>
      </c>
      <c r="AC43" t="s">
        <v>146</v>
      </c>
      <c r="AD43" t="s">
        <v>2596</v>
      </c>
      <c r="AE43" t="s">
        <v>57</v>
      </c>
      <c r="AF43" t="s">
        <v>57</v>
      </c>
      <c r="AG43" t="s">
        <v>57</v>
      </c>
      <c r="AH43" t="s">
        <v>57</v>
      </c>
      <c r="AI43" t="s">
        <v>147</v>
      </c>
      <c r="AJ43" t="s">
        <v>57</v>
      </c>
      <c r="AK43" t="s">
        <v>147</v>
      </c>
      <c r="AL43" t="s">
        <v>57</v>
      </c>
      <c r="AM43" t="s">
        <v>57</v>
      </c>
      <c r="AN43" t="s">
        <v>147</v>
      </c>
      <c r="AO43" t="s">
        <v>57</v>
      </c>
      <c r="AP43" t="s">
        <v>57</v>
      </c>
      <c r="AQ43" t="s">
        <v>57</v>
      </c>
      <c r="AR43" t="s">
        <v>147</v>
      </c>
      <c r="AS43" t="s">
        <v>147</v>
      </c>
      <c r="AT43" t="s">
        <v>147</v>
      </c>
      <c r="AU43" t="s">
        <v>175</v>
      </c>
      <c r="AV43" t="s">
        <v>147</v>
      </c>
      <c r="AW43" t="s">
        <v>147</v>
      </c>
      <c r="AX43" t="s">
        <v>147</v>
      </c>
      <c r="AY43" t="s">
        <v>175</v>
      </c>
      <c r="AZ43" t="s">
        <v>175</v>
      </c>
      <c r="BA43" t="s">
        <v>175</v>
      </c>
      <c r="BB43" t="s">
        <v>175</v>
      </c>
      <c r="BC43" t="s">
        <v>147</v>
      </c>
      <c r="BD43" t="s">
        <v>175</v>
      </c>
      <c r="BE43" t="s">
        <v>147</v>
      </c>
      <c r="BF43" t="s">
        <v>147</v>
      </c>
      <c r="BG43" t="s">
        <v>57</v>
      </c>
      <c r="BH43" t="s">
        <v>57</v>
      </c>
      <c r="BI43" t="s">
        <v>147</v>
      </c>
      <c r="BJ43" t="s">
        <v>57</v>
      </c>
      <c r="BK43" t="s">
        <v>57</v>
      </c>
      <c r="BL43" t="s">
        <v>57</v>
      </c>
      <c r="BM43" t="s">
        <v>147</v>
      </c>
      <c r="BN43" t="s">
        <v>57</v>
      </c>
      <c r="BO43" t="s">
        <v>147</v>
      </c>
      <c r="BP43" t="s">
        <v>57</v>
      </c>
      <c r="BQ43" t="s">
        <v>147</v>
      </c>
      <c r="BR43" t="s">
        <v>57</v>
      </c>
      <c r="BS43" t="s">
        <v>57</v>
      </c>
      <c r="BT43" t="s">
        <v>57</v>
      </c>
      <c r="BU43" t="s">
        <v>57</v>
      </c>
      <c r="BV43" t="s">
        <v>57</v>
      </c>
      <c r="BW43" t="s">
        <v>57</v>
      </c>
      <c r="BX43" t="s">
        <v>57</v>
      </c>
      <c r="BY43" t="s">
        <v>57</v>
      </c>
      <c r="BZ43" t="s">
        <v>57</v>
      </c>
      <c r="CA43" t="s">
        <v>57</v>
      </c>
      <c r="CB43" t="s">
        <v>57</v>
      </c>
      <c r="CC43" t="s">
        <v>57</v>
      </c>
      <c r="CD43" t="s">
        <v>57</v>
      </c>
      <c r="CE43" t="s">
        <v>57</v>
      </c>
      <c r="CF43" t="s">
        <v>57</v>
      </c>
      <c r="CG43" t="s">
        <v>57</v>
      </c>
      <c r="CH43" t="s">
        <v>57</v>
      </c>
      <c r="CI43" t="s">
        <v>57</v>
      </c>
      <c r="CJ43" t="s">
        <v>57</v>
      </c>
      <c r="CK43" t="s">
        <v>175</v>
      </c>
      <c r="CL43" t="s">
        <v>175</v>
      </c>
      <c r="CM43" t="s">
        <v>175</v>
      </c>
      <c r="CN43" t="s">
        <v>147</v>
      </c>
      <c r="CO43" t="s">
        <v>147</v>
      </c>
      <c r="CP43" t="s">
        <v>147</v>
      </c>
      <c r="CQ43" t="s">
        <v>147</v>
      </c>
      <c r="CR43" t="s">
        <v>147</v>
      </c>
      <c r="CS43" t="s">
        <v>147</v>
      </c>
      <c r="CT43" t="s">
        <v>57</v>
      </c>
      <c r="CU43" t="s">
        <v>147</v>
      </c>
      <c r="CV43" t="s">
        <v>147</v>
      </c>
      <c r="CW43" t="s">
        <v>147</v>
      </c>
      <c r="CX43" t="s">
        <v>147</v>
      </c>
      <c r="CY43" t="s">
        <v>147</v>
      </c>
      <c r="CZ43" t="s">
        <v>147</v>
      </c>
      <c r="DA43" t="s">
        <v>57</v>
      </c>
      <c r="DB43" t="s">
        <v>57</v>
      </c>
      <c r="DC43" t="s">
        <v>147</v>
      </c>
      <c r="DD43" t="s">
        <v>147</v>
      </c>
      <c r="DE43" t="s">
        <v>147</v>
      </c>
      <c r="DF43" t="s">
        <v>147</v>
      </c>
      <c r="DG43" t="s">
        <v>147</v>
      </c>
      <c r="DH43" t="s">
        <v>147</v>
      </c>
      <c r="DI43" t="s">
        <v>147</v>
      </c>
      <c r="DJ43" t="s">
        <v>147</v>
      </c>
      <c r="DK43" t="s">
        <v>147</v>
      </c>
      <c r="DL43" t="s">
        <v>147</v>
      </c>
      <c r="DM43" t="s">
        <v>175</v>
      </c>
      <c r="DN43" t="s">
        <v>147</v>
      </c>
      <c r="DO43" t="s">
        <v>147</v>
      </c>
      <c r="DP43" t="s">
        <v>147</v>
      </c>
      <c r="DQ43" t="s">
        <v>147</v>
      </c>
      <c r="DR43" t="s">
        <v>147</v>
      </c>
      <c r="DS43" t="s">
        <v>147</v>
      </c>
      <c r="DT43" t="s">
        <v>147</v>
      </c>
      <c r="DU43" t="s">
        <v>147</v>
      </c>
      <c r="DV43" t="s">
        <v>147</v>
      </c>
      <c r="DW43" t="s">
        <v>147</v>
      </c>
      <c r="DX43" t="s">
        <v>147</v>
      </c>
      <c r="DY43" t="s">
        <v>175</v>
      </c>
      <c r="DZ43" t="s">
        <v>147</v>
      </c>
      <c r="EA43" t="s">
        <v>147</v>
      </c>
      <c r="EB43" t="s">
        <v>147</v>
      </c>
      <c r="EC43" t="s">
        <v>147</v>
      </c>
      <c r="ED43" t="s">
        <v>147</v>
      </c>
      <c r="EE43" t="s">
        <v>147</v>
      </c>
      <c r="EF43" t="s">
        <v>147</v>
      </c>
      <c r="EG43" t="s">
        <v>147</v>
      </c>
      <c r="EH43" t="s">
        <v>147</v>
      </c>
      <c r="EI43" t="s">
        <v>147</v>
      </c>
      <c r="EJ43" t="s">
        <v>147</v>
      </c>
      <c r="EK43" t="s">
        <v>147</v>
      </c>
      <c r="EL43" t="s">
        <v>147</v>
      </c>
      <c r="EM43" t="s">
        <v>147</v>
      </c>
      <c r="EN43" t="s">
        <v>147</v>
      </c>
      <c r="EO43" t="s">
        <v>147</v>
      </c>
      <c r="EP43" t="s">
        <v>147</v>
      </c>
      <c r="EQ43" t="s">
        <v>147</v>
      </c>
      <c r="ER43" t="s">
        <v>147</v>
      </c>
      <c r="ES43" t="s">
        <v>147</v>
      </c>
      <c r="ET43" t="s">
        <v>147</v>
      </c>
      <c r="EU43" t="s">
        <v>147</v>
      </c>
      <c r="EV43" t="s">
        <v>147</v>
      </c>
      <c r="EW43" t="s">
        <v>147</v>
      </c>
      <c r="EX43" t="s">
        <v>147</v>
      </c>
      <c r="EY43" t="s">
        <v>147</v>
      </c>
      <c r="EZ43" t="s">
        <v>147</v>
      </c>
      <c r="FA43" t="s">
        <v>147</v>
      </c>
      <c r="FB43" t="s">
        <v>147</v>
      </c>
      <c r="FC43" t="s">
        <v>147</v>
      </c>
      <c r="FD43" t="s">
        <v>147</v>
      </c>
      <c r="FE43" t="s">
        <v>147</v>
      </c>
      <c r="FF43" t="s">
        <v>147</v>
      </c>
      <c r="FG43" t="s">
        <v>147</v>
      </c>
      <c r="FH43" t="s">
        <v>147</v>
      </c>
      <c r="FI43" t="s">
        <v>147</v>
      </c>
      <c r="FJ43" t="s">
        <v>147</v>
      </c>
      <c r="FK43" t="s">
        <v>147</v>
      </c>
      <c r="FL43" t="s">
        <v>147</v>
      </c>
      <c r="FM43" t="s">
        <v>147</v>
      </c>
      <c r="FN43" t="s">
        <v>147</v>
      </c>
      <c r="FO43" t="s">
        <v>175</v>
      </c>
      <c r="FP43" t="s">
        <v>147</v>
      </c>
      <c r="FQ43" t="s">
        <v>147</v>
      </c>
      <c r="FR43" t="s">
        <v>147</v>
      </c>
      <c r="FS43" t="s">
        <v>147</v>
      </c>
      <c r="FT43" t="s">
        <v>147</v>
      </c>
      <c r="FU43" t="s">
        <v>147</v>
      </c>
      <c r="FV43" t="s">
        <v>147</v>
      </c>
      <c r="FW43" t="s">
        <v>147</v>
      </c>
      <c r="FX43" t="s">
        <v>147</v>
      </c>
      <c r="FY43" t="s">
        <v>147</v>
      </c>
      <c r="FZ43" t="s">
        <v>147</v>
      </c>
      <c r="GA43" t="s">
        <v>147</v>
      </c>
      <c r="GB43" t="s">
        <v>147</v>
      </c>
      <c r="GC43" t="s">
        <v>147</v>
      </c>
      <c r="GD43" t="s">
        <v>147</v>
      </c>
      <c r="GE43" t="s">
        <v>147</v>
      </c>
      <c r="GF43" t="s">
        <v>147</v>
      </c>
      <c r="GG43" t="s">
        <v>175</v>
      </c>
      <c r="GH43" t="s">
        <v>57</v>
      </c>
      <c r="GI43" t="s">
        <v>57</v>
      </c>
      <c r="GJ43" t="s">
        <v>57</v>
      </c>
      <c r="GK43" t="s">
        <v>57</v>
      </c>
      <c r="GL43" t="s">
        <v>57</v>
      </c>
      <c r="GM43" t="s">
        <v>57</v>
      </c>
      <c r="GN43" t="s">
        <v>147</v>
      </c>
      <c r="GO43" t="s">
        <v>147</v>
      </c>
      <c r="GP43" t="s">
        <v>147</v>
      </c>
      <c r="GQ43" t="s">
        <v>147</v>
      </c>
      <c r="GR43" t="s">
        <v>147</v>
      </c>
      <c r="GS43" t="s">
        <v>147</v>
      </c>
      <c r="GT43" t="s">
        <v>147</v>
      </c>
      <c r="GU43" t="s">
        <v>147</v>
      </c>
      <c r="GV43" t="s">
        <v>147</v>
      </c>
      <c r="GW43" t="s">
        <v>147</v>
      </c>
      <c r="GX43" t="s">
        <v>147</v>
      </c>
      <c r="GY43" t="s">
        <v>147</v>
      </c>
      <c r="GZ43" t="s">
        <v>147</v>
      </c>
      <c r="HA43" t="s">
        <v>147</v>
      </c>
      <c r="HB43" t="s">
        <v>147</v>
      </c>
      <c r="HC43" t="s">
        <v>147</v>
      </c>
      <c r="HD43" t="s">
        <v>147</v>
      </c>
      <c r="HE43" t="s">
        <v>147</v>
      </c>
      <c r="HF43" t="s">
        <v>147</v>
      </c>
      <c r="HG43" t="s">
        <v>147</v>
      </c>
      <c r="HH43" t="s">
        <v>147</v>
      </c>
      <c r="HI43" t="s">
        <v>147</v>
      </c>
      <c r="HJ43" t="s">
        <v>147</v>
      </c>
      <c r="HK43" t="s">
        <v>147</v>
      </c>
      <c r="HL43" t="s">
        <v>147</v>
      </c>
      <c r="HM43" t="s">
        <v>147</v>
      </c>
      <c r="HN43" t="s">
        <v>147</v>
      </c>
      <c r="HO43" t="s">
        <v>147</v>
      </c>
      <c r="HP43" t="s">
        <v>147</v>
      </c>
      <c r="HQ43" t="s">
        <v>147</v>
      </c>
      <c r="HR43" t="s">
        <v>147</v>
      </c>
      <c r="HS43" t="s">
        <v>147</v>
      </c>
      <c r="HT43" t="s">
        <v>147</v>
      </c>
      <c r="HU43" t="s">
        <v>147</v>
      </c>
      <c r="HV43" t="s">
        <v>147</v>
      </c>
      <c r="HW43" t="s">
        <v>147</v>
      </c>
      <c r="HX43" t="s">
        <v>147</v>
      </c>
      <c r="HY43" t="s">
        <v>147</v>
      </c>
      <c r="HZ43" t="s">
        <v>147</v>
      </c>
      <c r="IA43" t="s">
        <v>147</v>
      </c>
      <c r="IB43" t="s">
        <v>57</v>
      </c>
      <c r="IC43" t="s">
        <v>57</v>
      </c>
      <c r="ID43" t="s">
        <v>57</v>
      </c>
      <c r="IE43" t="s">
        <v>57</v>
      </c>
      <c r="IF43" t="s">
        <v>124</v>
      </c>
      <c r="IG43" t="s">
        <v>148</v>
      </c>
      <c r="IH43" t="s">
        <v>123</v>
      </c>
      <c r="II43" t="s">
        <v>156</v>
      </c>
    </row>
    <row r="44" spans="1:243" x14ac:dyDescent="0.25">
      <c r="A44" s="121" t="str">
        <f>HYPERLINK("http://www.ofsted.gov.uk/inspection-reports/find-inspection-report/provider/ELS/135091 ","Ofsted School Webpage")</f>
        <v>Ofsted School Webpage</v>
      </c>
      <c r="B44">
        <v>135091</v>
      </c>
      <c r="C44">
        <v>3166067</v>
      </c>
      <c r="D44" t="s">
        <v>2253</v>
      </c>
      <c r="E44" t="s">
        <v>36</v>
      </c>
      <c r="F44" t="s">
        <v>166</v>
      </c>
      <c r="G44" t="s">
        <v>189</v>
      </c>
      <c r="H44" t="s">
        <v>189</v>
      </c>
      <c r="I44" t="s">
        <v>460</v>
      </c>
      <c r="J44" t="s">
        <v>2254</v>
      </c>
      <c r="K44" t="s">
        <v>169</v>
      </c>
      <c r="L44" t="s">
        <v>169</v>
      </c>
      <c r="M44" t="s">
        <v>2596</v>
      </c>
      <c r="N44" t="s">
        <v>143</v>
      </c>
      <c r="O44">
        <v>10044654</v>
      </c>
      <c r="P44" s="108">
        <v>43133</v>
      </c>
      <c r="Q44" s="108">
        <v>43133</v>
      </c>
      <c r="R44" s="108">
        <v>43165</v>
      </c>
      <c r="S44" t="s">
        <v>144</v>
      </c>
      <c r="T44" t="s">
        <v>145</v>
      </c>
      <c r="U44" t="s">
        <v>2596</v>
      </c>
      <c r="V44" t="s">
        <v>2596</v>
      </c>
      <c r="W44" t="s">
        <v>2596</v>
      </c>
      <c r="X44" t="s">
        <v>2596</v>
      </c>
      <c r="Y44" t="s">
        <v>2596</v>
      </c>
      <c r="Z44" t="s">
        <v>2596</v>
      </c>
      <c r="AA44" t="s">
        <v>2596</v>
      </c>
      <c r="AB44" t="s">
        <v>2596</v>
      </c>
      <c r="AC44" t="s">
        <v>174</v>
      </c>
      <c r="AD44" t="s">
        <v>2596</v>
      </c>
      <c r="AE44" t="s">
        <v>147</v>
      </c>
      <c r="AF44" t="s">
        <v>147</v>
      </c>
      <c r="AG44" t="s">
        <v>58</v>
      </c>
      <c r="AH44" t="s">
        <v>58</v>
      </c>
      <c r="AI44" t="s">
        <v>57</v>
      </c>
      <c r="AJ44" t="s">
        <v>58</v>
      </c>
      <c r="AK44" t="s">
        <v>58</v>
      </c>
      <c r="AL44" t="s">
        <v>58</v>
      </c>
      <c r="AM44" t="s">
        <v>147</v>
      </c>
      <c r="AN44" t="s">
        <v>147</v>
      </c>
      <c r="AO44" t="s">
        <v>147</v>
      </c>
      <c r="AP44" t="s">
        <v>147</v>
      </c>
      <c r="AQ44" t="s">
        <v>147</v>
      </c>
      <c r="AR44" t="s">
        <v>58</v>
      </c>
      <c r="AS44" t="s">
        <v>147</v>
      </c>
      <c r="AT44" t="s">
        <v>147</v>
      </c>
      <c r="AU44" t="s">
        <v>147</v>
      </c>
      <c r="AV44" t="s">
        <v>147</v>
      </c>
      <c r="AW44" t="s">
        <v>147</v>
      </c>
      <c r="AX44" t="s">
        <v>147</v>
      </c>
      <c r="AY44" t="s">
        <v>58</v>
      </c>
      <c r="AZ44" t="s">
        <v>58</v>
      </c>
      <c r="BA44" t="s">
        <v>58</v>
      </c>
      <c r="BB44" t="s">
        <v>58</v>
      </c>
      <c r="BC44" t="s">
        <v>147</v>
      </c>
      <c r="BD44" t="s">
        <v>147</v>
      </c>
      <c r="BE44" t="s">
        <v>147</v>
      </c>
      <c r="BF44" t="s">
        <v>147</v>
      </c>
      <c r="BG44" t="s">
        <v>58</v>
      </c>
      <c r="BH44" t="s">
        <v>147</v>
      </c>
      <c r="BI44" t="s">
        <v>147</v>
      </c>
      <c r="BJ44" t="s">
        <v>147</v>
      </c>
      <c r="BK44" t="s">
        <v>147</v>
      </c>
      <c r="BL44" t="s">
        <v>147</v>
      </c>
      <c r="BM44" t="s">
        <v>58</v>
      </c>
      <c r="BN44" t="s">
        <v>147</v>
      </c>
      <c r="BO44" t="s">
        <v>147</v>
      </c>
      <c r="BP44" t="s">
        <v>147</v>
      </c>
      <c r="BQ44" t="s">
        <v>147</v>
      </c>
      <c r="BR44" t="s">
        <v>147</v>
      </c>
      <c r="BS44" t="s">
        <v>147</v>
      </c>
      <c r="BT44" t="s">
        <v>147</v>
      </c>
      <c r="BU44" t="s">
        <v>147</v>
      </c>
      <c r="BV44" t="s">
        <v>147</v>
      </c>
      <c r="BW44" t="s">
        <v>147</v>
      </c>
      <c r="BX44" t="s">
        <v>147</v>
      </c>
      <c r="BY44" t="s">
        <v>147</v>
      </c>
      <c r="BZ44" t="s">
        <v>147</v>
      </c>
      <c r="CA44" t="s">
        <v>147</v>
      </c>
      <c r="CB44" t="s">
        <v>147</v>
      </c>
      <c r="CC44" t="s">
        <v>147</v>
      </c>
      <c r="CD44" t="s">
        <v>147</v>
      </c>
      <c r="CE44" t="s">
        <v>147</v>
      </c>
      <c r="CF44" t="s">
        <v>147</v>
      </c>
      <c r="CG44" t="s">
        <v>147</v>
      </c>
      <c r="CH44" t="s">
        <v>58</v>
      </c>
      <c r="CI44" t="s">
        <v>58</v>
      </c>
      <c r="CJ44" t="s">
        <v>58</v>
      </c>
      <c r="CK44" t="s">
        <v>175</v>
      </c>
      <c r="CL44" t="s">
        <v>175</v>
      </c>
      <c r="CM44" t="s">
        <v>175</v>
      </c>
      <c r="CN44" t="s">
        <v>58</v>
      </c>
      <c r="CO44" t="s">
        <v>58</v>
      </c>
      <c r="CP44" t="s">
        <v>58</v>
      </c>
      <c r="CQ44" t="s">
        <v>58</v>
      </c>
      <c r="CR44" t="s">
        <v>58</v>
      </c>
      <c r="CS44" t="s">
        <v>147</v>
      </c>
      <c r="CT44" t="s">
        <v>147</v>
      </c>
      <c r="CU44" t="s">
        <v>57</v>
      </c>
      <c r="CV44" t="s">
        <v>147</v>
      </c>
      <c r="CW44" t="s">
        <v>58</v>
      </c>
      <c r="CX44" t="s">
        <v>147</v>
      </c>
      <c r="CY44" t="s">
        <v>147</v>
      </c>
      <c r="CZ44" t="s">
        <v>147</v>
      </c>
      <c r="DA44" t="s">
        <v>58</v>
      </c>
      <c r="DB44" t="s">
        <v>147</v>
      </c>
      <c r="DC44" t="s">
        <v>58</v>
      </c>
      <c r="DD44" t="s">
        <v>147</v>
      </c>
      <c r="DE44" t="s">
        <v>147</v>
      </c>
      <c r="DF44" t="s">
        <v>147</v>
      </c>
      <c r="DG44" t="s">
        <v>147</v>
      </c>
      <c r="DH44" t="s">
        <v>147</v>
      </c>
      <c r="DI44" t="s">
        <v>147</v>
      </c>
      <c r="DJ44" t="s">
        <v>147</v>
      </c>
      <c r="DK44" t="s">
        <v>175</v>
      </c>
      <c r="DL44" t="s">
        <v>147</v>
      </c>
      <c r="DM44" t="s">
        <v>147</v>
      </c>
      <c r="DN44" t="s">
        <v>147</v>
      </c>
      <c r="DO44" t="s">
        <v>147</v>
      </c>
      <c r="DP44" t="s">
        <v>147</v>
      </c>
      <c r="DQ44" t="s">
        <v>147</v>
      </c>
      <c r="DR44" t="s">
        <v>147</v>
      </c>
      <c r="DS44" t="s">
        <v>147</v>
      </c>
      <c r="DT44" t="s">
        <v>147</v>
      </c>
      <c r="DU44" t="s">
        <v>147</v>
      </c>
      <c r="DV44" t="s">
        <v>147</v>
      </c>
      <c r="DW44" t="s">
        <v>147</v>
      </c>
      <c r="DX44" t="s">
        <v>147</v>
      </c>
      <c r="DY44" t="s">
        <v>175</v>
      </c>
      <c r="DZ44" t="s">
        <v>147</v>
      </c>
      <c r="EA44" t="s">
        <v>58</v>
      </c>
      <c r="EB44" t="s">
        <v>58</v>
      </c>
      <c r="EC44" t="s">
        <v>147</v>
      </c>
      <c r="ED44" t="s">
        <v>58</v>
      </c>
      <c r="EE44" t="s">
        <v>58</v>
      </c>
      <c r="EF44" t="s">
        <v>58</v>
      </c>
      <c r="EG44" t="s">
        <v>58</v>
      </c>
      <c r="EH44" t="s">
        <v>58</v>
      </c>
      <c r="EI44" t="s">
        <v>147</v>
      </c>
      <c r="EJ44" t="s">
        <v>58</v>
      </c>
      <c r="EK44" t="s">
        <v>58</v>
      </c>
      <c r="EL44" t="s">
        <v>58</v>
      </c>
      <c r="EM44" t="s">
        <v>58</v>
      </c>
      <c r="EN44" t="s">
        <v>58</v>
      </c>
      <c r="EO44" t="s">
        <v>58</v>
      </c>
      <c r="EP44" t="s">
        <v>58</v>
      </c>
      <c r="EQ44" t="s">
        <v>58</v>
      </c>
      <c r="ER44" t="s">
        <v>58</v>
      </c>
      <c r="ES44" t="s">
        <v>58</v>
      </c>
      <c r="ET44" t="s">
        <v>58</v>
      </c>
      <c r="EU44" t="s">
        <v>58</v>
      </c>
      <c r="EV44" t="s">
        <v>58</v>
      </c>
      <c r="EW44" t="s">
        <v>58</v>
      </c>
      <c r="EX44" t="s">
        <v>147</v>
      </c>
      <c r="EY44" t="s">
        <v>147</v>
      </c>
      <c r="EZ44" t="s">
        <v>147</v>
      </c>
      <c r="FA44" t="s">
        <v>147</v>
      </c>
      <c r="FB44" t="s">
        <v>147</v>
      </c>
      <c r="FC44" t="s">
        <v>147</v>
      </c>
      <c r="FD44" t="s">
        <v>58</v>
      </c>
      <c r="FE44" t="s">
        <v>58</v>
      </c>
      <c r="FF44" t="s">
        <v>58</v>
      </c>
      <c r="FG44" t="s">
        <v>58</v>
      </c>
      <c r="FH44" t="s">
        <v>57</v>
      </c>
      <c r="FI44" t="s">
        <v>57</v>
      </c>
      <c r="FJ44" t="s">
        <v>147</v>
      </c>
      <c r="FK44" t="s">
        <v>147</v>
      </c>
      <c r="FL44" t="s">
        <v>147</v>
      </c>
      <c r="FM44" t="s">
        <v>147</v>
      </c>
      <c r="FN44" t="s">
        <v>147</v>
      </c>
      <c r="FO44" t="s">
        <v>147</v>
      </c>
      <c r="FP44" t="s">
        <v>147</v>
      </c>
      <c r="FQ44" t="s">
        <v>58</v>
      </c>
      <c r="FR44" t="s">
        <v>147</v>
      </c>
      <c r="FS44" t="s">
        <v>147</v>
      </c>
      <c r="FT44" t="s">
        <v>147</v>
      </c>
      <c r="FU44" t="s">
        <v>147</v>
      </c>
      <c r="FV44" t="s">
        <v>57</v>
      </c>
      <c r="FW44" t="s">
        <v>147</v>
      </c>
      <c r="FX44" t="s">
        <v>57</v>
      </c>
      <c r="FY44" t="s">
        <v>57</v>
      </c>
      <c r="FZ44" t="s">
        <v>147</v>
      </c>
      <c r="GA44" t="s">
        <v>147</v>
      </c>
      <c r="GB44" t="s">
        <v>147</v>
      </c>
      <c r="GC44" t="s">
        <v>147</v>
      </c>
      <c r="GD44" t="s">
        <v>58</v>
      </c>
      <c r="GE44" t="s">
        <v>147</v>
      </c>
      <c r="GF44" t="s">
        <v>58</v>
      </c>
      <c r="GG44" t="s">
        <v>175</v>
      </c>
      <c r="GH44" t="s">
        <v>58</v>
      </c>
      <c r="GI44" t="s">
        <v>147</v>
      </c>
      <c r="GJ44" t="s">
        <v>58</v>
      </c>
      <c r="GK44" t="s">
        <v>58</v>
      </c>
      <c r="GL44" t="s">
        <v>147</v>
      </c>
      <c r="GM44" t="s">
        <v>147</v>
      </c>
      <c r="GN44" t="s">
        <v>147</v>
      </c>
      <c r="GO44" t="s">
        <v>147</v>
      </c>
      <c r="GP44" t="s">
        <v>147</v>
      </c>
      <c r="GQ44" t="s">
        <v>147</v>
      </c>
      <c r="GR44" t="s">
        <v>147</v>
      </c>
      <c r="GS44" t="s">
        <v>58</v>
      </c>
      <c r="GT44" t="s">
        <v>147</v>
      </c>
      <c r="GU44" t="s">
        <v>58</v>
      </c>
      <c r="GV44" t="s">
        <v>175</v>
      </c>
      <c r="GW44" t="s">
        <v>58</v>
      </c>
      <c r="GX44" t="s">
        <v>58</v>
      </c>
      <c r="GY44" t="s">
        <v>147</v>
      </c>
      <c r="GZ44" t="s">
        <v>58</v>
      </c>
      <c r="HA44" t="s">
        <v>57</v>
      </c>
      <c r="HB44" t="s">
        <v>58</v>
      </c>
      <c r="HC44" t="s">
        <v>147</v>
      </c>
      <c r="HD44" t="s">
        <v>57</v>
      </c>
      <c r="HE44" t="s">
        <v>57</v>
      </c>
      <c r="HF44" t="s">
        <v>57</v>
      </c>
      <c r="HG44" t="s">
        <v>57</v>
      </c>
      <c r="HH44" t="s">
        <v>147</v>
      </c>
      <c r="HI44" t="s">
        <v>147</v>
      </c>
      <c r="HJ44" t="s">
        <v>147</v>
      </c>
      <c r="HK44" t="s">
        <v>147</v>
      </c>
      <c r="HL44" t="s">
        <v>58</v>
      </c>
      <c r="HM44" t="s">
        <v>147</v>
      </c>
      <c r="HN44" t="s">
        <v>147</v>
      </c>
      <c r="HO44" t="s">
        <v>147</v>
      </c>
      <c r="HP44" t="s">
        <v>147</v>
      </c>
      <c r="HQ44" t="s">
        <v>147</v>
      </c>
      <c r="HR44" t="s">
        <v>147</v>
      </c>
      <c r="HS44" t="s">
        <v>147</v>
      </c>
      <c r="HT44" t="s">
        <v>147</v>
      </c>
      <c r="HU44" t="s">
        <v>147</v>
      </c>
      <c r="HV44" t="s">
        <v>147</v>
      </c>
      <c r="HW44" t="s">
        <v>147</v>
      </c>
      <c r="HX44" t="s">
        <v>58</v>
      </c>
      <c r="HY44" t="s">
        <v>58</v>
      </c>
      <c r="HZ44" t="s">
        <v>57</v>
      </c>
      <c r="IA44" t="s">
        <v>147</v>
      </c>
      <c r="IB44" t="s">
        <v>58</v>
      </c>
      <c r="IC44" t="s">
        <v>58</v>
      </c>
      <c r="ID44" t="s">
        <v>58</v>
      </c>
      <c r="IE44" t="s">
        <v>58</v>
      </c>
      <c r="IF44" t="s">
        <v>124</v>
      </c>
      <c r="IG44" t="s">
        <v>148</v>
      </c>
      <c r="IH44" t="s">
        <v>124</v>
      </c>
      <c r="II44" t="s">
        <v>156</v>
      </c>
    </row>
    <row r="45" spans="1:243" x14ac:dyDescent="0.25">
      <c r="A45" s="121" t="str">
        <f>HYPERLINK("http://www.ofsted.gov.uk/inspection-reports/find-inspection-report/provider/ELS/135418 ","Ofsted School Webpage")</f>
        <v>Ofsted School Webpage</v>
      </c>
      <c r="B45">
        <v>135418</v>
      </c>
      <c r="C45">
        <v>9376106</v>
      </c>
      <c r="D45" t="s">
        <v>652</v>
      </c>
      <c r="E45" t="s">
        <v>36</v>
      </c>
      <c r="F45" t="s">
        <v>166</v>
      </c>
      <c r="G45" t="s">
        <v>150</v>
      </c>
      <c r="H45" t="s">
        <v>150</v>
      </c>
      <c r="I45" t="s">
        <v>333</v>
      </c>
      <c r="J45" t="s">
        <v>653</v>
      </c>
      <c r="K45" t="s">
        <v>142</v>
      </c>
      <c r="L45" t="s">
        <v>142</v>
      </c>
      <c r="M45" t="s">
        <v>2596</v>
      </c>
      <c r="N45" t="s">
        <v>143</v>
      </c>
      <c r="O45">
        <v>10044609</v>
      </c>
      <c r="P45" s="108">
        <v>43111</v>
      </c>
      <c r="Q45" s="108">
        <v>43111</v>
      </c>
      <c r="R45" s="108">
        <v>43139</v>
      </c>
      <c r="S45" t="s">
        <v>144</v>
      </c>
      <c r="T45" t="s">
        <v>145</v>
      </c>
      <c r="U45" t="s">
        <v>2596</v>
      </c>
      <c r="V45" t="s">
        <v>2596</v>
      </c>
      <c r="W45" t="s">
        <v>2596</v>
      </c>
      <c r="X45" t="s">
        <v>2596</v>
      </c>
      <c r="Y45" t="s">
        <v>2596</v>
      </c>
      <c r="Z45" t="s">
        <v>2596</v>
      </c>
      <c r="AA45" t="s">
        <v>2596</v>
      </c>
      <c r="AB45" t="s">
        <v>2596</v>
      </c>
      <c r="AC45" t="s">
        <v>146</v>
      </c>
      <c r="AD45" t="s">
        <v>2596</v>
      </c>
      <c r="AE45" t="s">
        <v>57</v>
      </c>
      <c r="AF45" t="s">
        <v>147</v>
      </c>
      <c r="AG45" t="s">
        <v>57</v>
      </c>
      <c r="AH45" t="s">
        <v>147</v>
      </c>
      <c r="AI45" t="s">
        <v>147</v>
      </c>
      <c r="AJ45" t="s">
        <v>57</v>
      </c>
      <c r="AK45" t="s">
        <v>147</v>
      </c>
      <c r="AL45" t="s">
        <v>57</v>
      </c>
      <c r="AM45" t="s">
        <v>57</v>
      </c>
      <c r="AN45" t="s">
        <v>57</v>
      </c>
      <c r="AO45" t="s">
        <v>57</v>
      </c>
      <c r="AP45" t="s">
        <v>57</v>
      </c>
      <c r="AQ45" t="s">
        <v>57</v>
      </c>
      <c r="AR45" t="s">
        <v>57</v>
      </c>
      <c r="AS45" t="s">
        <v>57</v>
      </c>
      <c r="AT45" t="s">
        <v>57</v>
      </c>
      <c r="AU45" t="s">
        <v>175</v>
      </c>
      <c r="AV45" t="s">
        <v>57</v>
      </c>
      <c r="AW45" t="s">
        <v>57</v>
      </c>
      <c r="AX45" t="s">
        <v>57</v>
      </c>
      <c r="AY45" t="s">
        <v>175</v>
      </c>
      <c r="AZ45" t="s">
        <v>175</v>
      </c>
      <c r="BA45" t="s">
        <v>175</v>
      </c>
      <c r="BB45" t="s">
        <v>175</v>
      </c>
      <c r="BC45" t="s">
        <v>175</v>
      </c>
      <c r="BD45" t="s">
        <v>175</v>
      </c>
      <c r="BE45" t="s">
        <v>57</v>
      </c>
      <c r="BF45" t="s">
        <v>57</v>
      </c>
      <c r="BG45" t="s">
        <v>57</v>
      </c>
      <c r="BH45" t="s">
        <v>57</v>
      </c>
      <c r="BI45" t="s">
        <v>57</v>
      </c>
      <c r="BJ45" t="s">
        <v>57</v>
      </c>
      <c r="BK45" t="s">
        <v>57</v>
      </c>
      <c r="BL45" t="s">
        <v>57</v>
      </c>
      <c r="BM45" t="s">
        <v>57</v>
      </c>
      <c r="BN45" t="s">
        <v>57</v>
      </c>
      <c r="BO45" t="s">
        <v>147</v>
      </c>
      <c r="BP45" t="s">
        <v>147</v>
      </c>
      <c r="BQ45" t="s">
        <v>147</v>
      </c>
      <c r="BR45" t="s">
        <v>57</v>
      </c>
      <c r="BS45" t="s">
        <v>147</v>
      </c>
      <c r="BT45" t="s">
        <v>147</v>
      </c>
      <c r="BU45" t="s">
        <v>147</v>
      </c>
      <c r="BV45" t="s">
        <v>147</v>
      </c>
      <c r="BW45" t="s">
        <v>147</v>
      </c>
      <c r="BX45" t="s">
        <v>147</v>
      </c>
      <c r="BY45" t="s">
        <v>147</v>
      </c>
      <c r="BZ45" t="s">
        <v>147</v>
      </c>
      <c r="CA45" t="s">
        <v>147</v>
      </c>
      <c r="CB45" t="s">
        <v>147</v>
      </c>
      <c r="CC45" t="s">
        <v>147</v>
      </c>
      <c r="CD45" t="s">
        <v>147</v>
      </c>
      <c r="CE45" t="s">
        <v>147</v>
      </c>
      <c r="CF45" t="s">
        <v>147</v>
      </c>
      <c r="CG45" t="s">
        <v>147</v>
      </c>
      <c r="CH45" t="s">
        <v>57</v>
      </c>
      <c r="CI45" t="s">
        <v>57</v>
      </c>
      <c r="CJ45" t="s">
        <v>57</v>
      </c>
      <c r="CK45" t="s">
        <v>175</v>
      </c>
      <c r="CL45" t="s">
        <v>175</v>
      </c>
      <c r="CM45" t="s">
        <v>175</v>
      </c>
      <c r="CN45" t="s">
        <v>147</v>
      </c>
      <c r="CO45" t="s">
        <v>147</v>
      </c>
      <c r="CP45" t="s">
        <v>147</v>
      </c>
      <c r="CQ45" t="s">
        <v>147</v>
      </c>
      <c r="CR45" t="s">
        <v>147</v>
      </c>
      <c r="CS45" t="s">
        <v>147</v>
      </c>
      <c r="CT45" t="s">
        <v>147</v>
      </c>
      <c r="CU45" t="s">
        <v>147</v>
      </c>
      <c r="CV45" t="s">
        <v>147</v>
      </c>
      <c r="CW45" t="s">
        <v>147</v>
      </c>
      <c r="CX45" t="s">
        <v>147</v>
      </c>
      <c r="CY45" t="s">
        <v>147</v>
      </c>
      <c r="CZ45" t="s">
        <v>147</v>
      </c>
      <c r="DA45" t="s">
        <v>147</v>
      </c>
      <c r="DB45" t="s">
        <v>147</v>
      </c>
      <c r="DC45" t="s">
        <v>147</v>
      </c>
      <c r="DD45" t="s">
        <v>147</v>
      </c>
      <c r="DE45" t="s">
        <v>147</v>
      </c>
      <c r="DF45" t="s">
        <v>147</v>
      </c>
      <c r="DG45" t="s">
        <v>147</v>
      </c>
      <c r="DH45" t="s">
        <v>147</v>
      </c>
      <c r="DI45" t="s">
        <v>147</v>
      </c>
      <c r="DJ45" t="s">
        <v>147</v>
      </c>
      <c r="DK45" t="s">
        <v>147</v>
      </c>
      <c r="DL45" t="s">
        <v>147</v>
      </c>
      <c r="DM45" t="s">
        <v>147</v>
      </c>
      <c r="DN45" t="s">
        <v>147</v>
      </c>
      <c r="DO45" t="s">
        <v>147</v>
      </c>
      <c r="DP45" t="s">
        <v>147</v>
      </c>
      <c r="DQ45" t="s">
        <v>147</v>
      </c>
      <c r="DR45" t="s">
        <v>147</v>
      </c>
      <c r="DS45" t="s">
        <v>147</v>
      </c>
      <c r="DT45" t="s">
        <v>147</v>
      </c>
      <c r="DU45" t="s">
        <v>147</v>
      </c>
      <c r="DV45" t="s">
        <v>147</v>
      </c>
      <c r="DW45" t="s">
        <v>147</v>
      </c>
      <c r="DX45" t="s">
        <v>147</v>
      </c>
      <c r="DY45" t="s">
        <v>147</v>
      </c>
      <c r="DZ45" t="s">
        <v>147</v>
      </c>
      <c r="EA45" t="s">
        <v>147</v>
      </c>
      <c r="EB45" t="s">
        <v>147</v>
      </c>
      <c r="EC45" t="s">
        <v>147</v>
      </c>
      <c r="ED45" t="s">
        <v>147</v>
      </c>
      <c r="EE45" t="s">
        <v>147</v>
      </c>
      <c r="EF45" t="s">
        <v>147</v>
      </c>
      <c r="EG45" t="s">
        <v>147</v>
      </c>
      <c r="EH45" t="s">
        <v>147</v>
      </c>
      <c r="EI45" t="s">
        <v>147</v>
      </c>
      <c r="EJ45" t="s">
        <v>147</v>
      </c>
      <c r="EK45" t="s">
        <v>147</v>
      </c>
      <c r="EL45" t="s">
        <v>147</v>
      </c>
      <c r="EM45" t="s">
        <v>147</v>
      </c>
      <c r="EN45" t="s">
        <v>147</v>
      </c>
      <c r="EO45" t="s">
        <v>147</v>
      </c>
      <c r="EP45" t="s">
        <v>147</v>
      </c>
      <c r="EQ45" t="s">
        <v>147</v>
      </c>
      <c r="ER45" t="s">
        <v>147</v>
      </c>
      <c r="ES45" t="s">
        <v>147</v>
      </c>
      <c r="ET45" t="s">
        <v>147</v>
      </c>
      <c r="EU45" t="s">
        <v>147</v>
      </c>
      <c r="EV45" t="s">
        <v>147</v>
      </c>
      <c r="EW45" t="s">
        <v>147</v>
      </c>
      <c r="EX45" t="s">
        <v>147</v>
      </c>
      <c r="EY45" t="s">
        <v>147</v>
      </c>
      <c r="EZ45" t="s">
        <v>147</v>
      </c>
      <c r="FA45" t="s">
        <v>147</v>
      </c>
      <c r="FB45" t="s">
        <v>147</v>
      </c>
      <c r="FC45" t="s">
        <v>147</v>
      </c>
      <c r="FD45" t="s">
        <v>147</v>
      </c>
      <c r="FE45" t="s">
        <v>147</v>
      </c>
      <c r="FF45" t="s">
        <v>147</v>
      </c>
      <c r="FG45" t="s">
        <v>147</v>
      </c>
      <c r="FH45" t="s">
        <v>147</v>
      </c>
      <c r="FI45" t="s">
        <v>147</v>
      </c>
      <c r="FJ45" t="s">
        <v>147</v>
      </c>
      <c r="FK45" t="s">
        <v>147</v>
      </c>
      <c r="FL45" t="s">
        <v>147</v>
      </c>
      <c r="FM45" t="s">
        <v>147</v>
      </c>
      <c r="FN45" t="s">
        <v>147</v>
      </c>
      <c r="FO45" t="s">
        <v>147</v>
      </c>
      <c r="FP45" t="s">
        <v>147</v>
      </c>
      <c r="FQ45" t="s">
        <v>147</v>
      </c>
      <c r="FR45" t="s">
        <v>147</v>
      </c>
      <c r="FS45" t="s">
        <v>147</v>
      </c>
      <c r="FT45" t="s">
        <v>147</v>
      </c>
      <c r="FU45" t="s">
        <v>147</v>
      </c>
      <c r="FV45" t="s">
        <v>147</v>
      </c>
      <c r="FW45" t="s">
        <v>147</v>
      </c>
      <c r="FX45" t="s">
        <v>147</v>
      </c>
      <c r="FY45" t="s">
        <v>147</v>
      </c>
      <c r="FZ45" t="s">
        <v>147</v>
      </c>
      <c r="GA45" t="s">
        <v>147</v>
      </c>
      <c r="GB45" t="s">
        <v>147</v>
      </c>
      <c r="GC45" t="s">
        <v>147</v>
      </c>
      <c r="GD45" t="s">
        <v>147</v>
      </c>
      <c r="GE45" t="s">
        <v>147</v>
      </c>
      <c r="GF45" t="s">
        <v>147</v>
      </c>
      <c r="GG45" t="s">
        <v>147</v>
      </c>
      <c r="GH45" t="s">
        <v>57</v>
      </c>
      <c r="GI45" t="s">
        <v>147</v>
      </c>
      <c r="GJ45" t="s">
        <v>147</v>
      </c>
      <c r="GK45" t="s">
        <v>57</v>
      </c>
      <c r="GL45" t="s">
        <v>147</v>
      </c>
      <c r="GM45" t="s">
        <v>175</v>
      </c>
      <c r="GN45" t="s">
        <v>147</v>
      </c>
      <c r="GO45" t="s">
        <v>147</v>
      </c>
      <c r="GP45" t="s">
        <v>147</v>
      </c>
      <c r="GQ45" t="s">
        <v>147</v>
      </c>
      <c r="GR45" t="s">
        <v>147</v>
      </c>
      <c r="GS45" t="s">
        <v>57</v>
      </c>
      <c r="GT45" t="s">
        <v>57</v>
      </c>
      <c r="GU45" t="s">
        <v>57</v>
      </c>
      <c r="GV45" t="s">
        <v>57</v>
      </c>
      <c r="GW45" t="s">
        <v>57</v>
      </c>
      <c r="GX45" t="s">
        <v>175</v>
      </c>
      <c r="GY45" t="s">
        <v>57</v>
      </c>
      <c r="GZ45" t="s">
        <v>147</v>
      </c>
      <c r="HA45" t="s">
        <v>147</v>
      </c>
      <c r="HB45" t="s">
        <v>147</v>
      </c>
      <c r="HC45" t="s">
        <v>147</v>
      </c>
      <c r="HD45" t="s">
        <v>147</v>
      </c>
      <c r="HE45" t="s">
        <v>147</v>
      </c>
      <c r="HF45" t="s">
        <v>147</v>
      </c>
      <c r="HG45" t="s">
        <v>147</v>
      </c>
      <c r="HH45" t="s">
        <v>175</v>
      </c>
      <c r="HI45" t="s">
        <v>175</v>
      </c>
      <c r="HJ45" t="s">
        <v>175</v>
      </c>
      <c r="HK45" t="s">
        <v>175</v>
      </c>
      <c r="HL45" t="s">
        <v>147</v>
      </c>
      <c r="HM45" t="s">
        <v>147</v>
      </c>
      <c r="HN45" t="s">
        <v>147</v>
      </c>
      <c r="HO45" t="s">
        <v>147</v>
      </c>
      <c r="HP45" t="s">
        <v>147</v>
      </c>
      <c r="HQ45" t="s">
        <v>147</v>
      </c>
      <c r="HR45" t="s">
        <v>147</v>
      </c>
      <c r="HS45" t="s">
        <v>147</v>
      </c>
      <c r="HT45" t="s">
        <v>147</v>
      </c>
      <c r="HU45" t="s">
        <v>147</v>
      </c>
      <c r="HV45" t="s">
        <v>147</v>
      </c>
      <c r="HW45" t="s">
        <v>147</v>
      </c>
      <c r="HX45" t="s">
        <v>147</v>
      </c>
      <c r="HY45" t="s">
        <v>147</v>
      </c>
      <c r="HZ45" t="s">
        <v>147</v>
      </c>
      <c r="IA45" t="s">
        <v>147</v>
      </c>
      <c r="IB45" t="s">
        <v>57</v>
      </c>
      <c r="IC45" t="s">
        <v>57</v>
      </c>
      <c r="ID45" t="s">
        <v>57</v>
      </c>
      <c r="IE45" t="s">
        <v>57</v>
      </c>
      <c r="IF45" t="s">
        <v>124</v>
      </c>
      <c r="IG45" t="s">
        <v>148</v>
      </c>
      <c r="IH45" t="s">
        <v>123</v>
      </c>
      <c r="II45" t="s">
        <v>156</v>
      </c>
    </row>
    <row r="46" spans="1:243" x14ac:dyDescent="0.25">
      <c r="A46" s="121" t="str">
        <f>HYPERLINK("http://www.ofsted.gov.uk/inspection-reports/find-inspection-report/provider/ELS/135555 ","Ofsted School Webpage")</f>
        <v>Ofsted School Webpage</v>
      </c>
      <c r="B46">
        <v>135555</v>
      </c>
      <c r="C46">
        <v>9096097</v>
      </c>
      <c r="D46" t="s">
        <v>1023</v>
      </c>
      <c r="E46" t="s">
        <v>37</v>
      </c>
      <c r="F46" t="s">
        <v>138</v>
      </c>
      <c r="G46" t="s">
        <v>162</v>
      </c>
      <c r="H46" t="s">
        <v>162</v>
      </c>
      <c r="I46" t="s">
        <v>895</v>
      </c>
      <c r="J46" t="s">
        <v>1024</v>
      </c>
      <c r="K46" t="s">
        <v>142</v>
      </c>
      <c r="L46" t="s">
        <v>142</v>
      </c>
      <c r="M46" t="s">
        <v>2596</v>
      </c>
      <c r="N46" t="s">
        <v>143</v>
      </c>
      <c r="O46">
        <v>10044094</v>
      </c>
      <c r="P46" s="108">
        <v>43074</v>
      </c>
      <c r="Q46" s="108">
        <v>43074</v>
      </c>
      <c r="R46" s="108">
        <v>43119</v>
      </c>
      <c r="S46" t="s">
        <v>144</v>
      </c>
      <c r="T46" t="s">
        <v>145</v>
      </c>
      <c r="U46" t="s">
        <v>2596</v>
      </c>
      <c r="V46" t="s">
        <v>2596</v>
      </c>
      <c r="W46" t="s">
        <v>2596</v>
      </c>
      <c r="X46" t="s">
        <v>2596</v>
      </c>
      <c r="Y46" t="s">
        <v>2596</v>
      </c>
      <c r="Z46" t="s">
        <v>2596</v>
      </c>
      <c r="AA46" t="s">
        <v>2596</v>
      </c>
      <c r="AB46" t="s">
        <v>2596</v>
      </c>
      <c r="AC46" t="s">
        <v>146</v>
      </c>
      <c r="AD46" t="s">
        <v>2596</v>
      </c>
      <c r="AE46" t="s">
        <v>147</v>
      </c>
      <c r="AF46" t="s">
        <v>147</v>
      </c>
      <c r="AG46" t="s">
        <v>57</v>
      </c>
      <c r="AH46" t="s">
        <v>57</v>
      </c>
      <c r="AI46" t="s">
        <v>57</v>
      </c>
      <c r="AJ46" t="s">
        <v>147</v>
      </c>
      <c r="AK46" t="s">
        <v>147</v>
      </c>
      <c r="AL46" t="s">
        <v>57</v>
      </c>
      <c r="AM46" t="s">
        <v>147</v>
      </c>
      <c r="AN46" t="s">
        <v>147</v>
      </c>
      <c r="AO46" t="s">
        <v>147</v>
      </c>
      <c r="AP46" t="s">
        <v>147</v>
      </c>
      <c r="AQ46" t="s">
        <v>147</v>
      </c>
      <c r="AR46" t="s">
        <v>147</v>
      </c>
      <c r="AS46" t="s">
        <v>147</v>
      </c>
      <c r="AT46" t="s">
        <v>147</v>
      </c>
      <c r="AU46" t="s">
        <v>147</v>
      </c>
      <c r="AV46" t="s">
        <v>147</v>
      </c>
      <c r="AW46" t="s">
        <v>147</v>
      </c>
      <c r="AX46" t="s">
        <v>147</v>
      </c>
      <c r="AY46" t="s">
        <v>147</v>
      </c>
      <c r="AZ46" t="s">
        <v>147</v>
      </c>
      <c r="BA46" t="s">
        <v>147</v>
      </c>
      <c r="BB46" t="s">
        <v>147</v>
      </c>
      <c r="BC46" t="s">
        <v>147</v>
      </c>
      <c r="BD46" t="s">
        <v>147</v>
      </c>
      <c r="BE46" t="s">
        <v>147</v>
      </c>
      <c r="BF46" t="s">
        <v>147</v>
      </c>
      <c r="BG46" t="s">
        <v>147</v>
      </c>
      <c r="BH46" t="s">
        <v>147</v>
      </c>
      <c r="BI46" t="s">
        <v>147</v>
      </c>
      <c r="BJ46" t="s">
        <v>147</v>
      </c>
      <c r="BK46" t="s">
        <v>147</v>
      </c>
      <c r="BL46" t="s">
        <v>147</v>
      </c>
      <c r="BM46" t="s">
        <v>147</v>
      </c>
      <c r="BN46" t="s">
        <v>147</v>
      </c>
      <c r="BO46" t="s">
        <v>147</v>
      </c>
      <c r="BP46" t="s">
        <v>147</v>
      </c>
      <c r="BQ46" t="s">
        <v>147</v>
      </c>
      <c r="BR46" t="s">
        <v>147</v>
      </c>
      <c r="BS46" t="s">
        <v>147</v>
      </c>
      <c r="BT46" t="s">
        <v>147</v>
      </c>
      <c r="BU46" t="s">
        <v>147</v>
      </c>
      <c r="BV46" t="s">
        <v>147</v>
      </c>
      <c r="BW46" t="s">
        <v>147</v>
      </c>
      <c r="BX46" t="s">
        <v>147</v>
      </c>
      <c r="BY46" t="s">
        <v>147</v>
      </c>
      <c r="BZ46" t="s">
        <v>147</v>
      </c>
      <c r="CA46" t="s">
        <v>147</v>
      </c>
      <c r="CB46" t="s">
        <v>147</v>
      </c>
      <c r="CC46" t="s">
        <v>147</v>
      </c>
      <c r="CD46" t="s">
        <v>147</v>
      </c>
      <c r="CE46" t="s">
        <v>147</v>
      </c>
      <c r="CF46" t="s">
        <v>147</v>
      </c>
      <c r="CG46" t="s">
        <v>147</v>
      </c>
      <c r="CH46" t="s">
        <v>57</v>
      </c>
      <c r="CI46" t="s">
        <v>57</v>
      </c>
      <c r="CJ46" t="s">
        <v>147</v>
      </c>
      <c r="CK46" t="s">
        <v>175</v>
      </c>
      <c r="CL46" t="s">
        <v>175</v>
      </c>
      <c r="CM46" t="s">
        <v>175</v>
      </c>
      <c r="CN46" t="s">
        <v>57</v>
      </c>
      <c r="CO46" t="s">
        <v>57</v>
      </c>
      <c r="CP46" t="s">
        <v>57</v>
      </c>
      <c r="CQ46" t="s">
        <v>57</v>
      </c>
      <c r="CR46" t="s">
        <v>57</v>
      </c>
      <c r="CS46" t="s">
        <v>57</v>
      </c>
      <c r="CT46" t="s">
        <v>57</v>
      </c>
      <c r="CU46" t="s">
        <v>57</v>
      </c>
      <c r="CV46" t="s">
        <v>57</v>
      </c>
      <c r="CW46" t="s">
        <v>57</v>
      </c>
      <c r="CX46" t="s">
        <v>57</v>
      </c>
      <c r="CY46" t="s">
        <v>57</v>
      </c>
      <c r="CZ46" t="s">
        <v>57</v>
      </c>
      <c r="DA46" t="s">
        <v>57</v>
      </c>
      <c r="DB46" t="s">
        <v>57</v>
      </c>
      <c r="DC46" t="s">
        <v>57</v>
      </c>
      <c r="DD46" t="s">
        <v>57</v>
      </c>
      <c r="DE46" t="s">
        <v>57</v>
      </c>
      <c r="DF46" t="s">
        <v>57</v>
      </c>
      <c r="DG46" t="s">
        <v>57</v>
      </c>
      <c r="DH46" t="s">
        <v>57</v>
      </c>
      <c r="DI46" t="s">
        <v>57</v>
      </c>
      <c r="DJ46" t="s">
        <v>57</v>
      </c>
      <c r="DK46" t="s">
        <v>175</v>
      </c>
      <c r="DL46" t="s">
        <v>57</v>
      </c>
      <c r="DM46" t="s">
        <v>57</v>
      </c>
      <c r="DN46" t="s">
        <v>57</v>
      </c>
      <c r="DO46" t="s">
        <v>57</v>
      </c>
      <c r="DP46" t="s">
        <v>57</v>
      </c>
      <c r="DQ46" t="s">
        <v>57</v>
      </c>
      <c r="DR46" t="s">
        <v>57</v>
      </c>
      <c r="DS46" t="s">
        <v>57</v>
      </c>
      <c r="DT46" t="s">
        <v>57</v>
      </c>
      <c r="DU46" t="s">
        <v>57</v>
      </c>
      <c r="DV46" t="s">
        <v>57</v>
      </c>
      <c r="DW46" t="s">
        <v>57</v>
      </c>
      <c r="DX46" t="s">
        <v>57</v>
      </c>
      <c r="DY46" t="s">
        <v>175</v>
      </c>
      <c r="DZ46" t="s">
        <v>57</v>
      </c>
      <c r="EA46" t="s">
        <v>57</v>
      </c>
      <c r="EB46" t="s">
        <v>57</v>
      </c>
      <c r="EC46" t="s">
        <v>57</v>
      </c>
      <c r="ED46" t="s">
        <v>57</v>
      </c>
      <c r="EE46" t="s">
        <v>57</v>
      </c>
      <c r="EF46" t="s">
        <v>57</v>
      </c>
      <c r="EG46" t="s">
        <v>57</v>
      </c>
      <c r="EH46" t="s">
        <v>57</v>
      </c>
      <c r="EI46" t="s">
        <v>57</v>
      </c>
      <c r="EJ46" t="s">
        <v>57</v>
      </c>
      <c r="EK46" t="s">
        <v>57</v>
      </c>
      <c r="EL46" t="s">
        <v>57</v>
      </c>
      <c r="EM46" t="s">
        <v>57</v>
      </c>
      <c r="EN46" t="s">
        <v>57</v>
      </c>
      <c r="EO46" t="s">
        <v>57</v>
      </c>
      <c r="EP46" t="s">
        <v>57</v>
      </c>
      <c r="EQ46" t="s">
        <v>57</v>
      </c>
      <c r="ER46" t="s">
        <v>57</v>
      </c>
      <c r="ES46" t="s">
        <v>57</v>
      </c>
      <c r="ET46" t="s">
        <v>57</v>
      </c>
      <c r="EU46" t="s">
        <v>57</v>
      </c>
      <c r="EV46" t="s">
        <v>57</v>
      </c>
      <c r="EW46" t="s">
        <v>57</v>
      </c>
      <c r="EX46" t="s">
        <v>57</v>
      </c>
      <c r="EY46" t="s">
        <v>57</v>
      </c>
      <c r="EZ46" t="s">
        <v>57</v>
      </c>
      <c r="FA46" t="s">
        <v>57</v>
      </c>
      <c r="FB46" t="s">
        <v>57</v>
      </c>
      <c r="FC46" t="s">
        <v>57</v>
      </c>
      <c r="FD46" t="s">
        <v>57</v>
      </c>
      <c r="FE46" t="s">
        <v>57</v>
      </c>
      <c r="FF46" t="s">
        <v>57</v>
      </c>
      <c r="FG46" t="s">
        <v>57</v>
      </c>
      <c r="FH46" t="s">
        <v>57</v>
      </c>
      <c r="FI46" t="s">
        <v>57</v>
      </c>
      <c r="FJ46" t="s">
        <v>57</v>
      </c>
      <c r="FK46" t="s">
        <v>57</v>
      </c>
      <c r="FL46" t="s">
        <v>57</v>
      </c>
      <c r="FM46" t="s">
        <v>57</v>
      </c>
      <c r="FN46" t="s">
        <v>57</v>
      </c>
      <c r="FO46" t="s">
        <v>175</v>
      </c>
      <c r="FP46" t="s">
        <v>57</v>
      </c>
      <c r="FQ46" t="s">
        <v>57</v>
      </c>
      <c r="FR46" t="s">
        <v>57</v>
      </c>
      <c r="FS46" t="s">
        <v>57</v>
      </c>
      <c r="FT46" t="s">
        <v>57</v>
      </c>
      <c r="FU46" t="s">
        <v>57</v>
      </c>
      <c r="FV46" t="s">
        <v>57</v>
      </c>
      <c r="FW46" t="s">
        <v>57</v>
      </c>
      <c r="FX46" t="s">
        <v>57</v>
      </c>
      <c r="FY46" t="s">
        <v>57</v>
      </c>
      <c r="FZ46" t="s">
        <v>57</v>
      </c>
      <c r="GA46" t="s">
        <v>57</v>
      </c>
      <c r="GB46" t="s">
        <v>57</v>
      </c>
      <c r="GC46" t="s">
        <v>57</v>
      </c>
      <c r="GD46" t="s">
        <v>57</v>
      </c>
      <c r="GE46" t="s">
        <v>57</v>
      </c>
      <c r="GF46" t="s">
        <v>57</v>
      </c>
      <c r="GG46" t="s">
        <v>175</v>
      </c>
      <c r="GH46" t="s">
        <v>147</v>
      </c>
      <c r="GI46" t="s">
        <v>147</v>
      </c>
      <c r="GJ46" t="s">
        <v>147</v>
      </c>
      <c r="GK46" t="s">
        <v>147</v>
      </c>
      <c r="GL46" t="s">
        <v>147</v>
      </c>
      <c r="GM46" t="s">
        <v>147</v>
      </c>
      <c r="GN46" t="s">
        <v>147</v>
      </c>
      <c r="GO46" t="s">
        <v>147</v>
      </c>
      <c r="GP46" t="s">
        <v>147</v>
      </c>
      <c r="GQ46" t="s">
        <v>147</v>
      </c>
      <c r="GR46" t="s">
        <v>147</v>
      </c>
      <c r="GS46" t="s">
        <v>147</v>
      </c>
      <c r="GT46" t="s">
        <v>147</v>
      </c>
      <c r="GU46" t="s">
        <v>147</v>
      </c>
      <c r="GV46" t="s">
        <v>147</v>
      </c>
      <c r="GW46" t="s">
        <v>147</v>
      </c>
      <c r="GX46" t="s">
        <v>147</v>
      </c>
      <c r="GY46" t="s">
        <v>147</v>
      </c>
      <c r="GZ46" t="s">
        <v>147</v>
      </c>
      <c r="HA46" t="s">
        <v>147</v>
      </c>
      <c r="HB46" t="s">
        <v>147</v>
      </c>
      <c r="HC46" t="s">
        <v>147</v>
      </c>
      <c r="HD46" t="s">
        <v>147</v>
      </c>
      <c r="HE46" t="s">
        <v>147</v>
      </c>
      <c r="HF46" t="s">
        <v>147</v>
      </c>
      <c r="HG46" t="s">
        <v>147</v>
      </c>
      <c r="HH46" t="s">
        <v>147</v>
      </c>
      <c r="HI46" t="s">
        <v>147</v>
      </c>
      <c r="HJ46" t="s">
        <v>147</v>
      </c>
      <c r="HK46" t="s">
        <v>147</v>
      </c>
      <c r="HL46" t="s">
        <v>147</v>
      </c>
      <c r="HM46" t="s">
        <v>147</v>
      </c>
      <c r="HN46" t="s">
        <v>147</v>
      </c>
      <c r="HO46" t="s">
        <v>147</v>
      </c>
      <c r="HP46" t="s">
        <v>147</v>
      </c>
      <c r="HQ46" t="s">
        <v>147</v>
      </c>
      <c r="HR46" t="s">
        <v>147</v>
      </c>
      <c r="HS46" t="s">
        <v>147</v>
      </c>
      <c r="HT46" t="s">
        <v>147</v>
      </c>
      <c r="HU46" t="s">
        <v>147</v>
      </c>
      <c r="HV46" t="s">
        <v>147</v>
      </c>
      <c r="HW46" t="s">
        <v>147</v>
      </c>
      <c r="HX46" t="s">
        <v>147</v>
      </c>
      <c r="HY46" t="s">
        <v>147</v>
      </c>
      <c r="HZ46" t="s">
        <v>147</v>
      </c>
      <c r="IA46" t="s">
        <v>147</v>
      </c>
      <c r="IB46" t="s">
        <v>57</v>
      </c>
      <c r="IC46" t="s">
        <v>57</v>
      </c>
      <c r="ID46" t="s">
        <v>57</v>
      </c>
      <c r="IE46" t="s">
        <v>57</v>
      </c>
      <c r="IF46" t="s">
        <v>124</v>
      </c>
      <c r="IG46" t="s">
        <v>148</v>
      </c>
      <c r="IH46" t="s">
        <v>123</v>
      </c>
      <c r="II46" t="s">
        <v>156</v>
      </c>
    </row>
    <row r="47" spans="1:243" x14ac:dyDescent="0.25">
      <c r="A47" s="121" t="str">
        <f>HYPERLINK("http://www.ofsted.gov.uk/inspection-reports/find-inspection-report/provider/ELS/135557 ","Ofsted School Webpage")</f>
        <v>Ofsted School Webpage</v>
      </c>
      <c r="B47">
        <v>135557</v>
      </c>
      <c r="C47">
        <v>3596009</v>
      </c>
      <c r="D47" t="s">
        <v>425</v>
      </c>
      <c r="E47" t="s">
        <v>37</v>
      </c>
      <c r="F47" t="s">
        <v>138</v>
      </c>
      <c r="G47" t="s">
        <v>162</v>
      </c>
      <c r="H47" t="s">
        <v>162</v>
      </c>
      <c r="I47" t="s">
        <v>426</v>
      </c>
      <c r="J47" t="s">
        <v>427</v>
      </c>
      <c r="K47" t="s">
        <v>142</v>
      </c>
      <c r="L47" t="s">
        <v>142</v>
      </c>
      <c r="M47" t="s">
        <v>2596</v>
      </c>
      <c r="N47" t="s">
        <v>143</v>
      </c>
      <c r="O47">
        <v>10039950</v>
      </c>
      <c r="P47" s="108">
        <v>43012</v>
      </c>
      <c r="Q47" s="108">
        <v>43012</v>
      </c>
      <c r="R47" s="108">
        <v>43047</v>
      </c>
      <c r="S47" t="s">
        <v>144</v>
      </c>
      <c r="T47" t="s">
        <v>145</v>
      </c>
      <c r="U47" t="s">
        <v>2596</v>
      </c>
      <c r="V47" t="s">
        <v>2596</v>
      </c>
      <c r="W47" t="s">
        <v>2596</v>
      </c>
      <c r="X47" t="s">
        <v>2596</v>
      </c>
      <c r="Y47" t="s">
        <v>2596</v>
      </c>
      <c r="Z47" t="s">
        <v>2596</v>
      </c>
      <c r="AA47" t="s">
        <v>2596</v>
      </c>
      <c r="AB47" t="s">
        <v>2596</v>
      </c>
      <c r="AC47" t="s">
        <v>146</v>
      </c>
      <c r="AD47" t="s">
        <v>2596</v>
      </c>
      <c r="AE47" t="s">
        <v>57</v>
      </c>
      <c r="AF47" t="s">
        <v>57</v>
      </c>
      <c r="AG47" t="s">
        <v>160</v>
      </c>
      <c r="AH47" t="s">
        <v>160</v>
      </c>
      <c r="AI47" t="s">
        <v>160</v>
      </c>
      <c r="AJ47" t="s">
        <v>160</v>
      </c>
      <c r="AK47" t="s">
        <v>160</v>
      </c>
      <c r="AL47" t="s">
        <v>57</v>
      </c>
      <c r="AM47" t="s">
        <v>57</v>
      </c>
      <c r="AN47" t="s">
        <v>57</v>
      </c>
      <c r="AO47" t="s">
        <v>57</v>
      </c>
      <c r="AP47" t="s">
        <v>57</v>
      </c>
      <c r="AQ47" t="s">
        <v>160</v>
      </c>
      <c r="AR47" t="s">
        <v>57</v>
      </c>
      <c r="AS47" t="s">
        <v>160</v>
      </c>
      <c r="AT47" t="s">
        <v>57</v>
      </c>
      <c r="AU47" t="s">
        <v>160</v>
      </c>
      <c r="AV47" t="s">
        <v>160</v>
      </c>
      <c r="AW47" t="s">
        <v>160</v>
      </c>
      <c r="AX47" t="s">
        <v>160</v>
      </c>
      <c r="AY47" t="s">
        <v>57</v>
      </c>
      <c r="AZ47" t="s">
        <v>160</v>
      </c>
      <c r="BA47" t="s">
        <v>160</v>
      </c>
      <c r="BB47" t="s">
        <v>57</v>
      </c>
      <c r="BC47" t="s">
        <v>160</v>
      </c>
      <c r="BD47" t="s">
        <v>160</v>
      </c>
      <c r="BE47" t="s">
        <v>57</v>
      </c>
      <c r="BF47" t="s">
        <v>160</v>
      </c>
      <c r="BG47" t="s">
        <v>160</v>
      </c>
      <c r="BH47" t="s">
        <v>57</v>
      </c>
      <c r="BI47" t="s">
        <v>57</v>
      </c>
      <c r="BJ47" t="s">
        <v>57</v>
      </c>
      <c r="BK47" t="s">
        <v>57</v>
      </c>
      <c r="BL47" t="s">
        <v>160</v>
      </c>
      <c r="BM47" t="s">
        <v>160</v>
      </c>
      <c r="BN47" t="s">
        <v>57</v>
      </c>
      <c r="BO47" t="s">
        <v>160</v>
      </c>
      <c r="BP47" t="s">
        <v>160</v>
      </c>
      <c r="BQ47" t="s">
        <v>160</v>
      </c>
      <c r="BR47" t="s">
        <v>57</v>
      </c>
      <c r="BS47" t="s">
        <v>57</v>
      </c>
      <c r="BT47" t="s">
        <v>160</v>
      </c>
      <c r="BU47" t="s">
        <v>57</v>
      </c>
      <c r="BV47" t="s">
        <v>57</v>
      </c>
      <c r="BW47" t="s">
        <v>57</v>
      </c>
      <c r="BX47" t="s">
        <v>57</v>
      </c>
      <c r="BY47" t="s">
        <v>160</v>
      </c>
      <c r="BZ47" t="s">
        <v>160</v>
      </c>
      <c r="CA47" t="s">
        <v>160</v>
      </c>
      <c r="CB47" t="s">
        <v>160</v>
      </c>
      <c r="CC47" t="s">
        <v>160</v>
      </c>
      <c r="CD47" t="s">
        <v>160</v>
      </c>
      <c r="CE47" t="s">
        <v>160</v>
      </c>
      <c r="CF47" t="s">
        <v>160</v>
      </c>
      <c r="CG47" t="s">
        <v>160</v>
      </c>
      <c r="CH47" t="s">
        <v>160</v>
      </c>
      <c r="CI47" t="s">
        <v>160</v>
      </c>
      <c r="CJ47" t="s">
        <v>160</v>
      </c>
      <c r="CK47" t="s">
        <v>160</v>
      </c>
      <c r="CL47" t="s">
        <v>160</v>
      </c>
      <c r="CM47" t="s">
        <v>160</v>
      </c>
      <c r="CN47" t="s">
        <v>160</v>
      </c>
      <c r="CO47" t="s">
        <v>160</v>
      </c>
      <c r="CP47" t="s">
        <v>57</v>
      </c>
      <c r="CQ47" t="s">
        <v>160</v>
      </c>
      <c r="CR47" t="s">
        <v>160</v>
      </c>
      <c r="CS47" t="s">
        <v>160</v>
      </c>
      <c r="CT47" t="s">
        <v>160</v>
      </c>
      <c r="CU47" t="s">
        <v>160</v>
      </c>
      <c r="CV47" t="s">
        <v>160</v>
      </c>
      <c r="CW47" t="s">
        <v>160</v>
      </c>
      <c r="CX47" t="s">
        <v>160</v>
      </c>
      <c r="CY47" t="s">
        <v>160</v>
      </c>
      <c r="CZ47" t="s">
        <v>160</v>
      </c>
      <c r="DA47" t="s">
        <v>160</v>
      </c>
      <c r="DB47" t="s">
        <v>160</v>
      </c>
      <c r="DC47" t="s">
        <v>160</v>
      </c>
      <c r="DD47" t="s">
        <v>160</v>
      </c>
      <c r="DE47" t="s">
        <v>160</v>
      </c>
      <c r="DF47" t="s">
        <v>160</v>
      </c>
      <c r="DG47" t="s">
        <v>160</v>
      </c>
      <c r="DH47" t="s">
        <v>160</v>
      </c>
      <c r="DI47" t="s">
        <v>160</v>
      </c>
      <c r="DJ47" t="s">
        <v>160</v>
      </c>
      <c r="DK47" t="s">
        <v>160</v>
      </c>
      <c r="DL47" t="s">
        <v>160</v>
      </c>
      <c r="DM47" t="s">
        <v>160</v>
      </c>
      <c r="DN47" t="s">
        <v>160</v>
      </c>
      <c r="DO47" t="s">
        <v>160</v>
      </c>
      <c r="DP47" t="s">
        <v>160</v>
      </c>
      <c r="DQ47" t="s">
        <v>160</v>
      </c>
      <c r="DR47" t="s">
        <v>160</v>
      </c>
      <c r="DS47" t="s">
        <v>160</v>
      </c>
      <c r="DT47" t="s">
        <v>160</v>
      </c>
      <c r="DU47" t="s">
        <v>160</v>
      </c>
      <c r="DV47" t="s">
        <v>160</v>
      </c>
      <c r="DW47" t="s">
        <v>160</v>
      </c>
      <c r="DX47" t="s">
        <v>160</v>
      </c>
      <c r="DY47" t="s">
        <v>160</v>
      </c>
      <c r="DZ47" t="s">
        <v>160</v>
      </c>
      <c r="EA47" t="s">
        <v>160</v>
      </c>
      <c r="EB47" t="s">
        <v>160</v>
      </c>
      <c r="EC47" t="s">
        <v>160</v>
      </c>
      <c r="ED47" t="s">
        <v>160</v>
      </c>
      <c r="EE47" t="s">
        <v>160</v>
      </c>
      <c r="EF47" t="s">
        <v>160</v>
      </c>
      <c r="EG47" t="s">
        <v>160</v>
      </c>
      <c r="EH47" t="s">
        <v>160</v>
      </c>
      <c r="EI47" t="s">
        <v>160</v>
      </c>
      <c r="EJ47" t="s">
        <v>160</v>
      </c>
      <c r="EK47" t="s">
        <v>160</v>
      </c>
      <c r="EL47" t="s">
        <v>160</v>
      </c>
      <c r="EM47" t="s">
        <v>160</v>
      </c>
      <c r="EN47" t="s">
        <v>160</v>
      </c>
      <c r="EO47" t="s">
        <v>160</v>
      </c>
      <c r="EP47" t="s">
        <v>160</v>
      </c>
      <c r="EQ47" t="s">
        <v>160</v>
      </c>
      <c r="ER47" t="s">
        <v>160</v>
      </c>
      <c r="ES47" t="s">
        <v>160</v>
      </c>
      <c r="ET47" t="s">
        <v>160</v>
      </c>
      <c r="EU47" t="s">
        <v>160</v>
      </c>
      <c r="EV47" t="s">
        <v>160</v>
      </c>
      <c r="EW47" t="s">
        <v>160</v>
      </c>
      <c r="EX47" t="s">
        <v>160</v>
      </c>
      <c r="EY47" t="s">
        <v>160</v>
      </c>
      <c r="EZ47" t="s">
        <v>160</v>
      </c>
      <c r="FA47" t="s">
        <v>160</v>
      </c>
      <c r="FB47" t="s">
        <v>160</v>
      </c>
      <c r="FC47" t="s">
        <v>160</v>
      </c>
      <c r="FD47" t="s">
        <v>160</v>
      </c>
      <c r="FE47" t="s">
        <v>160</v>
      </c>
      <c r="FF47" t="s">
        <v>160</v>
      </c>
      <c r="FG47" t="s">
        <v>160</v>
      </c>
      <c r="FH47" t="s">
        <v>160</v>
      </c>
      <c r="FI47" t="s">
        <v>160</v>
      </c>
      <c r="FJ47" t="s">
        <v>160</v>
      </c>
      <c r="FK47" t="s">
        <v>160</v>
      </c>
      <c r="FL47" t="s">
        <v>160</v>
      </c>
      <c r="FM47" t="s">
        <v>160</v>
      </c>
      <c r="FN47" t="s">
        <v>160</v>
      </c>
      <c r="FO47" t="s">
        <v>160</v>
      </c>
      <c r="FP47" t="s">
        <v>160</v>
      </c>
      <c r="FQ47" t="s">
        <v>160</v>
      </c>
      <c r="FR47" t="s">
        <v>160</v>
      </c>
      <c r="FS47" t="s">
        <v>160</v>
      </c>
      <c r="FT47" t="s">
        <v>160</v>
      </c>
      <c r="FU47" t="s">
        <v>160</v>
      </c>
      <c r="FV47" t="s">
        <v>160</v>
      </c>
      <c r="FW47" t="s">
        <v>160</v>
      </c>
      <c r="FX47" t="s">
        <v>160</v>
      </c>
      <c r="FY47" t="s">
        <v>160</v>
      </c>
      <c r="FZ47" t="s">
        <v>160</v>
      </c>
      <c r="GA47" t="s">
        <v>160</v>
      </c>
      <c r="GB47" t="s">
        <v>160</v>
      </c>
      <c r="GC47" t="s">
        <v>160</v>
      </c>
      <c r="GD47" t="s">
        <v>160</v>
      </c>
      <c r="GE47" t="s">
        <v>160</v>
      </c>
      <c r="GF47" t="s">
        <v>160</v>
      </c>
      <c r="GG47" t="s">
        <v>160</v>
      </c>
      <c r="GH47" t="s">
        <v>160</v>
      </c>
      <c r="GI47" t="s">
        <v>160</v>
      </c>
      <c r="GJ47" t="s">
        <v>160</v>
      </c>
      <c r="GK47" t="s">
        <v>160</v>
      </c>
      <c r="GL47" t="s">
        <v>160</v>
      </c>
      <c r="GM47" t="s">
        <v>160</v>
      </c>
      <c r="GN47" t="s">
        <v>160</v>
      </c>
      <c r="GO47" t="s">
        <v>160</v>
      </c>
      <c r="GP47" t="s">
        <v>160</v>
      </c>
      <c r="GQ47" t="s">
        <v>160</v>
      </c>
      <c r="GR47" t="s">
        <v>160</v>
      </c>
      <c r="GS47" t="s">
        <v>160</v>
      </c>
      <c r="GT47" t="s">
        <v>160</v>
      </c>
      <c r="GU47" t="s">
        <v>160</v>
      </c>
      <c r="GV47" t="s">
        <v>160</v>
      </c>
      <c r="GW47" t="s">
        <v>160</v>
      </c>
      <c r="GX47" t="s">
        <v>160</v>
      </c>
      <c r="GY47" t="s">
        <v>160</v>
      </c>
      <c r="GZ47" t="s">
        <v>160</v>
      </c>
      <c r="HA47" t="s">
        <v>160</v>
      </c>
      <c r="HB47" t="s">
        <v>160</v>
      </c>
      <c r="HC47" t="s">
        <v>160</v>
      </c>
      <c r="HD47" t="s">
        <v>160</v>
      </c>
      <c r="HE47" t="s">
        <v>160</v>
      </c>
      <c r="HF47" t="s">
        <v>160</v>
      </c>
      <c r="HG47" t="s">
        <v>160</v>
      </c>
      <c r="HH47" t="s">
        <v>160</v>
      </c>
      <c r="HI47" t="s">
        <v>160</v>
      </c>
      <c r="HJ47" t="s">
        <v>160</v>
      </c>
      <c r="HK47" t="s">
        <v>160</v>
      </c>
      <c r="HL47" t="s">
        <v>160</v>
      </c>
      <c r="HM47" t="s">
        <v>160</v>
      </c>
      <c r="HN47" t="s">
        <v>160</v>
      </c>
      <c r="HO47" t="s">
        <v>160</v>
      </c>
      <c r="HP47" t="s">
        <v>160</v>
      </c>
      <c r="HQ47" t="s">
        <v>160</v>
      </c>
      <c r="HR47" t="s">
        <v>160</v>
      </c>
      <c r="HS47" t="s">
        <v>160</v>
      </c>
      <c r="HT47" t="s">
        <v>160</v>
      </c>
      <c r="HU47" t="s">
        <v>160</v>
      </c>
      <c r="HV47" t="s">
        <v>160</v>
      </c>
      <c r="HW47" t="s">
        <v>160</v>
      </c>
      <c r="HX47" t="s">
        <v>160</v>
      </c>
      <c r="HY47" t="s">
        <v>160</v>
      </c>
      <c r="HZ47" t="s">
        <v>160</v>
      </c>
      <c r="IA47" t="s">
        <v>160</v>
      </c>
      <c r="IB47" t="s">
        <v>57</v>
      </c>
      <c r="IC47" t="s">
        <v>57</v>
      </c>
      <c r="ID47" t="s">
        <v>57</v>
      </c>
      <c r="IE47" t="s">
        <v>57</v>
      </c>
      <c r="IF47" t="s">
        <v>123</v>
      </c>
      <c r="IG47" t="s">
        <v>123</v>
      </c>
      <c r="IH47" t="s">
        <v>123</v>
      </c>
      <c r="II47" t="s">
        <v>156</v>
      </c>
    </row>
    <row r="48" spans="1:243" x14ac:dyDescent="0.25">
      <c r="A48" s="121" t="str">
        <f>HYPERLINK("http://www.ofsted.gov.uk/inspection-reports/find-inspection-report/provider/ELS/135819 ","Ofsted School Webpage")</f>
        <v>Ofsted School Webpage</v>
      </c>
      <c r="B48">
        <v>135819</v>
      </c>
      <c r="C48">
        <v>8696016</v>
      </c>
      <c r="D48" t="s">
        <v>1722</v>
      </c>
      <c r="E48" t="s">
        <v>36</v>
      </c>
      <c r="F48" t="s">
        <v>166</v>
      </c>
      <c r="G48" t="s">
        <v>139</v>
      </c>
      <c r="H48" t="s">
        <v>139</v>
      </c>
      <c r="I48" t="s">
        <v>552</v>
      </c>
      <c r="J48" t="s">
        <v>1723</v>
      </c>
      <c r="K48" t="s">
        <v>142</v>
      </c>
      <c r="L48" t="s">
        <v>142</v>
      </c>
      <c r="M48" t="s">
        <v>2596</v>
      </c>
      <c r="N48" t="s">
        <v>143</v>
      </c>
      <c r="O48">
        <v>10044097</v>
      </c>
      <c r="P48" s="108">
        <v>43075</v>
      </c>
      <c r="Q48" s="108">
        <v>43075</v>
      </c>
      <c r="R48" s="108">
        <v>43108</v>
      </c>
      <c r="S48" t="s">
        <v>2635</v>
      </c>
      <c r="T48" t="s">
        <v>145</v>
      </c>
      <c r="U48" t="s">
        <v>2596</v>
      </c>
      <c r="V48" t="s">
        <v>2596</v>
      </c>
      <c r="W48" t="s">
        <v>2596</v>
      </c>
      <c r="X48" t="s">
        <v>2596</v>
      </c>
      <c r="Y48" t="s">
        <v>2596</v>
      </c>
      <c r="Z48" t="s">
        <v>2596</v>
      </c>
      <c r="AA48" t="s">
        <v>2596</v>
      </c>
      <c r="AB48" t="s">
        <v>2596</v>
      </c>
      <c r="AC48" t="s">
        <v>174</v>
      </c>
      <c r="AD48" t="s">
        <v>2596</v>
      </c>
      <c r="AE48" t="s">
        <v>147</v>
      </c>
      <c r="AF48" t="s">
        <v>147</v>
      </c>
      <c r="AG48" t="s">
        <v>58</v>
      </c>
      <c r="AH48" t="s">
        <v>57</v>
      </c>
      <c r="AI48" t="s">
        <v>147</v>
      </c>
      <c r="AJ48" t="s">
        <v>147</v>
      </c>
      <c r="AK48" t="s">
        <v>147</v>
      </c>
      <c r="AL48" t="s">
        <v>58</v>
      </c>
      <c r="AM48" t="s">
        <v>147</v>
      </c>
      <c r="AN48" t="s">
        <v>57</v>
      </c>
      <c r="AO48" t="s">
        <v>147</v>
      </c>
      <c r="AP48" t="s">
        <v>147</v>
      </c>
      <c r="AQ48" t="s">
        <v>147</v>
      </c>
      <c r="AR48" t="s">
        <v>147</v>
      </c>
      <c r="AS48" t="s">
        <v>147</v>
      </c>
      <c r="AT48" t="s">
        <v>147</v>
      </c>
      <c r="AU48" t="s">
        <v>147</v>
      </c>
      <c r="AV48" t="s">
        <v>147</v>
      </c>
      <c r="AW48" t="s">
        <v>147</v>
      </c>
      <c r="AX48" t="s">
        <v>147</v>
      </c>
      <c r="AY48" t="s">
        <v>57</v>
      </c>
      <c r="AZ48" t="s">
        <v>57</v>
      </c>
      <c r="BA48" t="s">
        <v>57</v>
      </c>
      <c r="BB48" t="s">
        <v>57</v>
      </c>
      <c r="BC48" t="s">
        <v>147</v>
      </c>
      <c r="BD48" t="s">
        <v>147</v>
      </c>
      <c r="BE48" t="s">
        <v>147</v>
      </c>
      <c r="BF48" t="s">
        <v>147</v>
      </c>
      <c r="BG48" t="s">
        <v>147</v>
      </c>
      <c r="BH48" t="s">
        <v>147</v>
      </c>
      <c r="BI48" t="s">
        <v>147</v>
      </c>
      <c r="BJ48" t="s">
        <v>147</v>
      </c>
      <c r="BK48" t="s">
        <v>147</v>
      </c>
      <c r="BL48" t="s">
        <v>147</v>
      </c>
      <c r="BM48" t="s">
        <v>147</v>
      </c>
      <c r="BN48" t="s">
        <v>147</v>
      </c>
      <c r="BO48" t="s">
        <v>147</v>
      </c>
      <c r="BP48" t="s">
        <v>147</v>
      </c>
      <c r="BQ48" t="s">
        <v>147</v>
      </c>
      <c r="BR48" t="s">
        <v>147</v>
      </c>
      <c r="BS48" t="s">
        <v>147</v>
      </c>
      <c r="BT48" t="s">
        <v>147</v>
      </c>
      <c r="BU48" t="s">
        <v>147</v>
      </c>
      <c r="BV48" t="s">
        <v>147</v>
      </c>
      <c r="BW48" t="s">
        <v>147</v>
      </c>
      <c r="BX48" t="s">
        <v>147</v>
      </c>
      <c r="BY48" t="s">
        <v>147</v>
      </c>
      <c r="BZ48" t="s">
        <v>147</v>
      </c>
      <c r="CA48" t="s">
        <v>147</v>
      </c>
      <c r="CB48" t="s">
        <v>147</v>
      </c>
      <c r="CC48" t="s">
        <v>147</v>
      </c>
      <c r="CD48" t="s">
        <v>147</v>
      </c>
      <c r="CE48" t="s">
        <v>147</v>
      </c>
      <c r="CF48" t="s">
        <v>147</v>
      </c>
      <c r="CG48" t="s">
        <v>147</v>
      </c>
      <c r="CH48" t="s">
        <v>58</v>
      </c>
      <c r="CI48" t="s">
        <v>58</v>
      </c>
      <c r="CJ48" t="s">
        <v>58</v>
      </c>
      <c r="CK48" t="s">
        <v>58</v>
      </c>
      <c r="CL48" t="s">
        <v>58</v>
      </c>
      <c r="CM48" t="s">
        <v>58</v>
      </c>
      <c r="CN48" t="s">
        <v>57</v>
      </c>
      <c r="CO48" t="s">
        <v>147</v>
      </c>
      <c r="CP48" t="s">
        <v>57</v>
      </c>
      <c r="CQ48" t="s">
        <v>147</v>
      </c>
      <c r="CR48" t="s">
        <v>147</v>
      </c>
      <c r="CS48" t="s">
        <v>147</v>
      </c>
      <c r="CT48" t="s">
        <v>147</v>
      </c>
      <c r="CU48" t="s">
        <v>147</v>
      </c>
      <c r="CV48" t="s">
        <v>147</v>
      </c>
      <c r="CW48" t="s">
        <v>147</v>
      </c>
      <c r="CX48" t="s">
        <v>147</v>
      </c>
      <c r="CY48" t="s">
        <v>147</v>
      </c>
      <c r="CZ48" t="s">
        <v>58</v>
      </c>
      <c r="DA48" t="s">
        <v>57</v>
      </c>
      <c r="DB48" t="s">
        <v>147</v>
      </c>
      <c r="DC48" t="s">
        <v>147</v>
      </c>
      <c r="DD48" t="s">
        <v>57</v>
      </c>
      <c r="DE48" t="s">
        <v>57</v>
      </c>
      <c r="DF48" t="s">
        <v>57</v>
      </c>
      <c r="DG48" t="s">
        <v>57</v>
      </c>
      <c r="DH48" t="s">
        <v>57</v>
      </c>
      <c r="DI48" t="s">
        <v>147</v>
      </c>
      <c r="DJ48" t="s">
        <v>57</v>
      </c>
      <c r="DK48" t="s">
        <v>147</v>
      </c>
      <c r="DL48" t="s">
        <v>57</v>
      </c>
      <c r="DM48" t="s">
        <v>147</v>
      </c>
      <c r="DN48" t="s">
        <v>147</v>
      </c>
      <c r="DO48" t="s">
        <v>147</v>
      </c>
      <c r="DP48" t="s">
        <v>147</v>
      </c>
      <c r="DQ48" t="s">
        <v>147</v>
      </c>
      <c r="DR48" t="s">
        <v>147</v>
      </c>
      <c r="DS48" t="s">
        <v>147</v>
      </c>
      <c r="DT48" t="s">
        <v>147</v>
      </c>
      <c r="DU48" t="s">
        <v>147</v>
      </c>
      <c r="DV48" t="s">
        <v>147</v>
      </c>
      <c r="DW48" t="s">
        <v>147</v>
      </c>
      <c r="DX48" t="s">
        <v>147</v>
      </c>
      <c r="DY48" t="s">
        <v>147</v>
      </c>
      <c r="DZ48" t="s">
        <v>147</v>
      </c>
      <c r="EA48" t="s">
        <v>147</v>
      </c>
      <c r="EB48" t="s">
        <v>147</v>
      </c>
      <c r="EC48" t="s">
        <v>147</v>
      </c>
      <c r="ED48" t="s">
        <v>147</v>
      </c>
      <c r="EE48" t="s">
        <v>147</v>
      </c>
      <c r="EF48" t="s">
        <v>147</v>
      </c>
      <c r="EG48" t="s">
        <v>147</v>
      </c>
      <c r="EH48" t="s">
        <v>147</v>
      </c>
      <c r="EI48" t="s">
        <v>147</v>
      </c>
      <c r="EJ48" t="s">
        <v>147</v>
      </c>
      <c r="EK48" t="s">
        <v>147</v>
      </c>
      <c r="EL48" t="s">
        <v>147</v>
      </c>
      <c r="EM48" t="s">
        <v>147</v>
      </c>
      <c r="EN48" t="s">
        <v>147</v>
      </c>
      <c r="EO48" t="s">
        <v>147</v>
      </c>
      <c r="EP48" t="s">
        <v>147</v>
      </c>
      <c r="EQ48" t="s">
        <v>147</v>
      </c>
      <c r="ER48" t="s">
        <v>147</v>
      </c>
      <c r="ES48" t="s">
        <v>147</v>
      </c>
      <c r="ET48" t="s">
        <v>147</v>
      </c>
      <c r="EU48" t="s">
        <v>147</v>
      </c>
      <c r="EV48" t="s">
        <v>147</v>
      </c>
      <c r="EW48" t="s">
        <v>147</v>
      </c>
      <c r="EX48" t="s">
        <v>147</v>
      </c>
      <c r="EY48" t="s">
        <v>147</v>
      </c>
      <c r="EZ48" t="s">
        <v>147</v>
      </c>
      <c r="FA48" t="s">
        <v>147</v>
      </c>
      <c r="FB48" t="s">
        <v>147</v>
      </c>
      <c r="FC48" t="s">
        <v>147</v>
      </c>
      <c r="FD48" t="s">
        <v>147</v>
      </c>
      <c r="FE48" t="s">
        <v>147</v>
      </c>
      <c r="FF48" t="s">
        <v>147</v>
      </c>
      <c r="FG48" t="s">
        <v>147</v>
      </c>
      <c r="FH48" t="s">
        <v>147</v>
      </c>
      <c r="FI48" t="s">
        <v>147</v>
      </c>
      <c r="FJ48" t="s">
        <v>147</v>
      </c>
      <c r="FK48" t="s">
        <v>147</v>
      </c>
      <c r="FL48" t="s">
        <v>147</v>
      </c>
      <c r="FM48" t="s">
        <v>147</v>
      </c>
      <c r="FN48" t="s">
        <v>147</v>
      </c>
      <c r="FO48" t="s">
        <v>147</v>
      </c>
      <c r="FP48" t="s">
        <v>147</v>
      </c>
      <c r="FQ48" t="s">
        <v>147</v>
      </c>
      <c r="FR48" t="s">
        <v>147</v>
      </c>
      <c r="FS48" t="s">
        <v>147</v>
      </c>
      <c r="FT48" t="s">
        <v>147</v>
      </c>
      <c r="FU48" t="s">
        <v>147</v>
      </c>
      <c r="FV48" t="s">
        <v>147</v>
      </c>
      <c r="FW48" t="s">
        <v>147</v>
      </c>
      <c r="FX48" t="s">
        <v>147</v>
      </c>
      <c r="FY48" t="s">
        <v>147</v>
      </c>
      <c r="FZ48" t="s">
        <v>147</v>
      </c>
      <c r="GA48" t="s">
        <v>147</v>
      </c>
      <c r="GB48" t="s">
        <v>147</v>
      </c>
      <c r="GC48" t="s">
        <v>147</v>
      </c>
      <c r="GD48" t="s">
        <v>147</v>
      </c>
      <c r="GE48" t="s">
        <v>147</v>
      </c>
      <c r="GF48" t="s">
        <v>147</v>
      </c>
      <c r="GG48" t="s">
        <v>147</v>
      </c>
      <c r="GH48" t="s">
        <v>147</v>
      </c>
      <c r="GI48" t="s">
        <v>147</v>
      </c>
      <c r="GJ48" t="s">
        <v>147</v>
      </c>
      <c r="GK48" t="s">
        <v>57</v>
      </c>
      <c r="GL48" t="s">
        <v>147</v>
      </c>
      <c r="GM48" t="s">
        <v>147</v>
      </c>
      <c r="GN48" t="s">
        <v>147</v>
      </c>
      <c r="GO48" t="s">
        <v>147</v>
      </c>
      <c r="GP48" t="s">
        <v>147</v>
      </c>
      <c r="GQ48" t="s">
        <v>147</v>
      </c>
      <c r="GR48" t="s">
        <v>147</v>
      </c>
      <c r="GS48" t="s">
        <v>147</v>
      </c>
      <c r="GT48" t="s">
        <v>147</v>
      </c>
      <c r="GU48" t="s">
        <v>147</v>
      </c>
      <c r="GV48" t="s">
        <v>147</v>
      </c>
      <c r="GW48" t="s">
        <v>147</v>
      </c>
      <c r="GX48" t="s">
        <v>147</v>
      </c>
      <c r="GY48" t="s">
        <v>147</v>
      </c>
      <c r="GZ48" t="s">
        <v>147</v>
      </c>
      <c r="HA48" t="s">
        <v>147</v>
      </c>
      <c r="HB48" t="s">
        <v>147</v>
      </c>
      <c r="HC48" t="s">
        <v>147</v>
      </c>
      <c r="HD48" t="s">
        <v>147</v>
      </c>
      <c r="HE48" t="s">
        <v>147</v>
      </c>
      <c r="HF48" t="s">
        <v>147</v>
      </c>
      <c r="HG48" t="s">
        <v>147</v>
      </c>
      <c r="HH48" t="s">
        <v>147</v>
      </c>
      <c r="HI48" t="s">
        <v>147</v>
      </c>
      <c r="HJ48" t="s">
        <v>147</v>
      </c>
      <c r="HK48" t="s">
        <v>147</v>
      </c>
      <c r="HL48" t="s">
        <v>147</v>
      </c>
      <c r="HM48" t="s">
        <v>147</v>
      </c>
      <c r="HN48" t="s">
        <v>147</v>
      </c>
      <c r="HO48" t="s">
        <v>147</v>
      </c>
      <c r="HP48" t="s">
        <v>147</v>
      </c>
      <c r="HQ48" t="s">
        <v>147</v>
      </c>
      <c r="HR48" t="s">
        <v>147</v>
      </c>
      <c r="HS48" t="s">
        <v>147</v>
      </c>
      <c r="HT48" t="s">
        <v>147</v>
      </c>
      <c r="HU48" t="s">
        <v>147</v>
      </c>
      <c r="HV48" t="s">
        <v>147</v>
      </c>
      <c r="HW48" t="s">
        <v>147</v>
      </c>
      <c r="HX48" t="s">
        <v>147</v>
      </c>
      <c r="HY48" t="s">
        <v>147</v>
      </c>
      <c r="HZ48" t="s">
        <v>147</v>
      </c>
      <c r="IA48" t="s">
        <v>147</v>
      </c>
      <c r="IB48" t="s">
        <v>58</v>
      </c>
      <c r="IC48" t="s">
        <v>58</v>
      </c>
      <c r="ID48" t="s">
        <v>58</v>
      </c>
      <c r="IE48" t="s">
        <v>58</v>
      </c>
      <c r="IF48" t="s">
        <v>124</v>
      </c>
      <c r="IG48" t="s">
        <v>148</v>
      </c>
      <c r="IH48" t="s">
        <v>123</v>
      </c>
      <c r="II48" t="s">
        <v>156</v>
      </c>
    </row>
    <row r="49" spans="1:243" x14ac:dyDescent="0.25">
      <c r="A49" s="121" t="str">
        <f>HYPERLINK("http://www.ofsted.gov.uk/inspection-reports/find-inspection-report/provider/ELS/135990 ","Ofsted School Webpage")</f>
        <v>Ofsted School Webpage</v>
      </c>
      <c r="B49">
        <v>135990</v>
      </c>
      <c r="C49">
        <v>8226014</v>
      </c>
      <c r="D49" t="s">
        <v>442</v>
      </c>
      <c r="E49" t="s">
        <v>37</v>
      </c>
      <c r="F49" t="s">
        <v>138</v>
      </c>
      <c r="G49" t="s">
        <v>177</v>
      </c>
      <c r="H49" t="s">
        <v>177</v>
      </c>
      <c r="I49" t="s">
        <v>290</v>
      </c>
      <c r="J49" t="s">
        <v>443</v>
      </c>
      <c r="K49" t="s">
        <v>142</v>
      </c>
      <c r="L49" t="s">
        <v>142</v>
      </c>
      <c r="M49" t="s">
        <v>2596</v>
      </c>
      <c r="N49" t="s">
        <v>143</v>
      </c>
      <c r="O49">
        <v>10039487</v>
      </c>
      <c r="P49" s="108">
        <v>43025</v>
      </c>
      <c r="Q49" s="108">
        <v>43025</v>
      </c>
      <c r="R49" s="108">
        <v>43066</v>
      </c>
      <c r="S49" t="s">
        <v>144</v>
      </c>
      <c r="T49" t="s">
        <v>145</v>
      </c>
      <c r="U49" t="s">
        <v>2596</v>
      </c>
      <c r="V49" t="s">
        <v>2596</v>
      </c>
      <c r="W49" t="s">
        <v>2596</v>
      </c>
      <c r="X49" t="s">
        <v>2596</v>
      </c>
      <c r="Y49" t="s">
        <v>2596</v>
      </c>
      <c r="Z49" t="s">
        <v>2596</v>
      </c>
      <c r="AA49" t="s">
        <v>2596</v>
      </c>
      <c r="AB49" t="s">
        <v>2596</v>
      </c>
      <c r="AC49" t="s">
        <v>174</v>
      </c>
      <c r="AD49" t="s">
        <v>2596</v>
      </c>
      <c r="AE49" t="s">
        <v>57</v>
      </c>
      <c r="AF49" t="s">
        <v>147</v>
      </c>
      <c r="AG49" t="s">
        <v>57</v>
      </c>
      <c r="AH49" t="s">
        <v>57</v>
      </c>
      <c r="AI49" t="s">
        <v>147</v>
      </c>
      <c r="AJ49" t="s">
        <v>147</v>
      </c>
      <c r="AK49" t="s">
        <v>147</v>
      </c>
      <c r="AL49" t="s">
        <v>58</v>
      </c>
      <c r="AM49" t="s">
        <v>57</v>
      </c>
      <c r="AN49" t="s">
        <v>57</v>
      </c>
      <c r="AO49" t="s">
        <v>57</v>
      </c>
      <c r="AP49" t="s">
        <v>57</v>
      </c>
      <c r="AQ49" t="s">
        <v>57</v>
      </c>
      <c r="AR49" t="s">
        <v>57</v>
      </c>
      <c r="AS49" t="s">
        <v>57</v>
      </c>
      <c r="AT49" t="s">
        <v>57</v>
      </c>
      <c r="AU49" t="s">
        <v>175</v>
      </c>
      <c r="AV49" t="s">
        <v>57</v>
      </c>
      <c r="AW49" t="s">
        <v>57</v>
      </c>
      <c r="AX49" t="s">
        <v>57</v>
      </c>
      <c r="AY49" t="s">
        <v>57</v>
      </c>
      <c r="AZ49" t="s">
        <v>57</v>
      </c>
      <c r="BA49" t="s">
        <v>57</v>
      </c>
      <c r="BB49" t="s">
        <v>57</v>
      </c>
      <c r="BC49" t="s">
        <v>175</v>
      </c>
      <c r="BD49" t="s">
        <v>175</v>
      </c>
      <c r="BE49" t="s">
        <v>57</v>
      </c>
      <c r="BF49" t="s">
        <v>57</v>
      </c>
      <c r="BG49" t="s">
        <v>58</v>
      </c>
      <c r="BH49" t="s">
        <v>58</v>
      </c>
      <c r="BI49" t="s">
        <v>58</v>
      </c>
      <c r="BJ49" t="s">
        <v>58</v>
      </c>
      <c r="BK49" t="s">
        <v>58</v>
      </c>
      <c r="BL49" t="s">
        <v>58</v>
      </c>
      <c r="BM49" t="s">
        <v>58</v>
      </c>
      <c r="BN49" t="s">
        <v>57</v>
      </c>
      <c r="BO49" t="s">
        <v>58</v>
      </c>
      <c r="BP49" t="s">
        <v>57</v>
      </c>
      <c r="BQ49" t="s">
        <v>57</v>
      </c>
      <c r="BR49" t="s">
        <v>57</v>
      </c>
      <c r="BS49" t="s">
        <v>147</v>
      </c>
      <c r="BT49" t="s">
        <v>147</v>
      </c>
      <c r="BU49" t="s">
        <v>147</v>
      </c>
      <c r="BV49" t="s">
        <v>147</v>
      </c>
      <c r="BW49" t="s">
        <v>147</v>
      </c>
      <c r="BX49" t="s">
        <v>147</v>
      </c>
      <c r="BY49" t="s">
        <v>147</v>
      </c>
      <c r="BZ49" t="s">
        <v>147</v>
      </c>
      <c r="CA49" t="s">
        <v>147</v>
      </c>
      <c r="CB49" t="s">
        <v>147</v>
      </c>
      <c r="CC49" t="s">
        <v>147</v>
      </c>
      <c r="CD49" t="s">
        <v>147</v>
      </c>
      <c r="CE49" t="s">
        <v>147</v>
      </c>
      <c r="CF49" t="s">
        <v>147</v>
      </c>
      <c r="CG49" t="s">
        <v>147</v>
      </c>
      <c r="CH49" t="s">
        <v>57</v>
      </c>
      <c r="CI49" t="s">
        <v>57</v>
      </c>
      <c r="CJ49" t="s">
        <v>57</v>
      </c>
      <c r="CK49" t="s">
        <v>175</v>
      </c>
      <c r="CL49" t="s">
        <v>175</v>
      </c>
      <c r="CM49" t="s">
        <v>175</v>
      </c>
      <c r="CN49" t="s">
        <v>147</v>
      </c>
      <c r="CO49" t="s">
        <v>147</v>
      </c>
      <c r="CP49" t="s">
        <v>147</v>
      </c>
      <c r="CQ49" t="s">
        <v>147</v>
      </c>
      <c r="CR49" t="s">
        <v>147</v>
      </c>
      <c r="CS49" t="s">
        <v>147</v>
      </c>
      <c r="CT49" t="s">
        <v>147</v>
      </c>
      <c r="CU49" t="s">
        <v>147</v>
      </c>
      <c r="CV49" t="s">
        <v>147</v>
      </c>
      <c r="CW49" t="s">
        <v>147</v>
      </c>
      <c r="CX49" t="s">
        <v>57</v>
      </c>
      <c r="CY49" t="s">
        <v>57</v>
      </c>
      <c r="CZ49" t="s">
        <v>57</v>
      </c>
      <c r="DA49" t="s">
        <v>57</v>
      </c>
      <c r="DB49" t="s">
        <v>57</v>
      </c>
      <c r="DC49" t="s">
        <v>57</v>
      </c>
      <c r="DD49" t="s">
        <v>57</v>
      </c>
      <c r="DE49" t="s">
        <v>57</v>
      </c>
      <c r="DF49" t="s">
        <v>57</v>
      </c>
      <c r="DG49" t="s">
        <v>57</v>
      </c>
      <c r="DH49" t="s">
        <v>57</v>
      </c>
      <c r="DI49" t="s">
        <v>57</v>
      </c>
      <c r="DJ49" t="s">
        <v>57</v>
      </c>
      <c r="DK49" t="s">
        <v>175</v>
      </c>
      <c r="DL49" t="s">
        <v>57</v>
      </c>
      <c r="DM49" t="s">
        <v>175</v>
      </c>
      <c r="DN49" t="s">
        <v>175</v>
      </c>
      <c r="DO49" t="s">
        <v>175</v>
      </c>
      <c r="DP49" t="s">
        <v>175</v>
      </c>
      <c r="DQ49" t="s">
        <v>175</v>
      </c>
      <c r="DR49" t="s">
        <v>175</v>
      </c>
      <c r="DS49" t="s">
        <v>175</v>
      </c>
      <c r="DT49" t="s">
        <v>175</v>
      </c>
      <c r="DU49" t="s">
        <v>175</v>
      </c>
      <c r="DV49" t="s">
        <v>175</v>
      </c>
      <c r="DW49" t="s">
        <v>175</v>
      </c>
      <c r="DX49" t="s">
        <v>175</v>
      </c>
      <c r="DY49" t="s">
        <v>175</v>
      </c>
      <c r="DZ49" t="s">
        <v>175</v>
      </c>
      <c r="EA49" t="s">
        <v>175</v>
      </c>
      <c r="EB49" t="s">
        <v>175</v>
      </c>
      <c r="EC49" t="s">
        <v>175</v>
      </c>
      <c r="ED49" t="s">
        <v>175</v>
      </c>
      <c r="EE49" t="s">
        <v>175</v>
      </c>
      <c r="EF49" t="s">
        <v>175</v>
      </c>
      <c r="EG49" t="s">
        <v>175</v>
      </c>
      <c r="EH49" t="s">
        <v>175</v>
      </c>
      <c r="EI49" t="s">
        <v>175</v>
      </c>
      <c r="EJ49" t="s">
        <v>57</v>
      </c>
      <c r="EK49" t="s">
        <v>57</v>
      </c>
      <c r="EL49" t="s">
        <v>57</v>
      </c>
      <c r="EM49" t="s">
        <v>57</v>
      </c>
      <c r="EN49" t="s">
        <v>57</v>
      </c>
      <c r="EO49" t="s">
        <v>57</v>
      </c>
      <c r="EP49" t="s">
        <v>57</v>
      </c>
      <c r="EQ49" t="s">
        <v>57</v>
      </c>
      <c r="ER49" t="s">
        <v>57</v>
      </c>
      <c r="ES49" t="s">
        <v>57</v>
      </c>
      <c r="ET49" t="s">
        <v>57</v>
      </c>
      <c r="EU49" t="s">
        <v>57</v>
      </c>
      <c r="EV49" t="s">
        <v>57</v>
      </c>
      <c r="EW49" t="s">
        <v>175</v>
      </c>
      <c r="EX49" t="s">
        <v>175</v>
      </c>
      <c r="EY49" t="s">
        <v>175</v>
      </c>
      <c r="EZ49" t="s">
        <v>175</v>
      </c>
      <c r="FA49" t="s">
        <v>175</v>
      </c>
      <c r="FB49" t="s">
        <v>175</v>
      </c>
      <c r="FC49" t="s">
        <v>175</v>
      </c>
      <c r="FD49" t="s">
        <v>175</v>
      </c>
      <c r="FE49" t="s">
        <v>175</v>
      </c>
      <c r="FF49" t="s">
        <v>175</v>
      </c>
      <c r="FG49" t="s">
        <v>175</v>
      </c>
      <c r="FH49" t="s">
        <v>147</v>
      </c>
      <c r="FI49" t="s">
        <v>147</v>
      </c>
      <c r="FJ49" t="s">
        <v>147</v>
      </c>
      <c r="FK49" t="s">
        <v>147</v>
      </c>
      <c r="FL49" t="s">
        <v>147</v>
      </c>
      <c r="FM49" t="s">
        <v>147</v>
      </c>
      <c r="FN49" t="s">
        <v>147</v>
      </c>
      <c r="FO49" t="s">
        <v>147</v>
      </c>
      <c r="FP49" t="s">
        <v>147</v>
      </c>
      <c r="FQ49" t="s">
        <v>147</v>
      </c>
      <c r="FR49" t="s">
        <v>147</v>
      </c>
      <c r="FS49" t="s">
        <v>147</v>
      </c>
      <c r="FT49" t="s">
        <v>147</v>
      </c>
      <c r="FU49" t="s">
        <v>147</v>
      </c>
      <c r="FV49" t="s">
        <v>147</v>
      </c>
      <c r="FW49" t="s">
        <v>147</v>
      </c>
      <c r="FX49" t="s">
        <v>147</v>
      </c>
      <c r="FY49" t="s">
        <v>147</v>
      </c>
      <c r="FZ49" t="s">
        <v>147</v>
      </c>
      <c r="GA49" t="s">
        <v>147</v>
      </c>
      <c r="GB49" t="s">
        <v>147</v>
      </c>
      <c r="GC49" t="s">
        <v>147</v>
      </c>
      <c r="GD49" t="s">
        <v>147</v>
      </c>
      <c r="GE49" t="s">
        <v>147</v>
      </c>
      <c r="GF49" t="s">
        <v>147</v>
      </c>
      <c r="GG49" t="s">
        <v>175</v>
      </c>
      <c r="GH49" t="s">
        <v>147</v>
      </c>
      <c r="GI49" t="s">
        <v>147</v>
      </c>
      <c r="GJ49" t="s">
        <v>147</v>
      </c>
      <c r="GK49" t="s">
        <v>57</v>
      </c>
      <c r="GL49" t="s">
        <v>175</v>
      </c>
      <c r="GM49" t="s">
        <v>175</v>
      </c>
      <c r="GN49" t="s">
        <v>147</v>
      </c>
      <c r="GO49" t="s">
        <v>147</v>
      </c>
      <c r="GP49" t="s">
        <v>147</v>
      </c>
      <c r="GQ49" t="s">
        <v>147</v>
      </c>
      <c r="GR49" t="s">
        <v>147</v>
      </c>
      <c r="GS49" t="s">
        <v>147</v>
      </c>
      <c r="GT49" t="s">
        <v>147</v>
      </c>
      <c r="GU49" t="s">
        <v>147</v>
      </c>
      <c r="GV49" t="s">
        <v>147</v>
      </c>
      <c r="GW49" t="s">
        <v>147</v>
      </c>
      <c r="GX49" t="s">
        <v>147</v>
      </c>
      <c r="GY49" t="s">
        <v>147</v>
      </c>
      <c r="GZ49" t="s">
        <v>147</v>
      </c>
      <c r="HA49" t="s">
        <v>147</v>
      </c>
      <c r="HB49" t="s">
        <v>147</v>
      </c>
      <c r="HC49" t="s">
        <v>147</v>
      </c>
      <c r="HD49" t="s">
        <v>147</v>
      </c>
      <c r="HE49" t="s">
        <v>147</v>
      </c>
      <c r="HF49" t="s">
        <v>147</v>
      </c>
      <c r="HG49" t="s">
        <v>147</v>
      </c>
      <c r="HH49" t="s">
        <v>147</v>
      </c>
      <c r="HI49" t="s">
        <v>147</v>
      </c>
      <c r="HJ49" t="s">
        <v>147</v>
      </c>
      <c r="HK49" t="s">
        <v>147</v>
      </c>
      <c r="HL49" t="s">
        <v>147</v>
      </c>
      <c r="HM49" t="s">
        <v>147</v>
      </c>
      <c r="HN49" t="s">
        <v>147</v>
      </c>
      <c r="HO49" t="s">
        <v>147</v>
      </c>
      <c r="HP49" t="s">
        <v>147</v>
      </c>
      <c r="HQ49" t="s">
        <v>147</v>
      </c>
      <c r="HR49" t="s">
        <v>147</v>
      </c>
      <c r="HS49" t="s">
        <v>147</v>
      </c>
      <c r="HT49" t="s">
        <v>147</v>
      </c>
      <c r="HU49" t="s">
        <v>147</v>
      </c>
      <c r="HV49" t="s">
        <v>147</v>
      </c>
      <c r="HW49" t="s">
        <v>147</v>
      </c>
      <c r="HX49" t="s">
        <v>147</v>
      </c>
      <c r="HY49" t="s">
        <v>147</v>
      </c>
      <c r="HZ49" t="s">
        <v>147</v>
      </c>
      <c r="IA49" t="s">
        <v>147</v>
      </c>
      <c r="IB49" t="s">
        <v>58</v>
      </c>
      <c r="IC49" t="s">
        <v>58</v>
      </c>
      <c r="ID49" t="s">
        <v>58</v>
      </c>
      <c r="IE49" t="s">
        <v>57</v>
      </c>
      <c r="IF49" t="s">
        <v>124</v>
      </c>
      <c r="IG49" t="s">
        <v>148</v>
      </c>
      <c r="IH49" t="s">
        <v>123</v>
      </c>
      <c r="II49" t="s">
        <v>156</v>
      </c>
    </row>
    <row r="50" spans="1:243" x14ac:dyDescent="0.25">
      <c r="A50" s="121" t="str">
        <f>HYPERLINK("http://www.ofsted.gov.uk/inspection-reports/find-inspection-report/provider/ELS/137273 ","Ofsted School Webpage")</f>
        <v>Ofsted School Webpage</v>
      </c>
      <c r="B50">
        <v>137273</v>
      </c>
      <c r="C50">
        <v>3126003</v>
      </c>
      <c r="D50" t="s">
        <v>1985</v>
      </c>
      <c r="E50" t="s">
        <v>36</v>
      </c>
      <c r="F50" t="s">
        <v>166</v>
      </c>
      <c r="G50" t="s">
        <v>189</v>
      </c>
      <c r="H50" t="s">
        <v>189</v>
      </c>
      <c r="I50" t="s">
        <v>404</v>
      </c>
      <c r="J50" t="s">
        <v>1986</v>
      </c>
      <c r="K50" t="s">
        <v>142</v>
      </c>
      <c r="L50" t="s">
        <v>180</v>
      </c>
      <c r="M50" t="s">
        <v>2596</v>
      </c>
      <c r="N50" t="s">
        <v>143</v>
      </c>
      <c r="O50">
        <v>10043525</v>
      </c>
      <c r="P50" s="108">
        <v>43076</v>
      </c>
      <c r="Q50" s="108">
        <v>43076</v>
      </c>
      <c r="R50" s="108">
        <v>43115</v>
      </c>
      <c r="S50" t="s">
        <v>144</v>
      </c>
      <c r="T50" t="s">
        <v>145</v>
      </c>
      <c r="U50" t="s">
        <v>2596</v>
      </c>
      <c r="V50" t="s">
        <v>2596</v>
      </c>
      <c r="W50" t="s">
        <v>2596</v>
      </c>
      <c r="X50" t="s">
        <v>2596</v>
      </c>
      <c r="Y50" t="s">
        <v>2596</v>
      </c>
      <c r="Z50" t="s">
        <v>2596</v>
      </c>
      <c r="AA50" t="s">
        <v>2596</v>
      </c>
      <c r="AB50" t="s">
        <v>2596</v>
      </c>
      <c r="AC50" t="s">
        <v>174</v>
      </c>
      <c r="AD50" t="s">
        <v>2596</v>
      </c>
      <c r="AE50" t="s">
        <v>147</v>
      </c>
      <c r="AF50" t="s">
        <v>147</v>
      </c>
      <c r="AG50" t="s">
        <v>57</v>
      </c>
      <c r="AH50" t="s">
        <v>147</v>
      </c>
      <c r="AI50" t="s">
        <v>147</v>
      </c>
      <c r="AJ50" t="s">
        <v>57</v>
      </c>
      <c r="AK50" t="s">
        <v>147</v>
      </c>
      <c r="AL50" t="s">
        <v>58</v>
      </c>
      <c r="AM50" t="s">
        <v>147</v>
      </c>
      <c r="AN50" t="s">
        <v>147</v>
      </c>
      <c r="AO50" t="s">
        <v>147</v>
      </c>
      <c r="AP50" t="s">
        <v>147</v>
      </c>
      <c r="AQ50" t="s">
        <v>147</v>
      </c>
      <c r="AR50" t="s">
        <v>147</v>
      </c>
      <c r="AS50" t="s">
        <v>147</v>
      </c>
      <c r="AT50" t="s">
        <v>147</v>
      </c>
      <c r="AU50" t="s">
        <v>147</v>
      </c>
      <c r="AV50" t="s">
        <v>147</v>
      </c>
      <c r="AW50" t="s">
        <v>147</v>
      </c>
      <c r="AX50" t="s">
        <v>147</v>
      </c>
      <c r="AY50" t="s">
        <v>147</v>
      </c>
      <c r="AZ50" t="s">
        <v>147</v>
      </c>
      <c r="BA50" t="s">
        <v>147</v>
      </c>
      <c r="BB50" t="s">
        <v>147</v>
      </c>
      <c r="BC50" t="s">
        <v>147</v>
      </c>
      <c r="BD50" t="s">
        <v>147</v>
      </c>
      <c r="BE50" t="s">
        <v>147</v>
      </c>
      <c r="BF50" t="s">
        <v>147</v>
      </c>
      <c r="BG50" t="s">
        <v>147</v>
      </c>
      <c r="BH50" t="s">
        <v>147</v>
      </c>
      <c r="BI50" t="s">
        <v>147</v>
      </c>
      <c r="BJ50" t="s">
        <v>147</v>
      </c>
      <c r="BK50" t="s">
        <v>147</v>
      </c>
      <c r="BL50" t="s">
        <v>147</v>
      </c>
      <c r="BM50" t="s">
        <v>147</v>
      </c>
      <c r="BN50" t="s">
        <v>147</v>
      </c>
      <c r="BO50" t="s">
        <v>147</v>
      </c>
      <c r="BP50" t="s">
        <v>147</v>
      </c>
      <c r="BQ50" t="s">
        <v>147</v>
      </c>
      <c r="BR50" t="s">
        <v>147</v>
      </c>
      <c r="BS50" t="s">
        <v>147</v>
      </c>
      <c r="BT50" t="s">
        <v>147</v>
      </c>
      <c r="BU50" t="s">
        <v>147</v>
      </c>
      <c r="BV50" t="s">
        <v>147</v>
      </c>
      <c r="BW50" t="s">
        <v>147</v>
      </c>
      <c r="BX50" t="s">
        <v>147</v>
      </c>
      <c r="BY50" t="s">
        <v>147</v>
      </c>
      <c r="BZ50" t="s">
        <v>147</v>
      </c>
      <c r="CA50" t="s">
        <v>147</v>
      </c>
      <c r="CB50" t="s">
        <v>147</v>
      </c>
      <c r="CC50" t="s">
        <v>147</v>
      </c>
      <c r="CD50" t="s">
        <v>147</v>
      </c>
      <c r="CE50" t="s">
        <v>147</v>
      </c>
      <c r="CF50" t="s">
        <v>147</v>
      </c>
      <c r="CG50" t="s">
        <v>147</v>
      </c>
      <c r="CH50" t="s">
        <v>57</v>
      </c>
      <c r="CI50" t="s">
        <v>57</v>
      </c>
      <c r="CJ50" t="s">
        <v>57</v>
      </c>
      <c r="CK50" t="s">
        <v>175</v>
      </c>
      <c r="CL50" t="s">
        <v>175</v>
      </c>
      <c r="CM50" t="s">
        <v>175</v>
      </c>
      <c r="CN50" t="s">
        <v>147</v>
      </c>
      <c r="CO50" t="s">
        <v>147</v>
      </c>
      <c r="CP50" t="s">
        <v>147</v>
      </c>
      <c r="CQ50" t="s">
        <v>147</v>
      </c>
      <c r="CR50" t="s">
        <v>147</v>
      </c>
      <c r="CS50" t="s">
        <v>57</v>
      </c>
      <c r="CT50" t="s">
        <v>57</v>
      </c>
      <c r="CU50" t="s">
        <v>147</v>
      </c>
      <c r="CV50" t="s">
        <v>57</v>
      </c>
      <c r="CW50" t="s">
        <v>147</v>
      </c>
      <c r="CX50" t="s">
        <v>57</v>
      </c>
      <c r="CY50" t="s">
        <v>57</v>
      </c>
      <c r="CZ50" t="s">
        <v>57</v>
      </c>
      <c r="DA50" t="s">
        <v>147</v>
      </c>
      <c r="DB50" t="s">
        <v>147</v>
      </c>
      <c r="DC50" t="s">
        <v>147</v>
      </c>
      <c r="DD50" t="s">
        <v>147</v>
      </c>
      <c r="DE50" t="s">
        <v>147</v>
      </c>
      <c r="DF50" t="s">
        <v>147</v>
      </c>
      <c r="DG50" t="s">
        <v>147</v>
      </c>
      <c r="DH50" t="s">
        <v>147</v>
      </c>
      <c r="DI50" t="s">
        <v>147</v>
      </c>
      <c r="DJ50" t="s">
        <v>147</v>
      </c>
      <c r="DK50" t="s">
        <v>147</v>
      </c>
      <c r="DL50" t="s">
        <v>147</v>
      </c>
      <c r="DM50" t="s">
        <v>147</v>
      </c>
      <c r="DN50" t="s">
        <v>147</v>
      </c>
      <c r="DO50" t="s">
        <v>147</v>
      </c>
      <c r="DP50" t="s">
        <v>147</v>
      </c>
      <c r="DQ50" t="s">
        <v>147</v>
      </c>
      <c r="DR50" t="s">
        <v>147</v>
      </c>
      <c r="DS50" t="s">
        <v>147</v>
      </c>
      <c r="DT50" t="s">
        <v>147</v>
      </c>
      <c r="DU50" t="s">
        <v>147</v>
      </c>
      <c r="DV50" t="s">
        <v>147</v>
      </c>
      <c r="DW50" t="s">
        <v>147</v>
      </c>
      <c r="DX50" t="s">
        <v>147</v>
      </c>
      <c r="DY50" t="s">
        <v>147</v>
      </c>
      <c r="DZ50" t="s">
        <v>147</v>
      </c>
      <c r="EA50" t="s">
        <v>147</v>
      </c>
      <c r="EB50" t="s">
        <v>147</v>
      </c>
      <c r="EC50" t="s">
        <v>147</v>
      </c>
      <c r="ED50" t="s">
        <v>147</v>
      </c>
      <c r="EE50" t="s">
        <v>147</v>
      </c>
      <c r="EF50" t="s">
        <v>147</v>
      </c>
      <c r="EG50" t="s">
        <v>147</v>
      </c>
      <c r="EH50" t="s">
        <v>147</v>
      </c>
      <c r="EI50" t="s">
        <v>147</v>
      </c>
      <c r="EJ50" t="s">
        <v>147</v>
      </c>
      <c r="EK50" t="s">
        <v>147</v>
      </c>
      <c r="EL50" t="s">
        <v>147</v>
      </c>
      <c r="EM50" t="s">
        <v>147</v>
      </c>
      <c r="EN50" t="s">
        <v>147</v>
      </c>
      <c r="EO50" t="s">
        <v>147</v>
      </c>
      <c r="EP50" t="s">
        <v>147</v>
      </c>
      <c r="EQ50" t="s">
        <v>147</v>
      </c>
      <c r="ER50" t="s">
        <v>147</v>
      </c>
      <c r="ES50" t="s">
        <v>147</v>
      </c>
      <c r="ET50" t="s">
        <v>147</v>
      </c>
      <c r="EU50" t="s">
        <v>147</v>
      </c>
      <c r="EV50" t="s">
        <v>147</v>
      </c>
      <c r="EW50" t="s">
        <v>147</v>
      </c>
      <c r="EX50" t="s">
        <v>147</v>
      </c>
      <c r="EY50" t="s">
        <v>147</v>
      </c>
      <c r="EZ50" t="s">
        <v>147</v>
      </c>
      <c r="FA50" t="s">
        <v>147</v>
      </c>
      <c r="FB50" t="s">
        <v>147</v>
      </c>
      <c r="FC50" t="s">
        <v>147</v>
      </c>
      <c r="FD50" t="s">
        <v>147</v>
      </c>
      <c r="FE50" t="s">
        <v>147</v>
      </c>
      <c r="FF50" t="s">
        <v>147</v>
      </c>
      <c r="FG50" t="s">
        <v>147</v>
      </c>
      <c r="FH50" t="s">
        <v>147</v>
      </c>
      <c r="FI50" t="s">
        <v>147</v>
      </c>
      <c r="FJ50" t="s">
        <v>147</v>
      </c>
      <c r="FK50" t="s">
        <v>147</v>
      </c>
      <c r="FL50" t="s">
        <v>58</v>
      </c>
      <c r="FM50" t="s">
        <v>57</v>
      </c>
      <c r="FN50" t="s">
        <v>58</v>
      </c>
      <c r="FO50" t="s">
        <v>57</v>
      </c>
      <c r="FP50" t="s">
        <v>57</v>
      </c>
      <c r="FQ50" t="s">
        <v>58</v>
      </c>
      <c r="FR50" t="s">
        <v>147</v>
      </c>
      <c r="FS50" t="s">
        <v>147</v>
      </c>
      <c r="FT50" t="s">
        <v>147</v>
      </c>
      <c r="FU50" t="s">
        <v>147</v>
      </c>
      <c r="FV50" t="s">
        <v>57</v>
      </c>
      <c r="FW50" t="s">
        <v>147</v>
      </c>
      <c r="FX50" t="s">
        <v>57</v>
      </c>
      <c r="FY50" t="s">
        <v>147</v>
      </c>
      <c r="FZ50" t="s">
        <v>147</v>
      </c>
      <c r="GA50" t="s">
        <v>147</v>
      </c>
      <c r="GB50" t="s">
        <v>147</v>
      </c>
      <c r="GC50" t="s">
        <v>147</v>
      </c>
      <c r="GD50" t="s">
        <v>57</v>
      </c>
      <c r="GE50" t="s">
        <v>57</v>
      </c>
      <c r="GF50" t="s">
        <v>57</v>
      </c>
      <c r="GG50" t="s">
        <v>147</v>
      </c>
      <c r="GH50" t="s">
        <v>57</v>
      </c>
      <c r="GI50" t="s">
        <v>147</v>
      </c>
      <c r="GJ50" t="s">
        <v>147</v>
      </c>
      <c r="GK50" t="s">
        <v>57</v>
      </c>
      <c r="GL50" t="s">
        <v>147</v>
      </c>
      <c r="GM50" t="s">
        <v>147</v>
      </c>
      <c r="GN50" t="s">
        <v>147</v>
      </c>
      <c r="GO50" t="s">
        <v>147</v>
      </c>
      <c r="GP50" t="s">
        <v>147</v>
      </c>
      <c r="GQ50" t="s">
        <v>147</v>
      </c>
      <c r="GR50" t="s">
        <v>147</v>
      </c>
      <c r="GS50" t="s">
        <v>147</v>
      </c>
      <c r="GT50" t="s">
        <v>147</v>
      </c>
      <c r="GU50" t="s">
        <v>147</v>
      </c>
      <c r="GV50" t="s">
        <v>147</v>
      </c>
      <c r="GW50" t="s">
        <v>147</v>
      </c>
      <c r="GX50" t="s">
        <v>147</v>
      </c>
      <c r="GY50" t="s">
        <v>147</v>
      </c>
      <c r="GZ50" t="s">
        <v>147</v>
      </c>
      <c r="HA50" t="s">
        <v>147</v>
      </c>
      <c r="HB50" t="s">
        <v>147</v>
      </c>
      <c r="HC50" t="s">
        <v>147</v>
      </c>
      <c r="HD50" t="s">
        <v>147</v>
      </c>
      <c r="HE50" t="s">
        <v>147</v>
      </c>
      <c r="HF50" t="s">
        <v>147</v>
      </c>
      <c r="HG50" t="s">
        <v>147</v>
      </c>
      <c r="HH50" t="s">
        <v>147</v>
      </c>
      <c r="HI50" t="s">
        <v>147</v>
      </c>
      <c r="HJ50" t="s">
        <v>147</v>
      </c>
      <c r="HK50" t="s">
        <v>147</v>
      </c>
      <c r="HL50" t="s">
        <v>147</v>
      </c>
      <c r="HM50" t="s">
        <v>147</v>
      </c>
      <c r="HN50" t="s">
        <v>147</v>
      </c>
      <c r="HO50" t="s">
        <v>147</v>
      </c>
      <c r="HP50" t="s">
        <v>147</v>
      </c>
      <c r="HQ50" t="s">
        <v>147</v>
      </c>
      <c r="HR50" t="s">
        <v>147</v>
      </c>
      <c r="HS50" t="s">
        <v>147</v>
      </c>
      <c r="HT50" t="s">
        <v>147</v>
      </c>
      <c r="HU50" t="s">
        <v>147</v>
      </c>
      <c r="HV50" t="s">
        <v>147</v>
      </c>
      <c r="HW50" t="s">
        <v>147</v>
      </c>
      <c r="HX50" t="s">
        <v>147</v>
      </c>
      <c r="HY50" t="s">
        <v>147</v>
      </c>
      <c r="HZ50" t="s">
        <v>147</v>
      </c>
      <c r="IA50" t="s">
        <v>147</v>
      </c>
      <c r="IB50" t="s">
        <v>58</v>
      </c>
      <c r="IC50" t="s">
        <v>58</v>
      </c>
      <c r="ID50" t="s">
        <v>58</v>
      </c>
      <c r="IE50" t="s">
        <v>58</v>
      </c>
      <c r="IF50" t="s">
        <v>124</v>
      </c>
      <c r="IG50" t="s">
        <v>148</v>
      </c>
      <c r="IH50" t="s">
        <v>123</v>
      </c>
      <c r="II50" t="s">
        <v>156</v>
      </c>
    </row>
    <row r="51" spans="1:243" x14ac:dyDescent="0.25">
      <c r="A51" s="121" t="str">
        <f>HYPERLINK("http://www.ofsted.gov.uk/inspection-reports/find-inspection-report/provider/ELS/137318 ","Ofsted School Webpage")</f>
        <v>Ofsted School Webpage</v>
      </c>
      <c r="B51">
        <v>137318</v>
      </c>
      <c r="C51">
        <v>2046001</v>
      </c>
      <c r="D51" t="s">
        <v>1836</v>
      </c>
      <c r="E51" t="s">
        <v>36</v>
      </c>
      <c r="F51" t="s">
        <v>166</v>
      </c>
      <c r="G51" t="s">
        <v>189</v>
      </c>
      <c r="H51" t="s">
        <v>189</v>
      </c>
      <c r="I51" t="s">
        <v>434</v>
      </c>
      <c r="J51" t="s">
        <v>1281</v>
      </c>
      <c r="K51" t="s">
        <v>142</v>
      </c>
      <c r="L51" t="s">
        <v>275</v>
      </c>
      <c r="M51" t="s">
        <v>2596</v>
      </c>
      <c r="N51" t="s">
        <v>143</v>
      </c>
      <c r="O51">
        <v>10045010</v>
      </c>
      <c r="P51" s="108">
        <v>43130</v>
      </c>
      <c r="Q51" s="108">
        <v>43130</v>
      </c>
      <c r="R51" s="108">
        <v>43186</v>
      </c>
      <c r="S51" t="s">
        <v>144</v>
      </c>
      <c r="T51" t="s">
        <v>145</v>
      </c>
      <c r="U51" t="s">
        <v>2596</v>
      </c>
      <c r="V51" t="s">
        <v>2596</v>
      </c>
      <c r="W51" t="s">
        <v>2596</v>
      </c>
      <c r="X51" t="s">
        <v>2596</v>
      </c>
      <c r="Y51" t="s">
        <v>2596</v>
      </c>
      <c r="Z51" t="s">
        <v>2596</v>
      </c>
      <c r="AA51" t="s">
        <v>2596</v>
      </c>
      <c r="AB51" t="s">
        <v>2596</v>
      </c>
      <c r="AC51" t="s">
        <v>174</v>
      </c>
      <c r="AD51" t="s">
        <v>2596</v>
      </c>
      <c r="AE51" t="s">
        <v>58</v>
      </c>
      <c r="AF51" t="s">
        <v>58</v>
      </c>
      <c r="AG51" t="s">
        <v>57</v>
      </c>
      <c r="AH51" t="s">
        <v>2596</v>
      </c>
      <c r="AI51" t="s">
        <v>2596</v>
      </c>
      <c r="AJ51" t="s">
        <v>2596</v>
      </c>
      <c r="AK51" t="s">
        <v>2596</v>
      </c>
      <c r="AL51" t="s">
        <v>58</v>
      </c>
      <c r="AM51" t="s">
        <v>58</v>
      </c>
      <c r="AN51" t="s">
        <v>58</v>
      </c>
      <c r="AO51" t="s">
        <v>58</v>
      </c>
      <c r="AP51" t="s">
        <v>58</v>
      </c>
      <c r="AQ51" t="s">
        <v>58</v>
      </c>
      <c r="AR51" t="s">
        <v>58</v>
      </c>
      <c r="AS51" t="s">
        <v>2596</v>
      </c>
      <c r="AT51" t="s">
        <v>57</v>
      </c>
      <c r="AU51" t="s">
        <v>2596</v>
      </c>
      <c r="AV51" t="s">
        <v>2596</v>
      </c>
      <c r="AW51" t="s">
        <v>147</v>
      </c>
      <c r="AX51" t="s">
        <v>58</v>
      </c>
      <c r="AY51" t="s">
        <v>2596</v>
      </c>
      <c r="AZ51" t="s">
        <v>2596</v>
      </c>
      <c r="BA51" t="s">
        <v>2596</v>
      </c>
      <c r="BB51" t="s">
        <v>2596</v>
      </c>
      <c r="BC51" t="s">
        <v>58</v>
      </c>
      <c r="BD51" t="s">
        <v>2596</v>
      </c>
      <c r="BE51" t="s">
        <v>2596</v>
      </c>
      <c r="BF51" t="s">
        <v>58</v>
      </c>
      <c r="BG51" t="s">
        <v>58</v>
      </c>
      <c r="BH51" t="s">
        <v>58</v>
      </c>
      <c r="BI51" t="s">
        <v>2596</v>
      </c>
      <c r="BJ51" t="s">
        <v>58</v>
      </c>
      <c r="BK51" t="s">
        <v>58</v>
      </c>
      <c r="BL51" t="s">
        <v>58</v>
      </c>
      <c r="BM51" t="s">
        <v>58</v>
      </c>
      <c r="BN51" t="s">
        <v>58</v>
      </c>
      <c r="BO51" t="s">
        <v>2596</v>
      </c>
      <c r="BP51" t="s">
        <v>58</v>
      </c>
      <c r="BQ51" t="s">
        <v>57</v>
      </c>
      <c r="BR51" t="s">
        <v>2596</v>
      </c>
      <c r="BS51" t="s">
        <v>58</v>
      </c>
      <c r="BT51" t="s">
        <v>58</v>
      </c>
      <c r="BU51" t="s">
        <v>2596</v>
      </c>
      <c r="BV51" t="s">
        <v>2596</v>
      </c>
      <c r="BW51" t="s">
        <v>2596</v>
      </c>
      <c r="BX51" t="s">
        <v>2596</v>
      </c>
      <c r="BY51" t="s">
        <v>2596</v>
      </c>
      <c r="BZ51" t="s">
        <v>57</v>
      </c>
      <c r="CA51" t="s">
        <v>58</v>
      </c>
      <c r="CB51" t="s">
        <v>2596</v>
      </c>
      <c r="CC51" t="s">
        <v>2596</v>
      </c>
      <c r="CD51" t="s">
        <v>2596</v>
      </c>
      <c r="CE51" t="s">
        <v>2596</v>
      </c>
      <c r="CF51" t="s">
        <v>2596</v>
      </c>
      <c r="CG51" t="s">
        <v>2596</v>
      </c>
      <c r="CH51" t="s">
        <v>57</v>
      </c>
      <c r="CI51" t="s">
        <v>57</v>
      </c>
      <c r="CJ51" t="s">
        <v>2596</v>
      </c>
      <c r="CK51" t="s">
        <v>2596</v>
      </c>
      <c r="CL51" t="s">
        <v>2596</v>
      </c>
      <c r="CM51" t="s">
        <v>2596</v>
      </c>
      <c r="CN51" t="s">
        <v>2596</v>
      </c>
      <c r="CO51" t="s">
        <v>2596</v>
      </c>
      <c r="CP51" t="s">
        <v>2596</v>
      </c>
      <c r="CQ51" t="s">
        <v>2596</v>
      </c>
      <c r="CR51" t="s">
        <v>2596</v>
      </c>
      <c r="CS51" t="s">
        <v>2596</v>
      </c>
      <c r="CT51" t="s">
        <v>2596</v>
      </c>
      <c r="CU51" t="s">
        <v>2596</v>
      </c>
      <c r="CV51" t="s">
        <v>2596</v>
      </c>
      <c r="CW51" t="s">
        <v>2596</v>
      </c>
      <c r="CX51" t="s">
        <v>2596</v>
      </c>
      <c r="CY51" t="s">
        <v>2596</v>
      </c>
      <c r="CZ51" t="s">
        <v>2596</v>
      </c>
      <c r="DA51" t="s">
        <v>2596</v>
      </c>
      <c r="DB51" t="s">
        <v>2596</v>
      </c>
      <c r="DC51" t="s">
        <v>2596</v>
      </c>
      <c r="DD51" t="s">
        <v>2596</v>
      </c>
      <c r="DE51" t="s">
        <v>2596</v>
      </c>
      <c r="DF51" t="s">
        <v>2596</v>
      </c>
      <c r="DG51" t="s">
        <v>2596</v>
      </c>
      <c r="DH51" t="s">
        <v>2596</v>
      </c>
      <c r="DI51" t="s">
        <v>2596</v>
      </c>
      <c r="DJ51" t="s">
        <v>2596</v>
      </c>
      <c r="DK51" t="s">
        <v>2596</v>
      </c>
      <c r="DL51" t="s">
        <v>2596</v>
      </c>
      <c r="DM51" t="s">
        <v>2596</v>
      </c>
      <c r="DN51" t="s">
        <v>2596</v>
      </c>
      <c r="DO51" t="s">
        <v>2596</v>
      </c>
      <c r="DP51" t="s">
        <v>2596</v>
      </c>
      <c r="DQ51" t="s">
        <v>2596</v>
      </c>
      <c r="DR51" t="s">
        <v>2596</v>
      </c>
      <c r="DS51" t="s">
        <v>2596</v>
      </c>
      <c r="DT51" t="s">
        <v>2596</v>
      </c>
      <c r="DU51" t="s">
        <v>2596</v>
      </c>
      <c r="DV51" t="s">
        <v>2596</v>
      </c>
      <c r="DW51" t="s">
        <v>2596</v>
      </c>
      <c r="DX51" t="s">
        <v>2596</v>
      </c>
      <c r="DY51" t="s">
        <v>2596</v>
      </c>
      <c r="DZ51" t="s">
        <v>2596</v>
      </c>
      <c r="EA51" t="s">
        <v>2596</v>
      </c>
      <c r="EB51" t="s">
        <v>2596</v>
      </c>
      <c r="EC51" t="s">
        <v>2596</v>
      </c>
      <c r="ED51" t="s">
        <v>2596</v>
      </c>
      <c r="EE51" t="s">
        <v>2596</v>
      </c>
      <c r="EF51" t="s">
        <v>2596</v>
      </c>
      <c r="EG51" t="s">
        <v>2596</v>
      </c>
      <c r="EH51" t="s">
        <v>2596</v>
      </c>
      <c r="EI51" t="s">
        <v>2596</v>
      </c>
      <c r="EJ51" t="s">
        <v>2596</v>
      </c>
      <c r="EK51" t="s">
        <v>2596</v>
      </c>
      <c r="EL51" t="s">
        <v>2596</v>
      </c>
      <c r="EM51" t="s">
        <v>2596</v>
      </c>
      <c r="EN51" t="s">
        <v>2596</v>
      </c>
      <c r="EO51" t="s">
        <v>2596</v>
      </c>
      <c r="EP51" t="s">
        <v>2596</v>
      </c>
      <c r="EQ51" t="s">
        <v>2596</v>
      </c>
      <c r="ER51" t="s">
        <v>2596</v>
      </c>
      <c r="ES51" t="s">
        <v>2596</v>
      </c>
      <c r="ET51" t="s">
        <v>2596</v>
      </c>
      <c r="EU51" t="s">
        <v>2596</v>
      </c>
      <c r="EV51" t="s">
        <v>2596</v>
      </c>
      <c r="EW51" t="s">
        <v>2596</v>
      </c>
      <c r="EX51" t="s">
        <v>2596</v>
      </c>
      <c r="EY51" t="s">
        <v>2596</v>
      </c>
      <c r="EZ51" t="s">
        <v>2596</v>
      </c>
      <c r="FA51" t="s">
        <v>2596</v>
      </c>
      <c r="FB51" t="s">
        <v>2596</v>
      </c>
      <c r="FC51" t="s">
        <v>2596</v>
      </c>
      <c r="FD51" t="s">
        <v>2596</v>
      </c>
      <c r="FE51" t="s">
        <v>2596</v>
      </c>
      <c r="FF51" t="s">
        <v>2596</v>
      </c>
      <c r="FG51" t="s">
        <v>2596</v>
      </c>
      <c r="FH51" t="s">
        <v>2596</v>
      </c>
      <c r="FI51" t="s">
        <v>2596</v>
      </c>
      <c r="FJ51" t="s">
        <v>2596</v>
      </c>
      <c r="FK51" t="s">
        <v>2596</v>
      </c>
      <c r="FL51" t="s">
        <v>2596</v>
      </c>
      <c r="FM51" t="s">
        <v>2596</v>
      </c>
      <c r="FN51" t="s">
        <v>2596</v>
      </c>
      <c r="FO51" t="s">
        <v>2596</v>
      </c>
      <c r="FP51" t="s">
        <v>2596</v>
      </c>
      <c r="FQ51" t="s">
        <v>2596</v>
      </c>
      <c r="FR51" t="s">
        <v>2596</v>
      </c>
      <c r="FS51" t="s">
        <v>2596</v>
      </c>
      <c r="FT51" t="s">
        <v>2596</v>
      </c>
      <c r="FU51" t="s">
        <v>2596</v>
      </c>
      <c r="FV51" t="s">
        <v>2596</v>
      </c>
      <c r="FW51" t="s">
        <v>2596</v>
      </c>
      <c r="FX51" t="s">
        <v>2596</v>
      </c>
      <c r="FY51" t="s">
        <v>2596</v>
      </c>
      <c r="FZ51" t="s">
        <v>2596</v>
      </c>
      <c r="GA51" t="s">
        <v>2596</v>
      </c>
      <c r="GB51" t="s">
        <v>2596</v>
      </c>
      <c r="GC51" t="s">
        <v>2596</v>
      </c>
      <c r="GD51" t="s">
        <v>2596</v>
      </c>
      <c r="GE51" t="s">
        <v>2596</v>
      </c>
      <c r="GF51" t="s">
        <v>2596</v>
      </c>
      <c r="GG51" t="s">
        <v>2596</v>
      </c>
      <c r="GH51" t="s">
        <v>2596</v>
      </c>
      <c r="GI51" t="s">
        <v>2596</v>
      </c>
      <c r="GJ51" t="s">
        <v>2596</v>
      </c>
      <c r="GK51" t="s">
        <v>2596</v>
      </c>
      <c r="GL51" t="s">
        <v>2596</v>
      </c>
      <c r="GM51" t="s">
        <v>2596</v>
      </c>
      <c r="GN51" t="s">
        <v>2596</v>
      </c>
      <c r="GO51" t="s">
        <v>2596</v>
      </c>
      <c r="GP51" t="s">
        <v>2596</v>
      </c>
      <c r="GQ51" t="s">
        <v>2596</v>
      </c>
      <c r="GR51" t="s">
        <v>2596</v>
      </c>
      <c r="GS51" t="s">
        <v>2596</v>
      </c>
      <c r="GT51" t="s">
        <v>2596</v>
      </c>
      <c r="GU51" t="s">
        <v>2596</v>
      </c>
      <c r="GV51" t="s">
        <v>2596</v>
      </c>
      <c r="GW51" t="s">
        <v>2596</v>
      </c>
      <c r="GX51" t="s">
        <v>2596</v>
      </c>
      <c r="GY51" t="s">
        <v>2596</v>
      </c>
      <c r="GZ51" t="s">
        <v>2596</v>
      </c>
      <c r="HA51" t="s">
        <v>2596</v>
      </c>
      <c r="HB51" t="s">
        <v>2596</v>
      </c>
      <c r="HC51" t="s">
        <v>2596</v>
      </c>
      <c r="HD51" t="s">
        <v>2596</v>
      </c>
      <c r="HE51" t="s">
        <v>2596</v>
      </c>
      <c r="HF51" t="s">
        <v>2596</v>
      </c>
      <c r="HG51" t="s">
        <v>2596</v>
      </c>
      <c r="HH51" t="s">
        <v>2596</v>
      </c>
      <c r="HI51" t="s">
        <v>2596</v>
      </c>
      <c r="HJ51" t="s">
        <v>2596</v>
      </c>
      <c r="HK51" t="s">
        <v>2596</v>
      </c>
      <c r="HL51" t="s">
        <v>2596</v>
      </c>
      <c r="HM51" t="s">
        <v>2596</v>
      </c>
      <c r="HN51" t="s">
        <v>2596</v>
      </c>
      <c r="HO51" t="s">
        <v>2596</v>
      </c>
      <c r="HP51" t="s">
        <v>2596</v>
      </c>
      <c r="HQ51" t="s">
        <v>2596</v>
      </c>
      <c r="HR51" t="s">
        <v>2596</v>
      </c>
      <c r="HS51" t="s">
        <v>2596</v>
      </c>
      <c r="HT51" t="s">
        <v>2596</v>
      </c>
      <c r="HU51" t="s">
        <v>2596</v>
      </c>
      <c r="HV51" t="s">
        <v>2596</v>
      </c>
      <c r="HW51" t="s">
        <v>2596</v>
      </c>
      <c r="HX51" t="s">
        <v>2596</v>
      </c>
      <c r="HY51" t="s">
        <v>2596</v>
      </c>
      <c r="HZ51" t="s">
        <v>2596</v>
      </c>
      <c r="IA51" t="s">
        <v>2596</v>
      </c>
      <c r="IB51" t="s">
        <v>58</v>
      </c>
      <c r="IC51" t="s">
        <v>58</v>
      </c>
      <c r="ID51" t="s">
        <v>58</v>
      </c>
      <c r="IE51" t="s">
        <v>2596</v>
      </c>
      <c r="IF51" t="s">
        <v>124</v>
      </c>
      <c r="IG51" t="s">
        <v>124</v>
      </c>
      <c r="IH51" t="s">
        <v>123</v>
      </c>
      <c r="II51" t="s">
        <v>156</v>
      </c>
    </row>
    <row r="52" spans="1:243" x14ac:dyDescent="0.25">
      <c r="A52" s="121" t="str">
        <f>HYPERLINK("http://www.ofsted.gov.uk/inspection-reports/find-inspection-report/provider/ELS/137568 ","Ofsted School Webpage")</f>
        <v>Ofsted School Webpage</v>
      </c>
      <c r="B52">
        <v>137568</v>
      </c>
      <c r="C52">
        <v>3736003</v>
      </c>
      <c r="D52" t="s">
        <v>686</v>
      </c>
      <c r="E52" t="s">
        <v>36</v>
      </c>
      <c r="F52" t="s">
        <v>166</v>
      </c>
      <c r="G52" t="s">
        <v>202</v>
      </c>
      <c r="H52" t="s">
        <v>203</v>
      </c>
      <c r="I52" t="s">
        <v>617</v>
      </c>
      <c r="J52" t="s">
        <v>687</v>
      </c>
      <c r="K52" t="s">
        <v>142</v>
      </c>
      <c r="L52" t="s">
        <v>180</v>
      </c>
      <c r="M52" t="s">
        <v>2596</v>
      </c>
      <c r="N52" t="s">
        <v>143</v>
      </c>
      <c r="O52">
        <v>10040368</v>
      </c>
      <c r="P52" s="108">
        <v>43060</v>
      </c>
      <c r="Q52" s="108">
        <v>43060</v>
      </c>
      <c r="R52" s="108">
        <v>43108</v>
      </c>
      <c r="S52" t="s">
        <v>144</v>
      </c>
      <c r="T52" t="s">
        <v>145</v>
      </c>
      <c r="U52" t="s">
        <v>2596</v>
      </c>
      <c r="V52" t="s">
        <v>2596</v>
      </c>
      <c r="W52" t="s">
        <v>2596</v>
      </c>
      <c r="X52" t="s">
        <v>2596</v>
      </c>
      <c r="Y52" t="s">
        <v>2596</v>
      </c>
      <c r="Z52" t="s">
        <v>2596</v>
      </c>
      <c r="AA52" t="s">
        <v>2596</v>
      </c>
      <c r="AB52" t="s">
        <v>2596</v>
      </c>
      <c r="AC52" t="s">
        <v>174</v>
      </c>
      <c r="AD52" t="s">
        <v>2596</v>
      </c>
      <c r="AE52" t="s">
        <v>147</v>
      </c>
      <c r="AF52" t="s">
        <v>147</v>
      </c>
      <c r="AG52" t="s">
        <v>58</v>
      </c>
      <c r="AH52" t="s">
        <v>57</v>
      </c>
      <c r="AI52" t="s">
        <v>58</v>
      </c>
      <c r="AJ52" t="s">
        <v>57</v>
      </c>
      <c r="AK52" t="s">
        <v>147</v>
      </c>
      <c r="AL52" t="s">
        <v>58</v>
      </c>
      <c r="AM52" t="s">
        <v>147</v>
      </c>
      <c r="AN52" t="s">
        <v>147</v>
      </c>
      <c r="AO52" t="s">
        <v>147</v>
      </c>
      <c r="AP52" t="s">
        <v>147</v>
      </c>
      <c r="AQ52" t="s">
        <v>147</v>
      </c>
      <c r="AR52" t="s">
        <v>147</v>
      </c>
      <c r="AS52" t="s">
        <v>147</v>
      </c>
      <c r="AT52" t="s">
        <v>147</v>
      </c>
      <c r="AU52" t="s">
        <v>175</v>
      </c>
      <c r="AV52" t="s">
        <v>147</v>
      </c>
      <c r="AW52" t="s">
        <v>147</v>
      </c>
      <c r="AX52" t="s">
        <v>147</v>
      </c>
      <c r="AY52" t="s">
        <v>147</v>
      </c>
      <c r="AZ52" t="s">
        <v>147</v>
      </c>
      <c r="BA52" t="s">
        <v>147</v>
      </c>
      <c r="BB52" t="s">
        <v>147</v>
      </c>
      <c r="BC52" t="s">
        <v>175</v>
      </c>
      <c r="BD52" t="s">
        <v>175</v>
      </c>
      <c r="BE52" t="s">
        <v>147</v>
      </c>
      <c r="BF52" t="s">
        <v>147</v>
      </c>
      <c r="BG52" t="s">
        <v>147</v>
      </c>
      <c r="BH52" t="s">
        <v>147</v>
      </c>
      <c r="BI52" t="s">
        <v>147</v>
      </c>
      <c r="BJ52" t="s">
        <v>147</v>
      </c>
      <c r="BK52" t="s">
        <v>147</v>
      </c>
      <c r="BL52" t="s">
        <v>147</v>
      </c>
      <c r="BM52" t="s">
        <v>147</v>
      </c>
      <c r="BN52" t="s">
        <v>147</v>
      </c>
      <c r="BO52" t="s">
        <v>147</v>
      </c>
      <c r="BP52" t="s">
        <v>147</v>
      </c>
      <c r="BQ52" t="s">
        <v>147</v>
      </c>
      <c r="BR52" t="s">
        <v>147</v>
      </c>
      <c r="BS52" t="s">
        <v>147</v>
      </c>
      <c r="BT52" t="s">
        <v>147</v>
      </c>
      <c r="BU52" t="s">
        <v>147</v>
      </c>
      <c r="BV52" t="s">
        <v>147</v>
      </c>
      <c r="BW52" t="s">
        <v>147</v>
      </c>
      <c r="BX52" t="s">
        <v>147</v>
      </c>
      <c r="BY52" t="s">
        <v>147</v>
      </c>
      <c r="BZ52" t="s">
        <v>147</v>
      </c>
      <c r="CA52" t="s">
        <v>147</v>
      </c>
      <c r="CB52" t="s">
        <v>147</v>
      </c>
      <c r="CC52" t="s">
        <v>147</v>
      </c>
      <c r="CD52" t="s">
        <v>147</v>
      </c>
      <c r="CE52" t="s">
        <v>147</v>
      </c>
      <c r="CF52" t="s">
        <v>147</v>
      </c>
      <c r="CG52" t="s">
        <v>147</v>
      </c>
      <c r="CH52" t="s">
        <v>58</v>
      </c>
      <c r="CI52" t="s">
        <v>58</v>
      </c>
      <c r="CJ52" t="s">
        <v>58</v>
      </c>
      <c r="CK52" t="s">
        <v>175</v>
      </c>
      <c r="CL52" t="s">
        <v>175</v>
      </c>
      <c r="CM52" t="s">
        <v>175</v>
      </c>
      <c r="CN52" t="s">
        <v>147</v>
      </c>
      <c r="CO52" t="s">
        <v>147</v>
      </c>
      <c r="CP52" t="s">
        <v>147</v>
      </c>
      <c r="CQ52" t="s">
        <v>147</v>
      </c>
      <c r="CR52" t="s">
        <v>147</v>
      </c>
      <c r="CS52" t="s">
        <v>147</v>
      </c>
      <c r="CT52" t="s">
        <v>147</v>
      </c>
      <c r="CU52" t="s">
        <v>147</v>
      </c>
      <c r="CV52" t="s">
        <v>147</v>
      </c>
      <c r="CW52" t="s">
        <v>147</v>
      </c>
      <c r="CX52" t="s">
        <v>58</v>
      </c>
      <c r="CY52" t="s">
        <v>58</v>
      </c>
      <c r="CZ52" t="s">
        <v>58</v>
      </c>
      <c r="DA52" t="s">
        <v>57</v>
      </c>
      <c r="DB52" t="s">
        <v>147</v>
      </c>
      <c r="DC52" t="s">
        <v>147</v>
      </c>
      <c r="DD52" t="s">
        <v>57</v>
      </c>
      <c r="DE52" t="s">
        <v>147</v>
      </c>
      <c r="DF52" t="s">
        <v>57</v>
      </c>
      <c r="DG52" t="s">
        <v>147</v>
      </c>
      <c r="DH52" t="s">
        <v>147</v>
      </c>
      <c r="DI52" t="s">
        <v>147</v>
      </c>
      <c r="DJ52" t="s">
        <v>147</v>
      </c>
      <c r="DK52" t="s">
        <v>147</v>
      </c>
      <c r="DL52" t="s">
        <v>57</v>
      </c>
      <c r="DM52" t="s">
        <v>147</v>
      </c>
      <c r="DN52" t="s">
        <v>147</v>
      </c>
      <c r="DO52" t="s">
        <v>147</v>
      </c>
      <c r="DP52" t="s">
        <v>147</v>
      </c>
      <c r="DQ52" t="s">
        <v>147</v>
      </c>
      <c r="DR52" t="s">
        <v>147</v>
      </c>
      <c r="DS52" t="s">
        <v>147</v>
      </c>
      <c r="DT52" t="s">
        <v>147</v>
      </c>
      <c r="DU52" t="s">
        <v>147</v>
      </c>
      <c r="DV52" t="s">
        <v>147</v>
      </c>
      <c r="DW52" t="s">
        <v>147</v>
      </c>
      <c r="DX52" t="s">
        <v>147</v>
      </c>
      <c r="DY52" t="s">
        <v>175</v>
      </c>
      <c r="DZ52" t="s">
        <v>147</v>
      </c>
      <c r="EA52" t="s">
        <v>147</v>
      </c>
      <c r="EB52" t="s">
        <v>147</v>
      </c>
      <c r="EC52" t="s">
        <v>147</v>
      </c>
      <c r="ED52" t="s">
        <v>147</v>
      </c>
      <c r="EE52" t="s">
        <v>147</v>
      </c>
      <c r="EF52" t="s">
        <v>147</v>
      </c>
      <c r="EG52" t="s">
        <v>147</v>
      </c>
      <c r="EH52" t="s">
        <v>147</v>
      </c>
      <c r="EI52" t="s">
        <v>147</v>
      </c>
      <c r="EJ52" t="s">
        <v>57</v>
      </c>
      <c r="EK52" t="s">
        <v>57</v>
      </c>
      <c r="EL52" t="s">
        <v>57</v>
      </c>
      <c r="EM52" t="s">
        <v>147</v>
      </c>
      <c r="EN52" t="s">
        <v>147</v>
      </c>
      <c r="EO52" t="s">
        <v>57</v>
      </c>
      <c r="EP52" t="s">
        <v>57</v>
      </c>
      <c r="EQ52" t="s">
        <v>147</v>
      </c>
      <c r="ER52" t="s">
        <v>147</v>
      </c>
      <c r="ES52" t="s">
        <v>147</v>
      </c>
      <c r="ET52" t="s">
        <v>147</v>
      </c>
      <c r="EU52" t="s">
        <v>147</v>
      </c>
      <c r="EV52" t="s">
        <v>147</v>
      </c>
      <c r="EW52" t="s">
        <v>147</v>
      </c>
      <c r="EX52" t="s">
        <v>147</v>
      </c>
      <c r="EY52" t="s">
        <v>147</v>
      </c>
      <c r="EZ52" t="s">
        <v>147</v>
      </c>
      <c r="FA52" t="s">
        <v>147</v>
      </c>
      <c r="FB52" t="s">
        <v>147</v>
      </c>
      <c r="FC52" t="s">
        <v>147</v>
      </c>
      <c r="FD52" t="s">
        <v>147</v>
      </c>
      <c r="FE52" t="s">
        <v>147</v>
      </c>
      <c r="FF52" t="s">
        <v>147</v>
      </c>
      <c r="FG52" t="s">
        <v>147</v>
      </c>
      <c r="FH52" t="s">
        <v>58</v>
      </c>
      <c r="FI52" t="s">
        <v>58</v>
      </c>
      <c r="FJ52" t="s">
        <v>58</v>
      </c>
      <c r="FK52" t="s">
        <v>147</v>
      </c>
      <c r="FL52" t="s">
        <v>147</v>
      </c>
      <c r="FM52" t="s">
        <v>147</v>
      </c>
      <c r="FN52" t="s">
        <v>147</v>
      </c>
      <c r="FO52" t="s">
        <v>175</v>
      </c>
      <c r="FP52" t="s">
        <v>147</v>
      </c>
      <c r="FQ52" t="s">
        <v>58</v>
      </c>
      <c r="FR52" t="s">
        <v>147</v>
      </c>
      <c r="FS52" t="s">
        <v>147</v>
      </c>
      <c r="FT52" t="s">
        <v>147</v>
      </c>
      <c r="FU52" t="s">
        <v>147</v>
      </c>
      <c r="FV52" t="s">
        <v>147</v>
      </c>
      <c r="FW52" t="s">
        <v>147</v>
      </c>
      <c r="FX52" t="s">
        <v>147</v>
      </c>
      <c r="FY52" t="s">
        <v>147</v>
      </c>
      <c r="FZ52" t="s">
        <v>147</v>
      </c>
      <c r="GA52" t="s">
        <v>147</v>
      </c>
      <c r="GB52" t="s">
        <v>147</v>
      </c>
      <c r="GC52" t="s">
        <v>147</v>
      </c>
      <c r="GD52" t="s">
        <v>147</v>
      </c>
      <c r="GE52" t="s">
        <v>147</v>
      </c>
      <c r="GF52" t="s">
        <v>147</v>
      </c>
      <c r="GG52" t="s">
        <v>175</v>
      </c>
      <c r="GH52" t="s">
        <v>57</v>
      </c>
      <c r="GI52" t="s">
        <v>147</v>
      </c>
      <c r="GJ52" t="s">
        <v>147</v>
      </c>
      <c r="GK52" t="s">
        <v>147</v>
      </c>
      <c r="GL52" t="s">
        <v>57</v>
      </c>
      <c r="GM52" t="s">
        <v>175</v>
      </c>
      <c r="GN52" t="s">
        <v>147</v>
      </c>
      <c r="GO52" t="s">
        <v>147</v>
      </c>
      <c r="GP52" t="s">
        <v>175</v>
      </c>
      <c r="GQ52" t="s">
        <v>175</v>
      </c>
      <c r="GR52" t="s">
        <v>175</v>
      </c>
      <c r="GS52" t="s">
        <v>147</v>
      </c>
      <c r="GT52" t="s">
        <v>147</v>
      </c>
      <c r="GU52" t="s">
        <v>147</v>
      </c>
      <c r="GV52" t="s">
        <v>147</v>
      </c>
      <c r="GW52" t="s">
        <v>147</v>
      </c>
      <c r="GX52" t="s">
        <v>147</v>
      </c>
      <c r="GY52" t="s">
        <v>147</v>
      </c>
      <c r="GZ52" t="s">
        <v>147</v>
      </c>
      <c r="HA52" t="s">
        <v>147</v>
      </c>
      <c r="HB52" t="s">
        <v>147</v>
      </c>
      <c r="HC52" t="s">
        <v>147</v>
      </c>
      <c r="HD52" t="s">
        <v>147</v>
      </c>
      <c r="HE52" t="s">
        <v>147</v>
      </c>
      <c r="HF52" t="s">
        <v>147</v>
      </c>
      <c r="HG52" t="s">
        <v>147</v>
      </c>
      <c r="HH52" t="s">
        <v>147</v>
      </c>
      <c r="HI52" t="s">
        <v>175</v>
      </c>
      <c r="HJ52" t="s">
        <v>175</v>
      </c>
      <c r="HK52" t="s">
        <v>175</v>
      </c>
      <c r="HL52" t="s">
        <v>147</v>
      </c>
      <c r="HM52" t="s">
        <v>147</v>
      </c>
      <c r="HN52" t="s">
        <v>147</v>
      </c>
      <c r="HO52" t="s">
        <v>147</v>
      </c>
      <c r="HP52" t="s">
        <v>147</v>
      </c>
      <c r="HQ52" t="s">
        <v>147</v>
      </c>
      <c r="HR52" t="s">
        <v>147</v>
      </c>
      <c r="HS52" t="s">
        <v>147</v>
      </c>
      <c r="HT52" t="s">
        <v>147</v>
      </c>
      <c r="HU52" t="s">
        <v>147</v>
      </c>
      <c r="HV52" t="s">
        <v>147</v>
      </c>
      <c r="HW52" t="s">
        <v>147</v>
      </c>
      <c r="HX52" t="s">
        <v>147</v>
      </c>
      <c r="HY52" t="s">
        <v>147</v>
      </c>
      <c r="HZ52" t="s">
        <v>147</v>
      </c>
      <c r="IA52" t="s">
        <v>147</v>
      </c>
      <c r="IB52" t="s">
        <v>58</v>
      </c>
      <c r="IC52" t="s">
        <v>58</v>
      </c>
      <c r="ID52" t="s">
        <v>58</v>
      </c>
      <c r="IE52" t="s">
        <v>58</v>
      </c>
      <c r="IF52" t="s">
        <v>124</v>
      </c>
      <c r="IG52" t="s">
        <v>148</v>
      </c>
      <c r="IH52" t="s">
        <v>123</v>
      </c>
      <c r="II52" t="s">
        <v>2596</v>
      </c>
    </row>
    <row r="53" spans="1:243" x14ac:dyDescent="0.25">
      <c r="A53" s="121" t="str">
        <f>HYPERLINK("http://www.ofsted.gov.uk/inspection-reports/find-inspection-report/provider/ELS/137887 ","Ofsted School Webpage")</f>
        <v>Ofsted School Webpage</v>
      </c>
      <c r="B53">
        <v>137887</v>
      </c>
      <c r="C53">
        <v>3526006</v>
      </c>
      <c r="D53" t="s">
        <v>262</v>
      </c>
      <c r="E53" t="s">
        <v>36</v>
      </c>
      <c r="F53" t="s">
        <v>166</v>
      </c>
      <c r="G53" t="s">
        <v>162</v>
      </c>
      <c r="H53" t="s">
        <v>162</v>
      </c>
      <c r="I53" t="s">
        <v>263</v>
      </c>
      <c r="J53" t="s">
        <v>264</v>
      </c>
      <c r="K53" t="s">
        <v>142</v>
      </c>
      <c r="L53" t="s">
        <v>142</v>
      </c>
      <c r="M53" t="s">
        <v>2596</v>
      </c>
      <c r="N53" t="s">
        <v>143</v>
      </c>
      <c r="O53">
        <v>10040204</v>
      </c>
      <c r="P53" s="108">
        <v>43012</v>
      </c>
      <c r="Q53" s="108">
        <v>43012</v>
      </c>
      <c r="R53" s="108">
        <v>43048</v>
      </c>
      <c r="S53" t="s">
        <v>144</v>
      </c>
      <c r="T53" t="s">
        <v>145</v>
      </c>
      <c r="U53" t="s">
        <v>2596</v>
      </c>
      <c r="V53" t="s">
        <v>2596</v>
      </c>
      <c r="W53" t="s">
        <v>2596</v>
      </c>
      <c r="X53" t="s">
        <v>2596</v>
      </c>
      <c r="Y53" t="s">
        <v>2596</v>
      </c>
      <c r="Z53" t="s">
        <v>2596</v>
      </c>
      <c r="AA53" t="s">
        <v>2596</v>
      </c>
      <c r="AB53" t="s">
        <v>2596</v>
      </c>
      <c r="AC53" t="s">
        <v>146</v>
      </c>
      <c r="AD53" t="s">
        <v>2596</v>
      </c>
      <c r="AE53" t="s">
        <v>147</v>
      </c>
      <c r="AF53" t="s">
        <v>147</v>
      </c>
      <c r="AG53" t="s">
        <v>57</v>
      </c>
      <c r="AH53" t="s">
        <v>57</v>
      </c>
      <c r="AI53" t="s">
        <v>147</v>
      </c>
      <c r="AJ53" t="s">
        <v>57</v>
      </c>
      <c r="AK53" t="s">
        <v>147</v>
      </c>
      <c r="AL53" t="s">
        <v>57</v>
      </c>
      <c r="AM53" t="s">
        <v>147</v>
      </c>
      <c r="AN53" t="s">
        <v>147</v>
      </c>
      <c r="AO53" t="s">
        <v>147</v>
      </c>
      <c r="AP53" t="s">
        <v>147</v>
      </c>
      <c r="AQ53" t="s">
        <v>147</v>
      </c>
      <c r="AR53" t="s">
        <v>147</v>
      </c>
      <c r="AS53" t="s">
        <v>147</v>
      </c>
      <c r="AT53" t="s">
        <v>147</v>
      </c>
      <c r="AU53" t="s">
        <v>147</v>
      </c>
      <c r="AV53" t="s">
        <v>147</v>
      </c>
      <c r="AW53" t="s">
        <v>147</v>
      </c>
      <c r="AX53" t="s">
        <v>147</v>
      </c>
      <c r="AY53" t="s">
        <v>147</v>
      </c>
      <c r="AZ53" t="s">
        <v>147</v>
      </c>
      <c r="BA53" t="s">
        <v>147</v>
      </c>
      <c r="BB53" t="s">
        <v>147</v>
      </c>
      <c r="BC53" t="s">
        <v>147</v>
      </c>
      <c r="BD53" t="s">
        <v>147</v>
      </c>
      <c r="BE53" t="s">
        <v>147</v>
      </c>
      <c r="BF53" t="s">
        <v>147</v>
      </c>
      <c r="BG53" t="s">
        <v>147</v>
      </c>
      <c r="BH53" t="s">
        <v>147</v>
      </c>
      <c r="BI53" t="s">
        <v>147</v>
      </c>
      <c r="BJ53" t="s">
        <v>147</v>
      </c>
      <c r="BK53" t="s">
        <v>147</v>
      </c>
      <c r="BL53" t="s">
        <v>147</v>
      </c>
      <c r="BM53" t="s">
        <v>147</v>
      </c>
      <c r="BN53" t="s">
        <v>147</v>
      </c>
      <c r="BO53" t="s">
        <v>147</v>
      </c>
      <c r="BP53" t="s">
        <v>147</v>
      </c>
      <c r="BQ53" t="s">
        <v>147</v>
      </c>
      <c r="BR53" t="s">
        <v>147</v>
      </c>
      <c r="BS53" t="s">
        <v>147</v>
      </c>
      <c r="BT53" t="s">
        <v>147</v>
      </c>
      <c r="BU53" t="s">
        <v>147</v>
      </c>
      <c r="BV53" t="s">
        <v>147</v>
      </c>
      <c r="BW53" t="s">
        <v>147</v>
      </c>
      <c r="BX53" t="s">
        <v>147</v>
      </c>
      <c r="BY53" t="s">
        <v>147</v>
      </c>
      <c r="BZ53" t="s">
        <v>147</v>
      </c>
      <c r="CA53" t="s">
        <v>147</v>
      </c>
      <c r="CB53" t="s">
        <v>147</v>
      </c>
      <c r="CC53" t="s">
        <v>147</v>
      </c>
      <c r="CD53" t="s">
        <v>147</v>
      </c>
      <c r="CE53" t="s">
        <v>147</v>
      </c>
      <c r="CF53" t="s">
        <v>147</v>
      </c>
      <c r="CG53" t="s">
        <v>147</v>
      </c>
      <c r="CH53" t="s">
        <v>57</v>
      </c>
      <c r="CI53" t="s">
        <v>57</v>
      </c>
      <c r="CJ53" t="s">
        <v>57</v>
      </c>
      <c r="CK53" t="s">
        <v>147</v>
      </c>
      <c r="CL53" t="s">
        <v>147</v>
      </c>
      <c r="CM53" t="s">
        <v>147</v>
      </c>
      <c r="CN53" t="s">
        <v>57</v>
      </c>
      <c r="CO53" t="s">
        <v>147</v>
      </c>
      <c r="CP53" t="s">
        <v>57</v>
      </c>
      <c r="CQ53" t="s">
        <v>147</v>
      </c>
      <c r="CR53" t="s">
        <v>147</v>
      </c>
      <c r="CS53" t="s">
        <v>57</v>
      </c>
      <c r="CT53" t="s">
        <v>57</v>
      </c>
      <c r="CU53" t="s">
        <v>147</v>
      </c>
      <c r="CV53" t="s">
        <v>147</v>
      </c>
      <c r="CW53" t="s">
        <v>147</v>
      </c>
      <c r="CX53" t="s">
        <v>147</v>
      </c>
      <c r="CY53" t="s">
        <v>147</v>
      </c>
      <c r="CZ53" t="s">
        <v>147</v>
      </c>
      <c r="DA53" t="s">
        <v>57</v>
      </c>
      <c r="DB53" t="s">
        <v>57</v>
      </c>
      <c r="DC53" t="s">
        <v>57</v>
      </c>
      <c r="DD53" t="s">
        <v>147</v>
      </c>
      <c r="DE53" t="s">
        <v>147</v>
      </c>
      <c r="DF53" t="s">
        <v>147</v>
      </c>
      <c r="DG53" t="s">
        <v>147</v>
      </c>
      <c r="DH53" t="s">
        <v>147</v>
      </c>
      <c r="DI53" t="s">
        <v>57</v>
      </c>
      <c r="DJ53" t="s">
        <v>57</v>
      </c>
      <c r="DK53" t="s">
        <v>147</v>
      </c>
      <c r="DL53" t="s">
        <v>57</v>
      </c>
      <c r="DM53" t="s">
        <v>147</v>
      </c>
      <c r="DN53" t="s">
        <v>147</v>
      </c>
      <c r="DO53" t="s">
        <v>147</v>
      </c>
      <c r="DP53" t="s">
        <v>147</v>
      </c>
      <c r="DQ53" t="s">
        <v>147</v>
      </c>
      <c r="DR53" t="s">
        <v>147</v>
      </c>
      <c r="DS53" t="s">
        <v>147</v>
      </c>
      <c r="DT53" t="s">
        <v>147</v>
      </c>
      <c r="DU53" t="s">
        <v>147</v>
      </c>
      <c r="DV53" t="s">
        <v>147</v>
      </c>
      <c r="DW53" t="s">
        <v>147</v>
      </c>
      <c r="DX53" t="s">
        <v>147</v>
      </c>
      <c r="DY53" t="s">
        <v>147</v>
      </c>
      <c r="DZ53" t="s">
        <v>147</v>
      </c>
      <c r="EA53" t="s">
        <v>147</v>
      </c>
      <c r="EB53" t="s">
        <v>147</v>
      </c>
      <c r="EC53" t="s">
        <v>147</v>
      </c>
      <c r="ED53" t="s">
        <v>147</v>
      </c>
      <c r="EE53" t="s">
        <v>147</v>
      </c>
      <c r="EF53" t="s">
        <v>147</v>
      </c>
      <c r="EG53" t="s">
        <v>147</v>
      </c>
      <c r="EH53" t="s">
        <v>147</v>
      </c>
      <c r="EI53" t="s">
        <v>147</v>
      </c>
      <c r="EJ53" t="s">
        <v>147</v>
      </c>
      <c r="EK53" t="s">
        <v>147</v>
      </c>
      <c r="EL53" t="s">
        <v>147</v>
      </c>
      <c r="EM53" t="s">
        <v>147</v>
      </c>
      <c r="EN53" t="s">
        <v>147</v>
      </c>
      <c r="EO53" t="s">
        <v>147</v>
      </c>
      <c r="EP53" t="s">
        <v>147</v>
      </c>
      <c r="EQ53" t="s">
        <v>147</v>
      </c>
      <c r="ER53" t="s">
        <v>147</v>
      </c>
      <c r="ES53" t="s">
        <v>147</v>
      </c>
      <c r="ET53" t="s">
        <v>147</v>
      </c>
      <c r="EU53" t="s">
        <v>147</v>
      </c>
      <c r="EV53" t="s">
        <v>147</v>
      </c>
      <c r="EW53" t="s">
        <v>147</v>
      </c>
      <c r="EX53" t="s">
        <v>147</v>
      </c>
      <c r="EY53" t="s">
        <v>147</v>
      </c>
      <c r="EZ53" t="s">
        <v>147</v>
      </c>
      <c r="FA53" t="s">
        <v>147</v>
      </c>
      <c r="FB53" t="s">
        <v>147</v>
      </c>
      <c r="FC53" t="s">
        <v>147</v>
      </c>
      <c r="FD53" t="s">
        <v>147</v>
      </c>
      <c r="FE53" t="s">
        <v>147</v>
      </c>
      <c r="FF53" t="s">
        <v>147</v>
      </c>
      <c r="FG53" t="s">
        <v>147</v>
      </c>
      <c r="FH53" t="s">
        <v>147</v>
      </c>
      <c r="FI53" t="s">
        <v>147</v>
      </c>
      <c r="FJ53" t="s">
        <v>147</v>
      </c>
      <c r="FK53" t="s">
        <v>147</v>
      </c>
      <c r="FL53" t="s">
        <v>147</v>
      </c>
      <c r="FM53" t="s">
        <v>147</v>
      </c>
      <c r="FN53" t="s">
        <v>147</v>
      </c>
      <c r="FO53" t="s">
        <v>147</v>
      </c>
      <c r="FP53" t="s">
        <v>147</v>
      </c>
      <c r="FQ53" t="s">
        <v>147</v>
      </c>
      <c r="FR53" t="s">
        <v>57</v>
      </c>
      <c r="FS53" t="s">
        <v>147</v>
      </c>
      <c r="FT53" t="s">
        <v>147</v>
      </c>
      <c r="FU53" t="s">
        <v>147</v>
      </c>
      <c r="FV53" t="s">
        <v>147</v>
      </c>
      <c r="FW53" t="s">
        <v>147</v>
      </c>
      <c r="FX53" t="s">
        <v>147</v>
      </c>
      <c r="FY53" t="s">
        <v>147</v>
      </c>
      <c r="FZ53" t="s">
        <v>147</v>
      </c>
      <c r="GA53" t="s">
        <v>147</v>
      </c>
      <c r="GB53" t="s">
        <v>147</v>
      </c>
      <c r="GC53" t="s">
        <v>147</v>
      </c>
      <c r="GD53" t="s">
        <v>57</v>
      </c>
      <c r="GE53" t="s">
        <v>147</v>
      </c>
      <c r="GF53" t="s">
        <v>57</v>
      </c>
      <c r="GG53" t="s">
        <v>147</v>
      </c>
      <c r="GH53" t="s">
        <v>57</v>
      </c>
      <c r="GI53" t="s">
        <v>147</v>
      </c>
      <c r="GJ53" t="s">
        <v>147</v>
      </c>
      <c r="GK53" t="s">
        <v>57</v>
      </c>
      <c r="GL53" t="s">
        <v>147</v>
      </c>
      <c r="GM53" t="s">
        <v>147</v>
      </c>
      <c r="GN53" t="s">
        <v>147</v>
      </c>
      <c r="GO53" t="s">
        <v>147</v>
      </c>
      <c r="GP53" t="s">
        <v>147</v>
      </c>
      <c r="GQ53" t="s">
        <v>147</v>
      </c>
      <c r="GR53" t="s">
        <v>147</v>
      </c>
      <c r="GS53" t="s">
        <v>147</v>
      </c>
      <c r="GT53" t="s">
        <v>147</v>
      </c>
      <c r="GU53" t="s">
        <v>147</v>
      </c>
      <c r="GV53" t="s">
        <v>147</v>
      </c>
      <c r="GW53" t="s">
        <v>147</v>
      </c>
      <c r="GX53" t="s">
        <v>147</v>
      </c>
      <c r="GY53" t="s">
        <v>147</v>
      </c>
      <c r="GZ53" t="s">
        <v>147</v>
      </c>
      <c r="HA53" t="s">
        <v>147</v>
      </c>
      <c r="HB53" t="s">
        <v>147</v>
      </c>
      <c r="HC53" t="s">
        <v>147</v>
      </c>
      <c r="HD53" t="s">
        <v>147</v>
      </c>
      <c r="HE53" t="s">
        <v>147</v>
      </c>
      <c r="HF53" t="s">
        <v>147</v>
      </c>
      <c r="HG53" t="s">
        <v>147</v>
      </c>
      <c r="HH53" t="s">
        <v>147</v>
      </c>
      <c r="HI53" t="s">
        <v>147</v>
      </c>
      <c r="HJ53" t="s">
        <v>147</v>
      </c>
      <c r="HK53" t="s">
        <v>147</v>
      </c>
      <c r="HL53" t="s">
        <v>147</v>
      </c>
      <c r="HM53" t="s">
        <v>147</v>
      </c>
      <c r="HN53" t="s">
        <v>147</v>
      </c>
      <c r="HO53" t="s">
        <v>147</v>
      </c>
      <c r="HP53" t="s">
        <v>147</v>
      </c>
      <c r="HQ53" t="s">
        <v>147</v>
      </c>
      <c r="HR53" t="s">
        <v>147</v>
      </c>
      <c r="HS53" t="s">
        <v>147</v>
      </c>
      <c r="HT53" t="s">
        <v>147</v>
      </c>
      <c r="HU53" t="s">
        <v>147</v>
      </c>
      <c r="HV53" t="s">
        <v>147</v>
      </c>
      <c r="HW53" t="s">
        <v>147</v>
      </c>
      <c r="HX53" t="s">
        <v>147</v>
      </c>
      <c r="HY53" t="s">
        <v>147</v>
      </c>
      <c r="HZ53" t="s">
        <v>147</v>
      </c>
      <c r="IA53" t="s">
        <v>147</v>
      </c>
      <c r="IB53" t="s">
        <v>57</v>
      </c>
      <c r="IC53" t="s">
        <v>57</v>
      </c>
      <c r="ID53" t="s">
        <v>57</v>
      </c>
      <c r="IE53" t="s">
        <v>57</v>
      </c>
      <c r="IF53" t="s">
        <v>124</v>
      </c>
      <c r="IG53" t="s">
        <v>148</v>
      </c>
      <c r="IH53" t="s">
        <v>123</v>
      </c>
      <c r="II53" t="s">
        <v>156</v>
      </c>
    </row>
    <row r="54" spans="1:243" x14ac:dyDescent="0.25">
      <c r="A54" s="121" t="str">
        <f>HYPERLINK("http://www.ofsted.gov.uk/inspection-reports/find-inspection-report/provider/ELS/137950 ","Ofsted School Webpage")</f>
        <v>Ofsted School Webpage</v>
      </c>
      <c r="B54">
        <v>137950</v>
      </c>
      <c r="C54">
        <v>8036008</v>
      </c>
      <c r="D54" t="s">
        <v>696</v>
      </c>
      <c r="E54" t="s">
        <v>36</v>
      </c>
      <c r="F54" t="s">
        <v>166</v>
      </c>
      <c r="G54" t="s">
        <v>182</v>
      </c>
      <c r="H54" t="s">
        <v>182</v>
      </c>
      <c r="I54" t="s">
        <v>567</v>
      </c>
      <c r="J54" t="s">
        <v>697</v>
      </c>
      <c r="K54" t="s">
        <v>142</v>
      </c>
      <c r="L54" t="s">
        <v>142</v>
      </c>
      <c r="M54" t="s">
        <v>2596</v>
      </c>
      <c r="N54" t="s">
        <v>143</v>
      </c>
      <c r="O54">
        <v>10043512</v>
      </c>
      <c r="P54" s="108">
        <v>43143</v>
      </c>
      <c r="Q54" s="108">
        <v>43143</v>
      </c>
      <c r="R54" s="108">
        <v>43180</v>
      </c>
      <c r="S54" t="s">
        <v>144</v>
      </c>
      <c r="T54" t="s">
        <v>145</v>
      </c>
      <c r="U54" t="s">
        <v>2596</v>
      </c>
      <c r="V54" t="s">
        <v>2596</v>
      </c>
      <c r="W54" t="s">
        <v>2596</v>
      </c>
      <c r="X54" t="s">
        <v>2596</v>
      </c>
      <c r="Y54" t="s">
        <v>2596</v>
      </c>
      <c r="Z54" t="s">
        <v>2596</v>
      </c>
      <c r="AA54" t="s">
        <v>2596</v>
      </c>
      <c r="AB54" t="s">
        <v>2596</v>
      </c>
      <c r="AC54" t="s">
        <v>174</v>
      </c>
      <c r="AD54" t="s">
        <v>2596</v>
      </c>
      <c r="AE54" t="s">
        <v>147</v>
      </c>
      <c r="AF54" t="s">
        <v>147</v>
      </c>
      <c r="AG54" t="s">
        <v>58</v>
      </c>
      <c r="AH54" t="s">
        <v>58</v>
      </c>
      <c r="AI54" t="s">
        <v>147</v>
      </c>
      <c r="AJ54" t="s">
        <v>147</v>
      </c>
      <c r="AK54" t="s">
        <v>147</v>
      </c>
      <c r="AL54" t="s">
        <v>58</v>
      </c>
      <c r="AM54" t="s">
        <v>147</v>
      </c>
      <c r="AN54" t="s">
        <v>147</v>
      </c>
      <c r="AO54" t="s">
        <v>147</v>
      </c>
      <c r="AP54" t="s">
        <v>147</v>
      </c>
      <c r="AQ54" t="s">
        <v>147</v>
      </c>
      <c r="AR54" t="s">
        <v>147</v>
      </c>
      <c r="AS54" t="s">
        <v>147</v>
      </c>
      <c r="AT54" t="s">
        <v>147</v>
      </c>
      <c r="AU54" t="s">
        <v>175</v>
      </c>
      <c r="AV54" t="s">
        <v>147</v>
      </c>
      <c r="AW54" t="s">
        <v>147</v>
      </c>
      <c r="AX54" t="s">
        <v>147</v>
      </c>
      <c r="AY54" t="s">
        <v>147</v>
      </c>
      <c r="AZ54" t="s">
        <v>147</v>
      </c>
      <c r="BA54" t="s">
        <v>147</v>
      </c>
      <c r="BB54" t="s">
        <v>147</v>
      </c>
      <c r="BC54" t="s">
        <v>147</v>
      </c>
      <c r="BD54" t="s">
        <v>175</v>
      </c>
      <c r="BE54" t="s">
        <v>147</v>
      </c>
      <c r="BF54" t="s">
        <v>147</v>
      </c>
      <c r="BG54" t="s">
        <v>147</v>
      </c>
      <c r="BH54" t="s">
        <v>147</v>
      </c>
      <c r="BI54" t="s">
        <v>147</v>
      </c>
      <c r="BJ54" t="s">
        <v>147</v>
      </c>
      <c r="BK54" t="s">
        <v>147</v>
      </c>
      <c r="BL54" t="s">
        <v>147</v>
      </c>
      <c r="BM54" t="s">
        <v>147</v>
      </c>
      <c r="BN54" t="s">
        <v>147</v>
      </c>
      <c r="BO54" t="s">
        <v>147</v>
      </c>
      <c r="BP54" t="s">
        <v>147</v>
      </c>
      <c r="BQ54" t="s">
        <v>147</v>
      </c>
      <c r="BR54" t="s">
        <v>147</v>
      </c>
      <c r="BS54" t="s">
        <v>147</v>
      </c>
      <c r="BT54" t="s">
        <v>147</v>
      </c>
      <c r="BU54" t="s">
        <v>147</v>
      </c>
      <c r="BV54" t="s">
        <v>147</v>
      </c>
      <c r="BW54" t="s">
        <v>147</v>
      </c>
      <c r="BX54" t="s">
        <v>147</v>
      </c>
      <c r="BY54" t="s">
        <v>147</v>
      </c>
      <c r="BZ54" t="s">
        <v>147</v>
      </c>
      <c r="CA54" t="s">
        <v>147</v>
      </c>
      <c r="CB54" t="s">
        <v>147</v>
      </c>
      <c r="CC54" t="s">
        <v>147</v>
      </c>
      <c r="CD54" t="s">
        <v>147</v>
      </c>
      <c r="CE54" t="s">
        <v>147</v>
      </c>
      <c r="CF54" t="s">
        <v>147</v>
      </c>
      <c r="CG54" t="s">
        <v>147</v>
      </c>
      <c r="CH54" t="s">
        <v>58</v>
      </c>
      <c r="CI54" t="s">
        <v>58</v>
      </c>
      <c r="CJ54" t="s">
        <v>58</v>
      </c>
      <c r="CK54" t="s">
        <v>58</v>
      </c>
      <c r="CL54" t="s">
        <v>58</v>
      </c>
      <c r="CM54" t="s">
        <v>58</v>
      </c>
      <c r="CN54" t="s">
        <v>57</v>
      </c>
      <c r="CO54" t="s">
        <v>147</v>
      </c>
      <c r="CP54" t="s">
        <v>57</v>
      </c>
      <c r="CQ54" t="s">
        <v>147</v>
      </c>
      <c r="CR54" t="s">
        <v>147</v>
      </c>
      <c r="CS54" t="s">
        <v>57</v>
      </c>
      <c r="CT54" t="s">
        <v>57</v>
      </c>
      <c r="CU54" t="s">
        <v>147</v>
      </c>
      <c r="CV54" t="s">
        <v>57</v>
      </c>
      <c r="CW54" t="s">
        <v>147</v>
      </c>
      <c r="CX54" t="s">
        <v>57</v>
      </c>
      <c r="CY54" t="s">
        <v>57</v>
      </c>
      <c r="CZ54" t="s">
        <v>57</v>
      </c>
      <c r="DA54" t="s">
        <v>58</v>
      </c>
      <c r="DB54" t="s">
        <v>57</v>
      </c>
      <c r="DC54" t="s">
        <v>57</v>
      </c>
      <c r="DD54" t="s">
        <v>57</v>
      </c>
      <c r="DE54" t="s">
        <v>57</v>
      </c>
      <c r="DF54" t="s">
        <v>57</v>
      </c>
      <c r="DG54" t="s">
        <v>147</v>
      </c>
      <c r="DH54" t="s">
        <v>147</v>
      </c>
      <c r="DI54" t="s">
        <v>57</v>
      </c>
      <c r="DJ54" t="s">
        <v>147</v>
      </c>
      <c r="DK54" t="s">
        <v>58</v>
      </c>
      <c r="DL54" t="s">
        <v>58</v>
      </c>
      <c r="DM54" t="s">
        <v>175</v>
      </c>
      <c r="DN54" t="s">
        <v>175</v>
      </c>
      <c r="DO54" t="s">
        <v>175</v>
      </c>
      <c r="DP54" t="s">
        <v>175</v>
      </c>
      <c r="DQ54" t="s">
        <v>175</v>
      </c>
      <c r="DR54" t="s">
        <v>175</v>
      </c>
      <c r="DS54" t="s">
        <v>175</v>
      </c>
      <c r="DT54" t="s">
        <v>175</v>
      </c>
      <c r="DU54" t="s">
        <v>175</v>
      </c>
      <c r="DV54" t="s">
        <v>175</v>
      </c>
      <c r="DW54" t="s">
        <v>175</v>
      </c>
      <c r="DX54" t="s">
        <v>175</v>
      </c>
      <c r="DY54" t="s">
        <v>175</v>
      </c>
      <c r="DZ54" t="s">
        <v>175</v>
      </c>
      <c r="EA54" t="s">
        <v>175</v>
      </c>
      <c r="EB54" t="s">
        <v>175</v>
      </c>
      <c r="EC54" t="s">
        <v>175</v>
      </c>
      <c r="ED54" t="s">
        <v>175</v>
      </c>
      <c r="EE54" t="s">
        <v>175</v>
      </c>
      <c r="EF54" t="s">
        <v>175</v>
      </c>
      <c r="EG54" t="s">
        <v>175</v>
      </c>
      <c r="EH54" t="s">
        <v>175</v>
      </c>
      <c r="EI54" t="s">
        <v>175</v>
      </c>
      <c r="EJ54" t="s">
        <v>57</v>
      </c>
      <c r="EK54" t="s">
        <v>57</v>
      </c>
      <c r="EL54" t="s">
        <v>57</v>
      </c>
      <c r="EM54" t="s">
        <v>57</v>
      </c>
      <c r="EN54" t="s">
        <v>57</v>
      </c>
      <c r="EO54" t="s">
        <v>57</v>
      </c>
      <c r="EP54" t="s">
        <v>57</v>
      </c>
      <c r="EQ54" t="s">
        <v>57</v>
      </c>
      <c r="ER54" t="s">
        <v>57</v>
      </c>
      <c r="ES54" t="s">
        <v>57</v>
      </c>
      <c r="ET54" t="s">
        <v>57</v>
      </c>
      <c r="EU54" t="s">
        <v>57</v>
      </c>
      <c r="EV54" t="s">
        <v>57</v>
      </c>
      <c r="EW54" t="s">
        <v>175</v>
      </c>
      <c r="EX54" t="s">
        <v>175</v>
      </c>
      <c r="EY54" t="s">
        <v>175</v>
      </c>
      <c r="EZ54" t="s">
        <v>175</v>
      </c>
      <c r="FA54" t="s">
        <v>175</v>
      </c>
      <c r="FB54" t="s">
        <v>175</v>
      </c>
      <c r="FC54" t="s">
        <v>175</v>
      </c>
      <c r="FD54" t="s">
        <v>175</v>
      </c>
      <c r="FE54" t="s">
        <v>175</v>
      </c>
      <c r="FF54" t="s">
        <v>175</v>
      </c>
      <c r="FG54" t="s">
        <v>175</v>
      </c>
      <c r="FH54" t="s">
        <v>147</v>
      </c>
      <c r="FI54" t="s">
        <v>147</v>
      </c>
      <c r="FJ54" t="s">
        <v>147</v>
      </c>
      <c r="FK54" t="s">
        <v>147</v>
      </c>
      <c r="FL54" t="s">
        <v>147</v>
      </c>
      <c r="FM54" t="s">
        <v>147</v>
      </c>
      <c r="FN54" t="s">
        <v>147</v>
      </c>
      <c r="FO54" t="s">
        <v>147</v>
      </c>
      <c r="FP54" t="s">
        <v>147</v>
      </c>
      <c r="FQ54" t="s">
        <v>57</v>
      </c>
      <c r="FR54" t="s">
        <v>147</v>
      </c>
      <c r="FS54" t="s">
        <v>147</v>
      </c>
      <c r="FT54" t="s">
        <v>147</v>
      </c>
      <c r="FU54" t="s">
        <v>147</v>
      </c>
      <c r="FV54" t="s">
        <v>147</v>
      </c>
      <c r="FW54" t="s">
        <v>147</v>
      </c>
      <c r="FX54" t="s">
        <v>147</v>
      </c>
      <c r="FY54" t="s">
        <v>147</v>
      </c>
      <c r="FZ54" t="s">
        <v>147</v>
      </c>
      <c r="GA54" t="s">
        <v>147</v>
      </c>
      <c r="GB54" t="s">
        <v>147</v>
      </c>
      <c r="GC54" t="s">
        <v>147</v>
      </c>
      <c r="GD54" t="s">
        <v>147</v>
      </c>
      <c r="GE54" t="s">
        <v>147</v>
      </c>
      <c r="GF54" t="s">
        <v>147</v>
      </c>
      <c r="GG54" t="s">
        <v>147</v>
      </c>
      <c r="GH54" t="s">
        <v>147</v>
      </c>
      <c r="GI54" t="s">
        <v>147</v>
      </c>
      <c r="GJ54" t="s">
        <v>147</v>
      </c>
      <c r="GK54" t="s">
        <v>147</v>
      </c>
      <c r="GL54" t="s">
        <v>147</v>
      </c>
      <c r="GM54" t="s">
        <v>147</v>
      </c>
      <c r="GN54" t="s">
        <v>147</v>
      </c>
      <c r="GO54" t="s">
        <v>147</v>
      </c>
      <c r="GP54" t="s">
        <v>175</v>
      </c>
      <c r="GQ54" t="s">
        <v>175</v>
      </c>
      <c r="GR54" t="s">
        <v>147</v>
      </c>
      <c r="GS54" t="s">
        <v>147</v>
      </c>
      <c r="GT54" t="s">
        <v>147</v>
      </c>
      <c r="GU54" t="s">
        <v>147</v>
      </c>
      <c r="GV54" t="s">
        <v>147</v>
      </c>
      <c r="GW54" t="s">
        <v>175</v>
      </c>
      <c r="GX54" t="s">
        <v>175</v>
      </c>
      <c r="GY54" t="s">
        <v>147</v>
      </c>
      <c r="GZ54" t="s">
        <v>147</v>
      </c>
      <c r="HA54" t="s">
        <v>147</v>
      </c>
      <c r="HB54" t="s">
        <v>175</v>
      </c>
      <c r="HC54" t="s">
        <v>147</v>
      </c>
      <c r="HD54" t="s">
        <v>147</v>
      </c>
      <c r="HE54" t="s">
        <v>175</v>
      </c>
      <c r="HF54" t="s">
        <v>147</v>
      </c>
      <c r="HG54" t="s">
        <v>147</v>
      </c>
      <c r="HH54" t="s">
        <v>175</v>
      </c>
      <c r="HI54" t="s">
        <v>175</v>
      </c>
      <c r="HJ54" t="s">
        <v>175</v>
      </c>
      <c r="HK54" t="s">
        <v>175</v>
      </c>
      <c r="HL54" t="s">
        <v>147</v>
      </c>
      <c r="HM54" t="s">
        <v>147</v>
      </c>
      <c r="HN54" t="s">
        <v>147</v>
      </c>
      <c r="HO54" t="s">
        <v>147</v>
      </c>
      <c r="HP54" t="s">
        <v>147</v>
      </c>
      <c r="HQ54" t="s">
        <v>147</v>
      </c>
      <c r="HR54" t="s">
        <v>147</v>
      </c>
      <c r="HS54" t="s">
        <v>147</v>
      </c>
      <c r="HT54" t="s">
        <v>147</v>
      </c>
      <c r="HU54" t="s">
        <v>147</v>
      </c>
      <c r="HV54" t="s">
        <v>147</v>
      </c>
      <c r="HW54" t="s">
        <v>147</v>
      </c>
      <c r="HX54" t="s">
        <v>147</v>
      </c>
      <c r="HY54" t="s">
        <v>147</v>
      </c>
      <c r="HZ54" t="s">
        <v>147</v>
      </c>
      <c r="IA54" t="s">
        <v>147</v>
      </c>
      <c r="IB54" t="s">
        <v>58</v>
      </c>
      <c r="IC54" t="s">
        <v>58</v>
      </c>
      <c r="ID54" t="s">
        <v>58</v>
      </c>
      <c r="IE54" t="s">
        <v>58</v>
      </c>
      <c r="IF54" t="s">
        <v>124</v>
      </c>
      <c r="IG54" t="s">
        <v>148</v>
      </c>
      <c r="IH54" t="s">
        <v>123</v>
      </c>
      <c r="II54" t="s">
        <v>156</v>
      </c>
    </row>
    <row r="55" spans="1:243" x14ac:dyDescent="0.25">
      <c r="A55" s="121" t="str">
        <f>HYPERLINK("http://www.ofsted.gov.uk/inspection-reports/find-inspection-report/provider/ELS/138138 ","Ofsted School Webpage")</f>
        <v>Ofsted School Webpage</v>
      </c>
      <c r="B55">
        <v>138138</v>
      </c>
      <c r="C55">
        <v>9266002</v>
      </c>
      <c r="D55" t="s">
        <v>400</v>
      </c>
      <c r="E55" t="s">
        <v>37</v>
      </c>
      <c r="F55" t="s">
        <v>138</v>
      </c>
      <c r="G55" t="s">
        <v>177</v>
      </c>
      <c r="H55" t="s">
        <v>177</v>
      </c>
      <c r="I55" t="s">
        <v>401</v>
      </c>
      <c r="J55" t="s">
        <v>402</v>
      </c>
      <c r="K55" t="s">
        <v>142</v>
      </c>
      <c r="L55" t="s">
        <v>142</v>
      </c>
      <c r="M55" t="s">
        <v>2596</v>
      </c>
      <c r="N55" t="s">
        <v>143</v>
      </c>
      <c r="O55">
        <v>10038655</v>
      </c>
      <c r="P55" s="108">
        <v>43021</v>
      </c>
      <c r="Q55" s="108">
        <v>43021</v>
      </c>
      <c r="R55" s="108">
        <v>43053</v>
      </c>
      <c r="S55" t="s">
        <v>144</v>
      </c>
      <c r="T55" t="s">
        <v>145</v>
      </c>
      <c r="U55" t="s">
        <v>2596</v>
      </c>
      <c r="V55" t="s">
        <v>2596</v>
      </c>
      <c r="W55" t="s">
        <v>2596</v>
      </c>
      <c r="X55" t="s">
        <v>2596</v>
      </c>
      <c r="Y55" t="s">
        <v>2596</v>
      </c>
      <c r="Z55" t="s">
        <v>2596</v>
      </c>
      <c r="AA55" t="s">
        <v>2596</v>
      </c>
      <c r="AB55" t="s">
        <v>2596</v>
      </c>
      <c r="AC55" t="s">
        <v>174</v>
      </c>
      <c r="AD55" t="s">
        <v>2596</v>
      </c>
      <c r="AE55" t="s">
        <v>147</v>
      </c>
      <c r="AF55" t="s">
        <v>147</v>
      </c>
      <c r="AG55" t="s">
        <v>57</v>
      </c>
      <c r="AH55" t="s">
        <v>147</v>
      </c>
      <c r="AI55" t="s">
        <v>147</v>
      </c>
      <c r="AJ55" t="s">
        <v>58</v>
      </c>
      <c r="AK55" t="s">
        <v>147</v>
      </c>
      <c r="AL55" t="s">
        <v>58</v>
      </c>
      <c r="AM55" t="s">
        <v>147</v>
      </c>
      <c r="AN55" t="s">
        <v>147</v>
      </c>
      <c r="AO55" t="s">
        <v>147</v>
      </c>
      <c r="AP55" t="s">
        <v>147</v>
      </c>
      <c r="AQ55" t="s">
        <v>147</v>
      </c>
      <c r="AR55" t="s">
        <v>147</v>
      </c>
      <c r="AS55" t="s">
        <v>147</v>
      </c>
      <c r="AT55" t="s">
        <v>147</v>
      </c>
      <c r="AU55" t="s">
        <v>147</v>
      </c>
      <c r="AV55" t="s">
        <v>147</v>
      </c>
      <c r="AW55" t="s">
        <v>147</v>
      </c>
      <c r="AX55" t="s">
        <v>147</v>
      </c>
      <c r="AY55" t="s">
        <v>147</v>
      </c>
      <c r="AZ55" t="s">
        <v>147</v>
      </c>
      <c r="BA55" t="s">
        <v>147</v>
      </c>
      <c r="BB55" t="s">
        <v>147</v>
      </c>
      <c r="BC55" t="s">
        <v>147</v>
      </c>
      <c r="BD55" t="s">
        <v>147</v>
      </c>
      <c r="BE55" t="s">
        <v>147</v>
      </c>
      <c r="BF55" t="s">
        <v>147</v>
      </c>
      <c r="BG55" t="s">
        <v>58</v>
      </c>
      <c r="BH55" t="s">
        <v>58</v>
      </c>
      <c r="BI55" t="s">
        <v>57</v>
      </c>
      <c r="BJ55" t="s">
        <v>58</v>
      </c>
      <c r="BK55" t="s">
        <v>58</v>
      </c>
      <c r="BL55" t="s">
        <v>57</v>
      </c>
      <c r="BM55" t="s">
        <v>57</v>
      </c>
      <c r="BN55" t="s">
        <v>58</v>
      </c>
      <c r="BO55" t="s">
        <v>57</v>
      </c>
      <c r="BP55" t="s">
        <v>57</v>
      </c>
      <c r="BQ55" t="s">
        <v>57</v>
      </c>
      <c r="BR55" t="s">
        <v>147</v>
      </c>
      <c r="BS55" t="s">
        <v>147</v>
      </c>
      <c r="BT55" t="s">
        <v>147</v>
      </c>
      <c r="BU55" t="s">
        <v>147</v>
      </c>
      <c r="BV55" t="s">
        <v>147</v>
      </c>
      <c r="BW55" t="s">
        <v>147</v>
      </c>
      <c r="BX55" t="s">
        <v>147</v>
      </c>
      <c r="BY55" t="s">
        <v>147</v>
      </c>
      <c r="BZ55" t="s">
        <v>147</v>
      </c>
      <c r="CA55" t="s">
        <v>147</v>
      </c>
      <c r="CB55" t="s">
        <v>147</v>
      </c>
      <c r="CC55" t="s">
        <v>147</v>
      </c>
      <c r="CD55" t="s">
        <v>147</v>
      </c>
      <c r="CE55" t="s">
        <v>147</v>
      </c>
      <c r="CF55" t="s">
        <v>147</v>
      </c>
      <c r="CG55" t="s">
        <v>147</v>
      </c>
      <c r="CH55" t="s">
        <v>57</v>
      </c>
      <c r="CI55" t="s">
        <v>57</v>
      </c>
      <c r="CJ55" t="s">
        <v>57</v>
      </c>
      <c r="CK55" t="s">
        <v>147</v>
      </c>
      <c r="CL55" t="s">
        <v>147</v>
      </c>
      <c r="CM55" t="s">
        <v>147</v>
      </c>
      <c r="CN55" t="s">
        <v>147</v>
      </c>
      <c r="CO55" t="s">
        <v>147</v>
      </c>
      <c r="CP55" t="s">
        <v>147</v>
      </c>
      <c r="CQ55" t="s">
        <v>147</v>
      </c>
      <c r="CR55" t="s">
        <v>147</v>
      </c>
      <c r="CS55" t="s">
        <v>147</v>
      </c>
      <c r="CT55" t="s">
        <v>147</v>
      </c>
      <c r="CU55" t="s">
        <v>147</v>
      </c>
      <c r="CV55" t="s">
        <v>147</v>
      </c>
      <c r="CW55" t="s">
        <v>147</v>
      </c>
      <c r="CX55" t="s">
        <v>147</v>
      </c>
      <c r="CY55" t="s">
        <v>147</v>
      </c>
      <c r="CZ55" t="s">
        <v>147</v>
      </c>
      <c r="DA55" t="s">
        <v>147</v>
      </c>
      <c r="DB55" t="s">
        <v>147</v>
      </c>
      <c r="DC55" t="s">
        <v>147</v>
      </c>
      <c r="DD55" t="s">
        <v>147</v>
      </c>
      <c r="DE55" t="s">
        <v>147</v>
      </c>
      <c r="DF55" t="s">
        <v>147</v>
      </c>
      <c r="DG55" t="s">
        <v>147</v>
      </c>
      <c r="DH55" t="s">
        <v>147</v>
      </c>
      <c r="DI55" t="s">
        <v>147</v>
      </c>
      <c r="DJ55" t="s">
        <v>147</v>
      </c>
      <c r="DK55" t="s">
        <v>147</v>
      </c>
      <c r="DL55" t="s">
        <v>147</v>
      </c>
      <c r="DM55" t="s">
        <v>147</v>
      </c>
      <c r="DN55" t="s">
        <v>147</v>
      </c>
      <c r="DO55" t="s">
        <v>147</v>
      </c>
      <c r="DP55" t="s">
        <v>147</v>
      </c>
      <c r="DQ55" t="s">
        <v>147</v>
      </c>
      <c r="DR55" t="s">
        <v>147</v>
      </c>
      <c r="DS55" t="s">
        <v>147</v>
      </c>
      <c r="DT55" t="s">
        <v>147</v>
      </c>
      <c r="DU55" t="s">
        <v>147</v>
      </c>
      <c r="DV55" t="s">
        <v>147</v>
      </c>
      <c r="DW55" t="s">
        <v>147</v>
      </c>
      <c r="DX55" t="s">
        <v>147</v>
      </c>
      <c r="DY55" t="s">
        <v>147</v>
      </c>
      <c r="DZ55" t="s">
        <v>147</v>
      </c>
      <c r="EA55" t="s">
        <v>147</v>
      </c>
      <c r="EB55" t="s">
        <v>147</v>
      </c>
      <c r="EC55" t="s">
        <v>147</v>
      </c>
      <c r="ED55" t="s">
        <v>147</v>
      </c>
      <c r="EE55" t="s">
        <v>147</v>
      </c>
      <c r="EF55" t="s">
        <v>147</v>
      </c>
      <c r="EG55" t="s">
        <v>147</v>
      </c>
      <c r="EH55" t="s">
        <v>147</v>
      </c>
      <c r="EI55" t="s">
        <v>147</v>
      </c>
      <c r="EJ55" t="s">
        <v>147</v>
      </c>
      <c r="EK55" t="s">
        <v>147</v>
      </c>
      <c r="EL55" t="s">
        <v>147</v>
      </c>
      <c r="EM55" t="s">
        <v>147</v>
      </c>
      <c r="EN55" t="s">
        <v>147</v>
      </c>
      <c r="EO55" t="s">
        <v>147</v>
      </c>
      <c r="EP55" t="s">
        <v>147</v>
      </c>
      <c r="EQ55" t="s">
        <v>147</v>
      </c>
      <c r="ER55" t="s">
        <v>147</v>
      </c>
      <c r="ES55" t="s">
        <v>147</v>
      </c>
      <c r="ET55" t="s">
        <v>147</v>
      </c>
      <c r="EU55" t="s">
        <v>147</v>
      </c>
      <c r="EV55" t="s">
        <v>147</v>
      </c>
      <c r="EW55" t="s">
        <v>147</v>
      </c>
      <c r="EX55" t="s">
        <v>147</v>
      </c>
      <c r="EY55" t="s">
        <v>147</v>
      </c>
      <c r="EZ55" t="s">
        <v>147</v>
      </c>
      <c r="FA55" t="s">
        <v>147</v>
      </c>
      <c r="FB55" t="s">
        <v>147</v>
      </c>
      <c r="FC55" t="s">
        <v>147</v>
      </c>
      <c r="FD55" t="s">
        <v>147</v>
      </c>
      <c r="FE55" t="s">
        <v>147</v>
      </c>
      <c r="FF55" t="s">
        <v>147</v>
      </c>
      <c r="FG55" t="s">
        <v>147</v>
      </c>
      <c r="FH55" t="s">
        <v>147</v>
      </c>
      <c r="FI55" t="s">
        <v>147</v>
      </c>
      <c r="FJ55" t="s">
        <v>147</v>
      </c>
      <c r="FK55" t="s">
        <v>147</v>
      </c>
      <c r="FL55" t="s">
        <v>147</v>
      </c>
      <c r="FM55" t="s">
        <v>147</v>
      </c>
      <c r="FN55" t="s">
        <v>147</v>
      </c>
      <c r="FO55" t="s">
        <v>147</v>
      </c>
      <c r="FP55" t="s">
        <v>147</v>
      </c>
      <c r="FQ55" t="s">
        <v>147</v>
      </c>
      <c r="FR55" t="s">
        <v>147</v>
      </c>
      <c r="FS55" t="s">
        <v>147</v>
      </c>
      <c r="FT55" t="s">
        <v>147</v>
      </c>
      <c r="FU55" t="s">
        <v>147</v>
      </c>
      <c r="FV55" t="s">
        <v>147</v>
      </c>
      <c r="FW55" t="s">
        <v>147</v>
      </c>
      <c r="FX55" t="s">
        <v>147</v>
      </c>
      <c r="FY55" t="s">
        <v>147</v>
      </c>
      <c r="FZ55" t="s">
        <v>147</v>
      </c>
      <c r="GA55" t="s">
        <v>147</v>
      </c>
      <c r="GB55" t="s">
        <v>147</v>
      </c>
      <c r="GC55" t="s">
        <v>147</v>
      </c>
      <c r="GD55" t="s">
        <v>147</v>
      </c>
      <c r="GE55" t="s">
        <v>147</v>
      </c>
      <c r="GF55" t="s">
        <v>147</v>
      </c>
      <c r="GG55" t="s">
        <v>147</v>
      </c>
      <c r="GH55" t="s">
        <v>58</v>
      </c>
      <c r="GI55" t="s">
        <v>57</v>
      </c>
      <c r="GJ55" t="s">
        <v>58</v>
      </c>
      <c r="GK55" t="s">
        <v>58</v>
      </c>
      <c r="GL55" t="s">
        <v>58</v>
      </c>
      <c r="GM55" t="s">
        <v>175</v>
      </c>
      <c r="GN55" t="s">
        <v>147</v>
      </c>
      <c r="GO55" t="s">
        <v>57</v>
      </c>
      <c r="GP55" t="s">
        <v>147</v>
      </c>
      <c r="GQ55" t="s">
        <v>147</v>
      </c>
      <c r="GR55" t="s">
        <v>57</v>
      </c>
      <c r="GS55" t="s">
        <v>57</v>
      </c>
      <c r="GT55" t="s">
        <v>57</v>
      </c>
      <c r="GU55" t="s">
        <v>57</v>
      </c>
      <c r="GV55" t="s">
        <v>175</v>
      </c>
      <c r="GW55" t="s">
        <v>57</v>
      </c>
      <c r="GX55" t="s">
        <v>175</v>
      </c>
      <c r="GY55" t="s">
        <v>57</v>
      </c>
      <c r="GZ55" t="s">
        <v>58</v>
      </c>
      <c r="HA55" t="s">
        <v>57</v>
      </c>
      <c r="HB55" t="s">
        <v>57</v>
      </c>
      <c r="HC55" t="s">
        <v>57</v>
      </c>
      <c r="HD55" t="s">
        <v>57</v>
      </c>
      <c r="HE55" t="s">
        <v>58</v>
      </c>
      <c r="HF55" t="s">
        <v>57</v>
      </c>
      <c r="HG55" t="s">
        <v>57</v>
      </c>
      <c r="HH55" t="s">
        <v>147</v>
      </c>
      <c r="HI55" t="s">
        <v>147</v>
      </c>
      <c r="HJ55" t="s">
        <v>147</v>
      </c>
      <c r="HK55" t="s">
        <v>147</v>
      </c>
      <c r="HL55" t="s">
        <v>147</v>
      </c>
      <c r="HM55" t="s">
        <v>147</v>
      </c>
      <c r="HN55" t="s">
        <v>147</v>
      </c>
      <c r="HO55" t="s">
        <v>147</v>
      </c>
      <c r="HP55" t="s">
        <v>147</v>
      </c>
      <c r="HQ55" t="s">
        <v>147</v>
      </c>
      <c r="HR55" t="s">
        <v>147</v>
      </c>
      <c r="HS55" t="s">
        <v>147</v>
      </c>
      <c r="HT55" t="s">
        <v>147</v>
      </c>
      <c r="HU55" t="s">
        <v>147</v>
      </c>
      <c r="HV55" t="s">
        <v>147</v>
      </c>
      <c r="HW55" t="s">
        <v>147</v>
      </c>
      <c r="HX55" t="s">
        <v>147</v>
      </c>
      <c r="HY55" t="s">
        <v>147</v>
      </c>
      <c r="HZ55" t="s">
        <v>147</v>
      </c>
      <c r="IA55" t="s">
        <v>147</v>
      </c>
      <c r="IB55" t="s">
        <v>58</v>
      </c>
      <c r="IC55" t="s">
        <v>58</v>
      </c>
      <c r="ID55" t="s">
        <v>58</v>
      </c>
      <c r="IE55" t="s">
        <v>57</v>
      </c>
      <c r="IF55" t="s">
        <v>124</v>
      </c>
      <c r="IG55" t="s">
        <v>148</v>
      </c>
      <c r="IH55" t="s">
        <v>123</v>
      </c>
      <c r="II55" t="s">
        <v>2596</v>
      </c>
    </row>
    <row r="56" spans="1:243" x14ac:dyDescent="0.25">
      <c r="A56" s="121" t="str">
        <f>HYPERLINK("http://www.ofsted.gov.uk/inspection-reports/find-inspection-report/provider/ELS/138801 ","Ofsted School Webpage")</f>
        <v>Ofsted School Webpage</v>
      </c>
      <c r="B56">
        <v>138801</v>
      </c>
      <c r="C56">
        <v>3166002</v>
      </c>
      <c r="D56" t="s">
        <v>473</v>
      </c>
      <c r="E56" t="s">
        <v>36</v>
      </c>
      <c r="F56" t="s">
        <v>166</v>
      </c>
      <c r="G56" t="s">
        <v>189</v>
      </c>
      <c r="H56" t="s">
        <v>189</v>
      </c>
      <c r="I56" t="s">
        <v>460</v>
      </c>
      <c r="J56" t="s">
        <v>474</v>
      </c>
      <c r="K56" t="s">
        <v>142</v>
      </c>
      <c r="L56" t="s">
        <v>180</v>
      </c>
      <c r="M56" t="s">
        <v>2596</v>
      </c>
      <c r="N56" t="s">
        <v>143</v>
      </c>
      <c r="O56">
        <v>10037571</v>
      </c>
      <c r="P56" s="108">
        <v>43010</v>
      </c>
      <c r="Q56" s="108">
        <v>43010</v>
      </c>
      <c r="R56" s="108">
        <v>43047</v>
      </c>
      <c r="S56" t="s">
        <v>144</v>
      </c>
      <c r="T56" t="s">
        <v>145</v>
      </c>
      <c r="U56" t="s">
        <v>2596</v>
      </c>
      <c r="V56" t="s">
        <v>2596</v>
      </c>
      <c r="W56" t="s">
        <v>2596</v>
      </c>
      <c r="X56" t="s">
        <v>2596</v>
      </c>
      <c r="Y56" t="s">
        <v>2596</v>
      </c>
      <c r="Z56" t="s">
        <v>2596</v>
      </c>
      <c r="AA56" t="s">
        <v>2596</v>
      </c>
      <c r="AB56" t="s">
        <v>2596</v>
      </c>
      <c r="AC56" t="s">
        <v>146</v>
      </c>
      <c r="AD56" t="s">
        <v>2596</v>
      </c>
      <c r="AE56" t="s">
        <v>160</v>
      </c>
      <c r="AF56" t="s">
        <v>160</v>
      </c>
      <c r="AG56" t="s">
        <v>57</v>
      </c>
      <c r="AH56" t="s">
        <v>57</v>
      </c>
      <c r="AI56" t="s">
        <v>160</v>
      </c>
      <c r="AJ56" t="s">
        <v>57</v>
      </c>
      <c r="AK56" t="s">
        <v>57</v>
      </c>
      <c r="AL56" t="s">
        <v>57</v>
      </c>
      <c r="AM56" t="s">
        <v>160</v>
      </c>
      <c r="AN56" t="s">
        <v>160</v>
      </c>
      <c r="AO56" t="s">
        <v>160</v>
      </c>
      <c r="AP56" t="s">
        <v>160</v>
      </c>
      <c r="AQ56" t="s">
        <v>160</v>
      </c>
      <c r="AR56" t="s">
        <v>57</v>
      </c>
      <c r="AS56" t="s">
        <v>57</v>
      </c>
      <c r="AT56" t="s">
        <v>160</v>
      </c>
      <c r="AU56" t="s">
        <v>160</v>
      </c>
      <c r="AV56" t="s">
        <v>160</v>
      </c>
      <c r="AW56" t="s">
        <v>160</v>
      </c>
      <c r="AX56" t="s">
        <v>160</v>
      </c>
      <c r="AY56" t="s">
        <v>160</v>
      </c>
      <c r="AZ56" t="s">
        <v>160</v>
      </c>
      <c r="BA56" t="s">
        <v>160</v>
      </c>
      <c r="BB56" t="s">
        <v>160</v>
      </c>
      <c r="BC56" t="s">
        <v>148</v>
      </c>
      <c r="BD56" t="s">
        <v>148</v>
      </c>
      <c r="BE56" t="s">
        <v>160</v>
      </c>
      <c r="BF56" t="s">
        <v>160</v>
      </c>
      <c r="BG56" t="s">
        <v>57</v>
      </c>
      <c r="BH56" t="s">
        <v>160</v>
      </c>
      <c r="BI56" t="s">
        <v>160</v>
      </c>
      <c r="BJ56" t="s">
        <v>160</v>
      </c>
      <c r="BK56" t="s">
        <v>57</v>
      </c>
      <c r="BL56" t="s">
        <v>160</v>
      </c>
      <c r="BM56" t="s">
        <v>160</v>
      </c>
      <c r="BN56" t="s">
        <v>57</v>
      </c>
      <c r="BO56" t="s">
        <v>160</v>
      </c>
      <c r="BP56" t="s">
        <v>160</v>
      </c>
      <c r="BQ56" t="s">
        <v>160</v>
      </c>
      <c r="BR56" t="s">
        <v>57</v>
      </c>
      <c r="BS56" t="s">
        <v>160</v>
      </c>
      <c r="BT56" t="s">
        <v>160</v>
      </c>
      <c r="BU56" t="s">
        <v>160</v>
      </c>
      <c r="BV56" t="s">
        <v>160</v>
      </c>
      <c r="BW56" t="s">
        <v>160</v>
      </c>
      <c r="BX56" t="s">
        <v>160</v>
      </c>
      <c r="BY56" t="s">
        <v>160</v>
      </c>
      <c r="BZ56" t="s">
        <v>160</v>
      </c>
      <c r="CA56" t="s">
        <v>160</v>
      </c>
      <c r="CB56" t="s">
        <v>160</v>
      </c>
      <c r="CC56" t="s">
        <v>160</v>
      </c>
      <c r="CD56" t="s">
        <v>160</v>
      </c>
      <c r="CE56" t="s">
        <v>160</v>
      </c>
      <c r="CF56" t="s">
        <v>160</v>
      </c>
      <c r="CG56" t="s">
        <v>160</v>
      </c>
      <c r="CH56" t="s">
        <v>57</v>
      </c>
      <c r="CI56" t="s">
        <v>57</v>
      </c>
      <c r="CJ56" t="s">
        <v>57</v>
      </c>
      <c r="CK56" t="s">
        <v>160</v>
      </c>
      <c r="CL56" t="s">
        <v>148</v>
      </c>
      <c r="CM56" t="s">
        <v>148</v>
      </c>
      <c r="CN56" t="s">
        <v>160</v>
      </c>
      <c r="CO56" t="s">
        <v>160</v>
      </c>
      <c r="CP56" t="s">
        <v>160</v>
      </c>
      <c r="CQ56" t="s">
        <v>160</v>
      </c>
      <c r="CR56" t="s">
        <v>160</v>
      </c>
      <c r="CS56" t="s">
        <v>57</v>
      </c>
      <c r="CT56" t="s">
        <v>57</v>
      </c>
      <c r="CU56" t="s">
        <v>160</v>
      </c>
      <c r="CV56" t="s">
        <v>160</v>
      </c>
      <c r="CW56" t="s">
        <v>160</v>
      </c>
      <c r="CX56" t="s">
        <v>160</v>
      </c>
      <c r="CY56" t="s">
        <v>160</v>
      </c>
      <c r="CZ56" t="s">
        <v>160</v>
      </c>
      <c r="DA56" t="s">
        <v>57</v>
      </c>
      <c r="DB56" t="s">
        <v>160</v>
      </c>
      <c r="DC56" t="s">
        <v>160</v>
      </c>
      <c r="DD56" t="s">
        <v>57</v>
      </c>
      <c r="DE56" t="s">
        <v>160</v>
      </c>
      <c r="DF56" t="s">
        <v>160</v>
      </c>
      <c r="DG56" t="s">
        <v>160</v>
      </c>
      <c r="DH56" t="s">
        <v>160</v>
      </c>
      <c r="DI56" t="s">
        <v>160</v>
      </c>
      <c r="DJ56" t="s">
        <v>160</v>
      </c>
      <c r="DK56" t="s">
        <v>160</v>
      </c>
      <c r="DL56" t="s">
        <v>57</v>
      </c>
      <c r="DM56" t="s">
        <v>160</v>
      </c>
      <c r="DN56" t="s">
        <v>160</v>
      </c>
      <c r="DO56" t="s">
        <v>160</v>
      </c>
      <c r="DP56" t="s">
        <v>160</v>
      </c>
      <c r="DQ56" t="s">
        <v>160</v>
      </c>
      <c r="DR56" t="s">
        <v>160</v>
      </c>
      <c r="DS56" t="s">
        <v>160</v>
      </c>
      <c r="DT56" t="s">
        <v>160</v>
      </c>
      <c r="DU56" t="s">
        <v>160</v>
      </c>
      <c r="DV56" t="s">
        <v>160</v>
      </c>
      <c r="DW56" t="s">
        <v>160</v>
      </c>
      <c r="DX56" t="s">
        <v>160</v>
      </c>
      <c r="DY56" t="s">
        <v>160</v>
      </c>
      <c r="DZ56" t="s">
        <v>160</v>
      </c>
      <c r="EA56" t="s">
        <v>160</v>
      </c>
      <c r="EB56" t="s">
        <v>160</v>
      </c>
      <c r="EC56" t="s">
        <v>160</v>
      </c>
      <c r="ED56" t="s">
        <v>160</v>
      </c>
      <c r="EE56" t="s">
        <v>160</v>
      </c>
      <c r="EF56" t="s">
        <v>160</v>
      </c>
      <c r="EG56" t="s">
        <v>160</v>
      </c>
      <c r="EH56" t="s">
        <v>160</v>
      </c>
      <c r="EI56" t="s">
        <v>160</v>
      </c>
      <c r="EJ56" t="s">
        <v>160</v>
      </c>
      <c r="EK56" t="s">
        <v>160</v>
      </c>
      <c r="EL56" t="s">
        <v>160</v>
      </c>
      <c r="EM56" t="s">
        <v>160</v>
      </c>
      <c r="EN56" t="s">
        <v>160</v>
      </c>
      <c r="EO56" t="s">
        <v>160</v>
      </c>
      <c r="EP56" t="s">
        <v>160</v>
      </c>
      <c r="EQ56" t="s">
        <v>160</v>
      </c>
      <c r="ER56" t="s">
        <v>160</v>
      </c>
      <c r="ES56" t="s">
        <v>160</v>
      </c>
      <c r="ET56" t="s">
        <v>160</v>
      </c>
      <c r="EU56" t="s">
        <v>160</v>
      </c>
      <c r="EV56" t="s">
        <v>160</v>
      </c>
      <c r="EW56" t="s">
        <v>160</v>
      </c>
      <c r="EX56" t="s">
        <v>160</v>
      </c>
      <c r="EY56" t="s">
        <v>160</v>
      </c>
      <c r="EZ56" t="s">
        <v>160</v>
      </c>
      <c r="FA56" t="s">
        <v>160</v>
      </c>
      <c r="FB56" t="s">
        <v>160</v>
      </c>
      <c r="FC56" t="s">
        <v>160</v>
      </c>
      <c r="FD56" t="s">
        <v>160</v>
      </c>
      <c r="FE56" t="s">
        <v>160</v>
      </c>
      <c r="FF56" t="s">
        <v>160</v>
      </c>
      <c r="FG56" t="s">
        <v>160</v>
      </c>
      <c r="FH56" t="s">
        <v>160</v>
      </c>
      <c r="FI56" t="s">
        <v>160</v>
      </c>
      <c r="FJ56" t="s">
        <v>160</v>
      </c>
      <c r="FK56" t="s">
        <v>160</v>
      </c>
      <c r="FL56" t="s">
        <v>160</v>
      </c>
      <c r="FM56" t="s">
        <v>160</v>
      </c>
      <c r="FN56" t="s">
        <v>160</v>
      </c>
      <c r="FO56" t="s">
        <v>160</v>
      </c>
      <c r="FP56" t="s">
        <v>160</v>
      </c>
      <c r="FQ56" t="s">
        <v>57</v>
      </c>
      <c r="FR56" t="s">
        <v>160</v>
      </c>
      <c r="FS56" t="s">
        <v>160</v>
      </c>
      <c r="FT56" t="s">
        <v>160</v>
      </c>
      <c r="FU56" t="s">
        <v>160</v>
      </c>
      <c r="FV56" t="s">
        <v>160</v>
      </c>
      <c r="FW56" t="s">
        <v>160</v>
      </c>
      <c r="FX56" t="s">
        <v>160</v>
      </c>
      <c r="FY56" t="s">
        <v>160</v>
      </c>
      <c r="FZ56" t="s">
        <v>160</v>
      </c>
      <c r="GA56" t="s">
        <v>160</v>
      </c>
      <c r="GB56" t="s">
        <v>160</v>
      </c>
      <c r="GC56" t="s">
        <v>160</v>
      </c>
      <c r="GD56" t="s">
        <v>160</v>
      </c>
      <c r="GE56" t="s">
        <v>160</v>
      </c>
      <c r="GF56" t="s">
        <v>160</v>
      </c>
      <c r="GG56" t="s">
        <v>160</v>
      </c>
      <c r="GH56" t="s">
        <v>57</v>
      </c>
      <c r="GI56" t="s">
        <v>160</v>
      </c>
      <c r="GJ56" t="s">
        <v>160</v>
      </c>
      <c r="GK56" t="s">
        <v>57</v>
      </c>
      <c r="GL56" t="s">
        <v>160</v>
      </c>
      <c r="GM56" t="s">
        <v>160</v>
      </c>
      <c r="GN56" t="s">
        <v>160</v>
      </c>
      <c r="GO56" t="s">
        <v>160</v>
      </c>
      <c r="GP56" t="s">
        <v>160</v>
      </c>
      <c r="GQ56" t="s">
        <v>160</v>
      </c>
      <c r="GR56" t="s">
        <v>57</v>
      </c>
      <c r="GS56" t="s">
        <v>57</v>
      </c>
      <c r="GT56" t="s">
        <v>160</v>
      </c>
      <c r="GU56" t="s">
        <v>57</v>
      </c>
      <c r="GV56" t="s">
        <v>148</v>
      </c>
      <c r="GW56" t="s">
        <v>57</v>
      </c>
      <c r="GX56" t="s">
        <v>57</v>
      </c>
      <c r="GY56" t="s">
        <v>160</v>
      </c>
      <c r="GZ56" t="s">
        <v>160</v>
      </c>
      <c r="HA56" t="s">
        <v>160</v>
      </c>
      <c r="HB56" t="s">
        <v>160</v>
      </c>
      <c r="HC56" t="s">
        <v>160</v>
      </c>
      <c r="HD56" t="s">
        <v>160</v>
      </c>
      <c r="HE56" t="s">
        <v>160</v>
      </c>
      <c r="HF56" t="s">
        <v>160</v>
      </c>
      <c r="HG56" t="s">
        <v>160</v>
      </c>
      <c r="HH56" t="s">
        <v>160</v>
      </c>
      <c r="HI56" t="s">
        <v>160</v>
      </c>
      <c r="HJ56" t="s">
        <v>160</v>
      </c>
      <c r="HK56" t="s">
        <v>160</v>
      </c>
      <c r="HL56" t="s">
        <v>57</v>
      </c>
      <c r="HM56" t="s">
        <v>57</v>
      </c>
      <c r="HN56" t="s">
        <v>57</v>
      </c>
      <c r="HO56" t="s">
        <v>57</v>
      </c>
      <c r="HP56" t="s">
        <v>57</v>
      </c>
      <c r="HQ56" t="s">
        <v>57</v>
      </c>
      <c r="HR56" t="s">
        <v>57</v>
      </c>
      <c r="HS56" t="s">
        <v>57</v>
      </c>
      <c r="HT56" t="s">
        <v>57</v>
      </c>
      <c r="HU56" t="s">
        <v>57</v>
      </c>
      <c r="HV56" t="s">
        <v>57</v>
      </c>
      <c r="HW56" t="s">
        <v>57</v>
      </c>
      <c r="HX56" t="s">
        <v>57</v>
      </c>
      <c r="HY56" t="s">
        <v>57</v>
      </c>
      <c r="HZ56" t="s">
        <v>57</v>
      </c>
      <c r="IA56" t="s">
        <v>57</v>
      </c>
      <c r="IB56" t="s">
        <v>57</v>
      </c>
      <c r="IC56" t="s">
        <v>57</v>
      </c>
      <c r="ID56" t="s">
        <v>57</v>
      </c>
      <c r="IE56" t="s">
        <v>57</v>
      </c>
      <c r="IF56" t="s">
        <v>124</v>
      </c>
      <c r="IG56" t="s">
        <v>155</v>
      </c>
      <c r="IH56" t="s">
        <v>123</v>
      </c>
      <c r="II56" t="s">
        <v>156</v>
      </c>
    </row>
    <row r="57" spans="1:243" x14ac:dyDescent="0.25">
      <c r="A57" s="121" t="str">
        <f>HYPERLINK("http://www.ofsted.gov.uk/inspection-reports/find-inspection-report/provider/ELS/138877 ","Ofsted School Webpage")</f>
        <v>Ofsted School Webpage</v>
      </c>
      <c r="B57">
        <v>138877</v>
      </c>
      <c r="C57">
        <v>9356002</v>
      </c>
      <c r="D57" t="s">
        <v>1945</v>
      </c>
      <c r="E57" t="s">
        <v>36</v>
      </c>
      <c r="F57" t="s">
        <v>166</v>
      </c>
      <c r="G57" t="s">
        <v>177</v>
      </c>
      <c r="H57" t="s">
        <v>177</v>
      </c>
      <c r="I57" t="s">
        <v>254</v>
      </c>
      <c r="J57" t="s">
        <v>1946</v>
      </c>
      <c r="K57" t="s">
        <v>142</v>
      </c>
      <c r="L57" t="s">
        <v>142</v>
      </c>
      <c r="M57" t="s">
        <v>2596</v>
      </c>
      <c r="N57" t="s">
        <v>143</v>
      </c>
      <c r="O57">
        <v>10041239</v>
      </c>
      <c r="P57" s="108">
        <v>43011</v>
      </c>
      <c r="Q57" s="108">
        <v>43012</v>
      </c>
      <c r="R57" s="108">
        <v>43070</v>
      </c>
      <c r="S57" t="s">
        <v>144</v>
      </c>
      <c r="T57" t="s">
        <v>145</v>
      </c>
      <c r="U57" t="s">
        <v>2596</v>
      </c>
      <c r="V57" t="s">
        <v>2596</v>
      </c>
      <c r="W57" t="s">
        <v>2596</v>
      </c>
      <c r="X57" t="s">
        <v>2596</v>
      </c>
      <c r="Y57" t="s">
        <v>2596</v>
      </c>
      <c r="Z57" t="s">
        <v>2596</v>
      </c>
      <c r="AA57" t="s">
        <v>2596</v>
      </c>
      <c r="AB57" t="s">
        <v>2596</v>
      </c>
      <c r="AC57" t="s">
        <v>146</v>
      </c>
      <c r="AD57" t="s">
        <v>2596</v>
      </c>
      <c r="AE57" t="s">
        <v>147</v>
      </c>
      <c r="AF57" t="s">
        <v>147</v>
      </c>
      <c r="AG57" t="s">
        <v>57</v>
      </c>
      <c r="AH57" t="s">
        <v>57</v>
      </c>
      <c r="AI57" t="s">
        <v>57</v>
      </c>
      <c r="AJ57" t="s">
        <v>57</v>
      </c>
      <c r="AK57" t="s">
        <v>147</v>
      </c>
      <c r="AL57" t="s">
        <v>57</v>
      </c>
      <c r="AM57" t="s">
        <v>147</v>
      </c>
      <c r="AN57" t="s">
        <v>147</v>
      </c>
      <c r="AO57" t="s">
        <v>147</v>
      </c>
      <c r="AP57" t="s">
        <v>147</v>
      </c>
      <c r="AQ57" t="s">
        <v>147</v>
      </c>
      <c r="AR57" t="s">
        <v>147</v>
      </c>
      <c r="AS57" t="s">
        <v>147</v>
      </c>
      <c r="AT57" t="s">
        <v>147</v>
      </c>
      <c r="AU57" t="s">
        <v>175</v>
      </c>
      <c r="AV57" t="s">
        <v>147</v>
      </c>
      <c r="AW57" t="s">
        <v>147</v>
      </c>
      <c r="AX57" t="s">
        <v>147</v>
      </c>
      <c r="AY57" t="s">
        <v>175</v>
      </c>
      <c r="AZ57" t="s">
        <v>175</v>
      </c>
      <c r="BA57" t="s">
        <v>175</v>
      </c>
      <c r="BB57" t="s">
        <v>175</v>
      </c>
      <c r="BC57" t="s">
        <v>175</v>
      </c>
      <c r="BD57" t="s">
        <v>175</v>
      </c>
      <c r="BE57" t="s">
        <v>147</v>
      </c>
      <c r="BF57" t="s">
        <v>147</v>
      </c>
      <c r="BG57" t="s">
        <v>57</v>
      </c>
      <c r="BH57" t="s">
        <v>57</v>
      </c>
      <c r="BI57" t="s">
        <v>147</v>
      </c>
      <c r="BJ57" t="s">
        <v>57</v>
      </c>
      <c r="BK57" t="s">
        <v>57</v>
      </c>
      <c r="BL57" t="s">
        <v>147</v>
      </c>
      <c r="BM57" t="s">
        <v>147</v>
      </c>
      <c r="BN57" t="s">
        <v>57</v>
      </c>
      <c r="BO57" t="s">
        <v>147</v>
      </c>
      <c r="BP57" t="s">
        <v>147</v>
      </c>
      <c r="BQ57" t="s">
        <v>147</v>
      </c>
      <c r="BR57" t="s">
        <v>147</v>
      </c>
      <c r="BS57" t="s">
        <v>147</v>
      </c>
      <c r="BT57" t="s">
        <v>147</v>
      </c>
      <c r="BU57" t="s">
        <v>147</v>
      </c>
      <c r="BV57" t="s">
        <v>147</v>
      </c>
      <c r="BW57" t="s">
        <v>147</v>
      </c>
      <c r="BX57" t="s">
        <v>147</v>
      </c>
      <c r="BY57" t="s">
        <v>147</v>
      </c>
      <c r="BZ57" t="s">
        <v>147</v>
      </c>
      <c r="CA57" t="s">
        <v>147</v>
      </c>
      <c r="CB57" t="s">
        <v>147</v>
      </c>
      <c r="CC57" t="s">
        <v>147</v>
      </c>
      <c r="CD57" t="s">
        <v>147</v>
      </c>
      <c r="CE57" t="s">
        <v>147</v>
      </c>
      <c r="CF57" t="s">
        <v>147</v>
      </c>
      <c r="CG57" t="s">
        <v>147</v>
      </c>
      <c r="CH57" t="s">
        <v>57</v>
      </c>
      <c r="CI57" t="s">
        <v>57</v>
      </c>
      <c r="CJ57" t="s">
        <v>57</v>
      </c>
      <c r="CK57" t="s">
        <v>147</v>
      </c>
      <c r="CL57" t="s">
        <v>147</v>
      </c>
      <c r="CM57" t="s">
        <v>147</v>
      </c>
      <c r="CN57" t="s">
        <v>147</v>
      </c>
      <c r="CO57" t="s">
        <v>147</v>
      </c>
      <c r="CP57" t="s">
        <v>147</v>
      </c>
      <c r="CQ57" t="s">
        <v>147</v>
      </c>
      <c r="CR57" t="s">
        <v>147</v>
      </c>
      <c r="CS57" t="s">
        <v>57</v>
      </c>
      <c r="CT57" t="s">
        <v>57</v>
      </c>
      <c r="CU57" t="s">
        <v>147</v>
      </c>
      <c r="CV57" t="s">
        <v>57</v>
      </c>
      <c r="CW57" t="s">
        <v>147</v>
      </c>
      <c r="CX57" t="s">
        <v>57</v>
      </c>
      <c r="CY57" t="s">
        <v>57</v>
      </c>
      <c r="CZ57" t="s">
        <v>57</v>
      </c>
      <c r="DA57" t="s">
        <v>57</v>
      </c>
      <c r="DB57" t="s">
        <v>57</v>
      </c>
      <c r="DC57" t="s">
        <v>57</v>
      </c>
      <c r="DD57" t="s">
        <v>57</v>
      </c>
      <c r="DE57" t="s">
        <v>57</v>
      </c>
      <c r="DF57" t="s">
        <v>57</v>
      </c>
      <c r="DG57" t="s">
        <v>57</v>
      </c>
      <c r="DH57" t="s">
        <v>57</v>
      </c>
      <c r="DI57" t="s">
        <v>57</v>
      </c>
      <c r="DJ57" t="s">
        <v>57</v>
      </c>
      <c r="DK57" t="s">
        <v>175</v>
      </c>
      <c r="DL57" t="s">
        <v>57</v>
      </c>
      <c r="DM57" t="s">
        <v>57</v>
      </c>
      <c r="DN57" t="s">
        <v>57</v>
      </c>
      <c r="DO57" t="s">
        <v>57</v>
      </c>
      <c r="DP57" t="s">
        <v>57</v>
      </c>
      <c r="DQ57" t="s">
        <v>57</v>
      </c>
      <c r="DR57" t="s">
        <v>57</v>
      </c>
      <c r="DS57" t="s">
        <v>57</v>
      </c>
      <c r="DT57" t="s">
        <v>57</v>
      </c>
      <c r="DU57" t="s">
        <v>57</v>
      </c>
      <c r="DV57" t="s">
        <v>57</v>
      </c>
      <c r="DW57" t="s">
        <v>57</v>
      </c>
      <c r="DX57" t="s">
        <v>57</v>
      </c>
      <c r="DY57" t="s">
        <v>175</v>
      </c>
      <c r="DZ57" t="s">
        <v>57</v>
      </c>
      <c r="EA57" t="s">
        <v>57</v>
      </c>
      <c r="EB57" t="s">
        <v>57</v>
      </c>
      <c r="EC57" t="s">
        <v>57</v>
      </c>
      <c r="ED57" t="s">
        <v>57</v>
      </c>
      <c r="EE57" t="s">
        <v>57</v>
      </c>
      <c r="EF57" t="s">
        <v>57</v>
      </c>
      <c r="EG57" t="s">
        <v>57</v>
      </c>
      <c r="EH57" t="s">
        <v>57</v>
      </c>
      <c r="EI57" t="s">
        <v>57</v>
      </c>
      <c r="EJ57" t="s">
        <v>57</v>
      </c>
      <c r="EK57" t="s">
        <v>57</v>
      </c>
      <c r="EL57" t="s">
        <v>57</v>
      </c>
      <c r="EM57" t="s">
        <v>57</v>
      </c>
      <c r="EN57" t="s">
        <v>57</v>
      </c>
      <c r="EO57" t="s">
        <v>57</v>
      </c>
      <c r="EP57" t="s">
        <v>57</v>
      </c>
      <c r="EQ57" t="s">
        <v>57</v>
      </c>
      <c r="ER57" t="s">
        <v>57</v>
      </c>
      <c r="ES57" t="s">
        <v>57</v>
      </c>
      <c r="ET57" t="s">
        <v>57</v>
      </c>
      <c r="EU57" t="s">
        <v>57</v>
      </c>
      <c r="EV57" t="s">
        <v>57</v>
      </c>
      <c r="EW57" t="s">
        <v>57</v>
      </c>
      <c r="EX57" t="s">
        <v>57</v>
      </c>
      <c r="EY57" t="s">
        <v>57</v>
      </c>
      <c r="EZ57" t="s">
        <v>57</v>
      </c>
      <c r="FA57" t="s">
        <v>57</v>
      </c>
      <c r="FB57" t="s">
        <v>57</v>
      </c>
      <c r="FC57" t="s">
        <v>57</v>
      </c>
      <c r="FD57" t="s">
        <v>57</v>
      </c>
      <c r="FE57" t="s">
        <v>57</v>
      </c>
      <c r="FF57" t="s">
        <v>57</v>
      </c>
      <c r="FG57" t="s">
        <v>57</v>
      </c>
      <c r="FH57" t="s">
        <v>57</v>
      </c>
      <c r="FI57" t="s">
        <v>57</v>
      </c>
      <c r="FJ57" t="s">
        <v>57</v>
      </c>
      <c r="FK57" t="s">
        <v>175</v>
      </c>
      <c r="FL57" t="s">
        <v>57</v>
      </c>
      <c r="FM57" t="s">
        <v>57</v>
      </c>
      <c r="FN57" t="s">
        <v>57</v>
      </c>
      <c r="FO57" t="s">
        <v>175</v>
      </c>
      <c r="FP57" t="s">
        <v>57</v>
      </c>
      <c r="FQ57" t="s">
        <v>57</v>
      </c>
      <c r="FR57" t="s">
        <v>57</v>
      </c>
      <c r="FS57" t="s">
        <v>57</v>
      </c>
      <c r="FT57" t="s">
        <v>57</v>
      </c>
      <c r="FU57" t="s">
        <v>57</v>
      </c>
      <c r="FV57" t="s">
        <v>57</v>
      </c>
      <c r="FW57" t="s">
        <v>57</v>
      </c>
      <c r="FX57" t="s">
        <v>57</v>
      </c>
      <c r="FY57" t="s">
        <v>57</v>
      </c>
      <c r="FZ57" t="s">
        <v>57</v>
      </c>
      <c r="GA57" t="s">
        <v>57</v>
      </c>
      <c r="GB57" t="s">
        <v>57</v>
      </c>
      <c r="GC57" t="s">
        <v>57</v>
      </c>
      <c r="GD57" t="s">
        <v>57</v>
      </c>
      <c r="GE57" t="s">
        <v>57</v>
      </c>
      <c r="GF57" t="s">
        <v>57</v>
      </c>
      <c r="GG57" t="s">
        <v>175</v>
      </c>
      <c r="GH57" t="s">
        <v>57</v>
      </c>
      <c r="GI57" t="s">
        <v>147</v>
      </c>
      <c r="GJ57" t="s">
        <v>147</v>
      </c>
      <c r="GK57" t="s">
        <v>57</v>
      </c>
      <c r="GL57" t="s">
        <v>147</v>
      </c>
      <c r="GM57" t="s">
        <v>147</v>
      </c>
      <c r="GN57" t="s">
        <v>147</v>
      </c>
      <c r="GO57" t="s">
        <v>147</v>
      </c>
      <c r="GP57" t="s">
        <v>147</v>
      </c>
      <c r="GQ57" t="s">
        <v>147</v>
      </c>
      <c r="GR57" t="s">
        <v>147</v>
      </c>
      <c r="GS57" t="s">
        <v>147</v>
      </c>
      <c r="GT57" t="s">
        <v>147</v>
      </c>
      <c r="GU57" t="s">
        <v>147</v>
      </c>
      <c r="GV57" t="s">
        <v>147</v>
      </c>
      <c r="GW57" t="s">
        <v>147</v>
      </c>
      <c r="GX57" t="s">
        <v>147</v>
      </c>
      <c r="GY57" t="s">
        <v>147</v>
      </c>
      <c r="GZ57" t="s">
        <v>147</v>
      </c>
      <c r="HA57" t="s">
        <v>147</v>
      </c>
      <c r="HB57" t="s">
        <v>147</v>
      </c>
      <c r="HC57" t="s">
        <v>147</v>
      </c>
      <c r="HD57" t="s">
        <v>147</v>
      </c>
      <c r="HE57" t="s">
        <v>147</v>
      </c>
      <c r="HF57" t="s">
        <v>147</v>
      </c>
      <c r="HG57" t="s">
        <v>147</v>
      </c>
      <c r="HH57" t="s">
        <v>147</v>
      </c>
      <c r="HI57" t="s">
        <v>147</v>
      </c>
      <c r="HJ57" t="s">
        <v>147</v>
      </c>
      <c r="HK57" t="s">
        <v>147</v>
      </c>
      <c r="HL57" t="s">
        <v>147</v>
      </c>
      <c r="HM57" t="s">
        <v>147</v>
      </c>
      <c r="HN57" t="s">
        <v>147</v>
      </c>
      <c r="HO57" t="s">
        <v>147</v>
      </c>
      <c r="HP57" t="s">
        <v>147</v>
      </c>
      <c r="HQ57" t="s">
        <v>147</v>
      </c>
      <c r="HR57" t="s">
        <v>147</v>
      </c>
      <c r="HS57" t="s">
        <v>147</v>
      </c>
      <c r="HT57" t="s">
        <v>147</v>
      </c>
      <c r="HU57" t="s">
        <v>147</v>
      </c>
      <c r="HV57" t="s">
        <v>147</v>
      </c>
      <c r="HW57" t="s">
        <v>147</v>
      </c>
      <c r="HX57" t="s">
        <v>147</v>
      </c>
      <c r="HY57" t="s">
        <v>147</v>
      </c>
      <c r="HZ57" t="s">
        <v>147</v>
      </c>
      <c r="IA57" t="s">
        <v>147</v>
      </c>
      <c r="IB57" t="s">
        <v>57</v>
      </c>
      <c r="IC57" t="s">
        <v>57</v>
      </c>
      <c r="ID57" t="s">
        <v>57</v>
      </c>
      <c r="IE57" t="s">
        <v>57</v>
      </c>
      <c r="IF57" t="s">
        <v>124</v>
      </c>
      <c r="IG57" t="s">
        <v>148</v>
      </c>
      <c r="IH57" t="s">
        <v>123</v>
      </c>
      <c r="II57" t="s">
        <v>156</v>
      </c>
    </row>
    <row r="58" spans="1:243" x14ac:dyDescent="0.25">
      <c r="A58" s="121" t="str">
        <f>HYPERLINK("http://www.ofsted.gov.uk/inspection-reports/find-inspection-report/provider/ELS/139657 ","Ofsted School Webpage")</f>
        <v>Ofsted School Webpage</v>
      </c>
      <c r="B58">
        <v>139657</v>
      </c>
      <c r="C58">
        <v>8456019</v>
      </c>
      <c r="D58" t="s">
        <v>1011</v>
      </c>
      <c r="E58" t="s">
        <v>37</v>
      </c>
      <c r="F58" t="s">
        <v>138</v>
      </c>
      <c r="G58" t="s">
        <v>139</v>
      </c>
      <c r="H58" t="s">
        <v>139</v>
      </c>
      <c r="I58" t="s">
        <v>394</v>
      </c>
      <c r="J58" t="s">
        <v>1012</v>
      </c>
      <c r="K58" t="s">
        <v>142</v>
      </c>
      <c r="L58" t="s">
        <v>142</v>
      </c>
      <c r="M58" t="s">
        <v>2596</v>
      </c>
      <c r="N58" t="s">
        <v>143</v>
      </c>
      <c r="O58">
        <v>10044075</v>
      </c>
      <c r="P58" s="108">
        <v>43111</v>
      </c>
      <c r="Q58" s="108">
        <v>43111</v>
      </c>
      <c r="R58" s="108">
        <v>43132</v>
      </c>
      <c r="S58" t="s">
        <v>144</v>
      </c>
      <c r="T58" t="s">
        <v>145</v>
      </c>
      <c r="U58" t="s">
        <v>2596</v>
      </c>
      <c r="V58" t="s">
        <v>2596</v>
      </c>
      <c r="W58" t="s">
        <v>2596</v>
      </c>
      <c r="X58" t="s">
        <v>2596</v>
      </c>
      <c r="Y58" t="s">
        <v>2596</v>
      </c>
      <c r="Z58" t="s">
        <v>2596</v>
      </c>
      <c r="AA58" t="s">
        <v>2596</v>
      </c>
      <c r="AB58" t="s">
        <v>2596</v>
      </c>
      <c r="AC58" t="s">
        <v>174</v>
      </c>
      <c r="AD58" t="s">
        <v>2596</v>
      </c>
      <c r="AE58" t="s">
        <v>57</v>
      </c>
      <c r="AF58" t="s">
        <v>147</v>
      </c>
      <c r="AG58" t="s">
        <v>57</v>
      </c>
      <c r="AH58" t="s">
        <v>147</v>
      </c>
      <c r="AI58" t="s">
        <v>147</v>
      </c>
      <c r="AJ58" t="s">
        <v>147</v>
      </c>
      <c r="AK58" t="s">
        <v>147</v>
      </c>
      <c r="AL58" t="s">
        <v>58</v>
      </c>
      <c r="AM58" t="s">
        <v>57</v>
      </c>
      <c r="AN58" t="s">
        <v>57</v>
      </c>
      <c r="AO58" t="s">
        <v>147</v>
      </c>
      <c r="AP58" t="s">
        <v>147</v>
      </c>
      <c r="AQ58" t="s">
        <v>147</v>
      </c>
      <c r="AR58" t="s">
        <v>57</v>
      </c>
      <c r="AS58" t="s">
        <v>57</v>
      </c>
      <c r="AT58" t="s">
        <v>147</v>
      </c>
      <c r="AU58" t="s">
        <v>147</v>
      </c>
      <c r="AV58" t="s">
        <v>147</v>
      </c>
      <c r="AW58" t="s">
        <v>147</v>
      </c>
      <c r="AX58" t="s">
        <v>147</v>
      </c>
      <c r="AY58" t="s">
        <v>147</v>
      </c>
      <c r="AZ58" t="s">
        <v>147</v>
      </c>
      <c r="BA58" t="s">
        <v>147</v>
      </c>
      <c r="BB58" t="s">
        <v>147</v>
      </c>
      <c r="BC58" t="s">
        <v>147</v>
      </c>
      <c r="BD58" t="s">
        <v>147</v>
      </c>
      <c r="BE58" t="s">
        <v>147</v>
      </c>
      <c r="BF58" t="s">
        <v>147</v>
      </c>
      <c r="BG58" t="s">
        <v>147</v>
      </c>
      <c r="BH58" t="s">
        <v>147</v>
      </c>
      <c r="BI58" t="s">
        <v>147</v>
      </c>
      <c r="BJ58" t="s">
        <v>147</v>
      </c>
      <c r="BK58" t="s">
        <v>147</v>
      </c>
      <c r="BL58" t="s">
        <v>147</v>
      </c>
      <c r="BM58" t="s">
        <v>147</v>
      </c>
      <c r="BN58" t="s">
        <v>147</v>
      </c>
      <c r="BO58" t="s">
        <v>147</v>
      </c>
      <c r="BP58" t="s">
        <v>147</v>
      </c>
      <c r="BQ58" t="s">
        <v>147</v>
      </c>
      <c r="BR58" t="s">
        <v>147</v>
      </c>
      <c r="BS58" t="s">
        <v>147</v>
      </c>
      <c r="BT58" t="s">
        <v>147</v>
      </c>
      <c r="BU58" t="s">
        <v>147</v>
      </c>
      <c r="BV58" t="s">
        <v>147</v>
      </c>
      <c r="BW58" t="s">
        <v>147</v>
      </c>
      <c r="BX58" t="s">
        <v>147</v>
      </c>
      <c r="BY58" t="s">
        <v>147</v>
      </c>
      <c r="BZ58" t="s">
        <v>147</v>
      </c>
      <c r="CA58" t="s">
        <v>147</v>
      </c>
      <c r="CB58" t="s">
        <v>147</v>
      </c>
      <c r="CC58" t="s">
        <v>147</v>
      </c>
      <c r="CD58" t="s">
        <v>147</v>
      </c>
      <c r="CE58" t="s">
        <v>147</v>
      </c>
      <c r="CF58" t="s">
        <v>147</v>
      </c>
      <c r="CG58" t="s">
        <v>147</v>
      </c>
      <c r="CH58" t="s">
        <v>57</v>
      </c>
      <c r="CI58" t="s">
        <v>57</v>
      </c>
      <c r="CJ58" t="s">
        <v>57</v>
      </c>
      <c r="CK58" t="s">
        <v>147</v>
      </c>
      <c r="CL58" t="s">
        <v>147</v>
      </c>
      <c r="CM58" t="s">
        <v>147</v>
      </c>
      <c r="CN58" t="s">
        <v>57</v>
      </c>
      <c r="CO58" t="s">
        <v>57</v>
      </c>
      <c r="CP58" t="s">
        <v>57</v>
      </c>
      <c r="CQ58" t="s">
        <v>57</v>
      </c>
      <c r="CR58" t="s">
        <v>147</v>
      </c>
      <c r="CS58" t="s">
        <v>147</v>
      </c>
      <c r="CT58" t="s">
        <v>147</v>
      </c>
      <c r="CU58" t="s">
        <v>147</v>
      </c>
      <c r="CV58" t="s">
        <v>147</v>
      </c>
      <c r="CW58" t="s">
        <v>147</v>
      </c>
      <c r="CX58" t="s">
        <v>58</v>
      </c>
      <c r="CY58" t="s">
        <v>58</v>
      </c>
      <c r="CZ58" t="s">
        <v>57</v>
      </c>
      <c r="DA58" t="s">
        <v>147</v>
      </c>
      <c r="DB58" t="s">
        <v>147</v>
      </c>
      <c r="DC58" t="s">
        <v>147</v>
      </c>
      <c r="DD58" t="s">
        <v>147</v>
      </c>
      <c r="DE58" t="s">
        <v>147</v>
      </c>
      <c r="DF58" t="s">
        <v>147</v>
      </c>
      <c r="DG58" t="s">
        <v>147</v>
      </c>
      <c r="DH58" t="s">
        <v>147</v>
      </c>
      <c r="DI58" t="s">
        <v>147</v>
      </c>
      <c r="DJ58" t="s">
        <v>147</v>
      </c>
      <c r="DK58" t="s">
        <v>147</v>
      </c>
      <c r="DL58" t="s">
        <v>147</v>
      </c>
      <c r="DM58" t="s">
        <v>147</v>
      </c>
      <c r="DN58" t="s">
        <v>147</v>
      </c>
      <c r="DO58" t="s">
        <v>147</v>
      </c>
      <c r="DP58" t="s">
        <v>147</v>
      </c>
      <c r="DQ58" t="s">
        <v>147</v>
      </c>
      <c r="DR58" t="s">
        <v>147</v>
      </c>
      <c r="DS58" t="s">
        <v>147</v>
      </c>
      <c r="DT58" t="s">
        <v>147</v>
      </c>
      <c r="DU58" t="s">
        <v>147</v>
      </c>
      <c r="DV58" t="s">
        <v>147</v>
      </c>
      <c r="DW58" t="s">
        <v>147</v>
      </c>
      <c r="DX58" t="s">
        <v>147</v>
      </c>
      <c r="DY58" t="s">
        <v>147</v>
      </c>
      <c r="DZ58" t="s">
        <v>147</v>
      </c>
      <c r="EA58" t="s">
        <v>147</v>
      </c>
      <c r="EB58" t="s">
        <v>147</v>
      </c>
      <c r="EC58" t="s">
        <v>147</v>
      </c>
      <c r="ED58" t="s">
        <v>147</v>
      </c>
      <c r="EE58" t="s">
        <v>147</v>
      </c>
      <c r="EF58" t="s">
        <v>147</v>
      </c>
      <c r="EG58" t="s">
        <v>147</v>
      </c>
      <c r="EH58" t="s">
        <v>147</v>
      </c>
      <c r="EI58" t="s">
        <v>147</v>
      </c>
      <c r="EJ58" t="s">
        <v>147</v>
      </c>
      <c r="EK58" t="s">
        <v>147</v>
      </c>
      <c r="EL58" t="s">
        <v>147</v>
      </c>
      <c r="EM58" t="s">
        <v>147</v>
      </c>
      <c r="EN58" t="s">
        <v>147</v>
      </c>
      <c r="EO58" t="s">
        <v>147</v>
      </c>
      <c r="EP58" t="s">
        <v>147</v>
      </c>
      <c r="EQ58" t="s">
        <v>147</v>
      </c>
      <c r="ER58" t="s">
        <v>147</v>
      </c>
      <c r="ES58" t="s">
        <v>147</v>
      </c>
      <c r="ET58" t="s">
        <v>147</v>
      </c>
      <c r="EU58" t="s">
        <v>147</v>
      </c>
      <c r="EV58" t="s">
        <v>147</v>
      </c>
      <c r="EW58" t="s">
        <v>147</v>
      </c>
      <c r="EX58" t="s">
        <v>147</v>
      </c>
      <c r="EY58" t="s">
        <v>147</v>
      </c>
      <c r="EZ58" t="s">
        <v>147</v>
      </c>
      <c r="FA58" t="s">
        <v>147</v>
      </c>
      <c r="FB58" t="s">
        <v>147</v>
      </c>
      <c r="FC58" t="s">
        <v>147</v>
      </c>
      <c r="FD58" t="s">
        <v>147</v>
      </c>
      <c r="FE58" t="s">
        <v>147</v>
      </c>
      <c r="FF58" t="s">
        <v>147</v>
      </c>
      <c r="FG58" t="s">
        <v>147</v>
      </c>
      <c r="FH58" t="s">
        <v>147</v>
      </c>
      <c r="FI58" t="s">
        <v>147</v>
      </c>
      <c r="FJ58" t="s">
        <v>147</v>
      </c>
      <c r="FK58" t="s">
        <v>147</v>
      </c>
      <c r="FL58" t="s">
        <v>147</v>
      </c>
      <c r="FM58" t="s">
        <v>147</v>
      </c>
      <c r="FN58" t="s">
        <v>147</v>
      </c>
      <c r="FO58" t="s">
        <v>147</v>
      </c>
      <c r="FP58" t="s">
        <v>147</v>
      </c>
      <c r="FQ58" t="s">
        <v>147</v>
      </c>
      <c r="FR58" t="s">
        <v>147</v>
      </c>
      <c r="FS58" t="s">
        <v>147</v>
      </c>
      <c r="FT58" t="s">
        <v>147</v>
      </c>
      <c r="FU58" t="s">
        <v>147</v>
      </c>
      <c r="FV58" t="s">
        <v>147</v>
      </c>
      <c r="FW58" t="s">
        <v>147</v>
      </c>
      <c r="FX58" t="s">
        <v>147</v>
      </c>
      <c r="FY58" t="s">
        <v>147</v>
      </c>
      <c r="FZ58" t="s">
        <v>147</v>
      </c>
      <c r="GA58" t="s">
        <v>147</v>
      </c>
      <c r="GB58" t="s">
        <v>147</v>
      </c>
      <c r="GC58" t="s">
        <v>147</v>
      </c>
      <c r="GD58" t="s">
        <v>147</v>
      </c>
      <c r="GE58" t="s">
        <v>147</v>
      </c>
      <c r="GF58" t="s">
        <v>147</v>
      </c>
      <c r="GG58" t="s">
        <v>147</v>
      </c>
      <c r="GH58" t="s">
        <v>147</v>
      </c>
      <c r="GI58" t="s">
        <v>147</v>
      </c>
      <c r="GJ58" t="s">
        <v>147</v>
      </c>
      <c r="GK58" t="s">
        <v>147</v>
      </c>
      <c r="GL58" t="s">
        <v>147</v>
      </c>
      <c r="GM58" t="s">
        <v>147</v>
      </c>
      <c r="GN58" t="s">
        <v>147</v>
      </c>
      <c r="GO58" t="s">
        <v>147</v>
      </c>
      <c r="GP58" t="s">
        <v>147</v>
      </c>
      <c r="GQ58" t="s">
        <v>147</v>
      </c>
      <c r="GR58" t="s">
        <v>147</v>
      </c>
      <c r="GS58" t="s">
        <v>147</v>
      </c>
      <c r="GT58" t="s">
        <v>147</v>
      </c>
      <c r="GU58" t="s">
        <v>147</v>
      </c>
      <c r="GV58" t="s">
        <v>147</v>
      </c>
      <c r="GW58" t="s">
        <v>147</v>
      </c>
      <c r="GX58" t="s">
        <v>147</v>
      </c>
      <c r="GY58" t="s">
        <v>147</v>
      </c>
      <c r="GZ58" t="s">
        <v>147</v>
      </c>
      <c r="HA58" t="s">
        <v>147</v>
      </c>
      <c r="HB58" t="s">
        <v>147</v>
      </c>
      <c r="HC58" t="s">
        <v>147</v>
      </c>
      <c r="HD58" t="s">
        <v>147</v>
      </c>
      <c r="HE58" t="s">
        <v>147</v>
      </c>
      <c r="HF58" t="s">
        <v>147</v>
      </c>
      <c r="HG58" t="s">
        <v>147</v>
      </c>
      <c r="HH58" t="s">
        <v>147</v>
      </c>
      <c r="HI58" t="s">
        <v>147</v>
      </c>
      <c r="HJ58" t="s">
        <v>147</v>
      </c>
      <c r="HK58" t="s">
        <v>147</v>
      </c>
      <c r="HL58" t="s">
        <v>147</v>
      </c>
      <c r="HM58" t="s">
        <v>147</v>
      </c>
      <c r="HN58" t="s">
        <v>147</v>
      </c>
      <c r="HO58" t="s">
        <v>147</v>
      </c>
      <c r="HP58" t="s">
        <v>147</v>
      </c>
      <c r="HQ58" t="s">
        <v>147</v>
      </c>
      <c r="HR58" t="s">
        <v>147</v>
      </c>
      <c r="HS58" t="s">
        <v>147</v>
      </c>
      <c r="HT58" t="s">
        <v>147</v>
      </c>
      <c r="HU58" t="s">
        <v>147</v>
      </c>
      <c r="HV58" t="s">
        <v>147</v>
      </c>
      <c r="HW58" t="s">
        <v>147</v>
      </c>
      <c r="HX58" t="s">
        <v>147</v>
      </c>
      <c r="HY58" t="s">
        <v>147</v>
      </c>
      <c r="HZ58" t="s">
        <v>147</v>
      </c>
      <c r="IA58" t="s">
        <v>147</v>
      </c>
      <c r="IB58" t="s">
        <v>58</v>
      </c>
      <c r="IC58" t="s">
        <v>58</v>
      </c>
      <c r="ID58" t="s">
        <v>58</v>
      </c>
      <c r="IE58" t="s">
        <v>58</v>
      </c>
      <c r="IF58" t="s">
        <v>124</v>
      </c>
      <c r="IG58" t="s">
        <v>148</v>
      </c>
      <c r="IH58" t="s">
        <v>123</v>
      </c>
      <c r="II58" t="s">
        <v>156</v>
      </c>
    </row>
    <row r="59" spans="1:243" x14ac:dyDescent="0.25">
      <c r="A59" s="121" t="str">
        <f>HYPERLINK("http://www.ofsted.gov.uk/inspection-reports/find-inspection-report/provider/ELS/140491 ","Ofsted School Webpage")</f>
        <v>Ofsted School Webpage</v>
      </c>
      <c r="B59">
        <v>140491</v>
      </c>
      <c r="C59">
        <v>3556001</v>
      </c>
      <c r="D59" t="s">
        <v>1468</v>
      </c>
      <c r="E59" t="s">
        <v>36</v>
      </c>
      <c r="F59" t="s">
        <v>166</v>
      </c>
      <c r="G59" t="s">
        <v>162</v>
      </c>
      <c r="H59" t="s">
        <v>162</v>
      </c>
      <c r="I59" t="s">
        <v>804</v>
      </c>
      <c r="J59" t="s">
        <v>1469</v>
      </c>
      <c r="K59" t="s">
        <v>142</v>
      </c>
      <c r="L59" t="s">
        <v>275</v>
      </c>
      <c r="M59" t="s">
        <v>2596</v>
      </c>
      <c r="N59" t="s">
        <v>143</v>
      </c>
      <c r="O59">
        <v>10041267</v>
      </c>
      <c r="P59" s="108">
        <v>43076</v>
      </c>
      <c r="Q59" s="108">
        <v>43076</v>
      </c>
      <c r="R59" s="108">
        <v>43115</v>
      </c>
      <c r="S59" t="s">
        <v>144</v>
      </c>
      <c r="T59" t="s">
        <v>145</v>
      </c>
      <c r="U59" t="s">
        <v>2596</v>
      </c>
      <c r="V59" t="s">
        <v>2596</v>
      </c>
      <c r="W59" t="s">
        <v>2596</v>
      </c>
      <c r="X59" t="s">
        <v>2596</v>
      </c>
      <c r="Y59" t="s">
        <v>2596</v>
      </c>
      <c r="Z59" t="s">
        <v>2596</v>
      </c>
      <c r="AA59" t="s">
        <v>2596</v>
      </c>
      <c r="AB59" t="s">
        <v>2596</v>
      </c>
      <c r="AC59" t="s">
        <v>146</v>
      </c>
      <c r="AD59" t="s">
        <v>2596</v>
      </c>
      <c r="AE59" t="s">
        <v>147</v>
      </c>
      <c r="AF59" t="s">
        <v>147</v>
      </c>
      <c r="AG59" t="s">
        <v>57</v>
      </c>
      <c r="AH59" t="s">
        <v>57</v>
      </c>
      <c r="AI59" t="s">
        <v>147</v>
      </c>
      <c r="AJ59" t="s">
        <v>57</v>
      </c>
      <c r="AK59" t="s">
        <v>147</v>
      </c>
      <c r="AL59" t="s">
        <v>57</v>
      </c>
      <c r="AM59" t="s">
        <v>147</v>
      </c>
      <c r="AN59" t="s">
        <v>147</v>
      </c>
      <c r="AO59" t="s">
        <v>147</v>
      </c>
      <c r="AP59" t="s">
        <v>147</v>
      </c>
      <c r="AQ59" t="s">
        <v>147</v>
      </c>
      <c r="AR59" t="s">
        <v>147</v>
      </c>
      <c r="AS59" t="s">
        <v>147</v>
      </c>
      <c r="AT59" t="s">
        <v>147</v>
      </c>
      <c r="AU59" t="s">
        <v>147</v>
      </c>
      <c r="AV59" t="s">
        <v>147</v>
      </c>
      <c r="AW59" t="s">
        <v>147</v>
      </c>
      <c r="AX59" t="s">
        <v>147</v>
      </c>
      <c r="AY59" t="s">
        <v>147</v>
      </c>
      <c r="AZ59" t="s">
        <v>147</v>
      </c>
      <c r="BA59" t="s">
        <v>147</v>
      </c>
      <c r="BB59" t="s">
        <v>147</v>
      </c>
      <c r="BC59" t="s">
        <v>147</v>
      </c>
      <c r="BD59" t="s">
        <v>147</v>
      </c>
      <c r="BE59" t="s">
        <v>147</v>
      </c>
      <c r="BF59" t="s">
        <v>147</v>
      </c>
      <c r="BG59" t="s">
        <v>57</v>
      </c>
      <c r="BH59" t="s">
        <v>57</v>
      </c>
      <c r="BI59" t="s">
        <v>57</v>
      </c>
      <c r="BJ59" t="s">
        <v>57</v>
      </c>
      <c r="BK59" t="s">
        <v>57</v>
      </c>
      <c r="BL59" t="s">
        <v>57</v>
      </c>
      <c r="BM59" t="s">
        <v>147</v>
      </c>
      <c r="BN59" t="s">
        <v>57</v>
      </c>
      <c r="BO59" t="s">
        <v>147</v>
      </c>
      <c r="BP59" t="s">
        <v>147</v>
      </c>
      <c r="BQ59" t="s">
        <v>147</v>
      </c>
      <c r="BR59" t="s">
        <v>147</v>
      </c>
      <c r="BS59" t="s">
        <v>147</v>
      </c>
      <c r="BT59" t="s">
        <v>147</v>
      </c>
      <c r="BU59" t="s">
        <v>147</v>
      </c>
      <c r="BV59" t="s">
        <v>147</v>
      </c>
      <c r="BW59" t="s">
        <v>147</v>
      </c>
      <c r="BX59" t="s">
        <v>147</v>
      </c>
      <c r="BY59" t="s">
        <v>147</v>
      </c>
      <c r="BZ59" t="s">
        <v>147</v>
      </c>
      <c r="CA59" t="s">
        <v>147</v>
      </c>
      <c r="CB59" t="s">
        <v>147</v>
      </c>
      <c r="CC59" t="s">
        <v>147</v>
      </c>
      <c r="CD59" t="s">
        <v>147</v>
      </c>
      <c r="CE59" t="s">
        <v>147</v>
      </c>
      <c r="CF59" t="s">
        <v>147</v>
      </c>
      <c r="CG59" t="s">
        <v>147</v>
      </c>
      <c r="CH59" t="s">
        <v>57</v>
      </c>
      <c r="CI59" t="s">
        <v>57</v>
      </c>
      <c r="CJ59" t="s">
        <v>57</v>
      </c>
      <c r="CK59" t="s">
        <v>175</v>
      </c>
      <c r="CL59" t="s">
        <v>175</v>
      </c>
      <c r="CM59" t="s">
        <v>175</v>
      </c>
      <c r="CN59" t="s">
        <v>147</v>
      </c>
      <c r="CO59" t="s">
        <v>147</v>
      </c>
      <c r="CP59" t="s">
        <v>147</v>
      </c>
      <c r="CQ59" t="s">
        <v>147</v>
      </c>
      <c r="CR59" t="s">
        <v>147</v>
      </c>
      <c r="CS59" t="s">
        <v>147</v>
      </c>
      <c r="CT59" t="s">
        <v>147</v>
      </c>
      <c r="CU59" t="s">
        <v>147</v>
      </c>
      <c r="CV59" t="s">
        <v>147</v>
      </c>
      <c r="CW59" t="s">
        <v>147</v>
      </c>
      <c r="CX59" t="s">
        <v>147</v>
      </c>
      <c r="CY59" t="s">
        <v>147</v>
      </c>
      <c r="CZ59" t="s">
        <v>147</v>
      </c>
      <c r="DA59" t="s">
        <v>57</v>
      </c>
      <c r="DB59" t="s">
        <v>57</v>
      </c>
      <c r="DC59" t="s">
        <v>57</v>
      </c>
      <c r="DD59" t="s">
        <v>57</v>
      </c>
      <c r="DE59" t="s">
        <v>57</v>
      </c>
      <c r="DF59" t="s">
        <v>57</v>
      </c>
      <c r="DG59" t="s">
        <v>57</v>
      </c>
      <c r="DH59" t="s">
        <v>57</v>
      </c>
      <c r="DI59" t="s">
        <v>57</v>
      </c>
      <c r="DJ59" t="s">
        <v>57</v>
      </c>
      <c r="DK59" t="s">
        <v>175</v>
      </c>
      <c r="DL59" t="s">
        <v>57</v>
      </c>
      <c r="DM59" t="s">
        <v>175</v>
      </c>
      <c r="DN59" t="s">
        <v>175</v>
      </c>
      <c r="DO59" t="s">
        <v>175</v>
      </c>
      <c r="DP59" t="s">
        <v>175</v>
      </c>
      <c r="DQ59" t="s">
        <v>175</v>
      </c>
      <c r="DR59" t="s">
        <v>175</v>
      </c>
      <c r="DS59" t="s">
        <v>175</v>
      </c>
      <c r="DT59" t="s">
        <v>175</v>
      </c>
      <c r="DU59" t="s">
        <v>175</v>
      </c>
      <c r="DV59" t="s">
        <v>175</v>
      </c>
      <c r="DW59" t="s">
        <v>175</v>
      </c>
      <c r="DX59" t="s">
        <v>175</v>
      </c>
      <c r="DY59" t="s">
        <v>175</v>
      </c>
      <c r="DZ59" t="s">
        <v>175</v>
      </c>
      <c r="EA59" t="s">
        <v>175</v>
      </c>
      <c r="EB59" t="s">
        <v>175</v>
      </c>
      <c r="EC59" t="s">
        <v>175</v>
      </c>
      <c r="ED59" t="s">
        <v>175</v>
      </c>
      <c r="EE59" t="s">
        <v>175</v>
      </c>
      <c r="EF59" t="s">
        <v>175</v>
      </c>
      <c r="EG59" t="s">
        <v>175</v>
      </c>
      <c r="EH59" t="s">
        <v>175</v>
      </c>
      <c r="EI59" t="s">
        <v>175</v>
      </c>
      <c r="EJ59" t="s">
        <v>57</v>
      </c>
      <c r="EK59" t="s">
        <v>57</v>
      </c>
      <c r="EL59" t="s">
        <v>57</v>
      </c>
      <c r="EM59" t="s">
        <v>57</v>
      </c>
      <c r="EN59" t="s">
        <v>57</v>
      </c>
      <c r="EO59" t="s">
        <v>57</v>
      </c>
      <c r="EP59" t="s">
        <v>57</v>
      </c>
      <c r="EQ59" t="s">
        <v>57</v>
      </c>
      <c r="ER59" t="s">
        <v>57</v>
      </c>
      <c r="ES59" t="s">
        <v>57</v>
      </c>
      <c r="ET59" t="s">
        <v>57</v>
      </c>
      <c r="EU59" t="s">
        <v>57</v>
      </c>
      <c r="EV59" t="s">
        <v>57</v>
      </c>
      <c r="EW59" t="s">
        <v>175</v>
      </c>
      <c r="EX59" t="s">
        <v>175</v>
      </c>
      <c r="EY59" t="s">
        <v>175</v>
      </c>
      <c r="EZ59" t="s">
        <v>175</v>
      </c>
      <c r="FA59" t="s">
        <v>175</v>
      </c>
      <c r="FB59" t="s">
        <v>175</v>
      </c>
      <c r="FC59" t="s">
        <v>175</v>
      </c>
      <c r="FD59" t="s">
        <v>175</v>
      </c>
      <c r="FE59" t="s">
        <v>175</v>
      </c>
      <c r="FF59" t="s">
        <v>175</v>
      </c>
      <c r="FG59" t="s">
        <v>175</v>
      </c>
      <c r="FH59" t="s">
        <v>147</v>
      </c>
      <c r="FI59" t="s">
        <v>147</v>
      </c>
      <c r="FJ59" t="s">
        <v>147</v>
      </c>
      <c r="FK59" t="s">
        <v>147</v>
      </c>
      <c r="FL59" t="s">
        <v>147</v>
      </c>
      <c r="FM59" t="s">
        <v>147</v>
      </c>
      <c r="FN59" t="s">
        <v>147</v>
      </c>
      <c r="FO59" t="s">
        <v>147</v>
      </c>
      <c r="FP59" t="s">
        <v>147</v>
      </c>
      <c r="FQ59" t="s">
        <v>147</v>
      </c>
      <c r="FR59" t="s">
        <v>147</v>
      </c>
      <c r="FS59" t="s">
        <v>147</v>
      </c>
      <c r="FT59" t="s">
        <v>147</v>
      </c>
      <c r="FU59" t="s">
        <v>147</v>
      </c>
      <c r="FV59" t="s">
        <v>147</v>
      </c>
      <c r="FW59" t="s">
        <v>147</v>
      </c>
      <c r="FX59" t="s">
        <v>147</v>
      </c>
      <c r="FY59" t="s">
        <v>147</v>
      </c>
      <c r="FZ59" t="s">
        <v>147</v>
      </c>
      <c r="GA59" t="s">
        <v>147</v>
      </c>
      <c r="GB59" t="s">
        <v>147</v>
      </c>
      <c r="GC59" t="s">
        <v>147</v>
      </c>
      <c r="GD59" t="s">
        <v>147</v>
      </c>
      <c r="GE59" t="s">
        <v>147</v>
      </c>
      <c r="GF59" t="s">
        <v>147</v>
      </c>
      <c r="GG59" t="s">
        <v>147</v>
      </c>
      <c r="GH59" t="s">
        <v>57</v>
      </c>
      <c r="GI59" t="s">
        <v>147</v>
      </c>
      <c r="GJ59" t="s">
        <v>147</v>
      </c>
      <c r="GK59" t="s">
        <v>57</v>
      </c>
      <c r="GL59" t="s">
        <v>147</v>
      </c>
      <c r="GM59" t="s">
        <v>147</v>
      </c>
      <c r="GN59" t="s">
        <v>147</v>
      </c>
      <c r="GO59" t="s">
        <v>147</v>
      </c>
      <c r="GP59" t="s">
        <v>147</v>
      </c>
      <c r="GQ59" t="s">
        <v>147</v>
      </c>
      <c r="GR59" t="s">
        <v>147</v>
      </c>
      <c r="GS59" t="s">
        <v>147</v>
      </c>
      <c r="GT59" t="s">
        <v>147</v>
      </c>
      <c r="GU59" t="s">
        <v>147</v>
      </c>
      <c r="GV59" t="s">
        <v>147</v>
      </c>
      <c r="GW59" t="s">
        <v>147</v>
      </c>
      <c r="GX59" t="s">
        <v>147</v>
      </c>
      <c r="GY59" t="s">
        <v>147</v>
      </c>
      <c r="GZ59" t="s">
        <v>147</v>
      </c>
      <c r="HA59" t="s">
        <v>147</v>
      </c>
      <c r="HB59" t="s">
        <v>147</v>
      </c>
      <c r="HC59" t="s">
        <v>147</v>
      </c>
      <c r="HD59" t="s">
        <v>147</v>
      </c>
      <c r="HE59" t="s">
        <v>147</v>
      </c>
      <c r="HF59" t="s">
        <v>147</v>
      </c>
      <c r="HG59" t="s">
        <v>147</v>
      </c>
      <c r="HH59" t="s">
        <v>147</v>
      </c>
      <c r="HI59" t="s">
        <v>147</v>
      </c>
      <c r="HJ59" t="s">
        <v>147</v>
      </c>
      <c r="HK59" t="s">
        <v>147</v>
      </c>
      <c r="HL59" t="s">
        <v>147</v>
      </c>
      <c r="HM59" t="s">
        <v>147</v>
      </c>
      <c r="HN59" t="s">
        <v>147</v>
      </c>
      <c r="HO59" t="s">
        <v>147</v>
      </c>
      <c r="HP59" t="s">
        <v>147</v>
      </c>
      <c r="HQ59" t="s">
        <v>147</v>
      </c>
      <c r="HR59" t="s">
        <v>147</v>
      </c>
      <c r="HS59" t="s">
        <v>147</v>
      </c>
      <c r="HT59" t="s">
        <v>147</v>
      </c>
      <c r="HU59" t="s">
        <v>147</v>
      </c>
      <c r="HV59" t="s">
        <v>147</v>
      </c>
      <c r="HW59" t="s">
        <v>147</v>
      </c>
      <c r="HX59" t="s">
        <v>147</v>
      </c>
      <c r="HY59" t="s">
        <v>147</v>
      </c>
      <c r="HZ59" t="s">
        <v>147</v>
      </c>
      <c r="IA59" t="s">
        <v>147</v>
      </c>
      <c r="IB59" t="s">
        <v>57</v>
      </c>
      <c r="IC59" t="s">
        <v>57</v>
      </c>
      <c r="ID59" t="s">
        <v>57</v>
      </c>
      <c r="IE59" t="s">
        <v>147</v>
      </c>
      <c r="IF59" t="s">
        <v>124</v>
      </c>
      <c r="IG59" t="s">
        <v>148</v>
      </c>
      <c r="IH59" t="s">
        <v>123</v>
      </c>
      <c r="II59" t="s">
        <v>156</v>
      </c>
    </row>
    <row r="60" spans="1:243" x14ac:dyDescent="0.25">
      <c r="A60" s="121" t="str">
        <f>HYPERLINK("http://www.ofsted.gov.uk/inspection-reports/find-inspection-report/provider/ELS/141680 ","Ofsted School Webpage")</f>
        <v>Ofsted School Webpage</v>
      </c>
      <c r="B60">
        <v>141680</v>
      </c>
      <c r="C60">
        <v>3526010</v>
      </c>
      <c r="D60" t="s">
        <v>488</v>
      </c>
      <c r="E60" t="s">
        <v>36</v>
      </c>
      <c r="F60" t="s">
        <v>166</v>
      </c>
      <c r="G60" t="s">
        <v>162</v>
      </c>
      <c r="H60" t="s">
        <v>162</v>
      </c>
      <c r="I60" t="s">
        <v>263</v>
      </c>
      <c r="J60" t="s">
        <v>489</v>
      </c>
      <c r="K60" t="s">
        <v>142</v>
      </c>
      <c r="L60" t="s">
        <v>142</v>
      </c>
      <c r="M60" t="s">
        <v>2596</v>
      </c>
      <c r="N60" t="s">
        <v>143</v>
      </c>
      <c r="O60">
        <v>10040201</v>
      </c>
      <c r="P60" s="108">
        <v>43005</v>
      </c>
      <c r="Q60" s="108">
        <v>43005</v>
      </c>
      <c r="R60" s="108">
        <v>43039</v>
      </c>
      <c r="S60" t="s">
        <v>144</v>
      </c>
      <c r="T60" t="s">
        <v>145</v>
      </c>
      <c r="U60" t="s">
        <v>2596</v>
      </c>
      <c r="V60" t="s">
        <v>2596</v>
      </c>
      <c r="W60" t="s">
        <v>2596</v>
      </c>
      <c r="X60" t="s">
        <v>2596</v>
      </c>
      <c r="Y60" t="s">
        <v>2596</v>
      </c>
      <c r="Z60" t="s">
        <v>2596</v>
      </c>
      <c r="AA60" t="s">
        <v>2596</v>
      </c>
      <c r="AB60" t="s">
        <v>2596</v>
      </c>
      <c r="AC60" t="s">
        <v>174</v>
      </c>
      <c r="AD60" t="s">
        <v>2596</v>
      </c>
      <c r="AE60" t="s">
        <v>58</v>
      </c>
      <c r="AF60" t="s">
        <v>147</v>
      </c>
      <c r="AG60" t="s">
        <v>57</v>
      </c>
      <c r="AH60" t="s">
        <v>147</v>
      </c>
      <c r="AI60" t="s">
        <v>147</v>
      </c>
      <c r="AJ60" t="s">
        <v>147</v>
      </c>
      <c r="AK60" t="s">
        <v>147</v>
      </c>
      <c r="AL60" t="s">
        <v>58</v>
      </c>
      <c r="AM60" t="s">
        <v>58</v>
      </c>
      <c r="AN60" t="s">
        <v>147</v>
      </c>
      <c r="AO60" t="s">
        <v>147</v>
      </c>
      <c r="AP60" t="s">
        <v>147</v>
      </c>
      <c r="AQ60" t="s">
        <v>147</v>
      </c>
      <c r="AR60" t="s">
        <v>147</v>
      </c>
      <c r="AS60" t="s">
        <v>147</v>
      </c>
      <c r="AT60" t="s">
        <v>147</v>
      </c>
      <c r="AU60" t="s">
        <v>147</v>
      </c>
      <c r="AV60" t="s">
        <v>147</v>
      </c>
      <c r="AW60" t="s">
        <v>147</v>
      </c>
      <c r="AX60" t="s">
        <v>147</v>
      </c>
      <c r="AY60" t="s">
        <v>147</v>
      </c>
      <c r="AZ60" t="s">
        <v>147</v>
      </c>
      <c r="BA60" t="s">
        <v>147</v>
      </c>
      <c r="BB60" t="s">
        <v>147</v>
      </c>
      <c r="BC60" t="s">
        <v>147</v>
      </c>
      <c r="BD60" t="s">
        <v>147</v>
      </c>
      <c r="BE60" t="s">
        <v>147</v>
      </c>
      <c r="BF60" t="s">
        <v>147</v>
      </c>
      <c r="BG60" t="s">
        <v>147</v>
      </c>
      <c r="BH60" t="s">
        <v>147</v>
      </c>
      <c r="BI60" t="s">
        <v>147</v>
      </c>
      <c r="BJ60" t="s">
        <v>147</v>
      </c>
      <c r="BK60" t="s">
        <v>147</v>
      </c>
      <c r="BL60" t="s">
        <v>147</v>
      </c>
      <c r="BM60" t="s">
        <v>147</v>
      </c>
      <c r="BN60" t="s">
        <v>147</v>
      </c>
      <c r="BO60" t="s">
        <v>58</v>
      </c>
      <c r="BP60" t="s">
        <v>147</v>
      </c>
      <c r="BQ60" t="s">
        <v>147</v>
      </c>
      <c r="BR60" t="s">
        <v>147</v>
      </c>
      <c r="BS60" t="s">
        <v>147</v>
      </c>
      <c r="BT60" t="s">
        <v>147</v>
      </c>
      <c r="BU60" t="s">
        <v>147</v>
      </c>
      <c r="BV60" t="s">
        <v>147</v>
      </c>
      <c r="BW60" t="s">
        <v>147</v>
      </c>
      <c r="BX60" t="s">
        <v>147</v>
      </c>
      <c r="BY60" t="s">
        <v>147</v>
      </c>
      <c r="BZ60" t="s">
        <v>147</v>
      </c>
      <c r="CA60" t="s">
        <v>147</v>
      </c>
      <c r="CB60" t="s">
        <v>147</v>
      </c>
      <c r="CC60" t="s">
        <v>147</v>
      </c>
      <c r="CD60" t="s">
        <v>147</v>
      </c>
      <c r="CE60" t="s">
        <v>147</v>
      </c>
      <c r="CF60" t="s">
        <v>147</v>
      </c>
      <c r="CG60" t="s">
        <v>147</v>
      </c>
      <c r="CH60" t="s">
        <v>57</v>
      </c>
      <c r="CI60" t="s">
        <v>147</v>
      </c>
      <c r="CJ60" t="s">
        <v>147</v>
      </c>
      <c r="CK60" t="s">
        <v>147</v>
      </c>
      <c r="CL60" t="s">
        <v>147</v>
      </c>
      <c r="CM60" t="s">
        <v>147</v>
      </c>
      <c r="CN60" t="s">
        <v>147</v>
      </c>
      <c r="CO60" t="s">
        <v>147</v>
      </c>
      <c r="CP60" t="s">
        <v>147</v>
      </c>
      <c r="CQ60" t="s">
        <v>147</v>
      </c>
      <c r="CR60" t="s">
        <v>147</v>
      </c>
      <c r="CS60" t="s">
        <v>147</v>
      </c>
      <c r="CT60" t="s">
        <v>147</v>
      </c>
      <c r="CU60" t="s">
        <v>147</v>
      </c>
      <c r="CV60" t="s">
        <v>57</v>
      </c>
      <c r="CW60" t="s">
        <v>147</v>
      </c>
      <c r="CX60" t="s">
        <v>147</v>
      </c>
      <c r="CY60" t="s">
        <v>147</v>
      </c>
      <c r="CZ60" t="s">
        <v>147</v>
      </c>
      <c r="DA60" t="s">
        <v>147</v>
      </c>
      <c r="DB60" t="s">
        <v>147</v>
      </c>
      <c r="DC60" t="s">
        <v>147</v>
      </c>
      <c r="DD60" t="s">
        <v>147</v>
      </c>
      <c r="DE60" t="s">
        <v>147</v>
      </c>
      <c r="DF60" t="s">
        <v>147</v>
      </c>
      <c r="DG60" t="s">
        <v>147</v>
      </c>
      <c r="DH60" t="s">
        <v>147</v>
      </c>
      <c r="DI60" t="s">
        <v>147</v>
      </c>
      <c r="DJ60" t="s">
        <v>147</v>
      </c>
      <c r="DK60" t="s">
        <v>147</v>
      </c>
      <c r="DL60" t="s">
        <v>147</v>
      </c>
      <c r="DM60" t="s">
        <v>147</v>
      </c>
      <c r="DN60" t="s">
        <v>147</v>
      </c>
      <c r="DO60" t="s">
        <v>147</v>
      </c>
      <c r="DP60" t="s">
        <v>147</v>
      </c>
      <c r="DQ60" t="s">
        <v>147</v>
      </c>
      <c r="DR60" t="s">
        <v>147</v>
      </c>
      <c r="DS60" t="s">
        <v>147</v>
      </c>
      <c r="DT60" t="s">
        <v>147</v>
      </c>
      <c r="DU60" t="s">
        <v>147</v>
      </c>
      <c r="DV60" t="s">
        <v>147</v>
      </c>
      <c r="DW60" t="s">
        <v>147</v>
      </c>
      <c r="DX60" t="s">
        <v>147</v>
      </c>
      <c r="DY60" t="s">
        <v>147</v>
      </c>
      <c r="DZ60" t="s">
        <v>147</v>
      </c>
      <c r="EA60" t="s">
        <v>147</v>
      </c>
      <c r="EB60" t="s">
        <v>147</v>
      </c>
      <c r="EC60" t="s">
        <v>147</v>
      </c>
      <c r="ED60" t="s">
        <v>147</v>
      </c>
      <c r="EE60" t="s">
        <v>147</v>
      </c>
      <c r="EF60" t="s">
        <v>147</v>
      </c>
      <c r="EG60" t="s">
        <v>147</v>
      </c>
      <c r="EH60" t="s">
        <v>147</v>
      </c>
      <c r="EI60" t="s">
        <v>147</v>
      </c>
      <c r="EJ60" t="s">
        <v>147</v>
      </c>
      <c r="EK60" t="s">
        <v>147</v>
      </c>
      <c r="EL60" t="s">
        <v>147</v>
      </c>
      <c r="EM60" t="s">
        <v>147</v>
      </c>
      <c r="EN60" t="s">
        <v>147</v>
      </c>
      <c r="EO60" t="s">
        <v>147</v>
      </c>
      <c r="EP60" t="s">
        <v>147</v>
      </c>
      <c r="EQ60" t="s">
        <v>147</v>
      </c>
      <c r="ER60" t="s">
        <v>147</v>
      </c>
      <c r="ES60" t="s">
        <v>147</v>
      </c>
      <c r="ET60" t="s">
        <v>147</v>
      </c>
      <c r="EU60" t="s">
        <v>147</v>
      </c>
      <c r="EV60" t="s">
        <v>147</v>
      </c>
      <c r="EW60" t="s">
        <v>147</v>
      </c>
      <c r="EX60" t="s">
        <v>147</v>
      </c>
      <c r="EY60" t="s">
        <v>147</v>
      </c>
      <c r="EZ60" t="s">
        <v>147</v>
      </c>
      <c r="FA60" t="s">
        <v>147</v>
      </c>
      <c r="FB60" t="s">
        <v>147</v>
      </c>
      <c r="FC60" t="s">
        <v>147</v>
      </c>
      <c r="FD60" t="s">
        <v>147</v>
      </c>
      <c r="FE60" t="s">
        <v>147</v>
      </c>
      <c r="FF60" t="s">
        <v>147</v>
      </c>
      <c r="FG60" t="s">
        <v>147</v>
      </c>
      <c r="FH60" t="s">
        <v>147</v>
      </c>
      <c r="FI60" t="s">
        <v>147</v>
      </c>
      <c r="FJ60" t="s">
        <v>147</v>
      </c>
      <c r="FK60" t="s">
        <v>147</v>
      </c>
      <c r="FL60" t="s">
        <v>147</v>
      </c>
      <c r="FM60" t="s">
        <v>147</v>
      </c>
      <c r="FN60" t="s">
        <v>147</v>
      </c>
      <c r="FO60" t="s">
        <v>147</v>
      </c>
      <c r="FP60" t="s">
        <v>147</v>
      </c>
      <c r="FQ60" t="s">
        <v>147</v>
      </c>
      <c r="FR60" t="s">
        <v>147</v>
      </c>
      <c r="FS60" t="s">
        <v>147</v>
      </c>
      <c r="FT60" t="s">
        <v>147</v>
      </c>
      <c r="FU60" t="s">
        <v>147</v>
      </c>
      <c r="FV60" t="s">
        <v>147</v>
      </c>
      <c r="FW60" t="s">
        <v>147</v>
      </c>
      <c r="FX60" t="s">
        <v>147</v>
      </c>
      <c r="FY60" t="s">
        <v>147</v>
      </c>
      <c r="FZ60" t="s">
        <v>147</v>
      </c>
      <c r="GA60" t="s">
        <v>147</v>
      </c>
      <c r="GB60" t="s">
        <v>147</v>
      </c>
      <c r="GC60" t="s">
        <v>147</v>
      </c>
      <c r="GD60" t="s">
        <v>147</v>
      </c>
      <c r="GE60" t="s">
        <v>147</v>
      </c>
      <c r="GF60" t="s">
        <v>147</v>
      </c>
      <c r="GG60" t="s">
        <v>147</v>
      </c>
      <c r="GH60" t="s">
        <v>147</v>
      </c>
      <c r="GI60" t="s">
        <v>147</v>
      </c>
      <c r="GJ60" t="s">
        <v>147</v>
      </c>
      <c r="GK60" t="s">
        <v>147</v>
      </c>
      <c r="GL60" t="s">
        <v>147</v>
      </c>
      <c r="GM60" t="s">
        <v>147</v>
      </c>
      <c r="GN60" t="s">
        <v>147</v>
      </c>
      <c r="GO60" t="s">
        <v>147</v>
      </c>
      <c r="GP60" t="s">
        <v>147</v>
      </c>
      <c r="GQ60" t="s">
        <v>147</v>
      </c>
      <c r="GR60" t="s">
        <v>147</v>
      </c>
      <c r="GS60" t="s">
        <v>147</v>
      </c>
      <c r="GT60" t="s">
        <v>147</v>
      </c>
      <c r="GU60" t="s">
        <v>147</v>
      </c>
      <c r="GV60" t="s">
        <v>147</v>
      </c>
      <c r="GW60" t="s">
        <v>147</v>
      </c>
      <c r="GX60" t="s">
        <v>147</v>
      </c>
      <c r="GY60" t="s">
        <v>147</v>
      </c>
      <c r="GZ60" t="s">
        <v>147</v>
      </c>
      <c r="HA60" t="s">
        <v>147</v>
      </c>
      <c r="HB60" t="s">
        <v>147</v>
      </c>
      <c r="HC60" t="s">
        <v>147</v>
      </c>
      <c r="HD60" t="s">
        <v>147</v>
      </c>
      <c r="HE60" t="s">
        <v>147</v>
      </c>
      <c r="HF60" t="s">
        <v>147</v>
      </c>
      <c r="HG60" t="s">
        <v>147</v>
      </c>
      <c r="HH60" t="s">
        <v>147</v>
      </c>
      <c r="HI60" t="s">
        <v>147</v>
      </c>
      <c r="HJ60" t="s">
        <v>147</v>
      </c>
      <c r="HK60" t="s">
        <v>147</v>
      </c>
      <c r="HL60" t="s">
        <v>147</v>
      </c>
      <c r="HM60" t="s">
        <v>147</v>
      </c>
      <c r="HN60" t="s">
        <v>147</v>
      </c>
      <c r="HO60" t="s">
        <v>147</v>
      </c>
      <c r="HP60" t="s">
        <v>147</v>
      </c>
      <c r="HQ60" t="s">
        <v>147</v>
      </c>
      <c r="HR60" t="s">
        <v>147</v>
      </c>
      <c r="HS60" t="s">
        <v>147</v>
      </c>
      <c r="HT60" t="s">
        <v>147</v>
      </c>
      <c r="HU60" t="s">
        <v>147</v>
      </c>
      <c r="HV60" t="s">
        <v>147</v>
      </c>
      <c r="HW60" t="s">
        <v>147</v>
      </c>
      <c r="HX60" t="s">
        <v>147</v>
      </c>
      <c r="HY60" t="s">
        <v>147</v>
      </c>
      <c r="HZ60" t="s">
        <v>147</v>
      </c>
      <c r="IA60" t="s">
        <v>147</v>
      </c>
      <c r="IB60" t="s">
        <v>58</v>
      </c>
      <c r="IC60" t="s">
        <v>58</v>
      </c>
      <c r="ID60" t="s">
        <v>58</v>
      </c>
      <c r="IE60" t="s">
        <v>57</v>
      </c>
      <c r="IF60" t="s">
        <v>124</v>
      </c>
      <c r="IG60" t="s">
        <v>148</v>
      </c>
      <c r="IH60" t="s">
        <v>123</v>
      </c>
      <c r="II60" t="s">
        <v>156</v>
      </c>
    </row>
    <row r="61" spans="1:243" x14ac:dyDescent="0.25">
      <c r="A61" s="121" t="str">
        <f>HYPERLINK("http://www.ofsted.gov.uk/inspection-reports/find-inspection-report/provider/ELS/142413 ","Ofsted School Webpage")</f>
        <v>Ofsted School Webpage</v>
      </c>
      <c r="B61">
        <v>142413</v>
      </c>
      <c r="C61">
        <v>9196001</v>
      </c>
      <c r="D61" t="s">
        <v>2515</v>
      </c>
      <c r="E61" t="s">
        <v>36</v>
      </c>
      <c r="F61" t="s">
        <v>166</v>
      </c>
      <c r="G61" t="s">
        <v>177</v>
      </c>
      <c r="H61" t="s">
        <v>177</v>
      </c>
      <c r="I61" t="s">
        <v>773</v>
      </c>
      <c r="J61" t="s">
        <v>2516</v>
      </c>
      <c r="K61" t="s">
        <v>142</v>
      </c>
      <c r="L61" t="s">
        <v>142</v>
      </c>
      <c r="M61" t="s">
        <v>2596</v>
      </c>
      <c r="N61" t="s">
        <v>143</v>
      </c>
      <c r="O61">
        <v>10043074</v>
      </c>
      <c r="P61" s="108">
        <v>43056</v>
      </c>
      <c r="Q61" s="108">
        <v>43056</v>
      </c>
      <c r="R61" s="108">
        <v>43082</v>
      </c>
      <c r="S61" t="s">
        <v>144</v>
      </c>
      <c r="T61" t="s">
        <v>145</v>
      </c>
      <c r="U61" t="s">
        <v>2596</v>
      </c>
      <c r="V61" t="s">
        <v>2596</v>
      </c>
      <c r="W61" t="s">
        <v>2596</v>
      </c>
      <c r="X61" t="s">
        <v>2596</v>
      </c>
      <c r="Y61" t="s">
        <v>2596</v>
      </c>
      <c r="Z61" t="s">
        <v>2596</v>
      </c>
      <c r="AA61" t="s">
        <v>2596</v>
      </c>
      <c r="AB61" t="s">
        <v>2596</v>
      </c>
      <c r="AC61" t="s">
        <v>146</v>
      </c>
      <c r="AD61" t="s">
        <v>2596</v>
      </c>
      <c r="AE61" t="s">
        <v>147</v>
      </c>
      <c r="AF61" t="s">
        <v>147</v>
      </c>
      <c r="AG61" t="s">
        <v>147</v>
      </c>
      <c r="AH61" t="s">
        <v>147</v>
      </c>
      <c r="AI61" t="s">
        <v>147</v>
      </c>
      <c r="AJ61" t="s">
        <v>147</v>
      </c>
      <c r="AK61" t="s">
        <v>147</v>
      </c>
      <c r="AL61" t="s">
        <v>57</v>
      </c>
      <c r="AM61" t="s">
        <v>147</v>
      </c>
      <c r="AN61" t="s">
        <v>147</v>
      </c>
      <c r="AO61" t="s">
        <v>147</v>
      </c>
      <c r="AP61" t="s">
        <v>147</v>
      </c>
      <c r="AQ61" t="s">
        <v>147</v>
      </c>
      <c r="AR61" t="s">
        <v>147</v>
      </c>
      <c r="AS61" t="s">
        <v>147</v>
      </c>
      <c r="AT61" t="s">
        <v>147</v>
      </c>
      <c r="AU61" t="s">
        <v>147</v>
      </c>
      <c r="AV61" t="s">
        <v>147</v>
      </c>
      <c r="AW61" t="s">
        <v>147</v>
      </c>
      <c r="AX61" t="s">
        <v>147</v>
      </c>
      <c r="AY61" t="s">
        <v>147</v>
      </c>
      <c r="AZ61" t="s">
        <v>147</v>
      </c>
      <c r="BA61" t="s">
        <v>147</v>
      </c>
      <c r="BB61" t="s">
        <v>147</v>
      </c>
      <c r="BC61" t="s">
        <v>147</v>
      </c>
      <c r="BD61" t="s">
        <v>147</v>
      </c>
      <c r="BE61" t="s">
        <v>147</v>
      </c>
      <c r="BF61" t="s">
        <v>147</v>
      </c>
      <c r="BG61" t="s">
        <v>57</v>
      </c>
      <c r="BH61" t="s">
        <v>57</v>
      </c>
      <c r="BI61" t="s">
        <v>147</v>
      </c>
      <c r="BJ61" t="s">
        <v>147</v>
      </c>
      <c r="BK61" t="s">
        <v>57</v>
      </c>
      <c r="BL61" t="s">
        <v>147</v>
      </c>
      <c r="BM61" t="s">
        <v>147</v>
      </c>
      <c r="BN61" t="s">
        <v>147</v>
      </c>
      <c r="BO61" t="s">
        <v>147</v>
      </c>
      <c r="BP61" t="s">
        <v>147</v>
      </c>
      <c r="BQ61" t="s">
        <v>147</v>
      </c>
      <c r="BR61" t="s">
        <v>147</v>
      </c>
      <c r="BS61" t="s">
        <v>147</v>
      </c>
      <c r="BT61" t="s">
        <v>147</v>
      </c>
      <c r="BU61" t="s">
        <v>147</v>
      </c>
      <c r="BV61" t="s">
        <v>147</v>
      </c>
      <c r="BW61" t="s">
        <v>147</v>
      </c>
      <c r="BX61" t="s">
        <v>147</v>
      </c>
      <c r="BY61" t="s">
        <v>147</v>
      </c>
      <c r="BZ61" t="s">
        <v>147</v>
      </c>
      <c r="CA61" t="s">
        <v>147</v>
      </c>
      <c r="CB61" t="s">
        <v>147</v>
      </c>
      <c r="CC61" t="s">
        <v>147</v>
      </c>
      <c r="CD61" t="s">
        <v>147</v>
      </c>
      <c r="CE61" t="s">
        <v>147</v>
      </c>
      <c r="CF61" t="s">
        <v>147</v>
      </c>
      <c r="CG61" t="s">
        <v>147</v>
      </c>
      <c r="CH61" t="s">
        <v>147</v>
      </c>
      <c r="CI61" t="s">
        <v>147</v>
      </c>
      <c r="CJ61" t="s">
        <v>147</v>
      </c>
      <c r="CK61" t="s">
        <v>147</v>
      </c>
      <c r="CL61" t="s">
        <v>147</v>
      </c>
      <c r="CM61" t="s">
        <v>147</v>
      </c>
      <c r="CN61" t="s">
        <v>147</v>
      </c>
      <c r="CO61" t="s">
        <v>147</v>
      </c>
      <c r="CP61" t="s">
        <v>147</v>
      </c>
      <c r="CQ61" t="s">
        <v>147</v>
      </c>
      <c r="CR61" t="s">
        <v>147</v>
      </c>
      <c r="CS61" t="s">
        <v>147</v>
      </c>
      <c r="CT61" t="s">
        <v>147</v>
      </c>
      <c r="CU61" t="s">
        <v>147</v>
      </c>
      <c r="CV61" t="s">
        <v>147</v>
      </c>
      <c r="CW61" t="s">
        <v>147</v>
      </c>
      <c r="CX61" t="s">
        <v>147</v>
      </c>
      <c r="CY61" t="s">
        <v>147</v>
      </c>
      <c r="CZ61" t="s">
        <v>147</v>
      </c>
      <c r="DA61" t="s">
        <v>147</v>
      </c>
      <c r="DB61" t="s">
        <v>147</v>
      </c>
      <c r="DC61" t="s">
        <v>147</v>
      </c>
      <c r="DD61" t="s">
        <v>147</v>
      </c>
      <c r="DE61" t="s">
        <v>147</v>
      </c>
      <c r="DF61" t="s">
        <v>147</v>
      </c>
      <c r="DG61" t="s">
        <v>147</v>
      </c>
      <c r="DH61" t="s">
        <v>147</v>
      </c>
      <c r="DI61" t="s">
        <v>147</v>
      </c>
      <c r="DJ61" t="s">
        <v>147</v>
      </c>
      <c r="DK61" t="s">
        <v>147</v>
      </c>
      <c r="DL61" t="s">
        <v>147</v>
      </c>
      <c r="DM61" t="s">
        <v>147</v>
      </c>
      <c r="DN61" t="s">
        <v>147</v>
      </c>
      <c r="DO61" t="s">
        <v>147</v>
      </c>
      <c r="DP61" t="s">
        <v>147</v>
      </c>
      <c r="DQ61" t="s">
        <v>147</v>
      </c>
      <c r="DR61" t="s">
        <v>147</v>
      </c>
      <c r="DS61" t="s">
        <v>147</v>
      </c>
      <c r="DT61" t="s">
        <v>147</v>
      </c>
      <c r="DU61" t="s">
        <v>147</v>
      </c>
      <c r="DV61" t="s">
        <v>147</v>
      </c>
      <c r="DW61" t="s">
        <v>147</v>
      </c>
      <c r="DX61" t="s">
        <v>147</v>
      </c>
      <c r="DY61" t="s">
        <v>147</v>
      </c>
      <c r="DZ61" t="s">
        <v>147</v>
      </c>
      <c r="EA61" t="s">
        <v>147</v>
      </c>
      <c r="EB61" t="s">
        <v>147</v>
      </c>
      <c r="EC61" t="s">
        <v>147</v>
      </c>
      <c r="ED61" t="s">
        <v>147</v>
      </c>
      <c r="EE61" t="s">
        <v>147</v>
      </c>
      <c r="EF61" t="s">
        <v>147</v>
      </c>
      <c r="EG61" t="s">
        <v>147</v>
      </c>
      <c r="EH61" t="s">
        <v>147</v>
      </c>
      <c r="EI61" t="s">
        <v>147</v>
      </c>
      <c r="EJ61" t="s">
        <v>147</v>
      </c>
      <c r="EK61" t="s">
        <v>147</v>
      </c>
      <c r="EL61" t="s">
        <v>147</v>
      </c>
      <c r="EM61" t="s">
        <v>147</v>
      </c>
      <c r="EN61" t="s">
        <v>147</v>
      </c>
      <c r="EO61" t="s">
        <v>147</v>
      </c>
      <c r="EP61" t="s">
        <v>147</v>
      </c>
      <c r="EQ61" t="s">
        <v>147</v>
      </c>
      <c r="ER61" t="s">
        <v>147</v>
      </c>
      <c r="ES61" t="s">
        <v>147</v>
      </c>
      <c r="ET61" t="s">
        <v>147</v>
      </c>
      <c r="EU61" t="s">
        <v>147</v>
      </c>
      <c r="EV61" t="s">
        <v>147</v>
      </c>
      <c r="EW61" t="s">
        <v>147</v>
      </c>
      <c r="EX61" t="s">
        <v>147</v>
      </c>
      <c r="EY61" t="s">
        <v>147</v>
      </c>
      <c r="EZ61" t="s">
        <v>147</v>
      </c>
      <c r="FA61" t="s">
        <v>147</v>
      </c>
      <c r="FB61" t="s">
        <v>147</v>
      </c>
      <c r="FC61" t="s">
        <v>147</v>
      </c>
      <c r="FD61" t="s">
        <v>147</v>
      </c>
      <c r="FE61" t="s">
        <v>147</v>
      </c>
      <c r="FF61" t="s">
        <v>147</v>
      </c>
      <c r="FG61" t="s">
        <v>147</v>
      </c>
      <c r="FH61" t="s">
        <v>147</v>
      </c>
      <c r="FI61" t="s">
        <v>147</v>
      </c>
      <c r="FJ61" t="s">
        <v>147</v>
      </c>
      <c r="FK61" t="s">
        <v>147</v>
      </c>
      <c r="FL61" t="s">
        <v>147</v>
      </c>
      <c r="FM61" t="s">
        <v>147</v>
      </c>
      <c r="FN61" t="s">
        <v>147</v>
      </c>
      <c r="FO61" t="s">
        <v>147</v>
      </c>
      <c r="FP61" t="s">
        <v>147</v>
      </c>
      <c r="FQ61" t="s">
        <v>147</v>
      </c>
      <c r="FR61" t="s">
        <v>147</v>
      </c>
      <c r="FS61" t="s">
        <v>147</v>
      </c>
      <c r="FT61" t="s">
        <v>147</v>
      </c>
      <c r="FU61" t="s">
        <v>147</v>
      </c>
      <c r="FV61" t="s">
        <v>147</v>
      </c>
      <c r="FW61" t="s">
        <v>147</v>
      </c>
      <c r="FX61" t="s">
        <v>147</v>
      </c>
      <c r="FY61" t="s">
        <v>147</v>
      </c>
      <c r="FZ61" t="s">
        <v>147</v>
      </c>
      <c r="GA61" t="s">
        <v>147</v>
      </c>
      <c r="GB61" t="s">
        <v>147</v>
      </c>
      <c r="GC61" t="s">
        <v>147</v>
      </c>
      <c r="GD61" t="s">
        <v>147</v>
      </c>
      <c r="GE61" t="s">
        <v>147</v>
      </c>
      <c r="GF61" t="s">
        <v>147</v>
      </c>
      <c r="GG61" t="s">
        <v>147</v>
      </c>
      <c r="GH61" t="s">
        <v>147</v>
      </c>
      <c r="GI61" t="s">
        <v>147</v>
      </c>
      <c r="GJ61" t="s">
        <v>147</v>
      </c>
      <c r="GK61" t="s">
        <v>147</v>
      </c>
      <c r="GL61" t="s">
        <v>147</v>
      </c>
      <c r="GM61" t="s">
        <v>147</v>
      </c>
      <c r="GN61" t="s">
        <v>147</v>
      </c>
      <c r="GO61" t="s">
        <v>147</v>
      </c>
      <c r="GP61" t="s">
        <v>147</v>
      </c>
      <c r="GQ61" t="s">
        <v>147</v>
      </c>
      <c r="GR61" t="s">
        <v>147</v>
      </c>
      <c r="GS61" t="s">
        <v>147</v>
      </c>
      <c r="GT61" t="s">
        <v>147</v>
      </c>
      <c r="GU61" t="s">
        <v>147</v>
      </c>
      <c r="GV61" t="s">
        <v>147</v>
      </c>
      <c r="GW61" t="s">
        <v>147</v>
      </c>
      <c r="GX61" t="s">
        <v>147</v>
      </c>
      <c r="GY61" t="s">
        <v>147</v>
      </c>
      <c r="GZ61" t="s">
        <v>147</v>
      </c>
      <c r="HA61" t="s">
        <v>147</v>
      </c>
      <c r="HB61" t="s">
        <v>147</v>
      </c>
      <c r="HC61" t="s">
        <v>147</v>
      </c>
      <c r="HD61" t="s">
        <v>147</v>
      </c>
      <c r="HE61" t="s">
        <v>147</v>
      </c>
      <c r="HF61" t="s">
        <v>147</v>
      </c>
      <c r="HG61" t="s">
        <v>147</v>
      </c>
      <c r="HH61" t="s">
        <v>147</v>
      </c>
      <c r="HI61" t="s">
        <v>147</v>
      </c>
      <c r="HJ61" t="s">
        <v>147</v>
      </c>
      <c r="HK61" t="s">
        <v>147</v>
      </c>
      <c r="HL61" t="s">
        <v>147</v>
      </c>
      <c r="HM61" t="s">
        <v>147</v>
      </c>
      <c r="HN61" t="s">
        <v>147</v>
      </c>
      <c r="HO61" t="s">
        <v>147</v>
      </c>
      <c r="HP61" t="s">
        <v>147</v>
      </c>
      <c r="HQ61" t="s">
        <v>147</v>
      </c>
      <c r="HR61" t="s">
        <v>147</v>
      </c>
      <c r="HS61" t="s">
        <v>147</v>
      </c>
      <c r="HT61" t="s">
        <v>147</v>
      </c>
      <c r="HU61" t="s">
        <v>147</v>
      </c>
      <c r="HV61" t="s">
        <v>147</v>
      </c>
      <c r="HW61" t="s">
        <v>147</v>
      </c>
      <c r="HX61" t="s">
        <v>147</v>
      </c>
      <c r="HY61" t="s">
        <v>147</v>
      </c>
      <c r="HZ61" t="s">
        <v>147</v>
      </c>
      <c r="IA61" t="s">
        <v>147</v>
      </c>
      <c r="IB61" t="s">
        <v>57</v>
      </c>
      <c r="IC61" t="s">
        <v>57</v>
      </c>
      <c r="ID61" t="s">
        <v>57</v>
      </c>
      <c r="IE61" t="s">
        <v>147</v>
      </c>
      <c r="IF61" t="s">
        <v>124</v>
      </c>
      <c r="IG61" t="s">
        <v>148</v>
      </c>
      <c r="IH61" t="s">
        <v>123</v>
      </c>
      <c r="II61" t="s">
        <v>156</v>
      </c>
    </row>
    <row r="62" spans="1:243" x14ac:dyDescent="0.25">
      <c r="A62" s="121" t="str">
        <f>HYPERLINK("http://www.ofsted.gov.uk/inspection-reports/find-inspection-report/provider/ELS/142773 ","Ofsted School Webpage")</f>
        <v>Ofsted School Webpage</v>
      </c>
      <c r="B62">
        <v>142773</v>
      </c>
      <c r="C62">
        <v>3536003</v>
      </c>
      <c r="D62" t="s">
        <v>749</v>
      </c>
      <c r="E62" t="s">
        <v>36</v>
      </c>
      <c r="F62" t="s">
        <v>166</v>
      </c>
      <c r="G62" t="s">
        <v>162</v>
      </c>
      <c r="H62" t="s">
        <v>162</v>
      </c>
      <c r="I62" t="s">
        <v>423</v>
      </c>
      <c r="J62" t="s">
        <v>750</v>
      </c>
      <c r="K62" t="s">
        <v>142</v>
      </c>
      <c r="L62" t="s">
        <v>261</v>
      </c>
      <c r="M62" t="s">
        <v>2596</v>
      </c>
      <c r="N62" t="s">
        <v>143</v>
      </c>
      <c r="O62">
        <v>10043777</v>
      </c>
      <c r="P62" s="108">
        <v>43111</v>
      </c>
      <c r="Q62" s="108">
        <v>43111</v>
      </c>
      <c r="R62" s="108">
        <v>43143</v>
      </c>
      <c r="S62" t="s">
        <v>144</v>
      </c>
      <c r="T62" t="s">
        <v>145</v>
      </c>
      <c r="U62" t="s">
        <v>2596</v>
      </c>
      <c r="V62" t="s">
        <v>2596</v>
      </c>
      <c r="W62" t="s">
        <v>2596</v>
      </c>
      <c r="X62" t="s">
        <v>2596</v>
      </c>
      <c r="Y62" t="s">
        <v>2596</v>
      </c>
      <c r="Z62" t="s">
        <v>2596</v>
      </c>
      <c r="AA62" t="s">
        <v>2596</v>
      </c>
      <c r="AB62" t="s">
        <v>2596</v>
      </c>
      <c r="AC62" t="s">
        <v>146</v>
      </c>
      <c r="AD62" t="s">
        <v>2596</v>
      </c>
      <c r="AE62" t="s">
        <v>147</v>
      </c>
      <c r="AF62" t="s">
        <v>147</v>
      </c>
      <c r="AG62" t="s">
        <v>57</v>
      </c>
      <c r="AH62" t="s">
        <v>57</v>
      </c>
      <c r="AI62" t="s">
        <v>147</v>
      </c>
      <c r="AJ62" t="s">
        <v>147</v>
      </c>
      <c r="AK62" t="s">
        <v>147</v>
      </c>
      <c r="AL62" t="s">
        <v>57</v>
      </c>
      <c r="AM62" t="s">
        <v>147</v>
      </c>
      <c r="AN62" t="s">
        <v>147</v>
      </c>
      <c r="AO62" t="s">
        <v>147</v>
      </c>
      <c r="AP62" t="s">
        <v>147</v>
      </c>
      <c r="AQ62" t="s">
        <v>147</v>
      </c>
      <c r="AR62" t="s">
        <v>147</v>
      </c>
      <c r="AS62" t="s">
        <v>147</v>
      </c>
      <c r="AT62" t="s">
        <v>147</v>
      </c>
      <c r="AU62" t="s">
        <v>147</v>
      </c>
      <c r="AV62" t="s">
        <v>147</v>
      </c>
      <c r="AW62" t="s">
        <v>147</v>
      </c>
      <c r="AX62" t="s">
        <v>147</v>
      </c>
      <c r="AY62" t="s">
        <v>147</v>
      </c>
      <c r="AZ62" t="s">
        <v>147</v>
      </c>
      <c r="BA62" t="s">
        <v>147</v>
      </c>
      <c r="BB62" t="s">
        <v>147</v>
      </c>
      <c r="BC62" t="s">
        <v>147</v>
      </c>
      <c r="BD62" t="s">
        <v>147</v>
      </c>
      <c r="BE62" t="s">
        <v>147</v>
      </c>
      <c r="BF62" t="s">
        <v>147</v>
      </c>
      <c r="BG62" t="s">
        <v>147</v>
      </c>
      <c r="BH62" t="s">
        <v>147</v>
      </c>
      <c r="BI62" t="s">
        <v>147</v>
      </c>
      <c r="BJ62" t="s">
        <v>147</v>
      </c>
      <c r="BK62" t="s">
        <v>147</v>
      </c>
      <c r="BL62" t="s">
        <v>147</v>
      </c>
      <c r="BM62" t="s">
        <v>147</v>
      </c>
      <c r="BN62" t="s">
        <v>147</v>
      </c>
      <c r="BO62" t="s">
        <v>147</v>
      </c>
      <c r="BP62" t="s">
        <v>147</v>
      </c>
      <c r="BQ62" t="s">
        <v>147</v>
      </c>
      <c r="BR62" t="s">
        <v>147</v>
      </c>
      <c r="BS62" t="s">
        <v>147</v>
      </c>
      <c r="BT62" t="s">
        <v>147</v>
      </c>
      <c r="BU62" t="s">
        <v>147</v>
      </c>
      <c r="BV62" t="s">
        <v>147</v>
      </c>
      <c r="BW62" t="s">
        <v>147</v>
      </c>
      <c r="BX62" t="s">
        <v>147</v>
      </c>
      <c r="BY62" t="s">
        <v>147</v>
      </c>
      <c r="BZ62" t="s">
        <v>147</v>
      </c>
      <c r="CA62" t="s">
        <v>147</v>
      </c>
      <c r="CB62" t="s">
        <v>147</v>
      </c>
      <c r="CC62" t="s">
        <v>147</v>
      </c>
      <c r="CD62" t="s">
        <v>147</v>
      </c>
      <c r="CE62" t="s">
        <v>147</v>
      </c>
      <c r="CF62" t="s">
        <v>147</v>
      </c>
      <c r="CG62" t="s">
        <v>147</v>
      </c>
      <c r="CH62" t="s">
        <v>57</v>
      </c>
      <c r="CI62" t="s">
        <v>57</v>
      </c>
      <c r="CJ62" t="s">
        <v>57</v>
      </c>
      <c r="CK62" t="s">
        <v>147</v>
      </c>
      <c r="CL62" t="s">
        <v>147</v>
      </c>
      <c r="CM62" t="s">
        <v>147</v>
      </c>
      <c r="CN62" t="s">
        <v>147</v>
      </c>
      <c r="CO62" t="s">
        <v>147</v>
      </c>
      <c r="CP62" t="s">
        <v>147</v>
      </c>
      <c r="CQ62" t="s">
        <v>147</v>
      </c>
      <c r="CR62" t="s">
        <v>147</v>
      </c>
      <c r="CS62" t="s">
        <v>147</v>
      </c>
      <c r="CT62" t="s">
        <v>147</v>
      </c>
      <c r="CU62" t="s">
        <v>147</v>
      </c>
      <c r="CV62" t="s">
        <v>147</v>
      </c>
      <c r="CW62" t="s">
        <v>147</v>
      </c>
      <c r="CX62" t="s">
        <v>147</v>
      </c>
      <c r="CY62" t="s">
        <v>147</v>
      </c>
      <c r="CZ62" t="s">
        <v>147</v>
      </c>
      <c r="DA62" t="s">
        <v>57</v>
      </c>
      <c r="DB62" t="s">
        <v>147</v>
      </c>
      <c r="DC62" t="s">
        <v>57</v>
      </c>
      <c r="DD62" t="s">
        <v>147</v>
      </c>
      <c r="DE62" t="s">
        <v>147</v>
      </c>
      <c r="DF62" t="s">
        <v>147</v>
      </c>
      <c r="DG62" t="s">
        <v>147</v>
      </c>
      <c r="DH62" t="s">
        <v>147</v>
      </c>
      <c r="DI62" t="s">
        <v>147</v>
      </c>
      <c r="DJ62" t="s">
        <v>147</v>
      </c>
      <c r="DK62" t="s">
        <v>147</v>
      </c>
      <c r="DL62" t="s">
        <v>147</v>
      </c>
      <c r="DM62" t="s">
        <v>147</v>
      </c>
      <c r="DN62" t="s">
        <v>147</v>
      </c>
      <c r="DO62" t="s">
        <v>147</v>
      </c>
      <c r="DP62" t="s">
        <v>147</v>
      </c>
      <c r="DQ62" t="s">
        <v>147</v>
      </c>
      <c r="DR62" t="s">
        <v>147</v>
      </c>
      <c r="DS62" t="s">
        <v>147</v>
      </c>
      <c r="DT62" t="s">
        <v>147</v>
      </c>
      <c r="DU62" t="s">
        <v>147</v>
      </c>
      <c r="DV62" t="s">
        <v>147</v>
      </c>
      <c r="DW62" t="s">
        <v>147</v>
      </c>
      <c r="DX62" t="s">
        <v>147</v>
      </c>
      <c r="DY62" t="s">
        <v>147</v>
      </c>
      <c r="DZ62" t="s">
        <v>147</v>
      </c>
      <c r="EA62" t="s">
        <v>57</v>
      </c>
      <c r="EB62" t="s">
        <v>57</v>
      </c>
      <c r="EC62" t="s">
        <v>147</v>
      </c>
      <c r="ED62" t="s">
        <v>57</v>
      </c>
      <c r="EE62" t="s">
        <v>57</v>
      </c>
      <c r="EF62" t="s">
        <v>57</v>
      </c>
      <c r="EG62" t="s">
        <v>57</v>
      </c>
      <c r="EH62" t="s">
        <v>147</v>
      </c>
      <c r="EI62" t="s">
        <v>147</v>
      </c>
      <c r="EJ62" t="s">
        <v>57</v>
      </c>
      <c r="EK62" t="s">
        <v>147</v>
      </c>
      <c r="EL62" t="s">
        <v>57</v>
      </c>
      <c r="EM62" t="s">
        <v>147</v>
      </c>
      <c r="EN62" t="s">
        <v>147</v>
      </c>
      <c r="EO62" t="s">
        <v>147</v>
      </c>
      <c r="EP62" t="s">
        <v>57</v>
      </c>
      <c r="EQ62" t="s">
        <v>147</v>
      </c>
      <c r="ER62" t="s">
        <v>147</v>
      </c>
      <c r="ES62" t="s">
        <v>147</v>
      </c>
      <c r="ET62" t="s">
        <v>147</v>
      </c>
      <c r="EU62" t="s">
        <v>147</v>
      </c>
      <c r="EV62" t="s">
        <v>57</v>
      </c>
      <c r="EW62" t="s">
        <v>147</v>
      </c>
      <c r="EX62" t="s">
        <v>147</v>
      </c>
      <c r="EY62" t="s">
        <v>147</v>
      </c>
      <c r="EZ62" t="s">
        <v>147</v>
      </c>
      <c r="FA62" t="s">
        <v>147</v>
      </c>
      <c r="FB62" t="s">
        <v>147</v>
      </c>
      <c r="FC62" t="s">
        <v>147</v>
      </c>
      <c r="FD62" t="s">
        <v>147</v>
      </c>
      <c r="FE62" t="s">
        <v>147</v>
      </c>
      <c r="FF62" t="s">
        <v>147</v>
      </c>
      <c r="FG62" t="s">
        <v>147</v>
      </c>
      <c r="FH62" t="s">
        <v>147</v>
      </c>
      <c r="FI62" t="s">
        <v>147</v>
      </c>
      <c r="FJ62" t="s">
        <v>147</v>
      </c>
      <c r="FK62" t="s">
        <v>147</v>
      </c>
      <c r="FL62" t="s">
        <v>57</v>
      </c>
      <c r="FM62" t="s">
        <v>57</v>
      </c>
      <c r="FN62" t="s">
        <v>57</v>
      </c>
      <c r="FO62" t="s">
        <v>147</v>
      </c>
      <c r="FP62" t="s">
        <v>147</v>
      </c>
      <c r="FQ62" t="s">
        <v>147</v>
      </c>
      <c r="FR62" t="s">
        <v>147</v>
      </c>
      <c r="FS62" t="s">
        <v>147</v>
      </c>
      <c r="FT62" t="s">
        <v>147</v>
      </c>
      <c r="FU62" t="s">
        <v>147</v>
      </c>
      <c r="FV62" t="s">
        <v>147</v>
      </c>
      <c r="FW62" t="s">
        <v>147</v>
      </c>
      <c r="FX62" t="s">
        <v>147</v>
      </c>
      <c r="FY62" t="s">
        <v>147</v>
      </c>
      <c r="FZ62" t="s">
        <v>147</v>
      </c>
      <c r="GA62" t="s">
        <v>147</v>
      </c>
      <c r="GB62" t="s">
        <v>147</v>
      </c>
      <c r="GC62" t="s">
        <v>147</v>
      </c>
      <c r="GD62" t="s">
        <v>57</v>
      </c>
      <c r="GE62" t="s">
        <v>147</v>
      </c>
      <c r="GF62" t="s">
        <v>57</v>
      </c>
      <c r="GG62" t="s">
        <v>147</v>
      </c>
      <c r="GH62" t="s">
        <v>147</v>
      </c>
      <c r="GI62" t="s">
        <v>147</v>
      </c>
      <c r="GJ62" t="s">
        <v>147</v>
      </c>
      <c r="GK62" t="s">
        <v>147</v>
      </c>
      <c r="GL62" t="s">
        <v>147</v>
      </c>
      <c r="GM62" t="s">
        <v>147</v>
      </c>
      <c r="GN62" t="s">
        <v>147</v>
      </c>
      <c r="GO62" t="s">
        <v>147</v>
      </c>
      <c r="GP62" t="s">
        <v>147</v>
      </c>
      <c r="GQ62" t="s">
        <v>147</v>
      </c>
      <c r="GR62" t="s">
        <v>147</v>
      </c>
      <c r="GS62" t="s">
        <v>147</v>
      </c>
      <c r="GT62" t="s">
        <v>147</v>
      </c>
      <c r="GU62" t="s">
        <v>147</v>
      </c>
      <c r="GV62" t="s">
        <v>147</v>
      </c>
      <c r="GW62" t="s">
        <v>147</v>
      </c>
      <c r="GX62" t="s">
        <v>147</v>
      </c>
      <c r="GY62" t="s">
        <v>147</v>
      </c>
      <c r="GZ62" t="s">
        <v>147</v>
      </c>
      <c r="HA62" t="s">
        <v>147</v>
      </c>
      <c r="HB62" t="s">
        <v>147</v>
      </c>
      <c r="HC62" t="s">
        <v>147</v>
      </c>
      <c r="HD62" t="s">
        <v>147</v>
      </c>
      <c r="HE62" t="s">
        <v>147</v>
      </c>
      <c r="HF62" t="s">
        <v>147</v>
      </c>
      <c r="HG62" t="s">
        <v>147</v>
      </c>
      <c r="HH62" t="s">
        <v>147</v>
      </c>
      <c r="HI62" t="s">
        <v>147</v>
      </c>
      <c r="HJ62" t="s">
        <v>147</v>
      </c>
      <c r="HK62" t="s">
        <v>147</v>
      </c>
      <c r="HL62" t="s">
        <v>147</v>
      </c>
      <c r="HM62" t="s">
        <v>147</v>
      </c>
      <c r="HN62" t="s">
        <v>147</v>
      </c>
      <c r="HO62" t="s">
        <v>147</v>
      </c>
      <c r="HP62" t="s">
        <v>147</v>
      </c>
      <c r="HQ62" t="s">
        <v>147</v>
      </c>
      <c r="HR62" t="s">
        <v>147</v>
      </c>
      <c r="HS62" t="s">
        <v>147</v>
      </c>
      <c r="HT62" t="s">
        <v>147</v>
      </c>
      <c r="HU62" t="s">
        <v>147</v>
      </c>
      <c r="HV62" t="s">
        <v>147</v>
      </c>
      <c r="HW62" t="s">
        <v>147</v>
      </c>
      <c r="HX62" t="s">
        <v>147</v>
      </c>
      <c r="HY62" t="s">
        <v>147</v>
      </c>
      <c r="HZ62" t="s">
        <v>147</v>
      </c>
      <c r="IA62" t="s">
        <v>147</v>
      </c>
      <c r="IB62" t="s">
        <v>57</v>
      </c>
      <c r="IC62" t="s">
        <v>57</v>
      </c>
      <c r="ID62" t="s">
        <v>57</v>
      </c>
      <c r="IE62" t="s">
        <v>57</v>
      </c>
      <c r="IF62" t="s">
        <v>124</v>
      </c>
      <c r="IG62" t="s">
        <v>148</v>
      </c>
      <c r="IH62" t="s">
        <v>123</v>
      </c>
      <c r="II62" t="s">
        <v>156</v>
      </c>
    </row>
    <row r="63" spans="1:243" x14ac:dyDescent="0.25">
      <c r="A63" s="121" t="str">
        <f>HYPERLINK("http://www.ofsted.gov.uk/inspection-reports/find-inspection-report/provider/ELS/142778 ","Ofsted School Webpage")</f>
        <v>Ofsted School Webpage</v>
      </c>
      <c r="B63">
        <v>142778</v>
      </c>
      <c r="C63">
        <v>2056001</v>
      </c>
      <c r="D63" t="s">
        <v>256</v>
      </c>
      <c r="E63" t="s">
        <v>36</v>
      </c>
      <c r="F63" t="s">
        <v>166</v>
      </c>
      <c r="G63" t="s">
        <v>189</v>
      </c>
      <c r="H63" t="s">
        <v>189</v>
      </c>
      <c r="I63" t="s">
        <v>257</v>
      </c>
      <c r="J63" t="s">
        <v>258</v>
      </c>
      <c r="K63" t="s">
        <v>142</v>
      </c>
      <c r="L63" t="s">
        <v>142</v>
      </c>
      <c r="M63" t="s">
        <v>2596</v>
      </c>
      <c r="N63" t="s">
        <v>143</v>
      </c>
      <c r="O63">
        <v>10039570</v>
      </c>
      <c r="P63" s="108">
        <v>42992</v>
      </c>
      <c r="Q63" s="108">
        <v>42992</v>
      </c>
      <c r="R63" s="108">
        <v>43032</v>
      </c>
      <c r="S63" t="s">
        <v>144</v>
      </c>
      <c r="T63" t="s">
        <v>145</v>
      </c>
      <c r="U63" t="s">
        <v>2596</v>
      </c>
      <c r="V63" t="s">
        <v>2596</v>
      </c>
      <c r="W63" t="s">
        <v>2596</v>
      </c>
      <c r="X63" t="s">
        <v>2596</v>
      </c>
      <c r="Y63" t="s">
        <v>2596</v>
      </c>
      <c r="Z63" t="s">
        <v>2596</v>
      </c>
      <c r="AA63" t="s">
        <v>2596</v>
      </c>
      <c r="AB63" t="s">
        <v>2596</v>
      </c>
      <c r="AC63" t="s">
        <v>146</v>
      </c>
      <c r="AD63" t="s">
        <v>2596</v>
      </c>
      <c r="AE63" t="s">
        <v>57</v>
      </c>
      <c r="AF63" t="s">
        <v>147</v>
      </c>
      <c r="AG63" t="s">
        <v>57</v>
      </c>
      <c r="AH63" t="s">
        <v>147</v>
      </c>
      <c r="AI63" t="s">
        <v>147</v>
      </c>
      <c r="AJ63" t="s">
        <v>57</v>
      </c>
      <c r="AK63" t="s">
        <v>147</v>
      </c>
      <c r="AL63" t="s">
        <v>57</v>
      </c>
      <c r="AM63" t="s">
        <v>57</v>
      </c>
      <c r="AN63" t="s">
        <v>57</v>
      </c>
      <c r="AO63" t="s">
        <v>147</v>
      </c>
      <c r="AP63" t="s">
        <v>147</v>
      </c>
      <c r="AQ63" t="s">
        <v>147</v>
      </c>
      <c r="AR63" t="s">
        <v>57</v>
      </c>
      <c r="AS63" t="s">
        <v>147</v>
      </c>
      <c r="AT63" t="s">
        <v>147</v>
      </c>
      <c r="AU63" t="s">
        <v>175</v>
      </c>
      <c r="AV63" t="s">
        <v>147</v>
      </c>
      <c r="AW63" t="s">
        <v>147</v>
      </c>
      <c r="AX63" t="s">
        <v>147</v>
      </c>
      <c r="AY63" t="s">
        <v>57</v>
      </c>
      <c r="AZ63" t="s">
        <v>57</v>
      </c>
      <c r="BA63" t="s">
        <v>57</v>
      </c>
      <c r="BB63" t="s">
        <v>57</v>
      </c>
      <c r="BC63" t="s">
        <v>175</v>
      </c>
      <c r="BD63" t="s">
        <v>147</v>
      </c>
      <c r="BE63" t="s">
        <v>147</v>
      </c>
      <c r="BF63" t="s">
        <v>147</v>
      </c>
      <c r="BG63" t="s">
        <v>57</v>
      </c>
      <c r="BH63" t="s">
        <v>147</v>
      </c>
      <c r="BI63" t="s">
        <v>147</v>
      </c>
      <c r="BJ63" t="s">
        <v>57</v>
      </c>
      <c r="BK63" t="s">
        <v>147</v>
      </c>
      <c r="BL63" t="s">
        <v>147</v>
      </c>
      <c r="BM63" t="s">
        <v>147</v>
      </c>
      <c r="BN63" t="s">
        <v>57</v>
      </c>
      <c r="BO63" t="s">
        <v>147</v>
      </c>
      <c r="BP63" t="s">
        <v>147</v>
      </c>
      <c r="BQ63" t="s">
        <v>147</v>
      </c>
      <c r="BR63" t="s">
        <v>57</v>
      </c>
      <c r="BS63" t="s">
        <v>147</v>
      </c>
      <c r="BT63" t="s">
        <v>147</v>
      </c>
      <c r="BU63" t="s">
        <v>147</v>
      </c>
      <c r="BV63" t="s">
        <v>147</v>
      </c>
      <c r="BW63" t="s">
        <v>147</v>
      </c>
      <c r="BX63" t="s">
        <v>147</v>
      </c>
      <c r="BY63" t="s">
        <v>147</v>
      </c>
      <c r="BZ63" t="s">
        <v>147</v>
      </c>
      <c r="CA63" t="s">
        <v>147</v>
      </c>
      <c r="CB63" t="s">
        <v>147</v>
      </c>
      <c r="CC63" t="s">
        <v>147</v>
      </c>
      <c r="CD63" t="s">
        <v>147</v>
      </c>
      <c r="CE63" t="s">
        <v>147</v>
      </c>
      <c r="CF63" t="s">
        <v>147</v>
      </c>
      <c r="CG63" t="s">
        <v>147</v>
      </c>
      <c r="CH63" t="s">
        <v>57</v>
      </c>
      <c r="CI63" t="s">
        <v>57</v>
      </c>
      <c r="CJ63" t="s">
        <v>57</v>
      </c>
      <c r="CK63" t="s">
        <v>175</v>
      </c>
      <c r="CL63" t="s">
        <v>175</v>
      </c>
      <c r="CM63" t="s">
        <v>175</v>
      </c>
      <c r="CN63" t="s">
        <v>147</v>
      </c>
      <c r="CO63" t="s">
        <v>147</v>
      </c>
      <c r="CP63" t="s">
        <v>147</v>
      </c>
      <c r="CQ63" t="s">
        <v>147</v>
      </c>
      <c r="CR63" t="s">
        <v>147</v>
      </c>
      <c r="CS63" t="s">
        <v>147</v>
      </c>
      <c r="CT63" t="s">
        <v>147</v>
      </c>
      <c r="CU63" t="s">
        <v>147</v>
      </c>
      <c r="CV63" t="s">
        <v>147</v>
      </c>
      <c r="CW63" t="s">
        <v>147</v>
      </c>
      <c r="CX63" t="s">
        <v>147</v>
      </c>
      <c r="CY63" t="s">
        <v>147</v>
      </c>
      <c r="CZ63" t="s">
        <v>147</v>
      </c>
      <c r="DA63" t="s">
        <v>147</v>
      </c>
      <c r="DB63" t="s">
        <v>147</v>
      </c>
      <c r="DC63" t="s">
        <v>147</v>
      </c>
      <c r="DD63" t="s">
        <v>147</v>
      </c>
      <c r="DE63" t="s">
        <v>147</v>
      </c>
      <c r="DF63" t="s">
        <v>147</v>
      </c>
      <c r="DG63" t="s">
        <v>147</v>
      </c>
      <c r="DH63" t="s">
        <v>147</v>
      </c>
      <c r="DI63" t="s">
        <v>147</v>
      </c>
      <c r="DJ63" t="s">
        <v>147</v>
      </c>
      <c r="DK63" t="s">
        <v>147</v>
      </c>
      <c r="DL63" t="s">
        <v>147</v>
      </c>
      <c r="DM63" t="s">
        <v>147</v>
      </c>
      <c r="DN63" t="s">
        <v>147</v>
      </c>
      <c r="DO63" t="s">
        <v>147</v>
      </c>
      <c r="DP63" t="s">
        <v>147</v>
      </c>
      <c r="DQ63" t="s">
        <v>147</v>
      </c>
      <c r="DR63" t="s">
        <v>147</v>
      </c>
      <c r="DS63" t="s">
        <v>147</v>
      </c>
      <c r="DT63" t="s">
        <v>147</v>
      </c>
      <c r="DU63" t="s">
        <v>147</v>
      </c>
      <c r="DV63" t="s">
        <v>147</v>
      </c>
      <c r="DW63" t="s">
        <v>147</v>
      </c>
      <c r="DX63" t="s">
        <v>147</v>
      </c>
      <c r="DY63" t="s">
        <v>147</v>
      </c>
      <c r="DZ63" t="s">
        <v>147</v>
      </c>
      <c r="EA63" t="s">
        <v>147</v>
      </c>
      <c r="EB63" t="s">
        <v>147</v>
      </c>
      <c r="EC63" t="s">
        <v>147</v>
      </c>
      <c r="ED63" t="s">
        <v>147</v>
      </c>
      <c r="EE63" t="s">
        <v>147</v>
      </c>
      <c r="EF63" t="s">
        <v>147</v>
      </c>
      <c r="EG63" t="s">
        <v>147</v>
      </c>
      <c r="EH63" t="s">
        <v>147</v>
      </c>
      <c r="EI63" t="s">
        <v>147</v>
      </c>
      <c r="EJ63" t="s">
        <v>147</v>
      </c>
      <c r="EK63" t="s">
        <v>147</v>
      </c>
      <c r="EL63" t="s">
        <v>147</v>
      </c>
      <c r="EM63" t="s">
        <v>147</v>
      </c>
      <c r="EN63" t="s">
        <v>147</v>
      </c>
      <c r="EO63" t="s">
        <v>147</v>
      </c>
      <c r="EP63" t="s">
        <v>147</v>
      </c>
      <c r="EQ63" t="s">
        <v>147</v>
      </c>
      <c r="ER63" t="s">
        <v>147</v>
      </c>
      <c r="ES63" t="s">
        <v>147</v>
      </c>
      <c r="ET63" t="s">
        <v>147</v>
      </c>
      <c r="EU63" t="s">
        <v>147</v>
      </c>
      <c r="EV63" t="s">
        <v>147</v>
      </c>
      <c r="EW63" t="s">
        <v>147</v>
      </c>
      <c r="EX63" t="s">
        <v>147</v>
      </c>
      <c r="EY63" t="s">
        <v>147</v>
      </c>
      <c r="EZ63" t="s">
        <v>147</v>
      </c>
      <c r="FA63" t="s">
        <v>147</v>
      </c>
      <c r="FB63" t="s">
        <v>147</v>
      </c>
      <c r="FC63" t="s">
        <v>147</v>
      </c>
      <c r="FD63" t="s">
        <v>147</v>
      </c>
      <c r="FE63" t="s">
        <v>147</v>
      </c>
      <c r="FF63" t="s">
        <v>147</v>
      </c>
      <c r="FG63" t="s">
        <v>147</v>
      </c>
      <c r="FH63" t="s">
        <v>147</v>
      </c>
      <c r="FI63" t="s">
        <v>147</v>
      </c>
      <c r="FJ63" t="s">
        <v>147</v>
      </c>
      <c r="FK63" t="s">
        <v>147</v>
      </c>
      <c r="FL63" t="s">
        <v>147</v>
      </c>
      <c r="FM63" t="s">
        <v>147</v>
      </c>
      <c r="FN63" t="s">
        <v>147</v>
      </c>
      <c r="FO63" t="s">
        <v>147</v>
      </c>
      <c r="FP63" t="s">
        <v>147</v>
      </c>
      <c r="FQ63" t="s">
        <v>147</v>
      </c>
      <c r="FR63" t="s">
        <v>147</v>
      </c>
      <c r="FS63" t="s">
        <v>147</v>
      </c>
      <c r="FT63" t="s">
        <v>147</v>
      </c>
      <c r="FU63" t="s">
        <v>147</v>
      </c>
      <c r="FV63" t="s">
        <v>147</v>
      </c>
      <c r="FW63" t="s">
        <v>147</v>
      </c>
      <c r="FX63" t="s">
        <v>147</v>
      </c>
      <c r="FY63" t="s">
        <v>147</v>
      </c>
      <c r="FZ63" t="s">
        <v>147</v>
      </c>
      <c r="GA63" t="s">
        <v>147</v>
      </c>
      <c r="GB63" t="s">
        <v>147</v>
      </c>
      <c r="GC63" t="s">
        <v>147</v>
      </c>
      <c r="GD63" t="s">
        <v>147</v>
      </c>
      <c r="GE63" t="s">
        <v>147</v>
      </c>
      <c r="GF63" t="s">
        <v>147</v>
      </c>
      <c r="GG63" t="s">
        <v>147</v>
      </c>
      <c r="GH63" t="s">
        <v>57</v>
      </c>
      <c r="GI63" t="s">
        <v>147</v>
      </c>
      <c r="GJ63" t="s">
        <v>147</v>
      </c>
      <c r="GK63" t="s">
        <v>57</v>
      </c>
      <c r="GL63" t="s">
        <v>147</v>
      </c>
      <c r="GM63" t="s">
        <v>147</v>
      </c>
      <c r="GN63" t="s">
        <v>147</v>
      </c>
      <c r="GO63" t="s">
        <v>147</v>
      </c>
      <c r="GP63" t="s">
        <v>147</v>
      </c>
      <c r="GQ63" t="s">
        <v>147</v>
      </c>
      <c r="GR63" t="s">
        <v>147</v>
      </c>
      <c r="GS63" t="s">
        <v>147</v>
      </c>
      <c r="GT63" t="s">
        <v>147</v>
      </c>
      <c r="GU63" t="s">
        <v>147</v>
      </c>
      <c r="GV63" t="s">
        <v>147</v>
      </c>
      <c r="GW63" t="s">
        <v>147</v>
      </c>
      <c r="GX63" t="s">
        <v>147</v>
      </c>
      <c r="GY63" t="s">
        <v>147</v>
      </c>
      <c r="GZ63" t="s">
        <v>147</v>
      </c>
      <c r="HA63" t="s">
        <v>147</v>
      </c>
      <c r="HB63" t="s">
        <v>147</v>
      </c>
      <c r="HC63" t="s">
        <v>147</v>
      </c>
      <c r="HD63" t="s">
        <v>147</v>
      </c>
      <c r="HE63" t="s">
        <v>147</v>
      </c>
      <c r="HF63" t="s">
        <v>147</v>
      </c>
      <c r="HG63" t="s">
        <v>147</v>
      </c>
      <c r="HH63" t="s">
        <v>147</v>
      </c>
      <c r="HI63" t="s">
        <v>147</v>
      </c>
      <c r="HJ63" t="s">
        <v>147</v>
      </c>
      <c r="HK63" t="s">
        <v>147</v>
      </c>
      <c r="HL63" t="s">
        <v>147</v>
      </c>
      <c r="HM63" t="s">
        <v>147</v>
      </c>
      <c r="HN63" t="s">
        <v>147</v>
      </c>
      <c r="HO63" t="s">
        <v>147</v>
      </c>
      <c r="HP63" t="s">
        <v>147</v>
      </c>
      <c r="HQ63" t="s">
        <v>147</v>
      </c>
      <c r="HR63" t="s">
        <v>147</v>
      </c>
      <c r="HS63" t="s">
        <v>147</v>
      </c>
      <c r="HT63" t="s">
        <v>147</v>
      </c>
      <c r="HU63" t="s">
        <v>147</v>
      </c>
      <c r="HV63" t="s">
        <v>147</v>
      </c>
      <c r="HW63" t="s">
        <v>147</v>
      </c>
      <c r="HX63" t="s">
        <v>147</v>
      </c>
      <c r="HY63" t="s">
        <v>147</v>
      </c>
      <c r="HZ63" t="s">
        <v>147</v>
      </c>
      <c r="IA63" t="s">
        <v>147</v>
      </c>
      <c r="IB63" t="s">
        <v>57</v>
      </c>
      <c r="IC63" t="s">
        <v>57</v>
      </c>
      <c r="ID63" t="s">
        <v>57</v>
      </c>
      <c r="IE63" t="s">
        <v>147</v>
      </c>
      <c r="IF63" t="s">
        <v>124</v>
      </c>
      <c r="IG63" t="s">
        <v>148</v>
      </c>
      <c r="IH63" t="s">
        <v>123</v>
      </c>
      <c r="II63" t="s">
        <v>2596</v>
      </c>
    </row>
  </sheetData>
  <sheetProtection sheet="1" objects="1" scenarios="1" autoFilter="0"/>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5767B3863A4E4BB418B58E8EF52A5C" ma:contentTypeVersion="0" ma:contentTypeDescription="Create a new document." ma:contentTypeScope="" ma:versionID="7f1d418ce22482b369f1d332ff402a9a">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BADB54-74BE-4DE7-B23F-77D82693E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DDEC4A8-E2F4-4CA6-A55B-49CF16A2C6A5}">
  <ds:schemaRefs>
    <ds:schemaRef ds:uri="http://schemas.microsoft.com/sharepoint/v3/contenttype/forms"/>
  </ds:schemaRefs>
</ds:datastoreItem>
</file>

<file path=customXml/itemProps3.xml><?xml version="1.0" encoding="utf-8"?>
<ds:datastoreItem xmlns:ds="http://schemas.openxmlformats.org/officeDocument/2006/customXml" ds:itemID="{433EE53A-13E2-4BCE-828F-DFB1EABA60D3}">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Cover</vt:lpstr>
      <vt:lpstr>Contents</vt:lpstr>
      <vt:lpstr>Data dictionary</vt:lpstr>
      <vt:lpstr>T1 In-year inspections</vt:lpstr>
      <vt:lpstr>T2 In-year standards</vt:lpstr>
      <vt:lpstr>T3 In-year monitoring</vt:lpstr>
      <vt:lpstr>T4 Most recent inspections</vt:lpstr>
      <vt:lpstr>D1 In-year standard inspections</vt:lpstr>
      <vt:lpstr>D2 In-year monitoring</vt:lpstr>
      <vt:lpstr>D3 Most recent inspections</vt:lpstr>
      <vt:lpstr>InYear</vt:lpstr>
      <vt:lpstr>Monitoring</vt:lpstr>
      <vt:lpstr>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2019-12-18T16:11:59Z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0x010100195767B3863A4E4BB418B58E8EF52A5C</vt:lpwstr>
  </property>
</Properties>
</file>